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sandra.zerande\Desktop\sagatave\"/>
    </mc:Choice>
  </mc:AlternateContent>
  <xr:revisionPtr revIDLastSave="0" documentId="13_ncr:1_{676D018D-ECC3-4A51-9423-9BCA30925BBA}" xr6:coauthVersionLast="47" xr6:coauthVersionMax="47" xr10:uidLastSave="{00000000-0000-0000-0000-000000000000}"/>
  <bookViews>
    <workbookView xWindow="-110" yWindow="-110" windowWidth="25820" windowHeight="14020" tabRatio="963" firstSheet="42" activeTab="67" xr2:uid="{78721DF2-B484-40BF-8284-E8208B156C3C}"/>
  </bookViews>
  <sheets>
    <sheet name="KOPSAVILKUMS" sheetId="1" r:id="rId1"/>
    <sheet name="1.1." sheetId="24" r:id="rId2"/>
    <sheet name="1.2." sheetId="66" r:id="rId3"/>
    <sheet name="1.3." sheetId="67" r:id="rId4"/>
    <sheet name="1.4." sheetId="68" r:id="rId5"/>
    <sheet name="1.5." sheetId="78" r:id="rId6"/>
    <sheet name="1.6." sheetId="23" r:id="rId7"/>
    <sheet name="1.7." sheetId="22" r:id="rId8"/>
    <sheet name="1.8.1." sheetId="28" r:id="rId9"/>
    <sheet name="1.10.1." sheetId="60" r:id="rId10"/>
    <sheet name="1.10.4." sheetId="16" r:id="rId11"/>
    <sheet name="1.13." sheetId="79" r:id="rId12"/>
    <sheet name="1.14." sheetId="61" r:id="rId13"/>
    <sheet name="1.16.2." sheetId="6" r:id="rId14"/>
    <sheet name="1.17." sheetId="25" r:id="rId15"/>
    <sheet name="1.18.2." sheetId="69" r:id="rId16"/>
    <sheet name="1.18.3." sheetId="70" r:id="rId17"/>
    <sheet name="1.20.1." sheetId="62" r:id="rId18"/>
    <sheet name="1.20.2." sheetId="63" r:id="rId19"/>
    <sheet name="1.23.3." sheetId="5" r:id="rId20"/>
    <sheet name="1.28." sheetId="2" r:id="rId21"/>
    <sheet name="3.3.1." sheetId="19" r:id="rId22"/>
    <sheet name="3.3.2." sheetId="3" r:id="rId23"/>
    <sheet name="3.4." sheetId="13" r:id="rId24"/>
    <sheet name="3.5.1." sheetId="64" r:id="rId25"/>
    <sheet name="3.6.1." sheetId="73" r:id="rId26"/>
    <sheet name="3.6.2." sheetId="71" r:id="rId27"/>
    <sheet name="3.8." sheetId="9" r:id="rId28"/>
    <sheet name="3.9.2." sheetId="74" r:id="rId29"/>
    <sheet name="3.10.1." sheetId="4" r:id="rId30"/>
    <sheet name="3.11.1." sheetId="18" r:id="rId31"/>
    <sheet name="3.11.2." sheetId="15" r:id="rId32"/>
    <sheet name="3.12." sheetId="11" r:id="rId33"/>
    <sheet name="3.13.1" sheetId="12" r:id="rId34"/>
    <sheet name="3.13.2." sheetId="33" r:id="rId35"/>
    <sheet name="3.13.3" sheetId="53" r:id="rId36"/>
    <sheet name="3.14.1." sheetId="21" r:id="rId37"/>
    <sheet name="3.14.2" sheetId="20" r:id="rId38"/>
    <sheet name="3.15." sheetId="87" r:id="rId39"/>
    <sheet name="3.16.1." sheetId="57" r:id="rId40"/>
    <sheet name="3.16.2." sheetId="85" r:id="rId41"/>
    <sheet name="3.17.1." sheetId="56" r:id="rId42"/>
    <sheet name="3.17.2." sheetId="86" r:id="rId43"/>
    <sheet name="3.18." sheetId="82" r:id="rId44"/>
    <sheet name="3.20." sheetId="84" r:id="rId45"/>
    <sheet name="4.1.1." sheetId="36" r:id="rId46"/>
    <sheet name="4.1.2." sheetId="72" r:id="rId47"/>
    <sheet name="4.2." sheetId="49" r:id="rId48"/>
    <sheet name="4.3." sheetId="65" r:id="rId49"/>
    <sheet name="4.4.1.1." sheetId="75" r:id="rId50"/>
    <sheet name="4.4.1.2." sheetId="59" r:id="rId51"/>
    <sheet name="4.4.2.1." sheetId="55" r:id="rId52"/>
    <sheet name="4.5." sheetId="76" r:id="rId53"/>
    <sheet name="4.7.1." sheetId="51" r:id="rId54"/>
    <sheet name="4.7.2." sheetId="88" r:id="rId55"/>
    <sheet name="4.7.3." sheetId="52" r:id="rId56"/>
    <sheet name="4.7.4." sheetId="81" r:id="rId57"/>
    <sheet name="4.10.1." sheetId="41" r:id="rId58"/>
    <sheet name="4.11." sheetId="42" r:id="rId59"/>
    <sheet name="4.16." sheetId="43" r:id="rId60"/>
    <sheet name="4.17." sheetId="44" r:id="rId61"/>
    <sheet name="4.20." sheetId="45" r:id="rId62"/>
    <sheet name="5.1." sheetId="30" r:id="rId63"/>
    <sheet name="5.2." sheetId="38" r:id="rId64"/>
    <sheet name="5.3." sheetId="39" r:id="rId65"/>
    <sheet name="5.4." sheetId="40" r:id="rId66"/>
    <sheet name="5.8." sheetId="48" r:id="rId67"/>
    <sheet name="5.10." sheetId="77" r:id="rId68"/>
  </sheets>
  <definedNames>
    <definedName name="_ftn1" localSheetId="0">KOPSAVILKUMS!#REF!</definedName>
    <definedName name="_ftnref1" localSheetId="0">KOPSAVILKUMS!#REF!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 i="86" l="1"/>
  <c r="D6" i="86"/>
  <c r="D5" i="85"/>
  <c r="E14" i="88"/>
  <c r="D14" i="88"/>
  <c r="B14" i="88"/>
  <c r="F13" i="88"/>
  <c r="F12" i="88"/>
  <c r="F11" i="88"/>
  <c r="F10" i="88"/>
  <c r="F9" i="88"/>
  <c r="F8" i="88"/>
  <c r="F186" i="1"/>
  <c r="G105" i="1"/>
  <c r="H105" i="1"/>
  <c r="I105" i="1"/>
  <c r="J105" i="1"/>
  <c r="K105" i="1"/>
  <c r="L105" i="1"/>
  <c r="M105" i="1"/>
  <c r="F105" i="1"/>
  <c r="G101" i="1"/>
  <c r="H101" i="1"/>
  <c r="I101" i="1"/>
  <c r="J101" i="1"/>
  <c r="K101" i="1"/>
  <c r="L101" i="1"/>
  <c r="M101" i="1"/>
  <c r="F101" i="1"/>
  <c r="G96" i="1"/>
  <c r="H96" i="1"/>
  <c r="I96" i="1"/>
  <c r="J96" i="1"/>
  <c r="K96" i="1"/>
  <c r="L96" i="1"/>
  <c r="M96" i="1"/>
  <c r="F96" i="1"/>
  <c r="F82" i="1"/>
  <c r="G28" i="1"/>
  <c r="H28" i="1"/>
  <c r="I28" i="1"/>
  <c r="J28" i="1"/>
  <c r="K28" i="1"/>
  <c r="L28" i="1"/>
  <c r="M28" i="1"/>
  <c r="F14" i="88" l="1"/>
  <c r="C4" i="88" l="1"/>
  <c r="D4" i="88" s="1"/>
  <c r="B4" i="88"/>
  <c r="A4" i="88"/>
  <c r="G12" i="1" l="1"/>
  <c r="H12" i="1"/>
  <c r="I12" i="1"/>
  <c r="J12" i="1"/>
  <c r="K12" i="1"/>
  <c r="L12" i="1"/>
  <c r="M12" i="1"/>
  <c r="F12" i="1"/>
  <c r="H37" i="1"/>
  <c r="G37" i="1"/>
  <c r="F37" i="1"/>
  <c r="G15" i="1" l="1"/>
  <c r="H15" i="1"/>
  <c r="I15" i="1"/>
  <c r="J15" i="1"/>
  <c r="K15" i="1"/>
  <c r="L15" i="1"/>
  <c r="M15" i="1"/>
  <c r="F15" i="1"/>
  <c r="G14" i="1"/>
  <c r="H14" i="1"/>
  <c r="I14" i="1"/>
  <c r="J14" i="1"/>
  <c r="K14" i="1"/>
  <c r="L14" i="1"/>
  <c r="M14" i="1"/>
  <c r="F14" i="1"/>
  <c r="H19" i="20" l="1"/>
  <c r="I26" i="1" l="1"/>
  <c r="I25" i="1" s="1"/>
  <c r="I23" i="1" s="1"/>
  <c r="G172" i="1"/>
  <c r="H172" i="1"/>
  <c r="F172" i="1"/>
  <c r="G177" i="1"/>
  <c r="H177" i="1"/>
  <c r="F177" i="1"/>
  <c r="I20" i="1"/>
  <c r="G31" i="87"/>
  <c r="B31" i="87"/>
  <c r="J30" i="87"/>
  <c r="I30" i="87"/>
  <c r="H30" i="87"/>
  <c r="J29" i="87"/>
  <c r="I29" i="87"/>
  <c r="H29" i="87"/>
  <c r="J28" i="87"/>
  <c r="I28" i="87"/>
  <c r="H28" i="87"/>
  <c r="J27" i="87"/>
  <c r="I27" i="87"/>
  <c r="H27" i="87"/>
  <c r="J26" i="87"/>
  <c r="I26" i="87"/>
  <c r="H26" i="87"/>
  <c r="F15" i="87"/>
  <c r="F14" i="87"/>
  <c r="F13" i="87"/>
  <c r="D10" i="87"/>
  <c r="F11" i="87" s="1"/>
  <c r="F8" i="87" s="1"/>
  <c r="D8" i="87"/>
  <c r="F10" i="1"/>
  <c r="G10" i="1"/>
  <c r="H10" i="1"/>
  <c r="I10" i="1"/>
  <c r="J10" i="1"/>
  <c r="K10" i="1"/>
  <c r="L10" i="1"/>
  <c r="M10" i="1"/>
  <c r="F11" i="1"/>
  <c r="G11" i="1"/>
  <c r="H11" i="1"/>
  <c r="I11" i="1"/>
  <c r="J11" i="1"/>
  <c r="K11" i="1"/>
  <c r="L11" i="1"/>
  <c r="M11" i="1"/>
  <c r="F13" i="1"/>
  <c r="G13" i="1"/>
  <c r="H13" i="1"/>
  <c r="I13" i="1"/>
  <c r="J13" i="1"/>
  <c r="K13" i="1"/>
  <c r="L13" i="1"/>
  <c r="M13" i="1"/>
  <c r="F16" i="1"/>
  <c r="G16" i="1"/>
  <c r="H16" i="1"/>
  <c r="I16" i="1"/>
  <c r="J16" i="1"/>
  <c r="K16" i="1"/>
  <c r="L16" i="1"/>
  <c r="M16" i="1"/>
  <c r="F17" i="1"/>
  <c r="G17" i="1"/>
  <c r="H17" i="1"/>
  <c r="I17" i="1"/>
  <c r="J17" i="1"/>
  <c r="K17" i="1"/>
  <c r="L17" i="1"/>
  <c r="M17" i="1"/>
  <c r="F18" i="1"/>
  <c r="G18" i="1"/>
  <c r="H18" i="1"/>
  <c r="I18" i="1"/>
  <c r="J18" i="1"/>
  <c r="K18" i="1"/>
  <c r="L18" i="1"/>
  <c r="M18" i="1"/>
  <c r="F19" i="1"/>
  <c r="G19" i="1"/>
  <c r="H19" i="1"/>
  <c r="I19" i="1"/>
  <c r="J19" i="1"/>
  <c r="K19" i="1"/>
  <c r="L19" i="1"/>
  <c r="M19" i="1"/>
  <c r="F20" i="1"/>
  <c r="G20" i="1"/>
  <c r="H20" i="1"/>
  <c r="J20" i="1"/>
  <c r="K20" i="1"/>
  <c r="L20" i="1"/>
  <c r="M20" i="1"/>
  <c r="F21" i="1"/>
  <c r="G21" i="1"/>
  <c r="H21" i="1"/>
  <c r="I21" i="1"/>
  <c r="J21" i="1"/>
  <c r="K21" i="1"/>
  <c r="L21" i="1"/>
  <c r="M21" i="1"/>
  <c r="F22" i="1"/>
  <c r="G22" i="1"/>
  <c r="H22" i="1"/>
  <c r="I22" i="1"/>
  <c r="J22" i="1"/>
  <c r="K22" i="1"/>
  <c r="L22" i="1"/>
  <c r="M22" i="1"/>
  <c r="F26" i="1"/>
  <c r="F25" i="1" s="1"/>
  <c r="F23" i="1" s="1"/>
  <c r="G26" i="1"/>
  <c r="G25" i="1" s="1"/>
  <c r="G23" i="1" s="1"/>
  <c r="H26" i="1"/>
  <c r="H25" i="1" s="1"/>
  <c r="H23" i="1" s="1"/>
  <c r="J26" i="1"/>
  <c r="J25" i="1" s="1"/>
  <c r="J23" i="1" s="1"/>
  <c r="K26" i="1"/>
  <c r="K25" i="1" s="1"/>
  <c r="K23" i="1" s="1"/>
  <c r="L26" i="1"/>
  <c r="L25" i="1" s="1"/>
  <c r="L23" i="1" s="1"/>
  <c r="M26" i="1"/>
  <c r="M25" i="1" s="1"/>
  <c r="M23" i="1" s="1"/>
  <c r="F28" i="1"/>
  <c r="F36" i="1"/>
  <c r="G36" i="1"/>
  <c r="H36" i="1"/>
  <c r="I36" i="1"/>
  <c r="J36" i="1"/>
  <c r="K36" i="1"/>
  <c r="L36" i="1"/>
  <c r="M36" i="1"/>
  <c r="F41" i="1"/>
  <c r="G41" i="1"/>
  <c r="H41" i="1"/>
  <c r="I41" i="1"/>
  <c r="J41" i="1"/>
  <c r="K41" i="1"/>
  <c r="L41" i="1"/>
  <c r="M41" i="1"/>
  <c r="F58" i="1"/>
  <c r="G58" i="1"/>
  <c r="H58" i="1"/>
  <c r="I58" i="1"/>
  <c r="J58" i="1"/>
  <c r="K58" i="1"/>
  <c r="L58" i="1"/>
  <c r="M58" i="1"/>
  <c r="F60" i="1"/>
  <c r="G60" i="1"/>
  <c r="H60" i="1"/>
  <c r="I60" i="1"/>
  <c r="J60" i="1"/>
  <c r="K60" i="1"/>
  <c r="L60" i="1"/>
  <c r="M60" i="1"/>
  <c r="F64" i="1"/>
  <c r="G64" i="1"/>
  <c r="H64" i="1"/>
  <c r="I64" i="1"/>
  <c r="J64" i="1"/>
  <c r="K64" i="1"/>
  <c r="L64" i="1"/>
  <c r="M64" i="1"/>
  <c r="F75" i="1"/>
  <c r="G75" i="1"/>
  <c r="H75" i="1"/>
  <c r="I75" i="1"/>
  <c r="J75" i="1"/>
  <c r="K75" i="1"/>
  <c r="L75" i="1"/>
  <c r="M75" i="1"/>
  <c r="G82" i="1"/>
  <c r="H82" i="1"/>
  <c r="I82" i="1"/>
  <c r="J82" i="1"/>
  <c r="K82" i="1"/>
  <c r="L82" i="1"/>
  <c r="M82" i="1"/>
  <c r="F109" i="1"/>
  <c r="G109" i="1"/>
  <c r="H109" i="1"/>
  <c r="I109" i="1"/>
  <c r="J109" i="1"/>
  <c r="K109" i="1"/>
  <c r="L109" i="1"/>
  <c r="M109" i="1"/>
  <c r="F27" i="1" l="1"/>
  <c r="G8" i="1"/>
  <c r="F8" i="1"/>
  <c r="F5" i="1" s="1"/>
  <c r="L8" i="1"/>
  <c r="M8" i="1"/>
  <c r="K8" i="1"/>
  <c r="K5" i="1" s="1"/>
  <c r="J8" i="1"/>
  <c r="I8" i="1"/>
  <c r="I5" i="1" s="1"/>
  <c r="H8" i="1"/>
  <c r="K30" i="87"/>
  <c r="O30" i="87" s="1"/>
  <c r="J31" i="87"/>
  <c r="I31" i="87"/>
  <c r="N30" i="87"/>
  <c r="N28" i="87"/>
  <c r="N26" i="87"/>
  <c r="K28" i="87"/>
  <c r="O28" i="87" s="1"/>
  <c r="N29" i="87"/>
  <c r="H31" i="87"/>
  <c r="N27" i="87"/>
  <c r="K29" i="87"/>
  <c r="O29" i="87" s="1"/>
  <c r="K27" i="87"/>
  <c r="O27" i="87" s="1"/>
  <c r="F12" i="87"/>
  <c r="F16" i="87" s="1"/>
  <c r="B4" i="87" s="1"/>
  <c r="K26" i="87"/>
  <c r="L26" i="87" s="1"/>
  <c r="E10" i="87"/>
  <c r="E8" i="87" s="1"/>
  <c r="L9" i="1"/>
  <c r="L6" i="1" s="1"/>
  <c r="K9" i="1"/>
  <c r="K6" i="1" s="1"/>
  <c r="M9" i="1"/>
  <c r="M6" i="1" s="1"/>
  <c r="M5" i="1"/>
  <c r="J27" i="1"/>
  <c r="J9" i="1"/>
  <c r="J6" i="1" s="1"/>
  <c r="I27" i="1"/>
  <c r="I9" i="1"/>
  <c r="I6" i="1" s="1"/>
  <c r="M27" i="1"/>
  <c r="H27" i="1"/>
  <c r="H9" i="1"/>
  <c r="H6" i="1" s="1"/>
  <c r="K27" i="1"/>
  <c r="G27" i="1"/>
  <c r="G9" i="1"/>
  <c r="G6" i="1" s="1"/>
  <c r="L27" i="1"/>
  <c r="L5" i="1"/>
  <c r="F9" i="1"/>
  <c r="F6" i="1" s="1"/>
  <c r="L27" i="87" l="1"/>
  <c r="L30" i="87"/>
  <c r="M30" i="87"/>
  <c r="M29" i="87"/>
  <c r="M28" i="87"/>
  <c r="M27" i="87"/>
  <c r="K7" i="1"/>
  <c r="H7" i="1"/>
  <c r="G7" i="1"/>
  <c r="L7" i="1"/>
  <c r="M7" i="1"/>
  <c r="N31" i="87"/>
  <c r="J7" i="1"/>
  <c r="L29" i="87"/>
  <c r="L28" i="87"/>
  <c r="E12" i="87"/>
  <c r="E16" i="87" s="1"/>
  <c r="O26" i="87"/>
  <c r="K31" i="87"/>
  <c r="F7" i="1"/>
  <c r="H5" i="1"/>
  <c r="H4" i="1" s="1"/>
  <c r="L4" i="1"/>
  <c r="J5" i="1"/>
  <c r="J4" i="1" s="1"/>
  <c r="G5" i="1"/>
  <c r="G4" i="1" s="1"/>
  <c r="I7" i="1"/>
  <c r="F4" i="1"/>
  <c r="K4" i="1"/>
  <c r="I4" i="1"/>
  <c r="M4" i="1"/>
  <c r="L31" i="87" l="1"/>
  <c r="O31" i="87"/>
  <c r="M31" i="87" s="1"/>
  <c r="M26" i="87"/>
  <c r="D7" i="86" l="1"/>
  <c r="H8" i="12"/>
  <c r="I12" i="4"/>
  <c r="I13" i="4"/>
  <c r="I14" i="4"/>
  <c r="I11" i="4"/>
  <c r="D9" i="3"/>
  <c r="D10" i="3"/>
  <c r="D11" i="3"/>
  <c r="D12" i="3"/>
  <c r="D13" i="3"/>
  <c r="D14" i="3"/>
  <c r="D15" i="3"/>
  <c r="D16" i="3"/>
  <c r="D17" i="3"/>
  <c r="D18" i="3"/>
  <c r="D19" i="3"/>
  <c r="D20" i="3"/>
  <c r="D8" i="3"/>
  <c r="D6" i="19"/>
  <c r="H9" i="2"/>
  <c r="H9" i="6"/>
  <c r="C8" i="22"/>
  <c r="D6" i="24"/>
  <c r="C6" i="24"/>
  <c r="E6" i="23"/>
  <c r="D6" i="23"/>
  <c r="H9" i="12"/>
  <c r="C14" i="79"/>
  <c r="E14" i="79" s="1"/>
  <c r="C13" i="79"/>
  <c r="E13" i="79" s="1"/>
  <c r="C12" i="79"/>
  <c r="E12" i="79" s="1"/>
  <c r="B6" i="4" l="1"/>
  <c r="B5" i="4"/>
  <c r="D9" i="84"/>
  <c r="E9" i="84" s="1"/>
  <c r="F9" i="84" s="1"/>
  <c r="I6" i="84"/>
  <c r="H6" i="84"/>
  <c r="G6" i="84"/>
  <c r="G133" i="1"/>
  <c r="G93" i="1" s="1"/>
  <c r="H133" i="1"/>
  <c r="H93" i="1" s="1"/>
  <c r="I133" i="1"/>
  <c r="I93" i="1" s="1"/>
  <c r="J133" i="1"/>
  <c r="J93" i="1" s="1"/>
  <c r="K133" i="1"/>
  <c r="K93" i="1" s="1"/>
  <c r="L133" i="1"/>
  <c r="L93" i="1" s="1"/>
  <c r="M133" i="1"/>
  <c r="M93" i="1" s="1"/>
  <c r="F133" i="1"/>
  <c r="F93" i="1" s="1"/>
  <c r="F10" i="84" l="1"/>
  <c r="B5" i="84"/>
  <c r="E8" i="82" l="1"/>
  <c r="C9" i="82"/>
  <c r="E7" i="82"/>
  <c r="E6" i="82"/>
  <c r="E5" i="82"/>
  <c r="E9" i="82" l="1"/>
  <c r="E10" i="82" s="1"/>
  <c r="I9" i="11" l="1"/>
  <c r="K9" i="11" s="1"/>
  <c r="I13" i="9"/>
  <c r="I14" i="9"/>
  <c r="I15" i="4" l="1"/>
  <c r="G11" i="19"/>
  <c r="G10" i="19"/>
  <c r="J15" i="18"/>
  <c r="V15" i="18" s="1"/>
  <c r="G15" i="18"/>
  <c r="F15" i="18"/>
  <c r="P15" i="18" l="1"/>
  <c r="Z15" i="18" s="1"/>
  <c r="B7" i="4"/>
  <c r="N15" i="18"/>
  <c r="X15" i="18" s="1"/>
  <c r="T15" i="18"/>
  <c r="I15" i="18"/>
  <c r="U15" i="18" s="1"/>
  <c r="O15" i="18"/>
  <c r="Y15" i="18" s="1"/>
  <c r="AB15" i="18" l="1"/>
  <c r="AD15" i="18" s="1"/>
  <c r="Q15" i="18"/>
  <c r="S15" i="18" l="1"/>
  <c r="C22" i="18"/>
  <c r="H22" i="18" s="1"/>
  <c r="A4" i="81"/>
  <c r="G186" i="1"/>
  <c r="H186" i="1"/>
  <c r="I186" i="1"/>
  <c r="J186" i="1"/>
  <c r="K186" i="1"/>
  <c r="L186" i="1"/>
  <c r="M186" i="1"/>
  <c r="G6" i="16"/>
  <c r="G35" i="79"/>
  <c r="F35" i="79"/>
  <c r="H34" i="79"/>
  <c r="I34" i="79" s="1"/>
  <c r="J34" i="79" s="1"/>
  <c r="H33" i="79"/>
  <c r="I33" i="79" s="1"/>
  <c r="J33" i="79" s="1"/>
  <c r="H32" i="79"/>
  <c r="I32" i="79" s="1"/>
  <c r="J32" i="79" s="1"/>
  <c r="H31" i="79"/>
  <c r="I31" i="79" s="1"/>
  <c r="J31" i="79" s="1"/>
  <c r="H30" i="79"/>
  <c r="I30" i="79" s="1"/>
  <c r="E24" i="79"/>
  <c r="E23" i="79"/>
  <c r="E22" i="79"/>
  <c r="E21" i="79"/>
  <c r="E20" i="79"/>
  <c r="E25" i="79" s="1"/>
  <c r="E11" i="79"/>
  <c r="E10" i="79"/>
  <c r="E9" i="79"/>
  <c r="E15" i="79" l="1"/>
  <c r="H6" i="16"/>
  <c r="I6" i="16" s="1"/>
  <c r="J6" i="16" s="1"/>
  <c r="H35" i="79"/>
  <c r="I35" i="79"/>
  <c r="J30" i="79"/>
  <c r="J35" i="79" s="1"/>
  <c r="C4" i="79" l="1"/>
  <c r="F181" i="1"/>
  <c r="G191" i="1" l="1"/>
  <c r="H191" i="1"/>
  <c r="I191" i="1"/>
  <c r="J191" i="1"/>
  <c r="K191" i="1"/>
  <c r="L191" i="1"/>
  <c r="M191" i="1"/>
  <c r="F191" i="1"/>
  <c r="F180" i="1" s="1"/>
  <c r="C5" i="51" l="1"/>
  <c r="J172" i="1" l="1"/>
  <c r="K172" i="1"/>
  <c r="L172" i="1"/>
  <c r="M172" i="1"/>
  <c r="I172" i="1"/>
  <c r="J177" i="1"/>
  <c r="K177" i="1"/>
  <c r="L177" i="1"/>
  <c r="M177" i="1"/>
  <c r="I177" i="1"/>
  <c r="G138" i="1" l="1"/>
  <c r="H138" i="1"/>
  <c r="I138" i="1"/>
  <c r="L138" i="1"/>
  <c r="M138" i="1"/>
  <c r="F138" i="1"/>
  <c r="G152" i="1"/>
  <c r="H152" i="1"/>
  <c r="I152" i="1"/>
  <c r="J152" i="1"/>
  <c r="K152" i="1"/>
  <c r="L152" i="1"/>
  <c r="M152" i="1"/>
  <c r="F152" i="1"/>
  <c r="G167" i="1"/>
  <c r="H167" i="1"/>
  <c r="I167" i="1"/>
  <c r="J167" i="1"/>
  <c r="K167" i="1"/>
  <c r="L167" i="1"/>
  <c r="M167" i="1"/>
  <c r="F167" i="1"/>
  <c r="F137" i="1" l="1"/>
  <c r="H137" i="1"/>
  <c r="G137" i="1"/>
  <c r="M137" i="1"/>
  <c r="L137" i="1"/>
  <c r="I137" i="1"/>
  <c r="D4" i="59"/>
  <c r="D5" i="59" s="1"/>
  <c r="E7" i="55"/>
  <c r="H23" i="55"/>
  <c r="L12" i="55" l="1"/>
  <c r="G22" i="55"/>
  <c r="G21" i="55"/>
  <c r="M16" i="55"/>
  <c r="N16" i="55" s="1"/>
  <c r="L16" i="55"/>
  <c r="I16" i="55"/>
  <c r="F16" i="55"/>
  <c r="M15" i="55"/>
  <c r="N15" i="55" s="1"/>
  <c r="K15" i="55"/>
  <c r="O17" i="55" s="1"/>
  <c r="H15" i="55"/>
  <c r="I15" i="55" s="1"/>
  <c r="E15" i="55"/>
  <c r="F15" i="55" s="1"/>
  <c r="M14" i="55"/>
  <c r="N14" i="55" s="1"/>
  <c r="L14" i="55"/>
  <c r="I14" i="55"/>
  <c r="F14" i="55"/>
  <c r="M13" i="55"/>
  <c r="N13" i="55" s="1"/>
  <c r="L13" i="55"/>
  <c r="I13" i="55"/>
  <c r="F13" i="55"/>
  <c r="M12" i="55"/>
  <c r="I12" i="55"/>
  <c r="F12" i="55"/>
  <c r="D6" i="55" l="1"/>
  <c r="E6" i="55" s="1"/>
  <c r="D5" i="55"/>
  <c r="M17" i="55"/>
  <c r="N12" i="55"/>
  <c r="N17" i="55" s="1"/>
  <c r="G23" i="55"/>
  <c r="L15" i="55"/>
  <c r="L17" i="55" s="1"/>
  <c r="I17" i="55"/>
  <c r="F17" i="55"/>
  <c r="C5" i="55" l="1"/>
  <c r="C4" i="55" s="1"/>
  <c r="A4" i="52"/>
  <c r="B4" i="52" s="1"/>
  <c r="C4" i="52" s="1"/>
  <c r="E5" i="55" l="1"/>
  <c r="E4" i="55" s="1"/>
  <c r="K138" i="1"/>
  <c r="K137" i="1" s="1"/>
  <c r="J138" i="1"/>
  <c r="J137" i="1" s="1"/>
  <c r="G17" i="53" l="1"/>
  <c r="F17" i="53"/>
  <c r="I17" i="53" l="1"/>
  <c r="P17" i="53"/>
  <c r="N17" i="53" l="1"/>
  <c r="O17" i="53"/>
  <c r="Q17" i="53" l="1"/>
  <c r="S17" i="53" s="1"/>
  <c r="X17" i="53" l="1"/>
  <c r="X18" i="53" s="1"/>
  <c r="D10" i="53"/>
  <c r="E10" i="53" s="1"/>
  <c r="I10" i="53" s="1"/>
  <c r="B4" i="53" l="1"/>
  <c r="B5" i="53"/>
  <c r="B4" i="44"/>
  <c r="B6" i="53" l="1"/>
  <c r="B4" i="51"/>
  <c r="B6" i="51" s="1"/>
  <c r="C7" i="49"/>
  <c r="B7" i="49"/>
  <c r="C6" i="49"/>
  <c r="B6" i="49"/>
  <c r="C5" i="49"/>
  <c r="B4" i="49"/>
  <c r="B8" i="49" l="1"/>
  <c r="C6" i="51"/>
  <c r="C8" i="49"/>
  <c r="C6" i="40" l="1"/>
  <c r="B6" i="40"/>
  <c r="B6" i="39"/>
  <c r="C6" i="38"/>
  <c r="D6" i="38"/>
  <c r="B6" i="38"/>
  <c r="B6" i="30"/>
  <c r="C9" i="48"/>
  <c r="D9" i="48"/>
  <c r="B9" i="48"/>
  <c r="B4" i="45" l="1"/>
  <c r="B6" i="45" s="1"/>
  <c r="C5" i="45"/>
  <c r="C6" i="45" s="1"/>
  <c r="C6" i="44"/>
  <c r="C7" i="44" s="1"/>
  <c r="B5" i="44"/>
  <c r="B4" i="43"/>
  <c r="B5" i="43" s="1"/>
  <c r="B5" i="42"/>
  <c r="B6" i="42" s="1"/>
  <c r="C5" i="41"/>
  <c r="C6" i="41" s="1"/>
  <c r="B4" i="41"/>
  <c r="B6" i="41" s="1"/>
  <c r="C7" i="36"/>
  <c r="B7" i="36"/>
  <c r="C6" i="36"/>
  <c r="B6" i="36"/>
  <c r="C5" i="36"/>
  <c r="B4" i="36"/>
  <c r="B7" i="44" l="1"/>
  <c r="C8" i="36"/>
  <c r="B8" i="36"/>
  <c r="G181" i="1" l="1"/>
  <c r="G180" i="1" s="1"/>
  <c r="H181" i="1"/>
  <c r="H180" i="1" s="1"/>
  <c r="I181" i="1"/>
  <c r="I180" i="1" s="1"/>
  <c r="J181" i="1"/>
  <c r="J180" i="1" s="1"/>
  <c r="K181" i="1"/>
  <c r="K180" i="1" s="1"/>
  <c r="L181" i="1"/>
  <c r="L180" i="1" s="1"/>
  <c r="M181" i="1"/>
  <c r="M180" i="1" s="1"/>
  <c r="J15" i="33" l="1"/>
  <c r="V15" i="33" s="1"/>
  <c r="G15" i="33"/>
  <c r="F15" i="33"/>
  <c r="P15" i="33" l="1"/>
  <c r="Z15" i="33" s="1"/>
  <c r="T15" i="33"/>
  <c r="O15" i="33"/>
  <c r="Y15" i="33" s="1"/>
  <c r="I15" i="33"/>
  <c r="N15" i="33"/>
  <c r="X15" i="33" s="1"/>
  <c r="Q15" i="33" l="1"/>
  <c r="U15" i="33"/>
  <c r="AB15" i="33" s="1"/>
  <c r="AD15" i="33" s="1"/>
  <c r="S15" i="33"/>
  <c r="C19" i="33" s="1"/>
  <c r="H19" i="33" s="1"/>
  <c r="H20" i="33" s="1"/>
  <c r="B4" i="33" s="1"/>
  <c r="H13" i="28" l="1"/>
  <c r="H12" i="28"/>
  <c r="D10" i="28"/>
  <c r="D9" i="28"/>
  <c r="E5" i="28" l="1"/>
  <c r="E4" i="28"/>
  <c r="H9" i="28"/>
  <c r="H14" i="28"/>
  <c r="H10" i="28"/>
  <c r="H11" i="28" s="1"/>
  <c r="H15" i="28" s="1"/>
  <c r="E6" i="28" l="1"/>
  <c r="D7" i="25"/>
  <c r="C7" i="25"/>
  <c r="C4" i="25"/>
  <c r="D4" i="25"/>
  <c r="D8" i="22"/>
  <c r="D5" i="22"/>
  <c r="C5" i="22"/>
  <c r="C13" i="22" s="1"/>
  <c r="D12" i="25" l="1"/>
  <c r="C12" i="25"/>
  <c r="D13" i="22"/>
  <c r="I19" i="20" l="1"/>
  <c r="L19" i="20" s="1"/>
  <c r="B4" i="20"/>
  <c r="AC14" i="20"/>
  <c r="J14" i="20"/>
  <c r="V14" i="20" s="1"/>
  <c r="H14" i="20"/>
  <c r="G14" i="20"/>
  <c r="F14" i="20"/>
  <c r="H9" i="21"/>
  <c r="B4" i="21" s="1"/>
  <c r="G6" i="19"/>
  <c r="G5" i="19"/>
  <c r="D5" i="19"/>
  <c r="D4" i="19" s="1"/>
  <c r="D11" i="19"/>
  <c r="D10" i="19"/>
  <c r="E9" i="19"/>
  <c r="B9" i="19"/>
  <c r="E4" i="19"/>
  <c r="B4" i="19"/>
  <c r="J16" i="18"/>
  <c r="V16" i="18" s="1"/>
  <c r="G16" i="18"/>
  <c r="F16" i="18"/>
  <c r="J14" i="18"/>
  <c r="V14" i="18" s="1"/>
  <c r="G14" i="18"/>
  <c r="F14" i="18"/>
  <c r="G4" i="19" l="1"/>
  <c r="I14" i="18"/>
  <c r="U14" i="18" s="1"/>
  <c r="N14" i="20"/>
  <c r="X14" i="20" s="1"/>
  <c r="N14" i="18"/>
  <c r="X14" i="18" s="1"/>
  <c r="C4" i="20"/>
  <c r="P14" i="20"/>
  <c r="O14" i="20"/>
  <c r="Y14" i="20" s="1"/>
  <c r="T14" i="20"/>
  <c r="I14" i="20"/>
  <c r="U14" i="20" s="1"/>
  <c r="P14" i="18"/>
  <c r="Z14" i="18" s="1"/>
  <c r="P16" i="18"/>
  <c r="Z16" i="18" s="1"/>
  <c r="G9" i="19"/>
  <c r="D9" i="19"/>
  <c r="O14" i="18"/>
  <c r="Y14" i="18" s="1"/>
  <c r="T14" i="18"/>
  <c r="T16" i="18"/>
  <c r="I16" i="18"/>
  <c r="N16" i="18"/>
  <c r="X16" i="18" s="1"/>
  <c r="O16" i="18"/>
  <c r="Y16" i="18" s="1"/>
  <c r="Q14" i="18" l="1"/>
  <c r="Z14" i="20"/>
  <c r="AB14" i="20" s="1"/>
  <c r="AD14" i="20" s="1"/>
  <c r="Q14" i="20"/>
  <c r="S14" i="20" s="1"/>
  <c r="AB14" i="18"/>
  <c r="AD14" i="18" s="1"/>
  <c r="U16" i="18"/>
  <c r="Q16" i="18"/>
  <c r="S16" i="18" l="1"/>
  <c r="C23" i="18"/>
  <c r="H23" i="18" s="1"/>
  <c r="S14" i="18"/>
  <c r="C21" i="18"/>
  <c r="H21" i="18" s="1"/>
  <c r="AB16" i="18"/>
  <c r="AD16" i="18" s="1"/>
  <c r="H24" i="18" l="1"/>
  <c r="B4" i="18" s="1"/>
  <c r="G5" i="13" l="1"/>
  <c r="H5" i="13" s="1"/>
  <c r="I5" i="13" s="1"/>
  <c r="G4" i="13"/>
  <c r="H4" i="13" s="1"/>
  <c r="I4" i="13" s="1"/>
  <c r="G7" i="16"/>
  <c r="J4" i="13" l="1"/>
  <c r="J5" i="13"/>
  <c r="K6" i="16"/>
  <c r="H7" i="16"/>
  <c r="I7" i="16" s="1"/>
  <c r="J6" i="13" l="1"/>
  <c r="K7" i="16"/>
  <c r="K8" i="16" s="1"/>
  <c r="J7" i="16"/>
  <c r="J8" i="16" s="1"/>
  <c r="D4" i="15" l="1"/>
  <c r="I12" i="11" l="1"/>
  <c r="K12" i="11" s="1"/>
  <c r="I11" i="11"/>
  <c r="K11" i="11" s="1"/>
  <c r="I10" i="11"/>
  <c r="K10" i="11" s="1"/>
  <c r="H10" i="12" l="1"/>
  <c r="K13" i="11"/>
  <c r="I13" i="11"/>
  <c r="B4" i="12" l="1"/>
  <c r="B4" i="11"/>
  <c r="A11" i="4" l="1"/>
  <c r="I34" i="9"/>
  <c r="I33" i="9"/>
  <c r="I32" i="9"/>
  <c r="I31" i="9"/>
  <c r="I30" i="9"/>
  <c r="I29" i="9"/>
  <c r="I28" i="9"/>
  <c r="I27" i="9"/>
  <c r="I26" i="9"/>
  <c r="D8" i="9" s="1"/>
  <c r="I25" i="9"/>
  <c r="I24" i="9"/>
  <c r="I23" i="9"/>
  <c r="I22" i="9"/>
  <c r="I21" i="9"/>
  <c r="I20" i="9"/>
  <c r="I19" i="9"/>
  <c r="I18" i="9"/>
  <c r="I17" i="9"/>
  <c r="I16" i="9"/>
  <c r="I15" i="9"/>
  <c r="C5" i="9"/>
  <c r="C4" i="2"/>
  <c r="H9" i="5"/>
  <c r="B4" i="5" s="1"/>
  <c r="J18" i="6"/>
  <c r="E11" i="6"/>
  <c r="C15" i="6" s="1"/>
  <c r="E10" i="6"/>
  <c r="H10" i="6" s="1"/>
  <c r="I35" i="9" l="1"/>
  <c r="C7" i="9"/>
  <c r="C8" i="9"/>
  <c r="D7" i="9"/>
  <c r="D5" i="9"/>
  <c r="C6" i="9"/>
  <c r="D6" i="9"/>
  <c r="D21" i="3"/>
  <c r="C4" i="5"/>
  <c r="H11" i="6"/>
  <c r="B4" i="6" s="1"/>
  <c r="C9" i="9" l="1"/>
  <c r="B4" i="3"/>
  <c r="D9" i="9"/>
</calcChain>
</file>

<file path=xl/sharedStrings.xml><?xml version="1.0" encoding="utf-8"?>
<sst xmlns="http://schemas.openxmlformats.org/spreadsheetml/2006/main" count="3368" uniqueCount="1360">
  <si>
    <t>1. Rīcības virziens</t>
  </si>
  <si>
    <t>Nr. p.k.</t>
  </si>
  <si>
    <t>Pasākums</t>
  </si>
  <si>
    <t>Darbības rezultāts</t>
  </si>
  <si>
    <t>Rezultatīvais rādītājs</t>
  </si>
  <si>
    <t>Atbildīgā institūcija</t>
  </si>
  <si>
    <t>Līdzatbildīgās institūcijas</t>
  </si>
  <si>
    <t>Izpildes termiņš</t>
  </si>
  <si>
    <t>Primārā profilakse</t>
  </si>
  <si>
    <t>1.1.</t>
  </si>
  <si>
    <t>Katru gadu veikti sabiedrības informēšanas un izglītošanas pasākumi onkoloģisko slimību riska faktoru izplatības un ietekmes uz veselību mazināšanai.</t>
  </si>
  <si>
    <t>SPKC</t>
  </si>
  <si>
    <t>1.2.</t>
  </si>
  <si>
    <t>VM</t>
  </si>
  <si>
    <t>NVD</t>
  </si>
  <si>
    <t>Specifiskā profilakse</t>
  </si>
  <si>
    <t>Vēža skrīnings</t>
  </si>
  <si>
    <t>SPKC, NVD, profesionālās ārstu asociācijas, RAKUS metodiskās vadības institūcija onkoloģijas jomā, pacientu organizācijas, NVO</t>
  </si>
  <si>
    <t>NVD, VM, RAKUS metodiskās vadības institūcija onkoloģijas jomā,  ārstniecības personu profesionālās asociācijas</t>
  </si>
  <si>
    <t>2025. gada II pusgads</t>
  </si>
  <si>
    <t>Apstiprinātas un izplatītas vēža skrīninga kvalitātes vadlīnijas un izmeklējumu protokoli.</t>
  </si>
  <si>
    <t>Nodrošināta skrīninga programmas darbības rezultātu - indikatoru iegūšana (par procesu, kvalitāti,​ efektivitāti un izmaksām).</t>
  </si>
  <si>
    <t>Sagatavots ikgadējs ziņojums par skrīninga programmas darbības rezultātiem.</t>
  </si>
  <si>
    <t>2027. gada II  pusgads</t>
  </si>
  <si>
    <t>Regulāri veikti auditi un dokumentēti rezultāti, kas atbilst kvalitātes standartiem.</t>
  </si>
  <si>
    <t>1.10.</t>
  </si>
  <si>
    <t>2027. gada II. pusgads</t>
  </si>
  <si>
    <t>Veikt pilotpētījumu un noteikt piemērotāko kolorektālā vēža skrīninga organizācijas modeli.</t>
  </si>
  <si>
    <t>Veikts pilotpētījums, iegūti dati par Latvijas situācijai piemērotāko kolorektālā vēža skrīninga organizācijas modeli.</t>
  </si>
  <si>
    <t>Sagatavots ziņojums par pilotpētījuma rezultātiem un rekomendācijas turpmākai kolorektālā vēža skrīninga organizēšanai atbilstoši EK prasībām.</t>
  </si>
  <si>
    <t>NVD, LU, ārstniecības personu profesionālās asociācijas, GASTRO centrs</t>
  </si>
  <si>
    <t>Izvērtēt EK rekomendācijām atbilstoša organizēta prostatas vēža skrīninga ieviešanas iespējas.</t>
  </si>
  <si>
    <t>Uzaicinājumu sistēma un komunikācija ar skrīninga dalībniekiem</t>
  </si>
  <si>
    <t>Organizētas informatīvās kampaņas ar palielinātu sabiedrības līdzdalību un veicināta sabiedrības izpratne par vēža skrīninga nozīmi</t>
  </si>
  <si>
    <t>NVD, Latvijas Digitālās veselības centrs, NVO, ārstu asociācijas, VM</t>
  </si>
  <si>
    <t>Skrīnings: personāla kompetenču celšana</t>
  </si>
  <si>
    <t>Vēža skrīninga pārvaldībā un realizācijā iesaistītā personāla apmācība un kompetenču pilnveide.</t>
  </si>
  <si>
    <t>RAKUS metodiskās vadības institūcija onkoloģijas jomā</t>
  </si>
  <si>
    <t>Skrīnings: pētniecība</t>
  </si>
  <si>
    <t>SPKC, NVD</t>
  </si>
  <si>
    <t>LU, RSU,  RAKUS metodiskās vadības institūcija onkoloģijas jomā, PSKUS, ārstniecības personu profesionālās asociācijas</t>
  </si>
  <si>
    <t>RSU, LU</t>
  </si>
  <si>
    <t>SPKC, RAKUS metodiskās vadības institūcija onkoloģijas jomā, BMC</t>
  </si>
  <si>
    <t>RAKUS metodiskās vadības institūcija onkoloģijas jomā, PSKUS, BKUS</t>
  </si>
  <si>
    <t>Definēt indivīdu grupas, kurām kolonoskopija indicēta kā sākotnējais izmeklējums, aizstājot testu veikšanu slēpta asins piejaukuma noteikšanai (vadoties pēc ģimenes anamnēzes, slimībām, ģenētiskās izmeklēšanas datiem), veikt ietekmes izvērtējumu uz budžetu.</t>
  </si>
  <si>
    <t>2026. gada II pusgads</t>
  </si>
  <si>
    <t>Agrīnā diagnostika</t>
  </si>
  <si>
    <t xml:space="preserve">Izvērtēt iespēju, ka  aizdomu gadījumā par onkoloģisku slimību nosūtījumu uz “zaļo koridoru”  pie onkologa un vēža skrīninga 2. etapa izmeklējumiem var izsniegt ārsts speciālists, kurš nav līgumattiecībās ar NVD. </t>
  </si>
  <si>
    <t>2026. gada I pusgads</t>
  </si>
  <si>
    <t>2026. gada II pusgads</t>
  </si>
  <si>
    <t>Uroloģisko vēžu savlaicīgākai atklāšanai nodrošināti specifiski biomarķieru testi un daudzparametru magnētiskā rezonanse, lai precīzāk noteiktu slimības stadijas un izvērtētu terapijas iespējas</t>
  </si>
  <si>
    <t>2. Rīcības virziens</t>
  </si>
  <si>
    <t>2.1.</t>
  </si>
  <si>
    <t>Pilnveidot vienotās stacionāra pacientu ziņotās pieredzes (PREM) par saņemtajiem pakalpojumiem onkoloģiskā profila slimnīcās apkopošanu un analīzi, lai uzlabotu pacientu pieredzi.</t>
  </si>
  <si>
    <t>Nodrošināta stacionāra pacientu ziņotās pieredzes (PREM) datu apkopošana onkoloģiskā profila slimnīcās.</t>
  </si>
  <si>
    <t>RAKUS metodiskās vadības institūcija onkoloģijas jomā, PSKUS, BKUS, Daugavpils reģionālā slimnīca, Liepājas reģionālā slimnīca</t>
  </si>
  <si>
    <t>2.2.</t>
  </si>
  <si>
    <t>Sagatavot rekomendācijas pacientu pieredzes uzlabošanai stacionārā pamatojoties uz  stacionāra pacientu ziņotās pieredzes (PREM) mērījumiem par saņemtajiem pakalpojumiem onkoloģiskā profila slimnīcās.</t>
  </si>
  <si>
    <t>Uzlabota onkoloģijas pacientu pieredze stacionārā.</t>
  </si>
  <si>
    <t>2. Izvērtēti nepieciešamie resursi uzlabojumu veikšanai.</t>
  </si>
  <si>
    <t>2.3.</t>
  </si>
  <si>
    <t>Veikt RSU un PSKUS īstenotā “Pacientu ziņotie iznākuma rādītāji krūts vēža pacientēm” pilotpētījuma analīzi un labās prakses integrēšanas novērtēšanu un ieviešanas plāna sagatavošanu  onkoloģiskajā aprūpē nacionālā līmenī.</t>
  </si>
  <si>
    <t>Pacientiem un speciālistiem pieejami dati par pacientu ziņotajiem veselības iznākumu (PROM) mērījumiem saistībā ar krūts vēzi.</t>
  </si>
  <si>
    <t>3. Sagatavoti priekšlikumi pacientu ziņoto veselības iznākumu mērījumu (PROM) ieviešanai citās diagnožu grupās.</t>
  </si>
  <si>
    <t>2.4.</t>
  </si>
  <si>
    <t>3. Rīcības virziens</t>
  </si>
  <si>
    <t>Onkoloģisko slimību ārstēšana</t>
  </si>
  <si>
    <t>3.1.</t>
  </si>
  <si>
    <t>3.2.</t>
  </si>
  <si>
    <t>Pilnveidot pacientu un pakalpojumu koordinatoru ieviešanas modeli.</t>
  </si>
  <si>
    <t>BKUS, RAKUS, PSKUS, TOS</t>
  </si>
  <si>
    <t>Medikamentu pieejamība</t>
  </si>
  <si>
    <t>3.3.</t>
  </si>
  <si>
    <t>Nodrošināt pieejamību onkoloģijā reģistrētajām zālēm, sasniedzot ES vidējo rādītāju, saskaņā ar prioritizāciju un nenosegtajām vajadzībām.</t>
  </si>
  <si>
    <t>NVD, VM</t>
  </si>
  <si>
    <t>Ārstu  profesionālās asociācijas</t>
  </si>
  <si>
    <t>Ārstu profesionālās asociācijas, RAKUS, BKUS, PSKUS</t>
  </si>
  <si>
    <t>Diagnostika</t>
  </si>
  <si>
    <t>3.4.</t>
  </si>
  <si>
    <t>Izveidot kontroles un monitoringa sistēmu onkoloģiskiem pakalpojumiem. Veikt regulārus auditus.</t>
  </si>
  <si>
    <t>Izveidota kontroles un monitoringa sistēma, izstrādāti kvalitātes kritēriji.</t>
  </si>
  <si>
    <t>RAKUS</t>
  </si>
  <si>
    <t>3.5.</t>
  </si>
  <si>
    <t>Nodrošināt nepieciešamos patohistoloģiskos un molekulāros izmeklējumus onkoloģijā, atbilstoši starptautiskajām vadlīnijām, ieviestajiem protokoliem un algoritmiem.</t>
  </si>
  <si>
    <t>3.6.</t>
  </si>
  <si>
    <t>3.7.</t>
  </si>
  <si>
    <t>3.8.</t>
  </si>
  <si>
    <t>Veikta rehabilitācijas speciālistu apmācība tālākizglītības veidā par onkoloģisko pacientu rehabilitāciju</t>
  </si>
  <si>
    <t>3.9.</t>
  </si>
  <si>
    <t>3.10.</t>
  </si>
  <si>
    <t>3.11.</t>
  </si>
  <si>
    <t>3.12.</t>
  </si>
  <si>
    <t>Sadarbībā ar PSKUS, BKUS, SIA "Liepājas reģionālā slimnīca" un SIA "Daugavpils reģionālā slimnīca" nodrošināta metodiskā vadība: noteiktas vienotas vadlīnijas onkoloģisko slimību  diagnostikai, ārstēšanai un pacientu dinamiskai novērošanai; izstrādāti pacientu ceļi, algoritmi, kvalitātes kritēriji un vienoti  standarti onkoloģisko slimnieku aprūpē; izstrādātas kvalitātes prasības ārstniecības iestādēm un personām, kas nodrošina onkoloģisko pacientu ārstēšanu, tai skaitā, veikti klīniskie auditi.</t>
  </si>
  <si>
    <t>RAKUS, PSKUS, BKUS, SIA "Liepājas reģionālā slimnīca", SIA "Daugavpils reģionālā slimnīca", TOS, Ārstniecības personu profesionālās asociācijas, NVD</t>
  </si>
  <si>
    <t>Izveidots vēža centrs uz RAKUS bāzes.</t>
  </si>
  <si>
    <t>3.13.</t>
  </si>
  <si>
    <t>Latvijas Hipertensijas un Aterosklerozes biedrība,                    Latvijas onkologu asociācija, Latvijas Onkologu-ķīmijterapeitu asociācija, Latvijas Kardiologu biedrība</t>
  </si>
  <si>
    <t>3.14.</t>
  </si>
  <si>
    <t>3.15.</t>
  </si>
  <si>
    <t>Pilnveidot krūts rekonstruktīvās ķirurģijas pakalpojumus krūts vēža pacientiem</t>
  </si>
  <si>
    <t>Ārstniecības iestādes, ārstu profesionālās asociācijas, VM</t>
  </si>
  <si>
    <t>3.16.</t>
  </si>
  <si>
    <t>Latvijas radiologu asociācija</t>
  </si>
  <si>
    <t>4. Rīcības virziens</t>
  </si>
  <si>
    <t>Bērnu onkoloģija</t>
  </si>
  <si>
    <t>Onkoloģisko slimību diagnostika</t>
  </si>
  <si>
    <t>4.1.</t>
  </si>
  <si>
    <t>Nodrošināt primārās aprūpes speciālistiem skaidru klīnisko ceļu bērna nekavējošai novirzīšanai uz Bērnu klīnisko universitātes slimnīcu (BKUS) gadījumos, kad bērnam novērotie simptomi var liecināt par augstu onkoloģiskas diagnozes varbūtību.</t>
  </si>
  <si>
    <t>Izstrādāts klīniskais ceļš un veikti izglītojoši pasākumi primārās veselības aprūpes speciālistiem.</t>
  </si>
  <si>
    <t>BKUS</t>
  </si>
  <si>
    <t>4.2.</t>
  </si>
  <si>
    <t>Informēt vecākus un primārās veselības aprūpes speciālistus  par ļaundabīgu audzēju pazīmēm un simptomiem, uzsverot nepieciešamību nevilcināties vest bērnu pie ārsta.</t>
  </si>
  <si>
    <t>Izstrādāti informatīvie materiāli vecākiem un primārās veselības aprūpes speciālistiem    par ļaundabīgu audzēju pazīmēm un simptomiem.</t>
  </si>
  <si>
    <t>Vecākiem un primārās veselības aprūpes speciālistiem ir pieejama informācija par ļaundabīgu audzēju pazīmēm un simptomiem (digitāli un papīra formāta bukleti).</t>
  </si>
  <si>
    <t>4.3.</t>
  </si>
  <si>
    <t>4.4.</t>
  </si>
  <si>
    <t>Paaugstināta BKUS Patoloģijas laboratorijas darbības efektivitāte, patoloģijas izmeklējumu veikšanai ieviesti un pilnveidoti digitālie risinājumi.</t>
  </si>
  <si>
    <t>BKUS Patoloģijas laboratorijā nodrošināti kvalitatīvi patoloģijas jomas izmeklējumi.</t>
  </si>
  <si>
    <t>4.5.</t>
  </si>
  <si>
    <t xml:space="preserve">Turpināt attīstīt molekulāro diagnostiku BKUS lai precīzāk un ātrāk noteiktu diagnozi bērniem, kā arī rastu iespējas biežāk izmantot precīzijas medicīnas pieeju.  </t>
  </si>
  <si>
    <t>BKUS, VM</t>
  </si>
  <si>
    <t>2) 2027. gada I pusgadā izvērtēta iespēja pilno genoma sekvencēšanu nodrošināt par valsts līdzekļiem bērniem ar recidivējošām un rezistentām  onkoloģiskām saslimšanām sākot ar 2028.gada 1.janvāri.</t>
  </si>
  <si>
    <t>BKUS, VM, BSF, LBOF</t>
  </si>
  <si>
    <t>4.6.</t>
  </si>
  <si>
    <t>Izveidot pediatrisko paraugu un saistīto datu biobanku BKUS, veicinot diagnostikas, terapijas efektivitātes novērtēšanas un pētniecības attīstības iespējas, kā arī inovatīvu diagnostikas un ārstēšanas iespēju attīstību.</t>
  </si>
  <si>
    <t>BKUS izveidota pediatrisko paraugu un saistīto datu biobanka.</t>
  </si>
  <si>
    <t>4.7.</t>
  </si>
  <si>
    <r>
      <t>Izveidotas multi-discipilināras komandas audzēju datu apspriešanai un piemērotas terapijas izvēlei dažādu audzēju formām (</t>
    </r>
    <r>
      <rPr>
        <i/>
        <sz val="12"/>
        <color theme="1"/>
        <rFont val="Times New Roman"/>
        <family val="1"/>
      </rPr>
      <t>Tumor board).</t>
    </r>
  </si>
  <si>
    <r>
      <t>Multi-disciplināras komandas (</t>
    </r>
    <r>
      <rPr>
        <i/>
        <sz val="12"/>
        <color theme="1"/>
        <rFont val="Times New Roman"/>
        <family val="1"/>
      </rPr>
      <t>Tumor-board</t>
    </r>
    <r>
      <rPr>
        <sz val="12"/>
        <color theme="1"/>
        <rFont val="Times New Roman"/>
        <family val="1"/>
      </rPr>
      <t>)  ietvaros izvērtēti audzēju dati un pieņemti korekti lēmumi par atbilstošās audzēja  terapijas izvēli.</t>
    </r>
  </si>
  <si>
    <t>Ārstēšanas uzlabošana</t>
  </si>
  <si>
    <t>4.8.</t>
  </si>
  <si>
    <t>Ir pieejama informācija par atbilstošas audzēja formas ārstēšanai nepieciešamajiem medikamentiem.</t>
  </si>
  <si>
    <t>4.9.</t>
  </si>
  <si>
    <t>Bērni, kuri slimo ar onkoloģiskajām slimībām, veselības aprūpi saņem atbilstoši  starptautiskajās vadlīnijās noteiktajiem principiem.</t>
  </si>
  <si>
    <t>4.10.</t>
  </si>
  <si>
    <t>Pārskatīt bērnu veselības aprūpē izmantojamo vadlīniju pielietojumu bērnu onkoloģijā, lai bērnu aprūpe tiktu īstenota atbilstoši SIOPE, NOPHO, COG un GPOH vadlīnijās noteiktajām rekomendācijām un klīniskajiem  terapijas optimizācijas protokoliem.</t>
  </si>
  <si>
    <t>2027.gada II pusgads</t>
  </si>
  <si>
    <t>Regulāri tiek veikta diagnostikas, ārstēšanas un agrīnās pēcārstēšanas uzraudzība pediatriskiem pacientiem noteiktās slimību grupās.</t>
  </si>
  <si>
    <t>4.11.</t>
  </si>
  <si>
    <t>Turpināt dalītās aprūpes ieviešanu bērnu un pusaudžu hematoonkoloģijā Latvijas reģionālajās slimnīcās.</t>
  </si>
  <si>
    <t>Izstrādāti kritēriji un apmācības programma darbam ar hematoonkoloģiskiem pediatriskiem pacientiem. Ir uzsākts darbs pie kopīgas pacienta medicīniskās dokumentācijas, tai skaitā, ķīmijterapijas programmas, ieviešanas, apmaiņas un lietošanas valsts līmenī.</t>
  </si>
  <si>
    <t>4.12.</t>
  </si>
  <si>
    <t>Izstrādāts klīniskais ceļš, aprakstot pieraksta procedūru uz pieaugušo onkologu un bērnu onkologu kopīgiem konsīlijiem, lai pārrunātu bērnu onkoloģijas pacientu gadījumus, kuriem pēc 18 gadu vecuma sasniegšanas jāturpina ārstēšanos dēļ CNS audzējiem, kaulu un mīksto audu audzējiem vai hematoonkoloģiskām saslimšanām, un tādējādi pāreja uz pieaugušo aprūpi notiktu koordinētāk.</t>
  </si>
  <si>
    <t>Tiek nodrošināta koordinēta bērnu parēja uz pieaugušo aprūpes līmeni bez iesāktā ārstēšanas procesa pārtraukšanas.</t>
  </si>
  <si>
    <t>4.13.</t>
  </si>
  <si>
    <t>Bērniem, kuriem vēža ārstēšana tiek īstenota pēc 18 gadu sasniegšanas, tiek nodrošināta pēctecīga veselības aprūpe līdz 24 gadu vecumam no valsts budžeta līdzekļiem.</t>
  </si>
  <si>
    <t>NVD, RAKUS, PSKUS, SIA "Liepājas reģionālā slimnīca", SIA "Daugavpils reģionālā slimnīca", TOS, Ārstniecības personu profesionālās asociācijas</t>
  </si>
  <si>
    <t>4.14.</t>
  </si>
  <si>
    <t>Izveidot ilgtermiņa veselības uzraudzīšanas aprūpi bērniem, kas izārstēti no ļaundabīga audzēja.</t>
  </si>
  <si>
    <t>4.15.</t>
  </si>
  <si>
    <t>Izvērtēt iespēju izveidot darba grupu bērnu onkoloģijas pacientiem nepieciešamo veselības aprūpes pakalpojumu (t.sk. medikamentu) pieejamības nodrošināšanai, iesaistot visas iesaistītās puses.</t>
  </si>
  <si>
    <t>Cilvēkresursi un izglītība</t>
  </si>
  <si>
    <t>4.16.</t>
  </si>
  <si>
    <t xml:space="preserve">Nodrošināta iespēja saņemt nepieciešamos veselības aprūpes pakalpojumus bērniem, kuri slimo ar onkoloģisku slimību. </t>
  </si>
  <si>
    <t>4.17.</t>
  </si>
  <si>
    <t>Radīta iespēja pediatrijas rezidentūrā studējošajiem rezidentiem ātrāk uzsākt specializēšanos bērnu hematoonkoloģijā, kas nodrošinātu ātrāku speciālistu sagatavošanu darbam ar bērniem, kas slimo ar onkoloģiskām slimībām.</t>
  </si>
  <si>
    <t xml:space="preserve">Pediatrijas rezidentiem stiprinātas kompetences bērnu hematoonkoloģijā. </t>
  </si>
  <si>
    <t>Nodrošināta iespēja pārdeleģēt noteiktus pienākumus no ārsta māsai.</t>
  </si>
  <si>
    <t>Digitalizācija un IT risinājumi</t>
  </si>
  <si>
    <t xml:space="preserve">Izstrādāt un ieviest bērnu kohortas klīnisko ļaundabīgo audzēju reģistru, atbilstoši starptautiskām vadlīnijām bērnu vecuma vēžu datu apstrādei un analīzei, kas vienlaikus nodrošinātu nepieciešamo datu pārnesi Valsts Vēža reģistrā. </t>
  </si>
  <si>
    <t>Izstrādāti priekšlikumi  bērnu kohortas klīnisko ļaundabīgo audzēju reģistra izstrādāšanai.</t>
  </si>
  <si>
    <t>Izstrādāts un ieviests bērnu kohortas klīniskais ļaundabīgo audzēju reģistrs.</t>
  </si>
  <si>
    <t>2027. gada II. pusgads</t>
  </si>
  <si>
    <t>4.18.</t>
  </si>
  <si>
    <t xml:space="preserve">Izstrādāt un ieviest risinājumu datu apmaiņas nodrošināšanai ar reģionālām slimnīcām, dalītās veselības aprūpes pakalpojumu īstenošanai. </t>
  </si>
  <si>
    <t>Izstrādāta datu apmaiņas sistēma starp BKUS un reģionālajām slimnīcām.</t>
  </si>
  <si>
    <t>Nodrošināta iespēja veikt datu apmaiņu starp BKUS un reģionālajām slimnīcām.</t>
  </si>
  <si>
    <t>SPKC, reģionālās slimnīcas</t>
  </si>
  <si>
    <t>4.19.</t>
  </si>
  <si>
    <t>Pētniecība un inovācijas bērnu onkoloģijā</t>
  </si>
  <si>
    <t>4.20.</t>
  </si>
  <si>
    <t>Nodrošināt bērnu un pusaudžu dalību klīniskajos pētījumos, īpaši bērniem ar augsta riska onkoloģiskām saslimšanām.</t>
  </si>
  <si>
    <t>2027. gada II pusgads</t>
  </si>
  <si>
    <t>4.21.</t>
  </si>
  <si>
    <t>Līdz 2027. gadam izveidot pētnieku grupas bērnu onkoloģijas jomā.</t>
  </si>
  <si>
    <t>5. Rīcības virziens</t>
  </si>
  <si>
    <t>5.1.</t>
  </si>
  <si>
    <t>Izstrādāt rekomendācijas informācijas sistēmas attīstīšanai, lai uzraudzītu, novērtētu un uzlabotu vēža skrīninga programmas</t>
  </si>
  <si>
    <t>5.2.</t>
  </si>
  <si>
    <t>Izveidot vēža skrīninga reģistru</t>
  </si>
  <si>
    <t>5.3.</t>
  </si>
  <si>
    <t>Ieviest datu iegūšanas procesu no skrīninga visos etapos iesaistītajām institūcijām</t>
  </si>
  <si>
    <t>5.4.</t>
  </si>
  <si>
    <t>Skrīninga datu pieejamības nodrošināšana e-veselības sistēmā</t>
  </si>
  <si>
    <t>Vēža reģistrs</t>
  </si>
  <si>
    <t>5.5.</t>
  </si>
  <si>
    <t>5.6.</t>
  </si>
  <si>
    <t>5.7.</t>
  </si>
  <si>
    <t>5.8.</t>
  </si>
  <si>
    <t>Izstrādāti priekšlikumi jauna vērtībās balstīta apmaksas modeļa izstrādei.</t>
  </si>
  <si>
    <t>Pieejami dati vērtībās balstīta apmaksas modeļa zāļu iegādes kompensācijas sistēmā izstrādei.</t>
  </si>
  <si>
    <t>ZVA</t>
  </si>
  <si>
    <t>Digitalizācija un IT risinājumi veselības aprūpē</t>
  </si>
  <si>
    <t>5.9.</t>
  </si>
  <si>
    <t>Budžeta programmas (apakšprogrammas kods un nosaukums)</t>
  </si>
  <si>
    <t>2025.gads</t>
  </si>
  <si>
    <t>2026.gads</t>
  </si>
  <si>
    <t>2027.gads</t>
  </si>
  <si>
    <t>Turpmākajā laikposmā līdz pasākuma pabeigšanai (ja pasākuma īstenošana ir terminēta)</t>
  </si>
  <si>
    <t>Turpmāk ik gadu (ja pasākuma izpilde nav terminēta)</t>
  </si>
  <si>
    <t>Finansējuma avots</t>
  </si>
  <si>
    <t>KOPĒJAIS NEPIECIEŠAMAIS FINANSĒJUMS PLĀNA REALIZĀCIJAI:</t>
  </si>
  <si>
    <t>VBF</t>
  </si>
  <si>
    <t>ES fondi</t>
  </si>
  <si>
    <t>VM, NVD, SPKC</t>
  </si>
  <si>
    <t>Izveidota un uzsākusi darbību struktūra ar noteiktiem uzdevumiem un atbildībām:                                                         1.	krūts vēža skrīningam;
2.	dzemdes kakla vēža skrīningam;
3.	kolorektālā vēža skrīningam.</t>
  </si>
  <si>
    <t>BMC
RSU, LU
RAKUS,
PSKUS, BKUS</t>
  </si>
  <si>
    <t xml:space="preserve">Stiprināt pediatrijas rezidentu, kuri neizvēlās apakšspecializāciju hematoonkoloģijā, kompetences hematoonkoloģijā, paredzot rotāciju hematoonkoloģijā ikvienam pediatrijas rezidentam vismaz 6 mēnešus.     </t>
  </si>
  <si>
    <t>4.22.</t>
  </si>
  <si>
    <t xml:space="preserve">Pielikums Veselības aprūpes pakalpojumu onkoloģijas jomā uzlabošanas
plāns 2025.–2027. gadam
</t>
  </si>
  <si>
    <t>1.11.</t>
  </si>
  <si>
    <t>Sagatavotas rekomendācijas turpmākai mamogrāfijas skrīninga lasījumu veikšanai nacionālā mērogā.</t>
  </si>
  <si>
    <t>Izstrādāt protokolu un veikt izmaksu aprēķinus par kolonoskopiju veikšanu iedzīvotāju grupām, kurām kolonoskopija indicēta kā sākotnējais izmeklējums.</t>
  </si>
  <si>
    <t>2026. gada II pusgads</t>
  </si>
  <si>
    <t>2027. gada II pusgads</t>
  </si>
  <si>
    <t>2027. gada II pusgads</t>
  </si>
  <si>
    <t xml:space="preserve">RAKUS metodiskās vadības institūcija onkoloģijas jomā </t>
  </si>
  <si>
    <t>Rehabilitācija</t>
  </si>
  <si>
    <t xml:space="preserve">Ārstēšana </t>
  </si>
  <si>
    <t>3.17.</t>
  </si>
  <si>
    <t xml:space="preserve">Pacientiem pēc laringektomijas nodrošināti aksesuāri un kopšanas piederumi, kas palielinās ievietotās protēzes lietošanas ilgumu un samazinās papildus izdevumus pāragri to mainot, kā arī paaugstinās balss kvalitāti pacientiem un samazinās lietošanas riskus, piemēram, elpceļu iekaisumus </t>
  </si>
  <si>
    <t>Apakšprogrammas nosaukums</t>
  </si>
  <si>
    <t>Aptvere*</t>
  </si>
  <si>
    <t>Vakcīnu devu skaits</t>
  </si>
  <si>
    <t>Kopā, euro</t>
  </si>
  <si>
    <t>Indikatīvi prognozētā vienas vakcīnas cena ar PVN, euro</t>
  </si>
  <si>
    <t>19 -23 gadi (vīrieši)</t>
  </si>
  <si>
    <t>19 -23 gadi (sievietes)</t>
  </si>
  <si>
    <t>24 gadi (vīrieši)</t>
  </si>
  <si>
    <t>24 gadi (sievietes)</t>
  </si>
  <si>
    <t>* balstoties uz Slimību profilakses un kontroles centra sniegtajiem aptveres datiem</t>
  </si>
  <si>
    <t>Ārsta konsultācija pirms vakcinācijas (01018), euro</t>
  </si>
  <si>
    <t>Vakcīnas ievadīšana ādā, zemādā un muskulī (03081), euro</t>
  </si>
  <si>
    <t>Esošā budžeta ietvaros</t>
  </si>
  <si>
    <t>33.16.00 Pārējo ambulatoro veselības aprūpes pakalpojumu nodrošināšana</t>
  </si>
  <si>
    <t>Manipulācijas kods</t>
  </si>
  <si>
    <t>Manipulācijas nosaukums</t>
  </si>
  <si>
    <t>Maniulācijas tarifs, euro</t>
  </si>
  <si>
    <t>Plānotais manipulāciju skaits vienam pacientam gadā</t>
  </si>
  <si>
    <t>Plānotais pacientu skaits gadā*</t>
  </si>
  <si>
    <t>Nepieciešamais finansējums gadā, euro</t>
  </si>
  <si>
    <t>Ambulatori</t>
  </si>
  <si>
    <t>Dienas stacionārā</t>
  </si>
  <si>
    <t>Stacionārā</t>
  </si>
  <si>
    <t>01095</t>
  </si>
  <si>
    <t>Dzemdes kakla materiāla paņemšana šķidruma citoloģijas vai CPV noteikšanai</t>
  </si>
  <si>
    <t>*Pacientu skaits ņemts vērā, balstoties uz manipulācijas "42038 Dzemdes kakla materiāla šķidruma citoloģijas PAP tests. Izmeklējuma rezultāts A3 – LSIL: viegla displāzija" statistikas datiem 2023. gadā. Šo pacientu skaitu ieteica izmantot Latvijas ginekologu un dzemdību speciālistu asociācija.</t>
  </si>
  <si>
    <t>46998</t>
  </si>
  <si>
    <t>Cilvēka papilomas vīrusu specifiskās DNS noteikšana (pozitīvs)</t>
  </si>
  <si>
    <t>47025</t>
  </si>
  <si>
    <t>Cilvēka papilomas vīrusu specifiskās DNS noteikšana (negatīvs)</t>
  </si>
  <si>
    <t>Kolposkopija bez mērķbiopsijas</t>
  </si>
  <si>
    <t>Veicot CPV noteikšanu 12 un 24 mēnešus pēc pirmreizējā izmeklējuma tiks ietaupīts uz pacientiem (60% no 1248), kuri netiks nosūtīti uz kolposkopiju</t>
  </si>
  <si>
    <t>Ietaupījums uz kolposkopijām, jo no 1248 pacientiem 60% CPV būs negatīvs, tāpēc nesūtīs uz kolposkopijām</t>
  </si>
  <si>
    <t>Pacienta līdzmaksājums (euro)</t>
  </si>
  <si>
    <t>Statistika 2023. gadā</t>
  </si>
  <si>
    <t>Sadaļas nosaukums un amplitūda</t>
  </si>
  <si>
    <t>Nr.p.k.</t>
  </si>
  <si>
    <t>Sadaļas</t>
  </si>
  <si>
    <t>Manipulācijas papildu apzīmējums (*vai **, ja attiecināms)</t>
  </si>
  <si>
    <t>Tarifs (euro)</t>
  </si>
  <si>
    <t>Ambulatoriem pakalpojumiem</t>
  </si>
  <si>
    <t>Dienas stacionārajiem pakalpojumiem</t>
  </si>
  <si>
    <t>Stacionārajiem pakalpojumiem</t>
  </si>
  <si>
    <t>Lielās ķirurģiskās operācijas</t>
  </si>
  <si>
    <t>Ģimenes ārsta praksei apmaksājamas manipulācijas</t>
  </si>
  <si>
    <t>Ar LNG apmaksājamās manipulācijas</t>
  </si>
  <si>
    <t>Apmaksas nosacījumi</t>
  </si>
  <si>
    <t>DZEMDNIECĪBA GINEKOLOĢIJA (manipulācijas 16001 - 16154)</t>
  </si>
  <si>
    <t>Dzemdniecība -Ginekoloģija</t>
  </si>
  <si>
    <t>16011</t>
  </si>
  <si>
    <t>**</t>
  </si>
  <si>
    <t>4</t>
  </si>
  <si>
    <t/>
  </si>
  <si>
    <t>CITOLOĢIJA (manipulācijas 42004-42042)</t>
  </si>
  <si>
    <t>Citoloģija</t>
  </si>
  <si>
    <t>Dzemdes kakla materiāla šķidruma citoloģijas PAP tests. Izmeklējuma rezultāts A3 – LSIL: viegla displāzija</t>
  </si>
  <si>
    <t>Ambulatori šo manipulāciju apmaksā: 1. sievietēm, veicot valsts organizēto dzemdes kakla vēža skrīningu, norādot diagnozi Z12.4; 2. pacientiem ar pamatdiagnozi B20 vienu reizi gadā; 3. pacientiem ar pamatdiagnozi C53, D06, N87, Z03.153; 4. grūtniecēm, kas ir jaunākas par 25 gadiem , stājoties uzskaitē; 5. grūtniecēm pēc 25 gadiem, ja tā nav veikta organizētā vēža skrīninga ietvaros, kurā pēdējos trijos gados saņemtā atbilde ir norma; 6. sievietēm, kas ir vecākas par 70 gadiem.Spēkā no 2021. gada 1. jūnija</t>
  </si>
  <si>
    <t>1.6.</t>
  </si>
  <si>
    <t>1.9.</t>
  </si>
  <si>
    <t>Profesionālās ārstu asociācijas</t>
  </si>
  <si>
    <t>Personām, kas ietilpst paaugstināta saslimšanas riska grupā  (piemēram, pacienta radiniekiem, kuriem pierādīta BRCA mutācija, Lynch sindroms, utt.), nodrošināta savlaicīga ģenētiķa konsultācija</t>
  </si>
  <si>
    <t>Plānotie pacientu skaits*</t>
  </si>
  <si>
    <t xml:space="preserve">Nepieciešamais finansējums </t>
  </si>
  <si>
    <t>Ārsta ģenētiķa medicīniski ģenētiskā konsultācija ģimenei (pirmreizējā)</t>
  </si>
  <si>
    <t>*Pacientu skaits pamatojoties uz 2023. gada statistikas datiem</t>
  </si>
  <si>
    <t>Manip. tarifs, euro</t>
  </si>
  <si>
    <t>33.15.00 Laboratorisko izmeklējumu nodrošināšana ambulatorajā aprūpē</t>
  </si>
  <si>
    <t>Gēnu BRCA 1 un 2 sekvencēšana, izmantojot NGS tehnoloģiju asins un audu paraugos krūts vēža diagnostikai</t>
  </si>
  <si>
    <t>*Pacientu skaits saskaņā ar Latvijas Urologu asociācijas sniegtajiem datiem</t>
  </si>
  <si>
    <t>Personalizētās ārstēšanas ieviešana, sekojot precīzijas medicīnas konceptam, un savlaicīgi ieplānots budžets nepieciešamajiem patohistoloģiskajiem un molekulārajiem izmeklējumiem</t>
  </si>
  <si>
    <t>Onkoloģijas marķieri</t>
  </si>
  <si>
    <t>FGFR (Fibroblast Growth Factor Receptor)</t>
  </si>
  <si>
    <t>NGS pēc MTB (Next-Generation Sequencing pēc Molecular Tumor Board)</t>
  </si>
  <si>
    <t>IDH1/2  (Isocitrate Dehydrogenase 1/2)</t>
  </si>
  <si>
    <t>PCR POLE (Polymerase ε mutation detection using PCR)</t>
  </si>
  <si>
    <t>MSI (Microsatellite Instability)</t>
  </si>
  <si>
    <t>PDL-1  (Programmed Death-Ligand 1)</t>
  </si>
  <si>
    <t>NGS jaunām lokalizācijām</t>
  </si>
  <si>
    <t>JAK2 (Janus Kinase 2)</t>
  </si>
  <si>
    <t>CALR (Calreticulin)</t>
  </si>
  <si>
    <t>ct PIK3CA  (Circulating Tumor PIK3CA)</t>
  </si>
  <si>
    <t>ESR1 (Estrogen Receptor 1)</t>
  </si>
  <si>
    <t>FISH hematoloģijā  (Fluorescence In Situ Hybridization</t>
  </si>
  <si>
    <t>DPYD  (Dihydropyrimidine Dehydrogenase)</t>
  </si>
  <si>
    <t>Kopā:</t>
  </si>
  <si>
    <t>*Pacientu skaits pamatojoties uz Patoloģijas centra sniegtajiem datiem</t>
  </si>
  <si>
    <t>Izmaksas gadā, euro</t>
  </si>
  <si>
    <t>Apakšprogramma</t>
  </si>
  <si>
    <t>33.18.00</t>
  </si>
  <si>
    <t>33.16.00</t>
  </si>
  <si>
    <t>Kopā, euro:</t>
  </si>
  <si>
    <t>Pasākums auglības saglabāšanai pacientiem, kuri slimo ar onkoloģisku slimību (saņem staru terapiju)</t>
  </si>
  <si>
    <t xml:space="preserve">Kopā: </t>
  </si>
  <si>
    <t>Multidisciplināra sanāksme (līdz 4 speciālistiem) terapijas taktikas mainīšanai pacientam ar pirmreizēji diagnosticētu onkoloģisko slimību. Iekļauta samaksa par visu konsīlijā iesaistīto darbu. Vienam pacientam vienu reizi norāda konsīlija vadītājs. Norāda kopā ar vismaz vienu no statistikas manipulācijām 60067; 60068; 60123; 60157; 60158; 60159; 60184; 60191</t>
  </si>
  <si>
    <t xml:space="preserve">STI analīzes </t>
  </si>
  <si>
    <t>Urīna analīze ar teststrēmeli (9-10 parametri)</t>
  </si>
  <si>
    <t>33.15.00</t>
  </si>
  <si>
    <t>40042U</t>
  </si>
  <si>
    <t>Pilna asins aina (hemoglobīns, eritrocīti, leikocīti, trombocīti, hematokrīts, leikocītu formula (vismaz neitrofīli, eozinofīli, bazofīli, limfocīti, monocīti)). Papildus nenorādīt manipulācijas 40010, 40014</t>
  </si>
  <si>
    <t>Sifiliss - TPHA</t>
  </si>
  <si>
    <t>HBs Ag</t>
  </si>
  <si>
    <t>Asins ņemšana ar slēgtu sistēmu trijos stobriņos</t>
  </si>
  <si>
    <t>Chlamydia trachomatis specifiskās DNS noteikšana (PĶR )</t>
  </si>
  <si>
    <t>Anti-HIV 1, HIV 2 + HIV Ag. Imūnķīmiskās metodes (bez reaktīvu cenas)</t>
  </si>
  <si>
    <t>Iztriepju bakterioskopija uz mikrofloru un seksuāli transmisīvajām slimībām</t>
  </si>
  <si>
    <t>Konsultācija (vīrieši)</t>
  </si>
  <si>
    <t>Aprūpes epizode**</t>
  </si>
  <si>
    <t>Urologa konsultācija</t>
  </si>
  <si>
    <t>Spermogramma</t>
  </si>
  <si>
    <t xml:space="preserve">Konsultācija (sievietes) </t>
  </si>
  <si>
    <t>Olnīcas punkcija olšūnu aspirācijai (iekļautas visas pacientam nepieciešamās ginekologa konsultācijas un ultrasonogrāfijas izmaksas) (1. posms)</t>
  </si>
  <si>
    <t>Medikamenti (sievietes)</t>
  </si>
  <si>
    <t xml:space="preserve"> 33.03.00 </t>
  </si>
  <si>
    <t xml:space="preserve">Sākotnēja uzglabāšana (vīrieši) </t>
  </si>
  <si>
    <t xml:space="preserve">Spermas kriokonservācija </t>
  </si>
  <si>
    <t>Ģenētiskā materiāla uzglabāšana (1 gads)</t>
  </si>
  <si>
    <t>Spermas atkausēšana</t>
  </si>
  <si>
    <t>Sākotnēja uzglabāšana (sievietes)</t>
  </si>
  <si>
    <t>Oocītu vitrifikācija</t>
  </si>
  <si>
    <t>Vitrificētu oocītu atkausēšana</t>
  </si>
  <si>
    <t>Aprūpes epizode **</t>
  </si>
  <si>
    <t>Urologa konsultācija un ginekologa konsultācija</t>
  </si>
  <si>
    <t>*pacientu skaits, pamatojoties uz veiktā datu atlasījuma par pacientiem, kuri 2024. gadā ir saņēmuši staru terapiju</t>
  </si>
  <si>
    <t>**pamatojoties uz Ministru kabineta noteikumu Nr. 555 "Veselības aprūpes pakalpojumu organizēšanas un samaksas kārtība" 4. pielikuma "Aprūpes epizodes un to tarifi"  5. punktu "Speciālisti un attiecināmie aprūpes epizožu tarifi"</t>
  </si>
  <si>
    <t>Medikamenti olšūnu stimulācijai***</t>
  </si>
  <si>
    <t>Ilgtermiņa uzglabāšana (sievietes un vīrieši)</t>
  </si>
  <si>
    <t>***aprēķinā izmantotas viena pacienta vidējās gada izmaksas 1500 euro, lietojot KZS iekļautos medikamentus olšūnu stimulācijai</t>
  </si>
  <si>
    <t xml:space="preserve"> 33.03.00 "Kompensējamo medikamentu un materiālu apmaksāšana"</t>
  </si>
  <si>
    <t>33.18.00 "Plānveida stacionāro veselības aprūpes pakalpojumu nodrošināšana"</t>
  </si>
  <si>
    <t>No valsts budžeta līdzekļiem nodrošināti  nepieciešamie izmeklējumi ķīmijterapijas kardio-toksiskās iedarbības novēršanai</t>
  </si>
  <si>
    <t>Pacienta līdzmaksājums, euro</t>
  </si>
  <si>
    <t>Plānotie apmaksas nosacījumi</t>
  </si>
  <si>
    <t>Ehokardiogrāfija ar doplerogrāfiju</t>
  </si>
  <si>
    <t>Nātrijurētisko peptīdu (B-tipa nātrijurētiskais peptīds vai N termināla pro-B tipa nātrijurētiskais peptīds) noteikšana</t>
  </si>
  <si>
    <t>Troponīns I, tai skaitā augsti jutīgais</t>
  </si>
  <si>
    <t>Kardiologa aprūpes epizode**</t>
  </si>
  <si>
    <t>* pamatojoties uz datiem, kurus iesniedzis Latvijas Hipertensijas un Aterosklerozes biedrības prezidents sadarbībā ar Latvijas onkologu asociāciju, Latvijas Onkologu-ķīmijterapeitu asociāciju un Latvijas Kardiologu biedrību</t>
  </si>
  <si>
    <t>** pamatojoties uz Ministru kabineta noteikumu Nr. 555 "Veselības aprūpes pakalpojumu organizēšanas un samaksas kārtība" 4. pielikuma "Aprūpes epizodes un to tarifi"  5. punktu "Speciālisti un attiecināmie aprūpes epizožu tarifi"</t>
  </si>
  <si>
    <t>Uroloģijas jomā uzlabot dzīves kvalitāti pacientiem pēc aktīvās ārstēšanas fāzes, nodrošinot piekļuvi rehabilitācijas un atbalsta programmām. Tas ietver urīna saturēšanas uzlabošanu, piemēram, valsts apmaksātu mākslīgo urīna sfinkteru nodrošināšanu, erekcijas funkcijas atjaunošanu ar medikamentiem un rekonstruktīvām operācijām (piemēram, dzimumlocekļa implantiem)</t>
  </si>
  <si>
    <t> </t>
  </si>
  <si>
    <t>Ārsts</t>
  </si>
  <si>
    <t>Māsa</t>
  </si>
  <si>
    <t>Palīgpersonāls</t>
  </si>
  <si>
    <t>Soc.nodoklis </t>
  </si>
  <si>
    <t xml:space="preserve">Pieskaitāmās un netiešās ražošanas izmaksas </t>
  </si>
  <si>
    <t xml:space="preserve">Administratīvās izmaksas </t>
  </si>
  <si>
    <t xml:space="preserve">Pārējo pamatlīdzekļu amortizācija </t>
  </si>
  <si>
    <t>Mēneša darba samaksa</t>
  </si>
  <si>
    <t>1 minūtes vērtība darba samaksai</t>
  </si>
  <si>
    <t>Koeficienti</t>
  </si>
  <si>
    <t>Mainīgās izmaksas</t>
  </si>
  <si>
    <t>Kopējās izmaksas, euro</t>
  </si>
  <si>
    <t>Tarifs, euro</t>
  </si>
  <si>
    <t>Darba laiks (minūtes)</t>
  </si>
  <si>
    <t>Darba samaksa D, euro</t>
  </si>
  <si>
    <t>Valsts sociālās adrošināšanas obligātās iemaksas S, euro</t>
  </si>
  <si>
    <t>Ārstniecības līdzekļi M, euro</t>
  </si>
  <si>
    <t>Pieskaitāmās un netiešās ražošanas izmaksas U, euro</t>
  </si>
  <si>
    <t>Administratīvās izmaksas A, euro</t>
  </si>
  <si>
    <t>Pārējo pamatlīdzekļu amortizācija n, euro</t>
  </si>
  <si>
    <t>ārstam</t>
  </si>
  <si>
    <t>māsai</t>
  </si>
  <si>
    <t>jaunākajam personālām</t>
  </si>
  <si>
    <t>jaunākajam personālam</t>
  </si>
  <si>
    <t>ārstam, māsai un jaunākajam personālām kopā</t>
  </si>
  <si>
    <t>M kopā</t>
  </si>
  <si>
    <t>Medikamenti</t>
  </si>
  <si>
    <t>Materiāli</t>
  </si>
  <si>
    <t>S</t>
  </si>
  <si>
    <t>M</t>
  </si>
  <si>
    <t>E</t>
  </si>
  <si>
    <t>U</t>
  </si>
  <si>
    <t>A</t>
  </si>
  <si>
    <t>N</t>
  </si>
  <si>
    <t>P</t>
  </si>
  <si>
    <t>10 = 11 + 12</t>
  </si>
  <si>
    <t>JAUNS</t>
  </si>
  <si>
    <t>Endoprotēzes implantācija dzimumloceklī</t>
  </si>
  <si>
    <t>Mākslīgā urīna saturēšanas sfinktera implantācija</t>
  </si>
  <si>
    <t>D </t>
  </si>
  <si>
    <t>Kopējās izmaksas, euro </t>
  </si>
  <si>
    <t>Pacienta līdzmaksājums, euro </t>
  </si>
  <si>
    <t>Iekārtu amortizācija N, euro </t>
  </si>
  <si>
    <t>Ārstniecības iestāde</t>
  </si>
  <si>
    <t>Pakalpojuma nosaukums</t>
  </si>
  <si>
    <t>Plānotais pacientu skaits, 2024.gads</t>
  </si>
  <si>
    <t>Plānotais finansējums 2024.gadā, euro</t>
  </si>
  <si>
    <t>Pacientu skaita izpilde, 2024.gads</t>
  </si>
  <si>
    <t>Finansējuma izpilde 2024.gads, euro</t>
  </si>
  <si>
    <t>Plānotais pacientu skaits, 2025.gads</t>
  </si>
  <si>
    <t>Plānotais finansējums 2025.gadā, euro</t>
  </si>
  <si>
    <t>Plānotais pacientu skaita pieaugums**</t>
  </si>
  <si>
    <t>Viena pacienta vidējās izmaksas, euro*</t>
  </si>
  <si>
    <t>Papildus nepieciešamais finansējums, euro</t>
  </si>
  <si>
    <t>Paula Stradiņa klīniskā universitātes slimnīca</t>
  </si>
  <si>
    <t>4. DRG fiksētais maksājums - "Krūšu rekonstrukcija"</t>
  </si>
  <si>
    <t xml:space="preserve">                833 286</t>
  </si>
  <si>
    <t xml:space="preserve">                 800 874</t>
  </si>
  <si>
    <t xml:space="preserve">                 612 491</t>
  </si>
  <si>
    <t>Rīgas Austrumu klīniskā universitātes slimnīca</t>
  </si>
  <si>
    <t xml:space="preserve">                716 077</t>
  </si>
  <si>
    <t xml:space="preserve">                 786 227</t>
  </si>
  <si>
    <t xml:space="preserve">                 718 787</t>
  </si>
  <si>
    <t>Daugavpils reģionālā slimnīca</t>
  </si>
  <si>
    <t xml:space="preserve">                 91 379</t>
  </si>
  <si>
    <t xml:space="preserve">                 106 761</t>
  </si>
  <si>
    <t xml:space="preserve">                   87 479</t>
  </si>
  <si>
    <t>Liepājas reģionālā slimnīca</t>
  </si>
  <si>
    <t xml:space="preserve">                 36 472</t>
  </si>
  <si>
    <t xml:space="preserve">                   35 136</t>
  </si>
  <si>
    <t xml:space="preserve">                   21 766</t>
  </si>
  <si>
    <t>KOPĀ:</t>
  </si>
  <si>
    <t xml:space="preserve">             1 677 214</t>
  </si>
  <si>
    <t xml:space="preserve">              1 728 998</t>
  </si>
  <si>
    <t xml:space="preserve">              1 440 523</t>
  </si>
  <si>
    <t xml:space="preserve">* atbilstoši vidējām izmaksām 2024. gadā </t>
  </si>
  <si>
    <t>** atbilstoši ārstniecības iestāžu aptaujai un kapacitātes izvērtējumam. (Tā kā 2024. gadā tika ierobežota pacientu plūsma (nepietiekoša finansējuma apstākļos), ārstniecības iestādes nespēja nodrošināt rekonstrukcijas pakalpojumus visām sievietēm, kam veikta mastektomija, līdz ar to pieprasījums pēc pakalpojuma pieaug. Dienests aptaujāja ārstniecības iestādes, lai iegūtu patieso pacientu skaitu, kam gada griezumā būtu nepieciešmas nodrošināt rekonstrukcijas pakalpojumus).</t>
  </si>
  <si>
    <t>Manipulācijas nosaukums**</t>
  </si>
  <si>
    <t>Pakalpojuma vai manipulācijas nosaukums</t>
  </si>
  <si>
    <t>Pakalpojuma izmaksas, euro</t>
  </si>
  <si>
    <t>Gallium 68 ražošana ar ciklotronu</t>
  </si>
  <si>
    <t>Pozitronu emisijas tomogrāfija/datortomogrāfija (PET/DT) bez kontrastēšanas</t>
  </si>
  <si>
    <t>*Pacientu skaits abām pozīcijām ir saskaņā ar Latvijas Radiologu asociācijas sniegtajiem datiem</t>
  </si>
  <si>
    <t>Sildenafilum 
(dg C61, C64, C67)</t>
  </si>
  <si>
    <t>* Aprēķins veikts, izmantojot tikai fosfodiesterāzes-5 inhibitoru</t>
  </si>
  <si>
    <t>Amats*</t>
  </si>
  <si>
    <t>Slodžu skaits</t>
  </si>
  <si>
    <t>Saime (apakšsaime)</t>
  </si>
  <si>
    <t>Līmenis</t>
  </si>
  <si>
    <t>Mēnešalgu grupa</t>
  </si>
  <si>
    <t>Amata vietas mēnešalga</t>
  </si>
  <si>
    <t>Piemaksa 30%</t>
  </si>
  <si>
    <t>VSAOI, 23,59%</t>
  </si>
  <si>
    <t>Kopā atlīdzība mēnesī</t>
  </si>
  <si>
    <t>2026.gadā</t>
  </si>
  <si>
    <t>2027.gadā</t>
  </si>
  <si>
    <t>Vecākais inspektors</t>
  </si>
  <si>
    <t>28.3</t>
  </si>
  <si>
    <t>IV</t>
  </si>
  <si>
    <t>Eksperts</t>
  </si>
  <si>
    <t>13</t>
  </si>
  <si>
    <t>III</t>
  </si>
  <si>
    <t>Veiktas regulāras pārbaudes, nodrošināta  skrīninga procesa kvalitātes uzlabošana</t>
  </si>
  <si>
    <t>Kopā atlīdzība mēnesī, euro</t>
  </si>
  <si>
    <t>Pavisam kopā, euro</t>
  </si>
  <si>
    <t>Inspektors</t>
  </si>
  <si>
    <t>Izveidota kontroles un monitoringa sistēma, izstrādāti kvalitātes kritēriji</t>
  </si>
  <si>
    <t xml:space="preserve"> Erekcijas funkcijas atjaunošana ar medikamentiem (piemēram, fosfodiesterāzes-5 inhibitoriem, alprostadilu)</t>
  </si>
  <si>
    <t>Medikaments</t>
  </si>
  <si>
    <t>Plānotais maniulācijas tarifs, euro</t>
  </si>
  <si>
    <t xml:space="preserve">** Balstoties uz  SIA "Nucleo" sniegto informāciju. </t>
  </si>
  <si>
    <t>Jaunu zāļu iekļaušana</t>
  </si>
  <si>
    <t>Kompensācijas nosacījumu paplašināšana</t>
  </si>
  <si>
    <t>Terapijas turpināšanai</t>
  </si>
  <si>
    <t xml:space="preserve">tai skaitā: </t>
  </si>
  <si>
    <t>Personalizētās medicīnas medikamenti</t>
  </si>
  <si>
    <t>Nodrošināts, ka visi izmaksu efektīvie gaidīšanas sarakstā esošie jaunie onkoloģijas medikamenti un medikamenti kompensācijas nosacījumu paplašināšanai ir iekļauti KZS,  t.sk..turpināta personalizētās ārstēšanas ieviešana, sekojot precīzijas medicīnas konceptam</t>
  </si>
  <si>
    <t>Onkoloģijas medikamenti*</t>
  </si>
  <si>
    <t>*Aprēķinos iekļauti visi medikamenti, kas atrodas gaidīšanas rindā uz 2025.gada 1.janvāri, aprēķinos iekļautas arī personalizētās medicīnas zāles</t>
  </si>
  <si>
    <t>Finansējums, euro**</t>
  </si>
  <si>
    <t>Finansējums 2026.gadā, euro**</t>
  </si>
  <si>
    <t>ESF+</t>
  </si>
  <si>
    <t>Esošā finansējuma ietvaros</t>
  </si>
  <si>
    <t>Plānotais pacientu skaits 2026. gadā*</t>
  </si>
  <si>
    <t>Nepieciešamais finansējums 2026. gadā, euro</t>
  </si>
  <si>
    <t>Plānotais pacientu skaits 2027. gadā*</t>
  </si>
  <si>
    <t>Nepieciešamais finansējums 2027. gadā, euro</t>
  </si>
  <si>
    <t>Balss protēžu nomaiņa pēc laringektomijas</t>
  </si>
  <si>
    <t>Aksesuāri un kopšanas piederumi pacientiem pēc laringektomijas</t>
  </si>
  <si>
    <t>JAUNA</t>
  </si>
  <si>
    <t xml:space="preserve">*Plānotais pacientu skaits atbilstoši  pēc Latvijas Otolaringologu asociācijas sniegtajiem datiem </t>
  </si>
  <si>
    <t>Pacientiem pēc laringektomijas nodrošināta balss protēžu nomaiņa</t>
  </si>
  <si>
    <t xml:space="preserve"> Īstenot sabiedrības informēšanas, izglītošanas un profilakses pasākumus, ņemot vērā dzimumu atšķirības, onkoloģisko slimību riska faktoru izplatības un ietekmes uz veselību mazināšanai (sauļošanās, krūšu pašpārbaude u.c.)</t>
  </si>
  <si>
    <t>Pasākuma veids</t>
  </si>
  <si>
    <t>46.03.00 "Slimību profilakses nodrošināšana"</t>
  </si>
  <si>
    <t>Pasākumu īstenošana (ietilpst atalgojums lektoriem un moderatoram, vebināru vai klātienes pasākumu īstenošana un citi pakalpojumi)*</t>
  </si>
  <si>
    <t>*informācija no Slimību profilakses un kontroles centra datu bāzes</t>
  </si>
  <si>
    <t>Papildus norādām, ka izmaksas pa pasākumu posmiem un aktivitātes katrā no posmiem var mainīties, pamatojoties uz pakalpojuma sniedzēja, t.i., publiskā iepirkuma ietvaros uzvarējušā pretendenta, piedāvājumā ietvertajām aktivitātēm, nepārsniedzot kopējo pakalpojuma summu.</t>
  </si>
  <si>
    <t>Pasākumu plānošana un izstrāde (ietilpst programmas izstrāde, uzskates un/vai izdales materiālu izstrāde, u.c. sagatavošanās izmaksas)*</t>
  </si>
  <si>
    <r>
      <t>Kopā, </t>
    </r>
    <r>
      <rPr>
        <i/>
        <sz val="10"/>
        <color rgb="FF000000"/>
        <rFont val="Times New Roman"/>
        <family val="1"/>
      </rPr>
      <t>euro</t>
    </r>
    <r>
      <rPr>
        <sz val="10"/>
        <color rgb="FF000000"/>
        <rFont val="Times New Roman"/>
        <family val="1"/>
      </rPr>
      <t>: </t>
    </r>
  </si>
  <si>
    <t>Nepieciešamais papildu finansējums 2027.gadā un turpmāk ik gadu (ja pasākums nav terminēts), euro</t>
  </si>
  <si>
    <t>Īstenot izglītojošus pasākumus par onkoloģisko slimību agrīnu diagnostiku un ārstēšanu, pievēršot uzmanību krūšu, kolorektālajam, plaušu, ādas, priekšdziedzera vēzim u.c. izplatītajām onkoloģiskajām slimībām,  tādējādi mazinot priekšstatu par vēzi kā neārstējamu slimību</t>
  </si>
  <si>
    <t xml:space="preserve">Sabiedrības informēšanas pasākumi par valsts apmaksātu vakcināciju pret CPV infekciju </t>
  </si>
  <si>
    <r>
      <rPr>
        <b/>
        <sz val="10"/>
        <color rgb="FF000000"/>
        <rFont val="Times New Roman"/>
        <family val="1"/>
      </rPr>
      <t xml:space="preserve">Kampaņas plānošana un izstrāde </t>
    </r>
    <r>
      <rPr>
        <sz val="10"/>
        <color rgb="FF000000"/>
        <rFont val="Times New Roman"/>
        <family val="1"/>
      </rPr>
      <t>(ietilpst dažādu materiālu un digitālo risinājumu izstrāde un citi plānošanas, organizatoriskie darbi)*</t>
    </r>
  </si>
  <si>
    <t>Kampaņas plāna sagatavošana un komunikācijas uzsākšana ar iesaistītajām pusēm, organizatoriskais darbs un īstenošanas posma aktivitāšu sagatavošana</t>
  </si>
  <si>
    <t>Informatīvo, publicitātes un reklāmas vizuālo, audiālo, digitālo risinājumu un satura izstrāde</t>
  </si>
  <si>
    <r>
      <rPr>
        <b/>
        <sz val="10"/>
        <color rgb="FF000000"/>
        <rFont val="Times New Roman"/>
        <family val="1"/>
      </rPr>
      <t>Kampaņas īstenošana</t>
    </r>
    <r>
      <rPr>
        <sz val="10"/>
        <color rgb="FF000000"/>
        <rFont val="Times New Roman"/>
        <family val="1"/>
      </rPr>
      <t xml:space="preserve"> posmos (ietilpst, piemēram, mediju pasākumu īstenošana, reģionālo pasākumu īstenošana, vebināra īstenošana un citi pakalpojumi)*</t>
    </r>
  </si>
  <si>
    <t>Atklāšanas pasākuma - preses konferences īstenošana (moderators, atalgojums ekspertiem, norises telpas, fotogrāfs, operators, utt.)</t>
  </si>
  <si>
    <t>Reklāmas izvietošana un publicitātes aktivitātes (sociālie tīkli, vide, televīzija, radio, interneta vietnes, drukātie mediji)</t>
  </si>
  <si>
    <t>Preses relīžu, mediju ielūguma un tematisko rakstu sagatavošana, darbu koordinēšana un organizēšana, sociālo mediju ziņu izvietošana, publicitātes iniciēšana, komunikācija ar kampaņas partneriem, influenceriem, ekspertiem, un citām iesaistītajām pusēm, t.sk., atalgojuma iesaistītajiem ekspertiem un vēstnešiem nodrošināšana</t>
  </si>
  <si>
    <r>
      <rPr>
        <b/>
        <sz val="10"/>
        <color rgb="FF000000"/>
        <rFont val="Times New Roman"/>
        <family val="1"/>
      </rPr>
      <t>Pēckampaņas novērtējums,</t>
    </r>
    <r>
      <rPr>
        <sz val="10"/>
        <rFont val="Times New Roman"/>
        <family val="1"/>
      </rPr>
      <t xml:space="preserve"> t.sk., efektivitātes izvērtējums, publicitātes analīze, secinājumi un priekšlikumi*</t>
    </r>
  </si>
  <si>
    <t>Papildus norādām, ka izmaksas pa kampaņas posmiem un aktivitātes katrā no posmiem var mainīties, pamatojoties uz pakalpojuma sniedzēja, t.i., publiskā iepirkuma ietvaros uzvarējušā pretendenta, piedāvājumā ietvertajām aktivitātēm, nepārsniedzot kopējo pakalpojuma summu.</t>
  </si>
  <si>
    <t>Pielikums Nr.1.3.</t>
  </si>
  <si>
    <t>Nepieciešamais papildu finansējums 2028.gadā un turpmāk ik gadu (ja pasākums nav terminēts), euro</t>
  </si>
  <si>
    <r>
      <rPr>
        <b/>
        <sz val="10"/>
        <color rgb="FF000000"/>
        <rFont val="Times New Roman"/>
        <family val="1"/>
      </rPr>
      <t>Pēckampaņas novērtējums,</t>
    </r>
    <r>
      <rPr>
        <sz val="10"/>
        <rFont val="Times New Roman"/>
        <family val="1"/>
      </rPr>
      <t xml:space="preserve"> t.sk., priekšaptaujas un pēcaptaujas veikšana, efektivitātes izvērtējums, publicitātes analīze, secinājumi un priekšlikumi*</t>
    </r>
  </si>
  <si>
    <t>1.3.</t>
  </si>
  <si>
    <t>Vakcinācijas aptvere atbilstoši vecuma grupām</t>
  </si>
  <si>
    <t xml:space="preserve"> Paplašināta vakcinācija pret CPV infekciju sievietēm un vīriešiem, kuri iepriekš nav vakcinēti</t>
  </si>
  <si>
    <t>*Jaunas amata vietas netiks veidotas. Samaksa tiks veikta esošajiem darbiniekiem piemaksu veidā, kas noteikta atbilstoši Valsts un pašvaldību institūciju amatpersonu un darbinieku atlīdzības likuma 14.pantam.</t>
  </si>
  <si>
    <t xml:space="preserve">Pilotprojekta ietvaros izpētīta iespēja pacientiem, kuriem ir aizdomas par onkoloģisku slimību un kuri apmeklē ārstu speciālistu, kurš nav līgumattiecībās  ar NVD, saņemt onkologa konsultāciju "zaļā koridora" ietvaros. </t>
  </si>
  <si>
    <t xml:space="preserve">2027. gada I pusgads </t>
  </si>
  <si>
    <t>2026. gada II  pusgads</t>
  </si>
  <si>
    <t>3.18.</t>
  </si>
  <si>
    <t>Nodrošināt papildus asins komponentu sagatavošanu onkoloģisko pacientu ķīmijterapijas sekmīgai norisei</t>
  </si>
  <si>
    <t>VADC</t>
  </si>
  <si>
    <t xml:space="preserve">Viena  izbraukuma devu skaits </t>
  </si>
  <si>
    <t xml:space="preserve">Izbraukumu organizāšana ar mobilo autobusu </t>
  </si>
  <si>
    <t>Degviela</t>
  </si>
  <si>
    <t>Asins izmeklēšana</t>
  </si>
  <si>
    <t>Kopā</t>
  </si>
  <si>
    <t>Amata nosaukums</t>
  </si>
  <si>
    <t>Saime 
(apakšsaime)</t>
  </si>
  <si>
    <t>Kategorija</t>
  </si>
  <si>
    <t xml:space="preserve">Vispārējās piemaksas </t>
  </si>
  <si>
    <t>Prēmijas un naudas balvas</t>
  </si>
  <si>
    <t>Sociālās garantijas</t>
  </si>
  <si>
    <t>Kopā mēnesī visām slodzēm</t>
  </si>
  <si>
    <t>Kopā periodam (1000)</t>
  </si>
  <si>
    <t>Kopā periodam (1100)</t>
  </si>
  <si>
    <t>Kopā periodam (1200)</t>
  </si>
  <si>
    <t>9=7*10%</t>
  </si>
  <si>
    <t>10=7*5%</t>
  </si>
  <si>
    <t>11=(7+8+9+10)*23.59%</t>
  </si>
  <si>
    <t>12=(7+8+9+10)*2</t>
  </si>
  <si>
    <t>Ārsta palīgs*</t>
  </si>
  <si>
    <t>Medicīnas māsa*</t>
  </si>
  <si>
    <t>Māsas palīgs*</t>
  </si>
  <si>
    <t>Autobusa vadītājs*</t>
  </si>
  <si>
    <t>Klientu un pacientu reģistrators**</t>
  </si>
  <si>
    <t>* Mēnešalga noteikta atbilstoši 18.12.2018. MK noteikumiem Nr.851 " Noteikumi par zemāko mēnešalgu un speciālo piemaksu veselības aprūpes jomā nodarbinātajiem"</t>
  </si>
  <si>
    <t>** Mēnešalga noteikta atbilstoši 21.06.2022. MK noteikumiem Nr.361 "Noteikumi par valsts institūciju amatpersonu un darbinieku darba samaksu un tās noteikšanas kārtību, kā arī par profesijām un specifiskajām jomām, kurām piemērojams tirgus koeficients"</t>
  </si>
  <si>
    <t>Papildus nepieciešamais finansējums 2026.gadā un turpmāk katru gadu, euro</t>
  </si>
  <si>
    <t xml:space="preserve">Izbraukumu brigādes izmaksas, t.sk. </t>
  </si>
  <si>
    <t>Laboratorijas izmaksas-reaģenti</t>
  </si>
  <si>
    <t>Donoru kompensācijas izmaksas -4.27 euro un donoru uzkodu komplekts -1.42 euro, kopā 5,69 euro</t>
  </si>
  <si>
    <t>Pamatlīdzekļu nolietojums-amortizācija</t>
  </si>
  <si>
    <t>Atlīdzība**</t>
  </si>
  <si>
    <t>13=14+15</t>
  </si>
  <si>
    <t>VSAOI</t>
  </si>
  <si>
    <t>8=7*5%</t>
  </si>
  <si>
    <t>Periods (mēneši):</t>
  </si>
  <si>
    <t xml:space="preserve">Detalizēts atlīdzības aprēķins </t>
  </si>
  <si>
    <t>Mēnešalga</t>
  </si>
  <si>
    <t>39.03.00  "Asins un asins kompinentu nodrošināšana"</t>
  </si>
  <si>
    <t xml:space="preserve">Prognozējamās izmaksas  uz 1 devu, euro  </t>
  </si>
  <si>
    <t xml:space="preserve">Prognozētais nepieciešamais 
finansējums, euro  </t>
  </si>
  <si>
    <t xml:space="preserve">Prognozētais izbraukumu skaits  </t>
  </si>
  <si>
    <t>Devu skaits</t>
  </si>
  <si>
    <t>Radionukleīda medikamenta ievade neiroendokrīno audzēju gadījumā</t>
  </si>
  <si>
    <t>*Pacientu skaits saskaņā ar Latvijas Radiologu asociācijas sniegtajiem datiem</t>
  </si>
  <si>
    <t xml:space="preserve"> Izvērtēta iespēja veikt  diagnostiku ar Ga68 PET-CT iekārtu neiroendokrīniem audzējiem</t>
  </si>
  <si>
    <t>Pacientiem prostatas un neiroendokrīnu vēžu terapijā nodrošināta ārstēšana ar radionukleīdajiem preparātiem (radionukleīda medikamenta ievade neiroendokrīno audzēju gadījumā)</t>
  </si>
  <si>
    <t>Valsts sociālās apdrošināšanas obligātās iemaksas S, euro</t>
  </si>
  <si>
    <t>Iekārtu amortizācija N, euro</t>
  </si>
  <si>
    <t>Piemaksa ultrasonogrāfijas izmeklējumam vienai lokalizācijai, pielietojot kontrastvielu un specializēto programmatūru.</t>
  </si>
  <si>
    <t>Piemaksa par ultrasonogrāfijas kontrastvielas vienas devas lietošanu</t>
  </si>
  <si>
    <t>Cilvēkresursi</t>
  </si>
  <si>
    <t>Skaits</t>
  </si>
  <si>
    <t>Vecākais sabiedrības veselības analītiķis</t>
  </si>
  <si>
    <t xml:space="preserve">III </t>
  </si>
  <si>
    <t xml:space="preserve"> III</t>
  </si>
  <si>
    <t>KOPĀ</t>
  </si>
  <si>
    <t>Paskaidrojums</t>
  </si>
  <si>
    <t>Sākotnējā vēstule, t.sk. krāsaina aploksne (50%) un infografika 3 lpp</t>
  </si>
  <si>
    <t>Atgādinājuma vēstule, t.sk. krāsaina aploksne (bez infografikas)</t>
  </si>
  <si>
    <t>Latvijas Pasta pakalpojuma izdevumu segšana</t>
  </si>
  <si>
    <t>Sākotnējā vēstule (tarifs pasta sūtījumam virs 21g)</t>
  </si>
  <si>
    <t>5% no gada mērķa grupas, kas nav izpildījuši FIT testu 5 gadu laikā (Satur informatīvo materiālu, tāpēc svarā virs 21g)</t>
  </si>
  <si>
    <t>Atgādinājuma vēstule (tarifs pasta sūtījumam līdz 20g)</t>
  </si>
  <si>
    <t xml:space="preserve">Testa komplekts (tarifs vēstule ar priekšmetu) </t>
  </si>
  <si>
    <t>Veikt pilotpētījumu un noteikt piemērotāko kolorektālā vēža skrīninga organizācijas modeli*</t>
  </si>
  <si>
    <t>*Pilotprojektā ar uzaicinājuma vēstuli tiek uzaicināti mērķa grupas iedzīvotāji, kuri nav iepriekš veikuši FIT testu. Uzaicināto skaits tiek plānots, lai sasniegtu 5% atsaucību no mērķa populācijas ar pieņēmumu, ka uz uzaicinājuma vēstuli atsaucas 55% no uzaicinātajiem. Tiem, kas neatbild, pēc 4 mēnešiem nosūta atgādinājumu pa pastu. Tiek piedāvātas 3 izvēles kā saņemt testu: pa pastu; pie ģimenes ārsta; laboratorijā. Tiem, kas izvēlas pa pastu, tiem nosūta testa komplektu.</t>
  </si>
  <si>
    <t>Amats</t>
  </si>
  <si>
    <t>Amata saime</t>
  </si>
  <si>
    <t>Vienības cena, euro</t>
  </si>
  <si>
    <t>Summa, euro</t>
  </si>
  <si>
    <t> Pasākums</t>
  </si>
  <si>
    <t>Pie 55% atsaucības šādas vēstules (kādus 4-6 mēnešus vēlāk) būs jāizsūta 45% uzaicināto</t>
  </si>
  <si>
    <t>Jāizsūta bandrole ar testa kit, ja atsaucās 55% un 40% izvēlas saņemt pa pastu</t>
  </si>
  <si>
    <t>Jāizsūta vēstule ar testa komplektu, ja atsaucās 55% un 40% izvēlas saņemt pa pastu</t>
  </si>
  <si>
    <t xml:space="preserve">Kopā mēnesī, euro
</t>
  </si>
  <si>
    <t xml:space="preserve">Kopā gadā, euro </t>
  </si>
  <si>
    <t>Mēnešalga, euro</t>
  </si>
  <si>
    <t>Slodzes</t>
  </si>
  <si>
    <t>Finansējums, euro*</t>
  </si>
  <si>
    <t>62.10.00 “Eiropas Reģionālās attīstības fonda (ERAF) avansa maksājumi un atmaksas finansējuma saņēmējiem (2021 - 2027)” (Finanšu ministrija)</t>
  </si>
  <si>
    <t>2028.gads un turpmāk ik gadu</t>
  </si>
  <si>
    <t>Augsti kvalificētu ekspertu stundas likme</t>
  </si>
  <si>
    <t>Ikgadējai informatīvā materiāla aktualizēšanai un papildināšanai paredzētas 100 stundas eksperta laika.</t>
  </si>
  <si>
    <t>Digitālās platformas uzturēšana</t>
  </si>
  <si>
    <t>Izstrādāts klīniskais ceļš un veikti izglītojoši pasākumi primārās veselības aprūpes speciālistiem</t>
  </si>
  <si>
    <t>Piezīmes</t>
  </si>
  <si>
    <t>Provizoriski novērtēta digitālās platformas uzturēšana mēnesī ~ 950 euro + PVN</t>
  </si>
  <si>
    <t xml:space="preserve">Informācijas sagatavošana publicēšanai digitālā vidē - paredzētas 30 speciālista darba stundas (2026. gads) un 10 stundas (2027.gads un turpmāk ik gadu). </t>
  </si>
  <si>
    <t>Izstrādāti  kritēriji un apmācības programmas darbam ar hematoonkoloģiskiem pediatriskiem pacientiem (piemēram, zema riska febrilu neitropēniju ārstēšana, transfūzijas, atsevišķas nekomplicētas ķīmijterapijas)</t>
  </si>
  <si>
    <t>Metodiskā materiāla satura izstrāde (augsti kvalificēta eksperta stundas likme 40 euro*300 stundas + VSAOI (23.59%))</t>
  </si>
  <si>
    <t>Materiāla papildināšana (augsti kvalificēta eksperta likme 40 euro*120 stundas + VSAOI (23.59%))</t>
  </si>
  <si>
    <t>Izstrādāts klīniskais ceļš, aprakstot pieraksta procedūru uz pieaugušo onkologu un bērnu onkologu kopīgiem konsīlijiem, lai pārrunātu bērnu onkoloģijas pacientu gadījumus, kuriem pēc 18 gadu vecuma sasniegšanas jāturpina ārstēšanos dēļ CNS audzējiem, kaulu un mīksto audu audzējiem vai hematoonkoloģiskām saslimšanām, un tādējādi pāreja uz pieaugušo aprūpi notiktu koordinētāk</t>
  </si>
  <si>
    <t>Klīniskā ceļa un metodiskā materiāla satura izstrāde (augsti kvalificēta eksperta likme 40 euro*400 stundas + VSAOI (23.59%))</t>
  </si>
  <si>
    <t>Ārstniecības un aprūpes speciālistu darba grupa - kompetenču novērtēšanai un deleģējamo uzdevumu izvērtēšanai (augstu kvalificēta eksperta likme 40 euro* kopā 250 stundas + VSAOI (23.59%))</t>
  </si>
  <si>
    <t>Izstrādāt un ieviest bērnu kohortas klīnisko ļaundabīgo audzēju reģistru, atbilstoši starptautiskām vadlīnijām bērnu vecuma vēžu datu apstrādei un analīzei, kas vienlaikus nodrošinātu nepieciešamo datu pārnesi Valsts Vēža reģistrā</t>
  </si>
  <si>
    <t>Izstrādāta datu apmaiņas sistēma starp VSIA "Bērnu klīniskā universitātes slimnīca" un reģionālajām slimnīcām</t>
  </si>
  <si>
    <t>Digitālā risinājuma izstrāde ( IT komandas izmaksas 75 euro * 200 stundas + VSAOI (23.59%))</t>
  </si>
  <si>
    <t xml:space="preserve">Digitālā risinājuma uzturēšana (tehniskās uzturēšanas izmaksas 400 euro mēnesī + PVN) </t>
  </si>
  <si>
    <t>Digitalizēt visus medicīniskos dokumentus, piemēram, izrakstus, ordinācijas, ārstēšanas blaknes, patologu aprakstus u.c., izmantojot strukturētus datu laukus</t>
  </si>
  <si>
    <t>Medicīnisko dokumentu digitalizācija, strukturētu datu kopu definēšana un izveide:</t>
  </si>
  <si>
    <t>Ikgadējai informatīvā materiāla aktualizēšanai un papildināšanai paredzētas 50 stundas eksperta laika.</t>
  </si>
  <si>
    <t>Provizoriski novērtēta digitālās platformas uzturēšana mēnesī ~ 950 EUR + PVN</t>
  </si>
  <si>
    <t>Izstrādāti informatīvie materiāli vecākiem un primārās veselības aprūpes speciālistiem  par ļaundabīgu audzēju pazīmēm un simptomiem</t>
  </si>
  <si>
    <t xml:space="preserve">Informācijas sagatavošana publicēšanai digitālā vidē - paredzētas 30 speciālista darba stundas (2026.gads) un 10 stundas (2027.gads un turpmāk ik gadu). </t>
  </si>
  <si>
    <t>Kvalificēta eksperta stundas likme</t>
  </si>
  <si>
    <t>Ikgadējai informatīvā materiāla aktualizēšanai un papildināšanai paredzētas 100 stundas eksperta laika. Izmaksas pa gadiem tiek indeksētas ar prognozēto pieauguma koeficentu 2.5% gadā.</t>
  </si>
  <si>
    <t>Apzināti visi  nepieciešamie medikamenti, kas iekļauti aktuālajās konkrētās diagnozes ārstēšanas vadlīnijās, un uzturēts aktuāls “vajadzību saraksts”, balstoties pacientu zinātniski pamatotos pētījumu datos</t>
  </si>
  <si>
    <t>Metodiskā materiāla satura izstrāde (augsti kvalificēta eksperta stundas likme 40 euro*380 stundas * VSAOI (23.59%))</t>
  </si>
  <si>
    <t>Materiāla papildināšana (augsti kvalificēta eksperta stundas likme 40 euro*100 stundas * VSAOI (23.59%))</t>
  </si>
  <si>
    <t>Materiāla sagatavošana, izvietošanai digitālajā platformā ((2026.gads: speciālista stundas likme 30 euro*30 stundas * VSAOI (23.59%)) un 2027.gads un turpmāk ik gadu: speciālista stundas likme 30 euro*10 stundas * VSAOI (23.59%)))</t>
  </si>
  <si>
    <t>Spēkā esošais tarifs, euro</t>
  </si>
  <si>
    <t>Plānotais tarifs, euro</t>
  </si>
  <si>
    <t>Papildus nepieciešamā summa, euro</t>
  </si>
  <si>
    <t>Papildus nepieciešamā summa gadā, euro</t>
  </si>
  <si>
    <t>* Pēc 2024. gada statistikas</t>
  </si>
  <si>
    <t>** Manipulācijas 50730 pārrēķins, Radiologu asociācijas iesniegts 2023. gadā</t>
  </si>
  <si>
    <t xml:space="preserve">50% pacientu ar tādu bērnu vēža diagnozi, kurā tiek īstenots klīniskais protokols vai pētījums BKUS, tiek ieaistīti šajos pētījumos vai protokols. </t>
  </si>
  <si>
    <t>Bērniem ar centrālās nervu sistēmas audzējiem pieejama protonu staru terapija atbilstoši noteiktiem kritērijiem</t>
  </si>
  <si>
    <t>Īstenot pilotprojektu jaunu molekulāri ģenētisko diagnostikas metožu ieviešanai personalizētai krūts vēža pacientu ārstēšanai Latvijā</t>
  </si>
  <si>
    <t>74.06.00 "Atveseļošanas un noturības mehānisma (ANM) projekti un pasākumi" (Veselības ministrija)</t>
  </si>
  <si>
    <t>ES Atveseļošanas fonds</t>
  </si>
  <si>
    <t xml:space="preserve">2026. gada I pusgads </t>
  </si>
  <si>
    <t>Īstenoti mērķtiecīgi sabiedrības informēšanas pasākumi (kampaņa) par alkohola lietošanas saistību ar dažādu vēža attīstības risku, īpaši sievietēm  par alkohola lietošanas saistību ar paaugstinātu krūts vēža attīstības risku.</t>
  </si>
  <si>
    <t xml:space="preserve">Nodrošināt smēķēšanas atmešanas atbalsta grupu darbību iedzīvotājiem </t>
  </si>
  <si>
    <t>SPKC, pašvaldības, ārstniecības iestādes</t>
  </si>
  <si>
    <t>Ārstu asociācijas</t>
  </si>
  <si>
    <t>1.4.</t>
  </si>
  <si>
    <t>1.5.</t>
  </si>
  <si>
    <t>Īstenot apmācības ārstniecības personām  par smēķēšanas ietekmi uz veselību un terapijas iespējām, iekļaujot smēķēšanas atmešanas ārstniecības pamatprincipus</t>
  </si>
  <si>
    <t>N.P.K.</t>
  </si>
  <si>
    <t>Izmeklējuma nosaukums ( šobrīd veikti izmeklējumi BKUS PEDIATRISKIE audzēji)</t>
  </si>
  <si>
    <t>2022. gads izmeklējumu skaits</t>
  </si>
  <si>
    <t>Cena par vienu izmeklējumu 2022.g.</t>
  </si>
  <si>
    <t>2023. gads izmeklējumu skaits</t>
  </si>
  <si>
    <t>Cena par vienu izmeklējumu 2023g.</t>
  </si>
  <si>
    <t>2024. gads izmeklējumu skaits</t>
  </si>
  <si>
    <t>Cena par vienu izmeklējumu 2024.g.</t>
  </si>
  <si>
    <t>Vidējais izmeklējumu skaits 3 gados</t>
  </si>
  <si>
    <t>Probanda ātra pilna eksoma sekvencēšana (fast WES classic)</t>
  </si>
  <si>
    <t>Probanda ātra dziļa pilna eksoma sekvencēšana (fast deep WES classic)</t>
  </si>
  <si>
    <t>Probanda dziļa pilna transkriptoma sekvencēšna (WTS)</t>
  </si>
  <si>
    <t>52 biežākās hematoloģisko audzēju translokācijas</t>
  </si>
  <si>
    <t>Kopiju skaita variāciju (CNV) noteikšana CytoScan HD -Akūta limfoleikoze</t>
  </si>
  <si>
    <t>Centrālā statistikas datubāze, pirmreizēja dg- hematoonkoloģija pieaugušie</t>
  </si>
  <si>
    <t>C91 Limfoleikoze</t>
  </si>
  <si>
    <t>C92 Mieloleikoze</t>
  </si>
  <si>
    <t>Paredzamais izmeklējumu skaits vienā gadā</t>
  </si>
  <si>
    <t>Valsts patoloģijas centra ziņojums. Informācija par to, ka BKUS spētu nodrošināt gan pediatrisko, gan pieaugušo hematoonkoloģisko pacientu ģenētisko diagnostiku šī brīža spēkā esošo protokolu ietvaros.</t>
  </si>
  <si>
    <t>Prognozētais vidējais izmeklējumu skaits 2027 gadā un turpmāk ik gadu (+10%)</t>
  </si>
  <si>
    <t>Prognozētā viena izmeklējuma, cena</t>
  </si>
  <si>
    <t xml:space="preserve">Pilnveidot invazīvās radioloģijas pakalpojumus, īstenojot pilotprojektu neizoperējamu ļaundabīgu audzēju ārstēšanai izmantojot augstas precizitātes robotizētas perkutānās termālās ablācijas metodi </t>
  </si>
  <si>
    <t>Pediatriskie pacienti hematoonkoloģija + solīdie audzēji</t>
  </si>
  <si>
    <t>Pieaugušie pacienti - hematoonkoloģija</t>
  </si>
  <si>
    <t xml:space="preserve">Ar jauno tehnoloģiju SWISS projekta ietvaros ieviesto diagnostisko testu veikšana visiem pediatriskajiem hematoonkoloģija +solidie audzēji (~230 pacienti gadā) pilna genoma sekvencēšana) un pieaugušie hematoonkoloģija pilna genoma sekvencēšana (~170 pacienti gadā) + tikai CNS metilācija (~150 pacienti gadā) bez genoma sekvencēšna (šo dara RAKUS) + 200 pacienti gadā- recidīvi,aizdomas par audzēju, neskaidra diagnoze u.c. </t>
  </si>
  <si>
    <t>Vidēji viena izmeklējuma cena, euro</t>
  </si>
  <si>
    <t xml:space="preserve">Pozīcija </t>
  </si>
  <si>
    <t>Kopiju skaita variāciju (CNV) noteikšana ar HD mikročipu rindu analīzi (CMA)- kods 49080</t>
  </si>
  <si>
    <t>Probanda eksoma sekvencēšana (WES), izmantojot NGS metodi ar datu bioinformātisko analīzi un klīnisko interpretāciju (49082)</t>
  </si>
  <si>
    <t>DNS NGS sekvencēšana</t>
  </si>
  <si>
    <t>Pacientu skaits, 2021.gads</t>
  </si>
  <si>
    <t>Pacientu skaits, 2022.gads</t>
  </si>
  <si>
    <t>Pacientu skaits, 2023.gads</t>
  </si>
  <si>
    <t>Vidējais pacientu skaits gadā</t>
  </si>
  <si>
    <t>Vienam pacientam tiek veikti 1-5. pozīcijas izmeklējumi, katrs vidēji par 894 euro, paredzamais izmeklējumu skaits gadā ir 146*5=730 izmeklējumi</t>
  </si>
  <si>
    <t>Sangera DNS sekvencēšana</t>
  </si>
  <si>
    <t>Tikai pediatriskie pacienti - hematoonkoloģija un solīdie audzēji.</t>
  </si>
  <si>
    <t>Pēc šobrid esošās informācijas cena par vienu izmeklējumu vidēji ir 1000 euro, kamēr nav iekārtas un izpilde uz vietas, nav iespējams veikt precīzus aprēķinus.</t>
  </si>
  <si>
    <t>BKUS Molekulārajā laboratorijā ieviesta jaunās paaudzes molekulārās sekvencēšanas iespēja</t>
  </si>
  <si>
    <t>Izvērtēta iespēja PVO 2021 centrālās nervu sistēmas (CNS) audzēju klasifikācijai nepieciešamos diagnostikas testus apmaksāt no valsts līdzekļiem, tai skaitā DNS metilācijas analīzes. Potenciāli paredzot metilācijas analīzi solīdajiem audzējiem. Tikai pediatriskie pacienti.</t>
  </si>
  <si>
    <t>Diagnostiskie testi (Molekulārajā laboratorijā ieviesta jaunās paaudzes molekulārās sekvencēšanas iespēja (piemēram, NANOPOR))</t>
  </si>
  <si>
    <t>Diagnostiskie testi (Izvērtēta iespēja PVO 2021 centrālās nervu sistēmas (CNS) audzēju klasifikācijai nepieciešamos diagnostikas testus apmaksāt no valsts līdzekļiem, tai skaitā DNS metilācijas analīzes)</t>
  </si>
  <si>
    <t>63.08.00 "Eiropas Sociālā fonda Plus (ESF+) projektu īstenošana (2021-2027)" (Veselības ministrija)</t>
  </si>
  <si>
    <t>Izstrādāts pacienta  klīniskais ceļš (referral pathway) starp dažādiem aprūpes līmeņiem, lai nodrošinātu skrīninga procesa nepārtrauktību</t>
  </si>
  <si>
    <t>*Eiropas Sociālā fonda (ESF+) finansējuma projekts Nr. 4.1.2.7/1/24/I/001 “Pilnveidot pacientu drošību un aprūpes kvalitāti”.  Finansējums atkarīgs no iepirkuma organizēšanas un rezultāta.</t>
  </si>
  <si>
    <t xml:space="preserve"> Sagatavots valsts organizētā prostatas vēža skrīninga klīniskais ceļš atbilstoši EK rekomendācijām.  </t>
  </si>
  <si>
    <t>Sagatavots valsts organizētā prostatas vēža skrīninga klīniskais ceļš atbilstoši EK rekomendācijām</t>
  </si>
  <si>
    <t>Izstrādātas uz pierādījumiem balstītas vadlīnijas organizēta plaušu vēža skrīninga pilotpētījuma īstenošanai</t>
  </si>
  <si>
    <t>VM, SPKC</t>
  </si>
  <si>
    <t>Sagatavotas uz pierādījumiem balstītas vadlīnijas organizēta kuņģa vēža skrīninga pilotpētījuma veikšanai</t>
  </si>
  <si>
    <t>Izstrādāti algoritmi, nodrošinot valsts apmaksātus nepieciešamos patoloģiskos un molekulārās diagnostikas testus</t>
  </si>
  <si>
    <t>ERAF</t>
  </si>
  <si>
    <t>Ieviesta Biobanku informācijas pārvaldības sistēma (BIMS), kvalitātes kontroles process. BKUS Biobankā ir uzsākta bioloģisko paraugu glabāšana pagaidu saldētavās.</t>
  </si>
  <si>
    <t>Paaugstināta VSIA "Bērnu klīniskā universitātes slimnīca" Patoloģijas laboratorijas darbības efektivitāte, patoloģijas izmeklējumu veikšanai ieviesti un pilnveidoti digitālie risinājumi</t>
  </si>
  <si>
    <t>72.01.00 "Bērnu vēža aprūpes attīstība Latvijā" (Veselības ministrija)</t>
  </si>
  <si>
    <t xml:space="preserve">Latvijas - Šveices sadarbības programma "Bērnu vēža aprūpes attīstība Latvijā" </t>
  </si>
  <si>
    <t>Bērniem nodrošināta piemērotas terapijas izvērtēšana,  atbilstoši audzēja veidam.</t>
  </si>
  <si>
    <t>Latvijas - Šveices sadarbības programma "Bērnu vēža aprūpes attīstība Latvijā"</t>
  </si>
  <si>
    <t>Bērnu, kuri slimo ar onkoloģiskajām slimībām, veselības aprūpe tiek organizēta atbilstoši  starptautiskajās vadlīnijās noteiktajiem principiem,  nākotnē virzoties un pilnvērtīgu šo vadlīniju ieviešanu, arvien paplašinot valsts apmaksāto paklapojumu klāstu.</t>
  </si>
  <si>
    <t>Bērniem un jauniešiem izstrādāta ilgtermiņa uzraudzības programma pēc onkoloģiskās slimības pārslimošanas.</t>
  </si>
  <si>
    <t>Esošā budzēta ietvaros</t>
  </si>
  <si>
    <t>ES programmas "Apvārsnis Eiropa" projekts "Izcilības centrs Precīzijas medicīna pediatrijā"</t>
  </si>
  <si>
    <t xml:space="preserve">Izstrādāta pacienta ziņoto rezultātu sistēmu (tai skaitā PROM) veselības aprūpes pakalpojumu un pēcārstēšanas uzraudzības programmā bērnu vēža pacientiem. </t>
  </si>
  <si>
    <t>Pilnveidota esošā pacienta ziņoto rezultātu sistēma bērnu vecuma vēža diagnozē, aprobējot PROM rīkus pacientu dzīves kvalitātes vērtēšanai.</t>
  </si>
  <si>
    <t xml:space="preserve">Aprobētas un ieviestas noteiktas pacientu ziņoto rezultātu anketas, atbilstoši noteiktām vecuma grupām. </t>
  </si>
  <si>
    <t xml:space="preserve">Izstrādāt datu modeli un IT risinājumu bērnu onkoloģijas programmas efektivitātes un uzlabojumu analīzei un novērtēšanai, problēmu un nepieciešamo uzlabojumu identificēšanai. </t>
  </si>
  <si>
    <t>Datu modelim uzsākta aprobācija ieviešanai pediatrisko pacientu aprūpē.</t>
  </si>
  <si>
    <t xml:space="preserve">Bērniem ar noteiktām diagnozēm, kurām BKUS ir ieviesti klīniskie pētījumu vai protokoli, tiek nodrošināta iespēja iesaistīties tajos. </t>
  </si>
  <si>
    <t>60500*</t>
  </si>
  <si>
    <t>Īstenot mērķtiecīgus sabiedrības informēšanas pasākumus (kampaņu) par alkohola lietošanu kā vienu no onkoloģisko slimību riska faktoriem</t>
  </si>
  <si>
    <t>181 500*</t>
  </si>
  <si>
    <t xml:space="preserve">Īstenot mērķtiecīgus sabiedrības informēšanas pasākums dažādām mērķagrupām par smēķēšanas, t.sk. pasīvās smēķēšanas ietekmi uz veselību </t>
  </si>
  <si>
    <t>38 000*</t>
  </si>
  <si>
    <t>*Latvijas - Šveices sadarbības programmas "Bērnu vēža aprūpes attīstība Latvijā" ietvaros tiek īstenots projekts "Bērnu vēža aprūpes attīstība Bērnu klīniskajā universitātes slimnīcā".   Projekta īstenošanas laikā no 2024.gada 1.oktobra līdz 2029.gada 31.martam norādītais finansējuma apmērs sadalījumā pa gadiem var mainīties, nepārsniedzot kopējo projekta finansējuma summu 8 291 413 CHF (valūtas kursa aprēķins 1 CHF = 1.05 euro ir indikatīvs).</t>
  </si>
  <si>
    <t>Nav attiecināms*</t>
  </si>
  <si>
    <t>Apmācību programmas apstiprinātas normatīvajos aktos paredzētajā kārtībā. Iesaistītie darbinieki apmācīti skrīninga organizācijas un  analīzes jautājumos.</t>
  </si>
  <si>
    <t xml:space="preserve">  Izstrādātas un pilnveidotas esošās vēža skrīninga programmas un vēža skrīninga organizācijā iesaistītie speciālisti apguvuši un pilnveidojuši zināšanas un kompetences skrīninga organizācijas un analīzes jautājumos</t>
  </si>
  <si>
    <t xml:space="preserve"> Organizēta izglītojoša konference primārās veselības aprūpes speciālistiem (ģimenes ārstiem, ginekologiem, vecmātēm u.c. speciālistiem) par valsts organizētā vēža skrīninga aktuālajiem jautājumiem </t>
  </si>
  <si>
    <t>Primārās aprūpes speciālistu izglītošana par klīnisko ceļu "Sarkanā karoga simptomi bērnu onkoloģijā"</t>
  </si>
  <si>
    <t>Izveidots un klīniskajā praksē ieviests onkoloģisko pacientu rehabilitācijas algoritms, kurā paredzēti dažāda veida un intensitātes rehabilitācijas pasākumi un pacientu atbalsta iespējas.  Paplašināts pieejamo tehnisko palīglīdzekļu klāsts dzīves kvalitātes nodrošināšanai</t>
  </si>
  <si>
    <t>1.8.</t>
  </si>
  <si>
    <t>1.7.</t>
  </si>
  <si>
    <t>Vakcinācija pret CPV infekciju tiek nodrošināta no valsts budžeta līdzekļiem arī riska grupas pacientiem (imūnsupresētie pacienti (t.sk. HIV pacienti līdz 55 gadu vecumam),
sievietes pēc dzemdes kakla priekšvēža slimību ķirurģiskas ārstēšanas).</t>
  </si>
  <si>
    <t>1.11.1. Aktualizētas  kvalitātes prasības un rezultatīvie rādītāji pakalpojuma sniedzējiem, kas nodrošina skrīninga mamogrāfijas izmeklējumu veikšanu.</t>
  </si>
  <si>
    <t xml:space="preserve">1.11.2. Veikta krūts vēža skrīninga mamogrāfijas centralizēta lasījuma veikšana noteiktās ārstniecības iestādēs. </t>
  </si>
  <si>
    <t>1.11.3. Izvērtēta  krūts vēža skrīninga  mamogrāfijas centralizēta lasījuma ieviešanas iespēja nacionālā mērogā.</t>
  </si>
  <si>
    <t>1.12.</t>
  </si>
  <si>
    <t>1.13.</t>
  </si>
  <si>
    <t>1.14.</t>
  </si>
  <si>
    <t>1.15.</t>
  </si>
  <si>
    <t>1.16.</t>
  </si>
  <si>
    <t>1.17.</t>
  </si>
  <si>
    <t>1.18.</t>
  </si>
  <si>
    <t>1.19.</t>
  </si>
  <si>
    <t>1.20.</t>
  </si>
  <si>
    <t>1.21.</t>
  </si>
  <si>
    <t>1.22.</t>
  </si>
  <si>
    <t>1.23.</t>
  </si>
  <si>
    <t>1.24.</t>
  </si>
  <si>
    <t>1.25.</t>
  </si>
  <si>
    <t>1.26.</t>
  </si>
  <si>
    <t>3.3.2. Turpināta personalizētās ārstēšanas ieviešana, sekojot precīzijas medicīnas konceptam. Pārskatīta individuālās kompensācijas kārtība.</t>
  </si>
  <si>
    <t>Nodrošināts Latvijas Vēža centra akreditācijas process</t>
  </si>
  <si>
    <t>74.06.00 “Atveseļošanas un noturības mehānisma (ANM) projekti un pasākumi” (Veselības ministrija)</t>
  </si>
  <si>
    <t>46.03.00 "Slimību profilakses nodrošināšana" (Veselības ministrija)</t>
  </si>
  <si>
    <t>33.04.00 "Centralizēta medikamentu un materiālu iegāde" (Veselības ministrija)</t>
  </si>
  <si>
    <t>33.14.00 "Primārās ambulatorās veselības aprūpes nodrošināšana" (Veselības ministrija)</t>
  </si>
  <si>
    <t>46.01.00 "Uzraudzība  un kontrole" (Veselības ministrija)</t>
  </si>
  <si>
    <t>33.16.00 "Pārējo ambulatoro veselības aprūpes pakalpojumu nodrošināšana" (Veselības ministrija)</t>
  </si>
  <si>
    <t>33.15.00 "Laboratorisko izmeklējumu nodrošināšana ambulatorajā aprūpē" (Veselības ministrija)</t>
  </si>
  <si>
    <t xml:space="preserve"> 33.03.00 "Kompensējamo medikamentu un materiālu apmaksāšana" (Veselības ministrija)</t>
  </si>
  <si>
    <t>33.16.00 Pārējo ambulatoro veselības aprūpes pakalpojumu nodrošināšana (Veselības ministrija)</t>
  </si>
  <si>
    <t>33.18.00 "Plānveida stacionāro veselības aprūpes pakalpojumu nodrošināšana" (Veselības ministrija)</t>
  </si>
  <si>
    <t xml:space="preserve"> Izveidot vērtībā balstītu veselības aprūpi krūts vēža ārstēšanā. Pasākums ietver kvalitātes kritēriju modeļa izstrādi, balstoties uz ECIBC ietvaru, pacientu ziņotās pieredzes (PREM) un pacientu ziņoto rezultātu (PROM) anketu izstrādi un novērtēšanu, un pakalpojuma apmaksas modeļa izveidi.</t>
  </si>
  <si>
    <t xml:space="preserve"> Izstrādāta vienota kārtība kādā paaugstināta saslimšanas riska grupas pacienti tiek nosūtīti pie citiem ārstiem speciālistiem.  </t>
  </si>
  <si>
    <t>Sievietēm, kurām  dzemdes kakla vēža skrīninga ietvaros ir konstatēti citi augsta riska CPV tipi, kas nav 16. un 18. tips, nodrošināta atkārtota šķidruma citoloģiju veikšana no valsts budžeta līdzekļiem. Analīze tiek apmaksāta no valsts budžeta līdzekļiem arī gadījumos, ja sieviete vēršas pie maksas ginekologa. Sievietēm, kurām kolposkopijā ar/bez biopsijas konstatē dzemdes kakla LSIL (zema riska) izmaiņas, pēc gada valsts apmaksā augsta riska CPV testēšanu atbilstoši pacienta ceļam.</t>
  </si>
  <si>
    <t>•	Izstrādāts krūts vēža un kolorektālā vēža skrīninga pacienta ceļš.
•	Aktualizēts dzemdes kakla vēža skrīninga pacienta ceļš.   
•	Vēža skrīnings nodrošināts atbilstoši klīniskajam ceļam. Jaunu skrīninga pieeju ieviešana pacienta ceļos, atbilstoši kvalitātes vadlīnijām, ja tās tiek atjaunotas.</t>
  </si>
  <si>
    <r>
      <t>Izstrādāta ilgtermiņa pacientu uzraudzības programma (</t>
    </r>
    <r>
      <rPr>
        <i/>
        <sz val="12"/>
        <color rgb="FF000000"/>
        <rFont val="Times New Roman"/>
        <family val="1"/>
      </rPr>
      <t xml:space="preserve">Late effect Follow-up), </t>
    </r>
    <r>
      <rPr>
        <sz val="12"/>
        <color rgb="FF000000"/>
        <rFont val="Times New Roman"/>
        <family val="1"/>
      </rPr>
      <t xml:space="preserve">pacientiem, kuri izārstēti no ļaundabīga audzēja. </t>
    </r>
  </si>
  <si>
    <t xml:space="preserve">*Pilotprojekts tiek īstenots sekmīgai  Atveseļošanas un noturības mehānisma plāna 4.komponentes “Veselība” 4.3. reformu un investīciju virziena “Veselības aprūpes ilgtspēja, pārvaldības stiprināšana, efektīva veselības aprūpes resursu izlietošana” 4.3.1.r. reformas “Veselības aprūpes ilgtspēja, pārvaldības stiprināšana, efektīva veselības aprūpes resursu izlietošana, kopējā valsts budžeta veselības aprūpes nozarē palielinājums” un 4.3.1.1.i. investīcijas “Atbalsts sekundārās ambulatorās veselības aprūpes kvalitātes un pieejamības novērtēšanai un uzlabošanai” projekta “Veselības aprūpes pakalpojumu modeļu attīstības laboratorija” ietvaros un papildu finansējums nav nepieciešams </t>
  </si>
  <si>
    <r>
      <t>1.  </t>
    </r>
    <r>
      <rPr>
        <sz val="12"/>
        <color rgb="FF000000"/>
        <rFont val="Times New Roman"/>
        <family val="1"/>
      </rPr>
      <t>Visās onkoloģiskā profila slimnīcās tiek veikta pacientu ziņotās pieredzes (PREM) mērīšana un novērtēšana par stacionārā saņemtajiem pakalpojumiem;</t>
    </r>
  </si>
  <si>
    <t>Materiāla sagatavošana, izvietošanai digitālajā platformā (2026.gads: speciālista likme 30 euro*30 stundas * VSAOI (23.59%)) un 2027.gads un turpmāk ik gadu: speciālista likme 30 euro*10 stundas * VSAOI (23.59%))</t>
  </si>
  <si>
    <t>Centrālās nervu sistēmas (CNS )audzēju metilācijas analīzes līdz 20 izmeklējumi gadā + solīdo audzēju metilācijas analīzes līdz 130 izmeklējumi gadā. Pēc šobrīd esošās informācijas cena par vienu izmeklējumu vidēji ir 1000 euro. Aprēķini ir indikatīvi.</t>
  </si>
  <si>
    <t>Metodiskā materiāla satura izstrāde (kvalificēta eksperta stundas likme 30 euro*600 stundas* VSAOI (23.59%))</t>
  </si>
  <si>
    <t>Izmaksas novērtētas pēc līdzīga līmeņa projektiem pakalpojumu tirgū</t>
  </si>
  <si>
    <t xml:space="preserve"> Tehnoloģijas, metodes ieviešana un aprobācija</t>
  </si>
  <si>
    <t>VSIA "Bērnu klīniskā universitātes slimnīca" izveidota pediatrisko paraugu un saistīto datu biobanka</t>
  </si>
  <si>
    <t>Digitālā risinājuma uzturēšana  (tehniskās uzturēšanas un risinājuma papildināšanas izmaksas 500 euro mēnesī + PVN)</t>
  </si>
  <si>
    <t>Digitālā risinājuma izstrāde (IT risinājuma izstrāde - izmaksas orientējoši novērtētas - 25 000 euro + PVN)</t>
  </si>
  <si>
    <t>Ārstniecības un aprūpes speciālistu darba grupa - kompetenču novērtēšanai un deleģējamo uzdevumu izvērtēšanai (augsti kvalificēta eksperta likme 40 euro* kopā 300 stundas + VSAOI (23.59%))</t>
  </si>
  <si>
    <t>*ES programmas "Apvārsnis Eiropa" projekts "Izcilības centrs Precīzijas medicīna pediatrijā",  projekta īstenošanas laiks no 2025.gada 1.janvāra līdz  2030.gada 31.decembrim. Norādītais finansējuma apmērs ir indikatīvs un sadalījumā pa gadiem var mainīties, nepārsniedzot kopējo projekta īstenošanai paredzēto finansējumu.</t>
  </si>
  <si>
    <t>*ES programmas "Apvārsnis Eiropa" projekts "Izcilības centrs Precīzijas medicīna pediatrijā", projekta īstenošanas laiks no 2025.gada 1.janvāra līdz  2030.gada 31.decembrim. Norādītais finansējuma apmērs ir indikatīvs un sadalījumā pa gadiem var mainīties, nepārsniedzot kopējo projekta īstenošanai paredzēto finansējumu.</t>
  </si>
  <si>
    <t>NVD, ārstu profesionālās asociācijas, RAKUS, PSKUS</t>
  </si>
  <si>
    <t>Izveidot klīnisko universitāšu slimnīcu onkoloģijas pacienta datu apmaiņas platformu </t>
  </si>
  <si>
    <t>Radīts starptautiskajiem standartiem atbilstošs onkoloģijas pacientu datu modelis, kurš būs pamats onkoloģijas pacientu datu apstrādei gan katrā klīniskajā universitātes slimnīcā, gan arī koplietošanas platformā. Platforma nodrošina optimāli koordinētu digitālu onkoloģijas pacientu datu apmaiņu klīnisko universitātes slimnīcu ietvaros atbilstoši izstrādātajam datu modelim.</t>
  </si>
  <si>
    <t>Izveidota platforma optimāli koordinētai onkoloģijas pacientu datu apmaiņai klīnisko universitāšu slimnīcu ietvaros un panākta digitalizēta onkoloģijas pacientu ārstniecības un aprūpes datu apmaiņa starp klīniskajām universitātes slimnīcām.</t>
  </si>
  <si>
    <t>2026. gada I pusgads </t>
  </si>
  <si>
    <t>Sagatavoti priekšlikumi un nepieciešamie finanšu aprēķini valsts organizēta plaušu vēža skrīninga pilotprojekta uzsākšanai.</t>
  </si>
  <si>
    <t>LDVC</t>
  </si>
  <si>
    <t>2025. gada II  pusgads</t>
  </si>
  <si>
    <t>Digitalizēt  medicīniskos dokumentus onkoloģijas jomā, piemēram, izrakstus, ordinācijas, ārstēšanas blaknes, patologu aprakstus u.c., izmantojot strukturētus datu laukus.</t>
  </si>
  <si>
    <t>Medicīniskā dokumentācija onkoloģijas jomā pieejama digitālā veidā.</t>
  </si>
  <si>
    <t>2027. gada II pusgads</t>
  </si>
  <si>
    <t xml:space="preserve"> 2027.gada. II pusgads</t>
  </si>
  <si>
    <t xml:space="preserve">4.10.2. Izstrādāts un ieviests sadarbības modelis, kurš ietver – apmācības reģionālo iestāžu ārstiem, pacientu uzraudzības īstenošanu, sadarbību informācijas un dokumentācijas apritē starp BKUS un reģionālajām slimnīcām.   </t>
  </si>
  <si>
    <t>4.9.2. Izveidot klīniskās pētījumu vienības un terapijas protokolu komandas, kuras nodrošina diagnostikas, ārstēšanas un agrīnās pēcārstēšanas uzraudzību pediatriskiem pacientiem noteiktās slimību grupās un veicinot pacientu iesaisti pētījumos.</t>
  </si>
  <si>
    <t>Veselības ministrija</t>
  </si>
  <si>
    <t>Finanšu ministrija</t>
  </si>
  <si>
    <t>33.15.00 "Laboratorisko izmeklējumu nodrošināšana ambulatorajā aprūpē"</t>
  </si>
  <si>
    <t>33.16.00 "Pārējo ambulatoro veselības aprūpes pakalpojumu nodrošināšana"</t>
  </si>
  <si>
    <t>74.06.00 "Atveseļošanas un noturības mehānisma (ANM) projekti un pasākumi"***</t>
  </si>
  <si>
    <t>33.14.00 "Primārās ambulatorās veselības aprūpes nodrošināšana"</t>
  </si>
  <si>
    <t>33.04.00 "Centralizēta medikamentu un materiālu iegāde"</t>
  </si>
  <si>
    <t>46.01.00 "Uzraudzība  un kontrole"</t>
  </si>
  <si>
    <t>62.10.00 “Eiropas Reģionālās attīstības fonda (ERAF) avansa maksājumi un atmaksas finansējuma saņēmējiem (2021 - 2027)”</t>
  </si>
  <si>
    <t>72.01.00 "Bērnu vēža aprūpes attīstība Latvijā"</t>
  </si>
  <si>
    <t>Finansējums valsts pamatfunkciju īstenošanai</t>
  </si>
  <si>
    <t>Finansējums ES politiku instrumentu un pārējās ĀFP līdzfinansēto un finansēto projektu un pasākumu īstenošanai</t>
  </si>
  <si>
    <t>5.10.</t>
  </si>
  <si>
    <t>*Eiropas Savienības Atveseļošanas un noturības mehānisma plāna 2.1.3.1.i. investīcijas projekta "Klīnisko universitāšu slimnīcu onkoloģijas pacienta datu apmaiņas platformas izveide" tiek īstenots atbilstoši Ministru kabineta 2022. gada 14. jūlija noteikumu Nr. 435 "Eiropas Savienības Atveseļošanas un noturības mehānisma plāna 2. komponentes "Digitālā transformācija" 2.1. reformu un investīciju virziena "Valsts pārvaldes, tai skaitā pašvaldību, digitālā transformācija" īstenošanas noteikumi" ietvaros.</t>
  </si>
  <si>
    <t>Onkoloģijas epikrīzes digitalizēšana 
(dokumenta strukturēšana/ekstrakcija; datu apmaiņas realizācija ar Vēža Pacineta karti; datu integrāciju API ar ārstniecības iestāžu informācijas sistēmu, portāla pielāgošana utt.)</t>
  </si>
  <si>
    <t>Konsīliju izrakstu digitalizēšana
(strukturētas datu kopas definēšanas un izveide, datu integrācija API, portāla papildinājumi, ieviešana, integrācijas ar Vadības informācijas sistēmu utt.)</t>
  </si>
  <si>
    <t>Citi ar onkoloģiju saistītu dokumentu digitalizēšana
(patalogu apraksti, elektroniskā veselības karte, ārstēšanas plāni, u.c.)</t>
  </si>
  <si>
    <t>** Finansējumu plānots nodrošināt valsts budžeta līdzekļu ietvaros, ietaupījums atlīdzībā no ilgstošā prombūtnē esošajiem darbiniekiem.</t>
  </si>
  <si>
    <t xml:space="preserve">5% no gada mērķa grupas, kas nav izpildījuši FIT testu </t>
  </si>
  <si>
    <t xml:space="preserve">Testa materiāla sūtīšana uz laboratoriju (tarifs vēstule ar priekšmetu) </t>
  </si>
  <si>
    <t>90% no tiem, kas izvēlējās saņemt pa pastu nosūta pa pastu materiālu uz laboratoriju</t>
  </si>
  <si>
    <t>Rezultātu nosūtīšana</t>
  </si>
  <si>
    <t>Vecākais eksperts</t>
  </si>
  <si>
    <t>Eksperts (zvanu centrā uzaicinot uz kolonoskopiju)</t>
  </si>
  <si>
    <t>IT sistēmas izveide, pielāgošana pilotprojekta vajadzībām</t>
  </si>
  <si>
    <t>Testa komplekta  par testa aizpildīšanu nosūtīšanas sagatavošanas izmaksas un atpakaļsūtīšanas aploksne (nav iekļauta testa komplekta cena)</t>
  </si>
  <si>
    <t>Tiem, kas nosūtīja materiālu pa pastu, nosūtīs rezultātu pa pastu</t>
  </si>
  <si>
    <t xml:space="preserve">VSAOI 23,59%, euro
</t>
  </si>
  <si>
    <t>IT sistēmas izveide</t>
  </si>
  <si>
    <t>2025. gada II pusgads</t>
  </si>
  <si>
    <t>2026.gada I pusgads</t>
  </si>
  <si>
    <t>2026. gada II. pusgads</t>
  </si>
  <si>
    <t>2027.gada II pusgads</t>
  </si>
  <si>
    <t>2027. gada I pusgads</t>
  </si>
  <si>
    <t>2026. gada II. pusgads</t>
  </si>
  <si>
    <t>2026. gada II ceturksnis</t>
  </si>
  <si>
    <t>2027.gada II psugads</t>
  </si>
  <si>
    <t xml:space="preserve"> 2027.gada II pusgads</t>
  </si>
  <si>
    <t>2027.gada II.pusgads</t>
  </si>
  <si>
    <t>2027. gads II pusgads</t>
  </si>
  <si>
    <t xml:space="preserve">RAKUS metodiskās vadības institūcija onkoloģijas jomā, Latvijas Ginekologu un dzemdību speciālistu asociācija, Latvijas Onkoginekologu asociācija, SPKC </t>
  </si>
  <si>
    <t>NVD, LU,
RSU, RAKUS metodiskās vadības institūcija onkoloģijas jomā,</t>
  </si>
  <si>
    <t>Pielikums Nr. 3.8.</t>
  </si>
  <si>
    <r>
      <t xml:space="preserve">Balstoties uz Latvijas Ginekologu un dzemdību speciālistu asociācijas sniegto informāciju, aizvietojot šķīduma citoloģiju ar augsta riska CPV noteikšanu, apmēram, par 60% samazinātos kolposkopiju skaits šajā grupā, jo tas ir procents, kam gada laikā augsta riska CPV var eliminēties. Tas nozīmē, ka 60% no 1248 pacientiem būs negatīvs rezultāts (60% pacientu netiks veiktas kolposkopijas), bet 40% pozitīvs. Balstoties uz Dzemdes kakla vēža skrīninga vadlīnijām, neatkarīgi no izmeklējuma rezultāta (pozitīvs vai negatīvs), izmeklējumu </t>
    </r>
    <r>
      <rPr>
        <u/>
        <sz val="10"/>
        <color rgb="FF000000"/>
        <rFont val="Times New Roman"/>
        <family val="1"/>
      </rPr>
      <t>obligāti nepieciešams veikt divas reizes</t>
    </r>
    <r>
      <rPr>
        <sz val="10"/>
        <color rgb="FF000000"/>
        <rFont val="Times New Roman"/>
        <family val="1"/>
      </rPr>
      <t xml:space="preserve"> </t>
    </r>
    <r>
      <rPr>
        <u/>
        <sz val="10"/>
        <color rgb="FF000000"/>
        <rFont val="Times New Roman"/>
        <family val="1"/>
      </rPr>
      <t>(pēc 12 un 24 mēnešiem) visiem 1248 pacientiem</t>
    </r>
    <r>
      <rPr>
        <sz val="10"/>
        <color rgb="FF000000"/>
        <rFont val="Times New Roman"/>
        <family val="1"/>
      </rPr>
      <t>.</t>
    </r>
  </si>
  <si>
    <t>63.08.00 "Eiropas Sociālā fonda Plus (ESF+) projektu īstenošana (2021-2027)"</t>
  </si>
  <si>
    <t>LDVC, NVD</t>
  </si>
  <si>
    <t>*Attiecīgais finansējums ir indikatīvs un var mainīties precizējot Eiropas Savienības kohēzijas politikas programmas 2021.–2027. gadam 4.1.1.4. pasākums "Veselības aprūpes pārvaldības sistēmas stiprināšana un digitalizācija, attīstot digitālos risinājumus" projektā "Digitālās veselības papildināšana" iekļaujamos uzdevumus.</t>
  </si>
  <si>
    <t>*Projekta "Izcilības centrs Precīzijas medicīna pediatrijā" dalības nosacījums paredz papildu nepieciešamo publisko līdzfinansējuma apjomu, kam jābūt ne mazākam kā apstiprinātā finansējuma apjoms. Projekta papildu nepieciešamais publiskā finansējuma ieguldījums ir ziedojums, kas tiks saņemts saskaņā ar Ministru kabineta 2021. gada 1. decembra rīkojumu Nr. 908 "Par ziedojuma pieņemšanu valsts sabiedrības ar ierobežotu atbildību ''Bērnu klīniskā universitātes slimnīca'' veselības aprūpes attīstības centra izveidei" (prot. Nr. 78 61. §). Projekta īstenotājs (valsts sabiedrība ar ierobežotu atbildību "Bērnu klīniskā universitātes slimnīca") ārvalstu finanšu palīdzības daļu projekta īstenošanai saņem tieši no Eiropas Komisijas, kā arī valsts budžeta līdzfinansējums šī projekta īstenošanai nav nepieciešams, apakšprogramma finansējuma ieplānošanai šajā gadījumā Veselības ministrijas ietvaros netiek paredzēta.</t>
  </si>
  <si>
    <t>Bērniem, kuri slimo ar onkoloģiskām slimībām, pieejama no valsts budžeta līdzekļiem apmaksāta CAR T-cell terapija atbilstoši noteiktiem kritērijiem</t>
  </si>
  <si>
    <t xml:space="preserve">Katrai lokalizācijai tās ir nedaudz atsķirīgas. Vidējās vienas starošanas kursa izmaksas ir robežās no 40 000 - 50 000 euro. Aprēķinos: 45 000 euro x 4 bērni. Katrā nākamajā gadā summa tiek indeksēta par 2.5%, kas atbilst normālam tautsaimniecības pieauguma līmenim. </t>
  </si>
  <si>
    <t>Vidējās vienas CAR T - cell terapijas kursa izmaksas ir 150 000 euro. Aprēķinos: 150 000 euro x 2 bērni.</t>
  </si>
  <si>
    <t>Sēklinieka implanta implantācija</t>
  </si>
  <si>
    <t>2.4.2.     Izstrādāts procesa plāns pakalpojuma ieviešanā un izvērtētas iespējas pasākuma īstenošanai pilotprojekta formā, izmantojot pieejamos resursus pakalpojuma nodrošināšanai izvēlētā ārstniecības iestādē.</t>
  </si>
  <si>
    <t>Izstrādāts pakalpojuma ietvars, kas ir kvalitatīvs, efektīvs un orientēts uz pacienta vajadzībām. Pakalpojuma ietvaros attīstītie risinājumi, kas ietver kvalitātes novērtēšanu, pacientu ziņoto pieredzi un jauna apmaksas modeļa izstrādi - piemaksa par rezultātu, veidos pamatu vērtībā balstītu veselības aprūpes pakalpojumu attīstībā.</t>
  </si>
  <si>
    <t>Nodrošināta jauna pakalpojuma izstrādātā ietvara testēšana, kur pakalpojums ir kvalitatīvs, efektīvs un orientēts uz pacienta vajadzībām.</t>
  </si>
  <si>
    <t>2026. gada II pusgads </t>
  </si>
  <si>
    <t>Veselības aprūpes pakalpojumu sniedzējiem nodrošināta pieeja Vēža reģistrā iekļautajiem datiem.</t>
  </si>
  <si>
    <t>Veselības aprūpes pakalpojumu sniedzējiem un pētniekiem pieejami dati dažādos griezumos.</t>
  </si>
  <si>
    <t>VM, LDVC</t>
  </si>
  <si>
    <t xml:space="preserve">Izvērtēta iespēja izveidot darba grupu ar mērķi pilnveidot  bērnu onkoloģijas pacientiem nepieciešamo veselības aprūpes pakalpojumu pieejamības uzlabošanai. </t>
  </si>
  <si>
    <t>Sagatavoti priekšlikumi veselības aprūpes pakalpojumu apmaksas kārtības precizēšanai un pilnveidošanai (tajā skaitā nepieciešamo valsts budžeta finanšu līdzekļu aprēķini,) lai jauniešiem līdz 24 gadu vecumam nodrošinātu valsts apmaksātu pēctecīgu veselības aprūpes pakalpojumu pieejamību, ja vēža ārstēšana ir uzsākta līdz pilngadības sasnieģsanai.</t>
  </si>
  <si>
    <t>Sagatavoti priekšlikumi darba grupas izveidošanai  un pozitīva lēmuma gadījumā izveidota darba grupa.</t>
  </si>
  <si>
    <t xml:space="preserve">Sagatavoti priekšlikumi grozījumiem MK noteikumos Nr.555 "Veselības aprūpes pakalpojumu organizēšanas un samaksas kārtība" paredzot kārtību, ka aizdomu gadījumā par onkoloģisku slimību nosūtījumu uz “zaļo koridoru” pie onkologa var izsniegt arī ārsts speciālists, kurš nav līgumattiecībās  ar NVD. </t>
  </si>
  <si>
    <t xml:space="preserve">Nodrošināts pakalpojums 182 ambulatorajiem pacientiem </t>
  </si>
  <si>
    <t>Pacientiem, kuri ir pārlimojuši uroloģiskos audzējus, pēc aktīvās ārstēšanas fāzes, nodrošināta piekļuve rehabilitācijas un rekonstruktīvām operācijām.</t>
  </si>
  <si>
    <t>RAKUS, PSKUS</t>
  </si>
  <si>
    <t>NVD, RAKUS metodiskās vadības institūcija onkoloģijas jomā, ārstniecības personu profesionālās asociācijas</t>
  </si>
  <si>
    <t>Izvērtēta iespēja paplašināt apmaksas nosacījumus dzemdes kakla vēža skrīninga ietvaros apmaksāt atkārtotu šķidruma citoloģiju veikšanu (tajā skaitā augsta riska CPV tipu noteikšanu) no valsts budžeta līdzekļiem</t>
  </si>
  <si>
    <t>** BRCA1 un BRCA2 gēnu testēšanas nozīme pēdējos gados tiek atzīta arī uroloģisko audzēju diagnostikā un ārstēšanā, īpaši urīnpūšļa, prostatas un nieru audzēju gadījumos šo gēnu testēšana nodrošina savlaicīgu slimības diagnostiku, papildus finansējuma piešķīruma gadījumā tiktu precizēts manipulācijas nosaukums</t>
  </si>
  <si>
    <t>Plānotais pacientu skaits 2027. gadā un turpmāk ik gadu*</t>
  </si>
  <si>
    <t>Pārskatīts un aktualizēts kontrasta ultrasonogrāfijas tarifs</t>
  </si>
  <si>
    <t>**aprēķinos iekļauti izdevumi atlīdzībai 1 brigādei (7 amata vietas)</t>
  </si>
  <si>
    <t>Metodiskā materiāla satura izstrāde (augsti kvalificēta eksperta stundas likme 40 euro*250 stundas * VSAOI (23.59%))</t>
  </si>
  <si>
    <t>Materiāla papildināšana (augsti kvalificēta eksperta stundas likme 40 euro*50 stundas* VSAOI (23.59%))</t>
  </si>
  <si>
    <t>**Pasākumu, kam finansējums ir norādīts nulle "0", īstenošanai nepieciešamais finansējums nav precīzi aprēķināms un tiks nodrošināts piešķirto līdzekļu ietvaros.</t>
  </si>
  <si>
    <t>Onkoloģisko slimību datu platformas risinājumu pilnveidošana un pētniecība</t>
  </si>
  <si>
    <t xml:space="preserve">Apzināt priekšvēža saslimšanu ārstēšanai nepieciešamās tehnoloģijas/medikamentus. </t>
  </si>
  <si>
    <t>Visās universitātes slimnīcās pilnveidots pacientu un pakalpojumu koordinatoru ieviešanas modelis.</t>
  </si>
  <si>
    <t>Pacientiem ar priekšvēža saslimšanu attālināta vai novērsta vēža attīstība.</t>
  </si>
  <si>
    <t>Pacients saņem savlaicīgu un kvalitatīvu informāciju gan par slimības diagnosticēšanas, gan ārstēšanas procesu.</t>
  </si>
  <si>
    <r>
      <t xml:space="preserve">1.  </t>
    </r>
    <r>
      <rPr>
        <sz val="12"/>
        <color rgb="FF000000"/>
        <rFont val="Times New Roman"/>
        <family val="1"/>
      </rPr>
      <t>Novērtēti rezultāti un pārskatīti validētie un pielāgotie rīki (t.i. dažādas mērījumu skalas gan vispārīgie PROM, gan diagnožu specifiskie)</t>
    </r>
    <r>
      <rPr>
        <sz val="12"/>
        <color theme="1"/>
        <rFont val="Times New Roman"/>
        <family val="1"/>
      </rPr>
      <t>.</t>
    </r>
  </si>
  <si>
    <r>
      <t>2. </t>
    </r>
    <r>
      <rPr>
        <sz val="12"/>
        <color rgb="FF000000"/>
        <rFont val="Times New Roman"/>
        <family val="1"/>
      </rPr>
      <t>Sagatavoti priekšlikumi izvēlēto krūts vēža PROM rīku ieviešanai nacionālā līmenī, tajā skaitā par nepieciešamajiem personāla resursiem un  tehniskajiem risinājumiem</t>
    </r>
    <r>
      <rPr>
        <sz val="12"/>
        <color theme="1"/>
        <rFont val="Times New Roman"/>
        <family val="1"/>
      </rPr>
      <t>.</t>
    </r>
  </si>
  <si>
    <r>
      <t xml:space="preserve">1.  </t>
    </r>
    <r>
      <rPr>
        <sz val="12"/>
        <color rgb="FF000000"/>
        <rFont val="Times New Roman"/>
        <family val="1"/>
      </rPr>
      <t>Sagatavotas rekomendācijas un noteiktas prioritātes pacientu pieredzes uzlabošanai stacionārā</t>
    </r>
    <r>
      <rPr>
        <sz val="12"/>
        <color theme="1"/>
        <rFont val="Times New Roman"/>
        <family val="1"/>
      </rPr>
      <t>.</t>
    </r>
  </si>
  <si>
    <t>3. Izstrādāt un ieviest PREM sistēmu datu salīdzināšanai starp slimnīcām.</t>
  </si>
  <si>
    <r>
      <t>2.  </t>
    </r>
    <r>
      <rPr>
        <sz val="12"/>
        <color rgb="FF000000"/>
        <rFont val="Times New Roman"/>
        <family val="1"/>
      </rPr>
      <t>20% no stacionārā ārstētajiem pacientiem sniedz PREM vērtējumu</t>
    </r>
    <r>
      <rPr>
        <sz val="12"/>
        <color theme="1"/>
        <rFont val="Times New Roman"/>
        <family val="1"/>
      </rPr>
      <t>;</t>
    </r>
  </si>
  <si>
    <t>Ieviest modernākas un precīzākas diagnostikas metodes uroloģijas jomā.</t>
  </si>
  <si>
    <t>Uroloģisko vēžu savlaicīgākai atklāšanai nodrošināti specifiski biomarķieru testi un daudzparametru magnētiskā rezonanse, lai precīzāk noteiktu slimības stadijas un izvērtētu terapijas iespējas.</t>
  </si>
  <si>
    <t>Nodrošināts pakalpojums 90 pacientiem.</t>
  </si>
  <si>
    <t>Pārskatīt veselības aprūpes pakalpojumu onkoloģijā saņemšanas vietu kartējumu.</t>
  </si>
  <si>
    <t>Izstrādāti priekšlikumi pakalpojumu pieejamības pilnveidošanai.</t>
  </si>
  <si>
    <t>Pārskatīt veselības aprūpes pakalpojumu saņemšanas kārtību "zaļā koridora" un “dzeltenā koridora”  ietvaros.</t>
  </si>
  <si>
    <t xml:space="preserve">Pilnveidota kārtība kādā onkoloģiskie pacienti var saņemt veselības aprūpes pakalpojumus "zaļā koridora" un “dzeltenā koridora”  ietvaros. </t>
  </si>
  <si>
    <t xml:space="preserve">Pacientiem nodrošināta iespēja saņemt nepieciešamos veselības aprūpes pakalpojumus  "zaļā koridora" un “dzeltenā koridora” ietvaros. </t>
  </si>
  <si>
    <t>Definētas izmeklējamo pacientu grupas, rekomendēto izmeklējumu veikšanas vecuma robežas un intervāli, kā arī izvērtēta ietekme uz budžetu.</t>
  </si>
  <si>
    <t>Sniegt atbalstu pētījumiem personalizēta skrīninga ieviešanai, t.sk. paaugstināta saslimšanas riska grupās ar onkoloģiskām slimībām.</t>
  </si>
  <si>
    <t>Izstrādāti ieteikumi personalizēta skrīninga modifikāciju ieviešanai klīniskajā praksē (atkārtotu un kontroles izmeklējumu veikšanai).</t>
  </si>
  <si>
    <t xml:space="preserve">Nodrošināta valsts apmaksāta ģenētiķa konsultācija personām, kas ietilpst paaugstināta saslimšanas riska grupā.  </t>
  </si>
  <si>
    <t>Iesaistes plānošana starptautiskajā sadarbībā Eiropas digitālo vēža attēlu infrastruktūras veidošanā un attīstīšanā (EDIC).</t>
  </si>
  <si>
    <t>Veikta izpēte par vienotu datu standartu piemērošanas iespējām Latvijas vēža attēlu datu apritē, kas ļaus uzlabot pakalpojumu kvalitāti Latvijas pacientiem un datu apmaiņas iespēju potenciālu ar citām ES valstīm.</t>
  </si>
  <si>
    <t xml:space="preserve">Sagatavoti priekšlikumi par vienotu standartu piemērošanas iespējām vēža attēlu datu apritē. </t>
  </si>
  <si>
    <t>Veikt organizēta vēža skrīninga izmaksu efektivitātes pētījumus.</t>
  </si>
  <si>
    <t>Veikta izmaksu-efektivitātes analīze (optimāli – modelēšanas analīze) dažādu skrīninga modifikāciju izmantošanai Latvijas apstākļos. Analīze veicama uz starptautiskas pieredzes pamata, eventuāli – piesaistot papildus starptautsko ekspertīzi un finansējumu.</t>
  </si>
  <si>
    <t>Veiktās analīzes rezultāti ļaus optimāli plānot finanšu līdzekļu ieguldījumus sistēmā izmaksu-efektīvākā rezultāta sasniegšanai.</t>
  </si>
  <si>
    <t>Izvērtēt citu ļaundabīgo audzēju skrīninga programmu ieviešanu, atbilstoši ES rekomendācijām.</t>
  </si>
  <si>
    <t>Izstrādātas uz pierādījumiem balstītas vadlīnijas organizēta plaušu vēža skrīninga pilotpētījuma īstenošanai;</t>
  </si>
  <si>
    <t>Sagatavotas uz pierādījumiem balstītas vadlīnijas organizēta kuņģa vēža skrīninga pilotpētījuma veikšanai.</t>
  </si>
  <si>
    <t>Integrēt pētniecības aktivitātes skrīninga programmās, lai uzlabotu to efektivitāti.</t>
  </si>
  <si>
    <t>Iesaistīt pētniecības institūcijas, lai novērtētu skrīninga programmu efektivitāti.</t>
  </si>
  <si>
    <t>Pētniecības komponente iekļauta  skrīninga programmās un analizēti rezultāti. Uzlabotas skrīninga programmas, balstoties uz pētījumu rezultātiem un efektivitātes analīzi.</t>
  </si>
  <si>
    <t>Sagatavots plāns nepieciešamo apmācību un tālākizglītības apmācību veikšanai.</t>
  </si>
  <si>
    <t>Primārās aprūpes sniedzējiem sniegta informācija par aktuālajiem valsts organizētā vēža skrīninga jautājumiem.</t>
  </si>
  <si>
    <t>Izstrādāt un īstenot sabiedrības informēšanas stratēģiju par vēža skrīningu.</t>
  </si>
  <si>
    <t>Izstrādāts plāns sabiedrības informēšanai par vēža skrīningu.</t>
  </si>
  <si>
    <t>Organizētas informatīvās kampaņas ar palielinātu sabiedrības līdzdalību un veicināta sabiedrības izpratne par vēža skrīninga nozīmi.</t>
  </si>
  <si>
    <t>Uzlabot vēža skrīninga 2. etapa izmeklējumu  pieejamību.</t>
  </si>
  <si>
    <t>Visu vēža skrīninga programmu 2. etapa izmeklējumi pieejami paātrinātā kārtībā.</t>
  </si>
  <si>
    <t>Pamatojoties uz Latvijas epidemioloģiskajiem datiem, nepieciešamā pakalpojuma pieejamības analīzi, kā arī EK vadlīnijās iekļautos principus prostatas vēža skrīningam, izstrādāt ieteikumus organizēta prostatas vēža skrīninga ieviešanai.</t>
  </si>
  <si>
    <t xml:space="preserve"> Pārskatīt krūts vēža skrīninga stratēģiskā iepirkumā noteiktās kvalitātes prasības un rezultatīvos rādītājus ārstniecības iestādēm, kas sniedz skrīninga mamogrāfijas pakalpojumus.</t>
  </si>
  <si>
    <t>Izstrādātas vienotas prasības pakalpojuma sniedzējiem. Sagatavota aktualizēta stratēģiskā iepirkuma dokumentācija un nodrošināta stratēģiskā iepirkuma veikšana.</t>
  </si>
  <si>
    <t>Sagatavots ziņojums par krūts vēža skrīninga mamogrāfijas centralizēta lasījuma veikšanas rezultātiem.</t>
  </si>
  <si>
    <t>Izstrādāt un uzsākt kvalitātes  nodrošināšanas sistēmas ieviešanu krūts, dzemdes kakla un kolorektālā vēža skrīningam atbilstoši Eiropas vēža skrīninga kvalitātes vadlīnijām.</t>
  </si>
  <si>
    <r>
      <t>1.10.1. Izstrādāts pacienta  klīniskais ceļš (</t>
    </r>
    <r>
      <rPr>
        <i/>
        <sz val="12"/>
        <rFont val="Times New Roman"/>
        <family val="1"/>
      </rPr>
      <t>referral pathway</t>
    </r>
    <r>
      <rPr>
        <sz val="12"/>
        <rFont val="Times New Roman"/>
        <family val="1"/>
      </rPr>
      <t>) starp dažādiem aprūpes līmeņiem, lai nodrošinātu skrīninga procesa nepārtrauktību. Aktualizēts atbilstoši nepieciešamībai;</t>
    </r>
  </si>
  <si>
    <t>1.10.2. Sagatavotas un regulāri atjaunotas (ne retāk kā reizi piecos gados)  jaunākās uz pierādījumiem balstītas vadlīnijas un izmeklējumu protokoli visām vēža skrīninga programmām, pamatojoties uz Eiropas vēža skrīninga kvalitātes vadlīnijām un kvalitātes  nodrošināšanas shēmām;</t>
  </si>
  <si>
    <t>1.10.3. Izveidota sistēma, lai izmērītu un novērtētu vēža skrīninga pakalpojumu atbilstību vadlīnijām. Noteikts budžets skrīninga programmas kvalitātes nodrošināšanas sistēmas ieviešanai;</t>
  </si>
  <si>
    <t>1.10.4. Sagatavots plāns un veiktas regulāras pārbaudes, nodrošināta  skrīninga procesa kvalitātes uzlabošana.</t>
  </si>
  <si>
    <t>Izveidot valsts organizētā vēža skrīninga programmas pārvaldības struktūru.</t>
  </si>
  <si>
    <t>1.9.1. Izveidota  valsts organizētā vēža skrīninga uzraudzības  komisija (padome);</t>
  </si>
  <si>
    <t>1.9.2. Izveidotas padomdevēju struktūras ar mērķi pārraudzīt konkrēto vēža skrīninga programmu, sniegt priekšlikumus un profesionālu atbalstu  valsts organizētā vēža skrīninga programmu pilnveidei.</t>
  </si>
  <si>
    <t>Izveidota konsultatīva struktūra valsts organizētā vēža skrīninga politikas pilnveides un īstenošanas jautājumu risināšanai.</t>
  </si>
  <si>
    <t xml:space="preserve">Paplašināt vakcinācijas grupu pret CPV infekciju. </t>
  </si>
  <si>
    <t>1.8.1. Paplašināta vakcinācija pret CPV infekciju no 18 līdz 25 (ieskaitot) gadiem sievietēm un vīriešiem, kuri iepriekš nav vakcinēti;</t>
  </si>
  <si>
    <t>1.8.2. izvērtēta iespēja vakcinācijas veikšanai riska grupas pacientiem:                                                                                      - imūnsupresētie pacienti (t.sk. HIV pacienti līdz 55 gadu vecumam);
- sievietes pēc dzemdes kakla priekšvēža slimību ķirurģiskas ārstēšanas;</t>
  </si>
  <si>
    <t>1.8.3. Nodrošināta vakcinācijas pret  CPV infekciju  aptveres regulāra uzraudzība.</t>
  </si>
  <si>
    <t xml:space="preserve">Vakcinācija pret CPV infekciju tiek nodrošināta no valsts budžeta līdzekļiem arī sievietēm un vīriešiem līdz 25 gadu (ieskaitot) vecumam.         </t>
  </si>
  <si>
    <t xml:space="preserve">Katru gadu sagatavots pārskats par veikto vakcināciju pret CPV infekciju. </t>
  </si>
  <si>
    <t>Sabiedrības informēšanas pasākumi par valsts apmaksātu vakcināciju pret CPV infekciju.</t>
  </si>
  <si>
    <t>Aktualizēta onkoloģisko slimību profilakses nozīme.</t>
  </si>
  <si>
    <t>Katru gadu veikti sabiedrības informēšanas un izglītošanas pasākumi par vakcināciju pret CPV infekciju.</t>
  </si>
  <si>
    <t>Īstenot izglītojošus pasākumus par onkoloģisko slimību agrīnu diagnostiku un ārstēšanu, pievēršot uzmanību krūšu, kolorektālajam, plaušu, ādas, priekšdziedzera vēzim u.c. izplatītajām onkoloģiskajām slimībām,  tādējādi mazinot priekšstatu par vēzi kā neārstējamu slimību.</t>
  </si>
  <si>
    <t>Īstenot apmācības ārstniecības personām  par smēķēšanas ietekmi uz veselību un terapijas iespējām, iekļaujot smēķēšanas atmešanas ārstniecības pamatprincipus.</t>
  </si>
  <si>
    <t>Uzlabojušās ārstniecības personu zināšanas par smēķēšanas ietekmi uz veselību un smēķēšanas atmešanas ārstniecības pamatprincipiem.</t>
  </si>
  <si>
    <t>Īstenotas apmācības ārstniecības personām  par smēķēšanas ietekmi uz veselību, nikotīna atkarīgu pacientu diagnosticēšanu, metodēm, smēķētāju motivēšanu pārtraukt smēķēšanu un terapijas metodēm.</t>
  </si>
  <si>
    <t>Paaugstinājusies sabiedrības izpratne par smēķēšanas ietekmi uz veselību.</t>
  </si>
  <si>
    <t xml:space="preserve">Īstenoti mērķtiecīgi sabiedrības informēšanas pasākumi (kampaņa) par visu veidu smēķēšanas produktu, t.sk. pasīvās smēķēšanas ietekmi uz veselību, kā arī pasīvās smēķēšanas ietekmi uz veselību. </t>
  </si>
  <si>
    <t xml:space="preserve">Nodrošināt smēķēšanas atmešanas atbalsta grupu darbību iedzīvotājiem. </t>
  </si>
  <si>
    <t>Palielinājusies smēķēšanas atmešanas pakalpojumu pieejamība iedzīvotājiem.</t>
  </si>
  <si>
    <t>Aktualizēta 2019.gadā izstrādā apmācību programma un materiāli atbalsta grupu vadītājiem/dalībniekiem.
Apmācīti speciālisti atbalsta grupu vadīšanai.
Nodrošinātas bezmaksas atbalsta grupas iedzīvotājiem t.sk. specifiskās vietās, piemēram, ārstniecības iestādēs un ieslodzījumu vietās.</t>
  </si>
  <si>
    <t>Paaugstinājusies sabiedrības izpratne par alkohola lietošanas saistību ar vēža attīstības risku.</t>
  </si>
  <si>
    <t>Īstenot sabiedrības informēšanas, izglītošanas un profilakses pasākumus, ņemot vērā dzimumu atšķirības, onkoloģisko slimību riska faktoru izplatības un ietekmes uz veselību mazināšanai (sauļošanās, krūšu pašpārbaude u.c.).</t>
  </si>
  <si>
    <t>Samazinājusies onkoloģisko slimību riska faktoru izplatība un ietekme uz sabiedrības veselību.</t>
  </si>
  <si>
    <t>2.4.1. Izstrādāts vērtībās balstītās veselības aprūpes krūts vēža ārstēšanas ietvars, iekļaujot kvalitātes novērtēšanu, pacientu ziņoto pieredzi un jauna apmaksas modeļa izstrādi. Apzināti nepieciešamie resursi un veikta finanšu ietekmes novērtēšana pasākuma īstenošanai;</t>
  </si>
  <si>
    <t>3.3.1. Divu gadu laikā apmaksāti izmaksu efektīvie medikamenti, kuri ir gaidīšanas rindā, turpmāk plānojot budžetu un iekļaujot tekošā gada ietvaros;</t>
  </si>
  <si>
    <t>Nodrošināts, ka visi izmaksu efektīvie gaidīšanas sarakstā esošie jaunie onkoloģijas medikamenti un medikamenti kompensācijas nosacījumu paplašināšanai ir iekļauti KZS.</t>
  </si>
  <si>
    <t>Nepieciešamais papildus finansējums katram gadam tiek plānots, ņemot vērā nepieciešamos laboratoriskos izmeklējumus;</t>
  </si>
  <si>
    <t>Izstrādāti kritēriji precīzijas medicīnas konceptam KZS;</t>
  </si>
  <si>
    <t>Veikti regulāri auditi.</t>
  </si>
  <si>
    <t>Izstrādāti algoritmi, nodrošinot valsts apmaksātus nepieciešamos patoloģiskos un molekulārās diagnostikas testus.</t>
  </si>
  <si>
    <t>Ārsti, māsas, ārsta palīgi un funkcionālie speciālisti apguvuši neformālās izglītības programmu par rehabilitāciju onkoloģiskiem pacientiem akūtās, subakūtās un ilgtermiņa rehabilitācijas periodā.</t>
  </si>
  <si>
    <t>Uzlabot rehabilitācijas pakalpojumu pieejamību mērķa grupai, nodrošinot sniegto pakalpojumu apmaksu virs kvotas.</t>
  </si>
  <si>
    <t>Atbilstoši vajadzībām nodrošināts rehabilitācijas pakalpojums mērķa grupai.</t>
  </si>
  <si>
    <t>Pacientiem, kuriem plānota staru terapija, radikāla ķirurģija, saglabāta iespēja radīt pēcnācējus.</t>
  </si>
  <si>
    <t>222 pacienti saņēmuši pakalpojumu.</t>
  </si>
  <si>
    <t>Vienotas metodoloģiskās vadības ieviešana onkoloģijas jomā.</t>
  </si>
  <si>
    <t>Uzlabot onkoloģisko pacientu ar potenciāli kardiotoksisku terapiju aprūpi (apmēram 900 pacienti gadā).</t>
  </si>
  <si>
    <t>Onkoloģiskajiem pacientiem ar potenciāli kardiotoksisku terapiju nodrošināti šādi izmeklējumi:
1.	Ehokardiogrāfijas kontrole (izmeklējums uzsākot terapiju un kontrole terapijas laikā) - 1800 izmeklējumi gada laikā 
2.	Analīzes (NT-proBNP un augsti jutīgais troponīns) - 1000 izmeklējumi gada laikā
3.	Kardiologa konsultācijas ~ 1500 konsultācijas gada laikā.</t>
  </si>
  <si>
    <t>Pacientiem pieejama saprotama informācija.</t>
  </si>
  <si>
    <t>Pilnveidot krūts rekonstruktīvās ķirurģijas pakalpojumus krūts vēža pacientiem.</t>
  </si>
  <si>
    <t>Attīstīt radionukleīdo diagnostiku un terapiju un kontrasta ultrasonogrāfijas pieejamību Latvijā.</t>
  </si>
  <si>
    <t>Veikta medicīnisko dokumentu digitalizācija onkoloģijas jomā, izmantojot strukturētus datu laukus.</t>
  </si>
  <si>
    <t>Nodrošināt iespēju saņemt nepieciešamos datus, lai ieviestu vērtībās balstītu apmaksas modeli zāļu iegādes kompensācijas sistēmā.</t>
  </si>
  <si>
    <t>Skrīninga datu pieejamības nodrošināšana e-veselības sistēmā.</t>
  </si>
  <si>
    <t>Skrīninga uzaicinājumu, atgādinājumu,  veikto un kavēto izmeklējumu automātiska atspoguļošana e-veselības sistēmā. Brīdinājumu veidošana par neveiktajiem izmeklējumiem.</t>
  </si>
  <si>
    <t>Iedzīvotājiem un viņu ģimenes ārstiem pieejami skrīninga procesa dati E-veselības sistēmā.</t>
  </si>
  <si>
    <t>Ieviest datu iegūšanas procesu no skrīninga visos etapos iesaistītajām institūcijām.</t>
  </si>
  <si>
    <t>Uzsākta regulāra datu iegūšana no skrīningā iesaistītajām institūcijām, tādējādi nodrošinot ES prasībām atbilstošu datu ieguvi.</t>
  </si>
  <si>
    <t>Pieejami un apmaināmi ar Eiropas Vēža informācijas sistēmu vismaz 80% no indikatoriem krūts, dzemdes kakla un kolorektālā vēža skrīningam.</t>
  </si>
  <si>
    <t>Nodrošināta  informācijas aprite atbilstoši ES kvalitātes kritērijiem krūts, dzemdes kakla un kolorektālajam vēzim.</t>
  </si>
  <si>
    <t>Izstrādāt rekomendācijas informācijas sistēmas attīstīšanai, lai uzraudzītu, novērtētu un uzlabotu vēža skrīninga programmas.</t>
  </si>
  <si>
    <t>Sagatavots izvērtējums par funkcionalitāti un kapacitāti, sniegti priekšlikumi vēža skrīninga datu bāzes risinājumiem un tā integrācijai ar vēža reģistru.</t>
  </si>
  <si>
    <t>Ir sagatavota tehniskā specifikācija skrīninga reģistram.</t>
  </si>
  <si>
    <t>Bērnu onkoloģijas jomas pilnveidošanai tiek izveidotas pētnieku grupas.</t>
  </si>
  <si>
    <t xml:space="preserve">Izveidotas vismaz 2 pētnieku grupas bērnu onkoloģijas jomā. </t>
  </si>
  <si>
    <t>Izstrādāts datu modelis un IT risinājums.</t>
  </si>
  <si>
    <t xml:space="preserve"> Ir nodrošināts pietiekošs cilvēkresursu klāsts bērnu onkoloģijā; </t>
  </si>
  <si>
    <t>Pēctecības pilnveidošana veselības aprūpes pakalpojumu (t.sk. zāļu) nodrošināšanai no valsts budžeta līdzekļiem jauniešiem pēc 18 gadu sasniegšanas (līdz 24 gadu vecumam).</t>
  </si>
  <si>
    <t>Ar onkoloģiskajām slimībām slimojošu bērnu pāreja uz pieaugušo ārstēšanas uzraudzības etapu pēc pilngadības sasniegšanas.</t>
  </si>
  <si>
    <t>4.10.1. Izstrādāti  kritēriji un apmācības programmas darbam ar hematoonkoloģiskiem pediatriskiem pacientiem (piemēram, zema riska febrilu neitropēniju ārstēšana, transfūzijas, atsevišķas nekomplicētas ķīmijterapijas);</t>
  </si>
  <si>
    <t xml:space="preserve">Pilnveidota sadarbība starp BKUS un reģionālajām slimnīcām. </t>
  </si>
  <si>
    <t xml:space="preserve"> 4.9.1. Īstenojamajiem pasākumiem bērnu un pusaudžu onkoloģijā jābūt vērstiem uz to, lai Latvijā bērnu un pusaudžu ar ļaundabīgajiem audzējiem aprūpē tiktu nodrošināta SIOPE, NOPHO, COG un GPOH  organizāciju izstrādāto vadlīniju pilnīga ieviešana;</t>
  </si>
  <si>
    <t>Nodrošināt bērniem ar ļaundabīgajiem audzējiem medikamentus atbilstoši vadlīnijām.</t>
  </si>
  <si>
    <t>Izveidot standarta aprūpes medikamentu sarakstu (anti-neoplastiska terapija un atbalsta medikamenti kā antidoti), kuru pieejamības nepārtrauktība ir jānodrošina.</t>
  </si>
  <si>
    <t>Paplašināt no valsts budžeta apmaksājamo ārstēšanas metožu klāstu.</t>
  </si>
  <si>
    <t>4.7.1. Apzināti visi  nepieciešamie medikamenti, kas iekļauti aktuālajās konkrētās diagnozes ārstēšanas vadlīnijās, un uzturēts aktuāls “vajadzību saraksts”, balstoties pacientu datos;</t>
  </si>
  <si>
    <t>4.4.1. Izvērtēta iespēja PVO 2021 CNS audzēju klasifikācijai nepieciešamos diagnostikas testus apmaksāt no valsts līdzekļiem, tai skaitā DNS metilācijas analīzi solīdajiem audzējiem;</t>
  </si>
  <si>
    <t>4.4.1.1.  Tehnoloģijas, metodes ieviešana un aprobācija;</t>
  </si>
  <si>
    <t>4.4.1.2. Diagnostiskie testi;</t>
  </si>
  <si>
    <t>4.4.2. BKUS Molekulārajā laboratorijā ieviesta jaunās paaudzes molekulārās sekvencēšanas iespēja (NANOPOR);</t>
  </si>
  <si>
    <t>4.4.3. Uzsākta pakāpeniska pāreja no pilnā eksoma sekvencēšanas uz pilnā genoma sekvencēšanu bērnu onkoloģijas pacientiem.</t>
  </si>
  <si>
    <t xml:space="preserve">Izvērtēta iespēja no valsts budžeta līdzekļiem apmaksāt attiecīgos testus un sagatavoti finanšu aprēķini. </t>
  </si>
  <si>
    <t xml:space="preserve">Tehnoloģijas un metodes ieviešana. </t>
  </si>
  <si>
    <t>Pēc tehnoloģiju un metodes aprobācijas izvērtēta iespēja no valsts budžeta līdzekļiem apmaksāt attiecīgos testus.</t>
  </si>
  <si>
    <t>Iegādāta iekārta, kas nodrošina sekvencēšanas iespēju lokāli BKUS.</t>
  </si>
  <si>
    <t>Visiem bērniem ar recidivējošām vai rezistentām onkoloģiskām saslimšanām tiek nodrošināta laicīga pilnā genoma sekvencēšana: 1) Ar ziedotāju (BSF, LBOF) līdzekļu piesaisti nodrošināta pilnā genoma sekvencēšana bērniem ar recidivējošām un rezistentām  onkoloģiskām saslimšanām sākot ar 2025.gada 1.jūliju.</t>
  </si>
  <si>
    <t>Uzlabot BKUS Patoloģijas laboratorijas efektivitāti ieviešot tajā digitālās patoloģijas risinājumus.</t>
  </si>
  <si>
    <t>4.1.1. Izstrādāts klīniskais ceļš primārās aprūpes speciālistiem “Sarkanā karoga simptomi bērnu onkoloģijā”;</t>
  </si>
  <si>
    <t>4.1.2. Primārās aprūpes speciālistu izglītošana par klīnisko ceļu "Sarkanā karoga simptomi bērnu onkoloģijā".</t>
  </si>
  <si>
    <t>100 primārās aprūpes speciālistiem veikta apmācība par sarkanā karoga simptomiem bērnu onkoloģijā.</t>
  </si>
  <si>
    <t>Nodrošināt papildus asins komponentu sagatavošanu onkoloģisko pacientu ķīmijterapijas sekmīgai norisei.</t>
  </si>
  <si>
    <t xml:space="preserve"> Pacientiem, kuriem tiek veikta ķīmijterapija, dienas stacionārā LOC ķīmijterapiju starplaikos nodrošināta asins komponentu pieejamība.                     </t>
  </si>
  <si>
    <t>Pietiekams asins komponentu nodrošinājums LOC dienas stacionārā.</t>
  </si>
  <si>
    <t>Nodrošināt balss aparāta funkcionēšanu un balss protēžu lietošanas risku samazināšanu pacientiem pēc laringektomijas, tajā skaitā pēc balsenes onkoloģiskas saslimšanas.</t>
  </si>
  <si>
    <t xml:space="preserve">Pacientiem pēc laringektomijas nodrošināti aksesuāri un kopšanas piederumi, kas palielinās ievietotās protēzes lietošanas ilgumu un samazinās papildus izdevumus pāragri to mainot, kā arī paaugstinās balss kvalitāti pacientiem un samazinās lietošanas riskus, piemēram, elpceļu iekaisumus. </t>
  </si>
  <si>
    <t>Nodrošināts pakalpojums 82 stacionārajiem pacientiem.</t>
  </si>
  <si>
    <t>Uzdevumu īstenošanai plānotais finansējums atbilstoši likumam "Par valsts budžetu 2025.gadam un budžeta ietvaru 2025., 2026. un 2027.gadam"**</t>
  </si>
  <si>
    <t>Nepieciešamais papildu finansējums**</t>
  </si>
  <si>
    <t>***Radionukleīdais medikaments Lutetium (177 LU) pie neiroendokrīnajiem vēžiem ir iekļauts kopējā aprēķinā pie 3.3.1.pasākuma.</t>
  </si>
  <si>
    <t>3.19.</t>
  </si>
  <si>
    <t>Reto audzēju diagnostika un ārstēšana</t>
  </si>
  <si>
    <t>3.20.</t>
  </si>
  <si>
    <t>Pilnveidot zāļu pieejamību un inovācijas</t>
  </si>
  <si>
    <t>Izvērtēta iespēja pacientiem, kuri slimo ar retajiem audzējiem, nodrošināt ne-inovatīvu ķīmijterapiju un mērķterapiju, inovatīvu terapiju un radiofarmaceitisko terapiju  ar Lutēciju 
Mērķterapijas un imūnterapijas pieejamība pacientiem dažādiem retiem audzējiem (sarkomas u.c.)</t>
  </si>
  <si>
    <t>Ieviest retiem audzējiem molekulāro audzēju diagnostiku (audzēju somatisko profilēšanu) pēc nepieciešamām indikācijām</t>
  </si>
  <si>
    <t>Identificēti reto audzēju specifiski apakštipi, kuriem varētu būt pieejama mērķterapija</t>
  </si>
  <si>
    <t>Sagatavots izvērtējums ar priekšlikumiem attiecīgu medikamentu iekļaušanai KZS reto audzēju ārstēšanai un veikti  finansējuma aprēķini nepieciešamo medikamentu apmaksai no valsts budžeta līdzekļiem, paredzot iespēju aizvietot jebkuru medikamentu esošā finansējuma ietvaros.</t>
  </si>
  <si>
    <t xml:space="preserve">	
Nodrošināt Eiropas references tīklu ekspertu multidisciplināros konsīlijus EUROCAN ietvaros</t>
  </si>
  <si>
    <t xml:space="preserve"> Pacientiem ar retajiem audzējiem nodrošināta biomarķieru noteikšana un molekulārie testi</t>
  </si>
  <si>
    <t>Īstenoti multidisciplinārie konsīliji ar Eiropas ekspertiem</t>
  </si>
  <si>
    <t>Nodrošināta 1 koordinatora slodze onkoģenētikas dienestā un EUROCAN tīklā.</t>
  </si>
  <si>
    <t>Rehabilitācijas pakalpojumi onkoloģiskajiem pacientiem tiek nodrošināti visos reģionos, rindas nepārsniedz 10 dienas no pieraksta dienas..</t>
  </si>
  <si>
    <t>Pārskatīta līgumos ar NVD izveidotā programma un iespējamais piešķiramais finansējums valsts apmaksātu krūts rekonstrukcijas operāciju nodrošināšanai.</t>
  </si>
  <si>
    <t xml:space="preserve"> Pacientiem ar retajiem audzējiem nodrošināta biomarķieru noteikšana un molekulārie testi.</t>
  </si>
  <si>
    <t>Nr.</t>
  </si>
  <si>
    <t>Plānotais pasākums</t>
  </si>
  <si>
    <t>Prognozējamais pacientu/izmeklējumu skaits</t>
  </si>
  <si>
    <t>PCR - MRD*</t>
  </si>
  <si>
    <t>Asparagināzes līmeņa noteikšana*</t>
  </si>
  <si>
    <t>LEA izstrādātie reto endokrīno slimību diagnostiskie testi (Hromogranīns A (CGA) asinīs neiroendokrīno audzēju primārai diagnostikai un terapijas efekta monitorēšanai)**</t>
  </si>
  <si>
    <t>Prognozējamās izmaksas, euro</t>
  </si>
  <si>
    <t>Prognozētais nepieciešamais 
finansējums, euro gadā</t>
  </si>
  <si>
    <t>*Pacientu skaits un izmeklējuma izmaksas balstoties uz VSIA "Bērnu klīniskā universitātes slimnīca" sniegto informāciju Reto slimību plāna 2023-.2025.gada priekšlikuma ietvaros</t>
  </si>
  <si>
    <t>**Pacientu skaits saskaņā ar VSIA "Paula Stradiņa klīniskā universitātes slimnīca" un SIA "Rīgas Austrumu klīniskā universitātes slimnīca" iesniegto, izmeklējuma izmaksas balstoties uz SIA "Rīgas Austrumu klīniskā universitātes slimnīca" iesniegto un maksas cenrādi</t>
  </si>
  <si>
    <t>NGS (reto audzēju DNS diagnostikai)***</t>
  </si>
  <si>
    <t>***SIA "Rīgas Austrumu klīniskā universitātes slimnīca" sniegtie dati</t>
  </si>
  <si>
    <t>Slodze</t>
  </si>
  <si>
    <t>Darba samaksa, euro</t>
  </si>
  <si>
    <t>VSAOI (23.59%), euro</t>
  </si>
  <si>
    <t>Darba samaksa un VSAOI, euro</t>
  </si>
  <si>
    <t>Nodrošināta 1 koordinatora slodze onkoģenētikas dienestā un EUROCAN tīklā</t>
  </si>
  <si>
    <t>Pozīcija</t>
  </si>
  <si>
    <t>Koordinators</t>
  </si>
  <si>
    <t xml:space="preserve"> Ārstiem un funkcionālajiem speciālistiem</t>
  </si>
  <si>
    <t>Ārstniecības un pacientu aprūpes personām un funkcionālo speciālistu asistentiem</t>
  </si>
  <si>
    <t>Ārstniecības un pacientu aprūpes atbalsta personām</t>
  </si>
  <si>
    <t>Laboratorija izsniedz testa komplektu un sistēmā reģistrē izsniegšanas faktu konkrētajai uzaicinātajai personai*</t>
  </si>
  <si>
    <t>Laboratorijai jāizsniedz testa komplekts un sistēmā jāreģistrē izsniegšana, ja piekrīt testa saņemšanai 65% un 30% izvēlas saņemt pa pastu</t>
  </si>
  <si>
    <t>Rezultāta vēstuļu sagatavošana (drukāšana, aploksne)</t>
  </si>
  <si>
    <t>Tiem, kas nosūtīja materiālu pa pastu, nosūtīs rezultātu pa pastu. Rezultāta drukāšanas, aploksnes izmaksas.</t>
  </si>
  <si>
    <t>Kolonoskopiju kvalitātes parametru reģistrācija sistēmā (piemaksa par papildus darbu pie pakalpojuma)*</t>
  </si>
  <si>
    <t>65% atsaucība, 95% nodod testu, 6% no FIT testiem būs pozitīvi un no tiem 90% veic kolonoskopiju, jāveic kvalitātes parametru reģistrācija sistēmā,  lai nodrošinātu rezultātu un to kvalitātes novērtēšanu</t>
  </si>
  <si>
    <t>Pa pastu nosūtāmo materiālu izmaksas un citas papildu izmaksas</t>
  </si>
  <si>
    <t>**Lai nodrošinātu zarnu vēža skrīninga programmas darbības novērtēšanu un kvalitātes indikatoru aprēķināšanu, ir nepieciešams datu platformā reģistrēt datus, kas saistīti ar kolonoskopijas veikšanu un histoloģijas rezultātu. Pilotpētījumā tiek plānota šādas ievades formas izstrāde, datu reģistrācija un rādītāju aprēķināšana.</t>
  </si>
  <si>
    <t>6**</t>
  </si>
  <si>
    <t>*Finansējums ir indikatīvs</t>
  </si>
  <si>
    <t>Katru gadu pārskatīta līgumos ar NVD izveidotā programma krūts rekonstruktīvās ķirurģijas pakalpojumu krūts vēža pacientiem nodrošināšanai, veicot papildus nepieciešamā finansējuma aprēķinu, ņemot vērā plānoto pacientu skaita pieaugumu.</t>
  </si>
  <si>
    <t>*devas - donācijas laikā no viena donora var paņemt 450 ml. asinis, tā skaitās viena asins deva, kurā sadalās uz 3 komponentiem: FEM (filtrēta eritrocītu masa), SSP (svaigi saldēta plazma) un TM (trombocītu masa)</t>
  </si>
  <si>
    <t>Izmaksu veids</t>
  </si>
  <si>
    <t>OncoType analīžu veikšana</t>
  </si>
  <si>
    <t xml:space="preserve"> 39.03.00  "Asins un asins komponentu nodrošināšana" (Veselības ministrija)</t>
  </si>
  <si>
    <t xml:space="preserve">Pilnveidot invazīvās radioloģijas pakalpojumus, neizoperējamu ļaundabīgu audzēju ārstēšanā ieviešot augstas precizitātes robotizētas perkutānās termālās ablācijas metodi. </t>
  </si>
  <si>
    <t>Pilotprojekta ietvaros 50 pacientiem ar neizoperējamu primāru un sekundāru aknu, nieru un kaulu audzēju veikta operācija robotizētās navigācijas kontrolē. Sagatavoti priekšlikumi robotizētās perkutānās termālās ablācijas pakalpojuma apmaksai no valsts budžeta līdzekļiem.</t>
  </si>
  <si>
    <t>Ieviest jaunu molekulāri ģenētisko  testu OncotypeDX personalizētai krūts vēža pacientu ārstēšanas nodrošināšanai Latvijā.</t>
  </si>
  <si>
    <t xml:space="preserve"> Īstenots pilotprojekts  neizoperējamu ļaundabīgu audzēju ārstēšanai izmantojot augstas precizitātes robotizētas perkutānās termālās ablācijas metodi</t>
  </si>
  <si>
    <t>Pacientiem, kuri slimo ar neizoperējamu primāru un sekundāru aknu, nieru un kaulu audzēju, ir iespējams veikt augstas precizitātes robotizēto perkutāno termālo ablāciju, kas ilgtermiņā uzlabos pacientu veselības stāvokli un dzīves kvalitāti</t>
  </si>
  <si>
    <t>Audzēju perkutāna krioablācija (prevalējoši nieru, plaušu, kaulu, primāri un sekundāri ļaundabīgi audzēji)</t>
  </si>
  <si>
    <t>Pacientu skaits</t>
  </si>
  <si>
    <t>*balstoties uz SIA "Rīgas Austrumu klīniskā universitātes slimnīca" sniegtajiem datiem</t>
  </si>
  <si>
    <t>Audzēju perkutāna mikroviļņu vai radiofrekvenču ablācija (aknu, plaušu, kaulu primāri un sekundāri ļaundabīgi audzēji)</t>
  </si>
  <si>
    <t>Plānotais pacientu skaits*</t>
  </si>
  <si>
    <t>Izmaksas, euro*</t>
  </si>
  <si>
    <t xml:space="preserve">Izmaksas, euro </t>
  </si>
  <si>
    <t>Izmeklējuma cena (provizoriska), euro</t>
  </si>
  <si>
    <r>
      <t>Nepieciešamais papildu finansējums 2027.gadā, </t>
    </r>
    <r>
      <rPr>
        <i/>
        <sz val="10"/>
        <color rgb="FF000000"/>
        <rFont val="Times New Roman"/>
        <family val="1"/>
      </rPr>
      <t>euro</t>
    </r>
  </si>
  <si>
    <t>3.3.3. Izstrādāti kritēriji un mehānisms uz rezultātu balstītu līgumu plašākai ieviešanai onkoloģijā.</t>
  </si>
  <si>
    <t>Izstrādāti 2 līgumi pie nosacījuma, ka ir pieejami dati no Vēža reģistra.</t>
  </si>
  <si>
    <t xml:space="preserve"> 39.03.00  "Asins un asins komponentu nodrošināšana"</t>
  </si>
  <si>
    <t>5.6.1. Izstrādāti priekšlikumi grozījumu veikšanai normatīvajos aktos, lai nodrošinātu datu pieejamību veselības aprūpes pakalpojumu sniedzējiem;</t>
  </si>
  <si>
    <t xml:space="preserve">5.6.2. Nodrošināta statistikas datu pieejamība dažādos griezumos, piemēram, par incidenci, morfoloģiju, skrīningu un terapijas uzsākšanu, lai atbalstītu pētniecību un lēmumu pieņemšanu. </t>
  </si>
  <si>
    <t>3.9.2. Nodrošināts Latvijas Vēža centra akreditācijas process.</t>
  </si>
  <si>
    <t>3.10.1. No valsts budžeta līdzekļiem nodrošināti  nepieciešamie izmeklējumi ķīmijterapijas kardio-toksiskās iedarbības novēršanai;</t>
  </si>
  <si>
    <t>3.10.2. Pacienta ceļa izstrāde un apstiprināšana.</t>
  </si>
  <si>
    <t>Pielikums Nr. 3.10.1.</t>
  </si>
  <si>
    <t>3.11.1. Pacientiem, kuri ir pārslimojuši uroloģiskos audzējus, no valsts budžeta līdzekļiem nodrošināta:          1) mākslīgā urīna saturēšanas sfinktera implantācija;         2) endoprotēzes implantācija dzimumloceklī;                     3) sēklinieku implanta implantācija;</t>
  </si>
  <si>
    <t>3.11.2. Pacientiem, kuri ir pārslimojuši uroloģiskos audzējus, no valsts budžeta līdzekļiem nodrošināta    erekcijas funkcijas atjaunošana ar medikamentiem.</t>
  </si>
  <si>
    <t>Pielikums Nr. 3.12.</t>
  </si>
  <si>
    <t>3.13.1. Izvērtēta iespēja veikt  diagnostiku ar Ga68 PET-CT iekārtu neiroendokrīniem audzējiem, un Latvijā esošo radionuklīdu ražošanas Ciklotronu (18 MeV);</t>
  </si>
  <si>
    <t>3.13.2. Pacientiem prostatas un neiroendokrīnu vēžu terapijā nodrošināta ārstēšana ar radionukleīdajiem preparātiem, piemēram, Lutetium (177 Lu) oxodotreotidum un Lutetium (177Lu) vipivotidum tetraxetanum prostatas un neiroendokrīnu vēžu terapijā***;</t>
  </si>
  <si>
    <t>3.13.3. Pārskatīts un aktualizēts kontrasta ultrasonogrāfijas tarifs.</t>
  </si>
  <si>
    <t>3.14.1. Pacientiem pēc laringektomijas veikta balss protēžu nomaiņa;</t>
  </si>
  <si>
    <t>3.14.2. Aksesuāru un kopšanas piederumu nepieciešamība pēc laringektomijas.</t>
  </si>
  <si>
    <t>3.16.2. Krūts vēža pacientiem nodrošināta personalizēta, vērtībās balstīta terapija, ieviešot ģenētisko testu OncotypeDX atbilstoši indikācijām Krūts vēža pacientu klīniskajā ceļā.</t>
  </si>
  <si>
    <t xml:space="preserve">3.17.1. Īstenots pilotprojekts  neizoperējamu ļaundabīgu audzēju ārstēšanai izmantojot augstas precizitātes robotizētas perkutānās termālās ablācijas metodi. </t>
  </si>
  <si>
    <t>3.17.2. Pacientiem, kuri slimo ar neizoperējamu primāru un sekundāru aknu, nieru un kaulu audzēju, ir iespējams veikt augstas precizitātes robotizēto perkutāno termālo ablāciju, kas ilgtermiņā uzlabos pacientu veselības stāvokli un dzīves kvalitāti.</t>
  </si>
  <si>
    <r>
      <t>Nepieciešamais papildu finansējums 2026.gadā, </t>
    </r>
    <r>
      <rPr>
        <i/>
        <sz val="10"/>
        <color rgb="FF000000"/>
        <rFont val="Times New Roman"/>
        <family val="1"/>
      </rPr>
      <t>euro</t>
    </r>
    <r>
      <rPr>
        <sz val="10"/>
        <color rgb="FF000000"/>
        <rFont val="Times New Roman"/>
        <family val="1"/>
      </rPr>
      <t>**</t>
    </r>
  </si>
  <si>
    <r>
      <t>Nepieciešamais papildu finansējums 2027.gadā, </t>
    </r>
    <r>
      <rPr>
        <i/>
        <sz val="10"/>
        <color rgb="FF000000"/>
        <rFont val="Times New Roman"/>
        <family val="1"/>
      </rPr>
      <t>euro</t>
    </r>
    <r>
      <rPr>
        <sz val="10"/>
        <color rgb="FF000000"/>
        <rFont val="Times New Roman"/>
        <family val="1"/>
      </rPr>
      <t>**</t>
    </r>
  </si>
  <si>
    <t>Nepieciešamais papildu finansējums, euro*</t>
  </si>
  <si>
    <t>Nepieciešamais papildu finansējums 2027.gadam un turpmāk ik gadu (ja pasākums nav terminēts), euro</t>
  </si>
  <si>
    <t>Nepieciešamais papildu finansējums 2027. gada II pusgada, euro</t>
  </si>
  <si>
    <t>Nepieciešamais papildu finansējums 2028. gadam un turpmāk ik gadu (ja pasākums nav terminēts), euro</t>
  </si>
  <si>
    <t>Nepieciešamais papildu finansējums 2027.gadam, euro</t>
  </si>
  <si>
    <t>Nepieciešamais papildu finansējums, euro</t>
  </si>
  <si>
    <t>Nepieciešamais papildu finansējums 2027.gadā un turpmāk ik gadu, euro</t>
  </si>
  <si>
    <t>Nepieciešamais papildu finansējums 2026.gadā, euro</t>
  </si>
  <si>
    <t>Nepieciešamais papildu finansējums 2027.gadā, euro</t>
  </si>
  <si>
    <t>Nepieciešamais papildu finansējums 2028.gadā un turpmāk ik gadu, euro</t>
  </si>
  <si>
    <t>Nepieciešamais papildu finansējums 2026.gadā un turpmāk ik gadu, euro</t>
  </si>
  <si>
    <t>4.3.punkta finansējuma ietvaros</t>
  </si>
  <si>
    <t>3.6.1.Izveidots un klīniskajā praksē ieviests onkoloģisko pacientu rehabilitācijas algoritms, kurā paredzēti dažāda veida un intensitātes rehabilitācijas pasākumi un pacientu atbalsta iespējas.  Paplašināts pieejamo tehnisko palīglīdzekļu klāsts dzīves kvalitātes nodrošināšanai;</t>
  </si>
  <si>
    <t>3.6.2.Veikta rehabilitācijas speciālistu apmācība tālākizglītības veidā par onkoloģisko pacientu rehabilitāciju.</t>
  </si>
  <si>
    <t>4.4.2.1. Diagnostiskie testi;</t>
  </si>
  <si>
    <r>
      <t>Paaugstināta VSIA "Bērnu klīniskā universitātes slimnīca" Patoloģijas laboratorijas darbības efektivitāte, patoloģijas izmeklējumu veikšanai ieviesti un pilnveidoti digitālie risinājumi,</t>
    </r>
    <r>
      <rPr>
        <i/>
        <sz val="10"/>
        <color rgb="FF000000"/>
        <rFont val="Times New Roman"/>
        <family val="1"/>
      </rPr>
      <t xml:space="preserve"> t.sk.:                                      4.4.2. BKUS Molekulārajā laboratorijā ieviesta jaunās paaudzes molekulārās sekvencēšanas iespēja (NANOPOR);                                                                                                                                                             4.6.Multi-disciplināras komandas (Tumor-board)  ietvaros izvērtēti audzēju dati un pieņemti korekti lēmumi par atbilstošās audzēja  terapijas izvēli;                                                                                                                    4.9.1. Īstenojamajiem pasākumiem bērnu un pusaudžu onkoloģijā jābūt vērstiem uz to, lai Latvijā bērnu un pusaudžu ar ļaundabīgajiem audzējiem aprūpē tiktu nodrošināta SIOPE, NOPHO, COG un GPOH  organizāciju izstrādāto vadlīniju pilnīga ieviešana;                                                                                            4.9.2. Izveidot klīniskās pētījumu vienības un terapijas protokolu komandas, kuras nodrošina diagnostikas, ārstēšanas un agrīnās pēcārstēšanas uzraudzību pediatriskiem pacientiem noteiktās slimību grupās un veicinot pacientu iesaisti pētījumos;                                                                           4.13.Izstrādāta ilgtermiņa pacientu uzraudzības programma (Late effect Follow-up), pacientiem, kuri izārstēti no ļaundabīga audzēja;                                                                                                                              4.18. Pilnveidota esošā pacienta ziņoto rezultātu sistēma bērnu vecuma vēža diagnozē, aprobējot PROM rīkus pacientu dzīves kvalitātes vērtēšanai;                                                                                            4.19.Izstrādāts datu modelis;                                                                                                                                    4.21.Bērniem ar noteiktām diagnozēm, kurām BKUS ir ieviesti klīniskie pētījumu vai protokoli, tiek nodrošināta iespēja iesaistīties tajos. </t>
    </r>
  </si>
  <si>
    <t>3.5.1.Izstrādāti algoritmi audzēju diagnostikā specifisko mērķu, ģenētisko un somatisko mutāciju noteikšanai audzēja šūnās ar sekojošo individualizētas audzēja diagnostikas un ārstēšanas metodes testēšanu, atbilstoši starptautiskām vadlīnijām (ESMO/ NCCN/ SIOP/ NOPHO/ COG).</t>
  </si>
  <si>
    <t xml:space="preserve">3.5.2. Izvērtēta iespēja valsts apmaksāto molekulāro testu veikšanā iekļaut EGFR, KRAS, NRAS/BRAF, PIK3CA, Her-2/neu, PD-L1  biežāko mutāciju atklāšanai , kā arī otra ārsta – patologa konsultāciju diagnozes apstiprināšanai, ja tiek diagnosticēts vai izslēgts ļaundabīgs audzējs, citas Latvijas akreditētās laboratorijas histoloģijas un molekulārās diagnostikas jomā.   </t>
  </si>
  <si>
    <t>Sagatavoti priekšlikumi un nepieciesamo finanšu aprēķini molekulāro testu  EGFR, KRAS, NRAS/BRAF, PIK3CA, Her-2/neu, PD-L1 apmaksai no valsts budžeta līdzekļiem.</t>
  </si>
  <si>
    <t>LPA, LLMB</t>
  </si>
  <si>
    <t>2027. gada I pusgads</t>
  </si>
  <si>
    <t xml:space="preserve">Sagatavotas rekomendācijas par priekšvēža saslimšanu ārstēšanai paredzētajām tehnoloģijām/medikamentiem (piem., lāzerablācijas ar CPV infekcijas saistītiem maksts priekšvēža bojājumiem, balsenes priekšvēža bojājumiem, augsta riska polipi un displāzijas kuņģa zarnu traktā, kad būtu iespēja attālināt/novērst vēža attīstību).  </t>
  </si>
  <si>
    <t>RAKUS metodiskās vadības institūcija onkoloģijas jomā, ārstu profesionālās asociācijas, ZVA, NVD, PSKUS, zāļu ražotāju pārstāvji</t>
  </si>
  <si>
    <t xml:space="preserve">Aktualizēta onkoloģisko slimību agrīnas diagnostikas un ārstēšanas nozīme (īpašu uzmanību pievēršot reģioniem,  ar viszemāko vēža skrīninga aptveri (īpaši Latgalē un Zemgalē)).  Uzlabojusies onkoloģisko slimību agrīna diagnostika un atsaucība organizētajiem skrīningiem. </t>
  </si>
  <si>
    <t>Katru gadu veikti sabiedrības informēšanas un izglītošanas pasākumi par onkoloģisko slimību agrīnu diagnostiku un ārstēšanu, (īpašu uzmanību pievēršot reģioniem,  ar viszemāko vēža skrīninga aptveri).</t>
  </si>
  <si>
    <t>3.9.1. Izstrādāti metodoloģiskie dokumenti vienotu principu pieejas ieviešanai onkoloģijas jomā. Izveidots sadarbības tīkls starp RAKUS un reģionālajām ārstniecības iestādēm, nodrošinot metodisko atbalstu un iespējas attālināti piedalīties konsīlijos un mācībās, lai stiprinātu klīniskās kapacitātes attīstību arī ārpus Rīgas.</t>
  </si>
  <si>
    <t>Ieslodzītajām personām ir nodrošināta vienlīdzīga iespēja piedalīties dzemdes kakla, krūts un kolorektālā vēža skrīninga programmās, veicinot agrīnu vēža diagnostiku un samazinot ārstēšanas novēlošanos ieslodzījuma laikā.</t>
  </si>
  <si>
    <t>Apstiprināta kārtība par ieslodzīto personu piekļuvi vēža skrīningam.
-Ieviests sadarbības mehānisms starp Ieslodzījuma vietu pārvaldi un veselības aprūpes sniedzējiem.</t>
  </si>
  <si>
    <t>2026. gada I pusgads</t>
  </si>
  <si>
    <t>SPKC, VM</t>
  </si>
  <si>
    <t>2027.gada I pusgads</t>
  </si>
  <si>
    <t>Ārstniecības personu profesionālās asociācijas, NVO, pašvaldības, ārstniecības iestādes, izglītības iestādes</t>
  </si>
  <si>
    <t>SPKC, ārstniecības iestādes, izglītības iestādes</t>
  </si>
  <si>
    <t>NVD, NVO, ārstniecības iestādes, izglītības iestādes</t>
  </si>
  <si>
    <t>Ārstniecības personu profesionālās asociācijas, NVO, ārstniecības iestādes</t>
  </si>
  <si>
    <t xml:space="preserve">TM </t>
  </si>
  <si>
    <t>RAKUS metodiskās vadības institūcija onkoloģijas jomā, PSKUS, VM, SPKC, VADDA</t>
  </si>
  <si>
    <t>RAKUS metodiskās vadības institūcija onkoloģijas jomā, VADDA</t>
  </si>
  <si>
    <t xml:space="preserve">VM, ārstu profesionālās asociācijas, RAKUS, PSKUS, BKUS, ārstniecības iestādes </t>
  </si>
  <si>
    <t>Pārskatīts veselības aprūpes pakalpojumu onkoloģijā saņemšanas vietu kartējums. Izstrādājot priekšlikumus pakalpojumu pieejamības pilnveidošanai, izvērtēts, kuri pakalpojumi, atbilstoši ievades iespējām, piemēram, subkutānas medikamentozas terapijas gadījumā, varētu tikt sniegti pacienta dzīvesvietā, vai maksimāli tuvāk pacientam, piemēram, ģimenes ārsta praksē, vai ķīmijterapijas kursus ārstniecības iestādē,  tādējādi samazinot izmaksas, kas rodas pacientiem un ārstniecības iestādēm un ietaupa valsts budžeta līdzekļus.</t>
  </si>
  <si>
    <t xml:space="preserve">VM </t>
  </si>
  <si>
    <t>RAKUS metodiskās vadības institūcija onkoloģijas jomā, NVD, ārstu profesionālās asociācijas, PSKUS, VADDA</t>
  </si>
  <si>
    <t>Urologu asociācija, RAKUS, PSKUS, ārstniecības iestādes</t>
  </si>
  <si>
    <t>RAKUS metodiskās vadības institūcija onkoloģijas jomā, ārstniecības iestādes</t>
  </si>
  <si>
    <t xml:space="preserve">Paplašināt auglības saglabāšanas pasākumu pieejamību personām, kas slimo ar onkoloģisku slimību, pirms staru terapijas saņemšanas un radikālām ķirurģiskajām operācijām. </t>
  </si>
  <si>
    <t xml:space="preserve">VM , RAKUS, PSKUS, ārstniecības personu profesionālās asociācijas, ārstniecības iestādes </t>
  </si>
  <si>
    <t>NRC Vaivari sadarbībā ar ārstniecības personu profesionālajām asociācijām, VM, VADDA</t>
  </si>
  <si>
    <t>Uzlabot medicīniskās un psihosociālās rehabilitācijas pakalpojumus.</t>
  </si>
  <si>
    <t>Izstrādāts un klīniskajā praksē ieviests onkoloģisko pacientu rehabilitācijas algoritms. Pilnveidota onkoloģisko pacientu un viņu ģimenes locekļu psihosociālās rehabilitācijas pakalpojumu pieejamība.</t>
  </si>
  <si>
    <t>NRC Vaivari sadarbībā ar ārstniecības personu profesionālajām asociācijām, LM, VADDA</t>
  </si>
  <si>
    <t>LĢĀA, LLĢĀA, ārstniecības iestādes</t>
  </si>
  <si>
    <t>NVD, RAKUS metodiskās vadības institūcija onkoloģijas jomā</t>
  </si>
  <si>
    <t>NVD, SPKC</t>
  </si>
  <si>
    <t>RAKUS metodiskās vadības institūcija onkoloģijas jomā, NVD, VI, PSKUS</t>
  </si>
  <si>
    <t>RAKUS metodiskās vadības institūcija onkoloģijas jomā, PSKUS</t>
  </si>
  <si>
    <t>RAKUS metodiskās vadības institūcija onkoloģijas jomā,  PSKUS, VADDA</t>
  </si>
  <si>
    <t xml:space="preserve">Izvērtēt Krūts vēža skrīninga centra izveides iespējas RAKUS. </t>
  </si>
  <si>
    <t xml:space="preserve">Sagatavoti priekšlikumi Krūts vēža skrīninga centra izveidei, iekļaujot tajos arī nepieciešamā finansējuma aprēķinus.  </t>
  </si>
  <si>
    <t>Krūts vēža skrīninga aptveres palielinājums. Skrīninga mamogrāfijas pakalpojuma kvalitātes uzlabošanās.</t>
  </si>
  <si>
    <t>RAKUS, SPKC, NVD</t>
  </si>
  <si>
    <t>RAKUS metodiskās vadības institūcija onkoloģijas jomā, Latvijas Urologu asociācija</t>
  </si>
  <si>
    <t>LU, RSU, RAKUS metodiskās vadības institūcija onkoloģijas jomā</t>
  </si>
  <si>
    <t xml:space="preserve">RAKUS metodiskās vadības institūcija onkoloģijas jomā, NVD, Latvijas Gastroenterologu asociācija, Latvijas Gastrointestinālās endoskopijas asociācija (GASTRO), VM
 </t>
  </si>
  <si>
    <t>RAKUS metodiskās vadības institūcija onkoloģijas jomāPSKUS, BKUS, Daugavpils reģionālā slimnīca, Liepājas reģionālā slimnīca, Pacientu pieredzes asociācija, Onkoalianse</t>
  </si>
  <si>
    <t>RSU, PSKUS Krūts slimību centrs, RAKUS metodiskās vadības institūcija onkoloģijas jomā</t>
  </si>
  <si>
    <t>RAKUS metodiskās vadības institūcija onkoloģijas jomā, VI, PSKUS, BKUS, reģionālās slimnīcas, ārstniecības iestādes</t>
  </si>
  <si>
    <t>NVD, RAKUS, PSKUS, Latvijas Hipertensijas un Aterosklerozes biedrība,                    Latvijas onkologu asociācija, Latvijas Onkologu-ķimijterapeitu asociācija, Latvijas Kardiologu biedrība</t>
  </si>
  <si>
    <t>RAKUS, PSKUS, Latvijas Medicīniskās ģenētikas asociācija,
Latvijas Onkologu ķīmijterapeitu  asociācija, Reto hematoloģisko slimību asociācija</t>
  </si>
  <si>
    <t>Latvijas Onkologu ķīmijterapeitu  asociācija, Latvijas Radiologu asociācija, Reto hematoloģisko slimību asociācija</t>
  </si>
  <si>
    <t>Reto slimību koordinācijas centra atbalsta vienība RAKUS, NVD</t>
  </si>
  <si>
    <t>Reģionalās slimnīcas, kur iespējams veikt bērnu, kuri slimo ar onkoloģiskām slimībām, ārstēšanu</t>
  </si>
  <si>
    <t>BKUS, LU, RSU</t>
  </si>
  <si>
    <t>LU, RSU, BKUS</t>
  </si>
  <si>
    <t>RAKUS metodiskās vadības institūcija onkoloģijas jomā, LDVC, SPKC</t>
  </si>
  <si>
    <t xml:space="preserve">5.9.1. Sagatavoti priekšlikumi jēdziena "Multidisciplinārās komandas  slēdziens par pacientu ar onkoloģisku slimību" ieviešanai klīniskajā praksē </t>
  </si>
  <si>
    <t>Klīniskajā praksē ieviests jēdziens "Multidisciplinārās komandas  slēdziens par pacientu ar onkoloģisku slimību".</t>
  </si>
  <si>
    <t>5.9.2. Sagatavoti priekšlikumi vienotai multidisciplinārās komandas  slēdziena par pacientu ar onkoloģisku slimību  veidlapai.</t>
  </si>
  <si>
    <t>Ieviesta vienota multidisciplinārās komandas  slēdziena par pacientu ar onkoloģisku slimību veidlapa.</t>
  </si>
  <si>
    <t>2025. gada II pusgads</t>
  </si>
  <si>
    <t>Izveidot klīnisko universitātes slimnīcu onkoloģijas pacienta datu apmaiņas platformu. </t>
  </si>
  <si>
    <t xml:space="preserve">1.16.1. Izvērtētas iespējas paplašināt pakalpojumu sniedzēju skaitu, kas nodrošina skrīninga 2. etapa izmeklējumus visām vēža skrīninga programmām; </t>
  </si>
  <si>
    <t xml:space="preserve">1.16.2. Izvērtēta iespēja paplašināt apmaksas nosacījumus dzemdes kakla vēža skrīninga ietvaros apmaksāt  atkārtotu šķidruma citoloģiju veikšanu (tajā skaitā augsta riska CPV tipu noteikšanu) no valsts budžeta līdzekļiem. </t>
  </si>
  <si>
    <t>1.18.1. Veikta analīze par apmācību un tālākizglītības programmu vajadzībām katrā no vēža skrīninga programmām.  Izstrādāts plāns, saplānots realizācijai nepieciešamais budžets;</t>
  </si>
  <si>
    <t>1.18.2.  Izstrādātas un pilnveidotas esošās vēža skrīninga programmas un vēža skrīninga organizācijā iesaistītie speciālisti apguvuši un pilnveidojuši zināšanas un kompetences skrīninga organizācijas un analīzes jautājumos;</t>
  </si>
  <si>
    <t xml:space="preserve">1.18.3. Organizēta izglītojoša konference primārās veselības aprūpes speciālistiem (ģimenes ārstiem, ginekologiem, vecmātēm u.c. speciālistiem) par valsts organizētā vēža skrīninga aktuālajiem jautājumiem. </t>
  </si>
  <si>
    <t>1.20.1. Izvērtētas iespējas plaušu vēža skrīninga ieviešanas pilotpētījumu īstenošanai (izmantojot zemu starojuma devu datortomogrāfiju)  paaugstināta riska grupā;</t>
  </si>
  <si>
    <t>1.20.2. Izvērtētas iespējas kuņģa vēža skrīninga ieviešanas pilotpētījumu īstenošanai paaugstināta riska grupā.</t>
  </si>
  <si>
    <t>1.23.1. Izvērtētas iespējas ieviest personalizētu skrīningu paaugstināta saslimšanas riska grupās pamatojoties uz ES kvalitātes vadlīniju kritērijiem;</t>
  </si>
  <si>
    <t>1.23.2. Izstrādāts rīcības algoritms paaugstināta saslimšanas riska grupas pacienta nosūtīšanai pie citiem speciālistiem;</t>
  </si>
  <si>
    <t>1.23.3. Personām, kas ietilpst paaugstināta saslimšanas riska grupā  (piemēram, pacienta radinieki, kuriem pierādīta BRCA mutācija, Lynch sindroms, utt.), nodrošināta savlaicīga ģenētiķa konsultācija.</t>
  </si>
  <si>
    <t>1.25.1. Izvērtēta iespēja, ka  aizdomu gadījumā par onkoloģisku slimību nosūtījumu uz “zaļo koridoru” pie onkologa var izsniegt arī ārsts speciālists, kurš nav līgumattiecībās  ar NVD.</t>
  </si>
  <si>
    <t>1.25.2. Veikts pilotprojekts vienā no vēža nozoloģiskajām grupām (piem., dermatoloģijā) ar mērķi izpētīt iespēju, kad aizdomu gadījumā par onkoloģisku slimību nosūtījumu uz “zaļo koridoru” pie onkologa var izsniegt arī ārsts speciālists, kurš nav līgumattiecībās  ar NVD.</t>
  </si>
  <si>
    <t>1.27.</t>
  </si>
  <si>
    <t>1.28.</t>
  </si>
  <si>
    <t>VM (BKUS)</t>
  </si>
  <si>
    <t>NVD, VM (BKUS)</t>
  </si>
  <si>
    <t>ZVA, NVD</t>
  </si>
  <si>
    <t>NVD, BSF, LBOF, Daugavpils reģionālā slimnīca, Liepājas reģionālā slimnīca</t>
  </si>
  <si>
    <t>NVD, ZVA</t>
  </si>
  <si>
    <t>NVD, reģionālās slimnīcas (Liepājas RS, Ventspils slimnīca, Vidzemes slimnīca, Daugavpils RS, Rēzeknes slimnīca)</t>
  </si>
  <si>
    <t xml:space="preserve">NVD, reģionālās slimnīcas, kurās ir pieejami veselības aprūpes pakalpojumi onkoloģijas jomā bērniem </t>
  </si>
  <si>
    <t>NVD, BSF, LBOF, pacientu organizācijas</t>
  </si>
  <si>
    <t>VM (RAKUS)</t>
  </si>
  <si>
    <t>PSKUS, BKUS</t>
  </si>
  <si>
    <t>Īstenot mērķtiecīgus sabiedrības informēšanas pasākumus (kampaņu) par alkohola lietošanu kā vienu no onkoloģisko slimību riska faktoriem.</t>
  </si>
  <si>
    <t>Īstenot mērķtiecīgus sabiedrības informēšanas pasākumus dažādām mērķagrupām par smēķēšanas, t.sk. pasīvās smēķēšanas ietekmi uz veselību.</t>
  </si>
  <si>
    <t xml:space="preserve">Īstenot mērķtiecīgus sabiedrības informēšanas pasākumus dažādām mērķagrupām par smēķēšanas, t.sk. pasīvās smēķēšanas ietekmi uz veselību </t>
  </si>
  <si>
    <t>Izstrādāt kārtību, kādā ieslodzītajām personām tiek nodrošināta piekļuve valsts organizētajām vēža skrīninga programmām, tostarp izveidojot sadarbības mehānismus starp Ieslodzījuma vietu pārvaldes Latvijas Cietumu slimnīcu, veselības aprūpes pakalpojumu sniedzējiem un atbildīgajām valsts institūcijām.</t>
  </si>
  <si>
    <t>Izstrādāt stratēģiju cilvēkresursu nodrošināšanai bērnu onkoloģijā, palielinot speciālistu skaitu un nodrošinot atbilstošu izglītību (hemato-onkologi, pediatri, māsas (vispārējās aprūpes māsas), koordinatori).</t>
  </si>
  <si>
    <t>Pārskatīt ārsta pienākumu klāstu, nosakot pienākumus, ko var deleģēt māsai.</t>
  </si>
  <si>
    <t>Pārskatīts ārsta pienākumu klāsts, izvērtēta iespēja deleģēt pienākumus māsai.</t>
  </si>
  <si>
    <t>Izvērtēta iespēja saīsināt laiku līdz sertifikācijas iegūšanai bērnu hematoonkologa specialitātē ļaujot pēdējos 2 no 4 pediatrijas rezidentūras gadiem jau uzsākt specializēšanos hematoonkoloģijā;</t>
  </si>
  <si>
    <t>Izstrādāt vienotu elektronisko multidisciplinārās komandas  slēdziena par pacientu ar onkoloģisku slimību veidlapu.</t>
  </si>
  <si>
    <t>Izveidots Vēža skrīninga reģistrs, kas nodrošina centralizētu un kvalitatīvu datu pārvaldību par iedzīvotāju līdzdalību vēža skrīninga procesos. Reģistrs ir sasaistīts ar Latvijas iedzīvotāju reģistru, Vēža reģistru un Klīnisko vēža reģistru, tādējādi nodrošinot skrīninga procesa pilnu pārraudzību.</t>
  </si>
  <si>
    <t>Izstrādāt Klīniskā vēža reģistra koncepciju.</t>
  </si>
  <si>
    <t xml:space="preserve">Sagatavoti priekšlikumi Klīniskā vēža reģistra koncepcijai, kurā iekļauta informācija par klīniska vēža reģistra tvērumu, datu iekļaušanas kritērijiem, iekļaujamajiem rādītājiem un klasifikatoriem, iespējamiem reģistra informācijas un komunikācijas tehnoloģiju risinājumiem, reģistra sasaisti ar citām informācijas sistēmām, reģistra pārvaldību. </t>
  </si>
  <si>
    <t>Sagatavota koncepcija Klīniskā vēža reģistra izstrādei, kas nodrošinās ārstiem un pētniekiem pieejamību nepieciešamajiem datiem.</t>
  </si>
  <si>
    <t>Nodrošināt Latvijas Vēža reģistrā iekļauto apkopoto datu pieejamību ārstniecības procesā iesaistītajām ārstniecības personām, tostarp ģimenes ārstiem, ievērojot datu aizsardzības prasības.</t>
  </si>
  <si>
    <t>VM (LDVC)</t>
  </si>
  <si>
    <t>LU, RSU, RAKUS, PSKUS, BKUS</t>
  </si>
  <si>
    <t>Onkoloģisko slimību profilakse, valsts organizetais vēža skrīnings, agrīnā diagnostika</t>
  </si>
  <si>
    <t>Pacientu ziņotās pieredzes un veselības iznākumu mērījumu (PREM un PROM) izveide un ieviešana onkoloģijas jomā</t>
  </si>
  <si>
    <t>Izveidot Vēža skrīninga reģistru.</t>
  </si>
  <si>
    <t>Nepieciešamais papildu finansējums 2027.gadam un turpmāk ik gadu  (ja pasākums nav terminēts), euro</t>
  </si>
  <si>
    <t>Nepieciešamais papildu finansējums 2027.gadam un  turpmāk ik gadu (ja pasākums nav terminēts)</t>
  </si>
  <si>
    <t>Prognozētais pacientu skaits 2027.gads</t>
  </si>
  <si>
    <t>Prognozējamās izmaksas 1 pacientam, euro  2027. gads</t>
  </si>
  <si>
    <t>Prognozētais nepieciešamais papildu 
finansējums, euro  2027.gads</t>
  </si>
  <si>
    <t>Prognozētais pacientu skaits 2028.gads un turpmāk ik gadu</t>
  </si>
  <si>
    <t>Prognozējamās izmaksas 1 pacientam, euro  2028. gads un turpmāk ik gadu</t>
  </si>
  <si>
    <t>Prognozētais nepieciešamais papildu 
finansējums, euro  2028.gads un turpmāk ik gadu</t>
  </si>
  <si>
    <t>Nepieciešamais papildu finansējums 2028.gadam un turpmāk ik gadu (ja pasākums nav terminēts), euro</t>
  </si>
  <si>
    <t>Nepieciešamais papildu finansējums 2027.gadam un turpmāk ik gadu (ja pasākums nav terminēts),euro</t>
  </si>
  <si>
    <t>Nepieciešamais papildu finansējums 2027.gadam un  turpmāk ik gadu (ja pasākums nav terminēts), euro</t>
  </si>
  <si>
    <t>Nepieciešamais papildu finansējums 2027. gadā un turpmāk ik gadu</t>
  </si>
  <si>
    <t xml:space="preserve"> Regulāra saraksta aktualizēšana katru gadu (2027.gads: (kvalificēta eksperta stundas likme 30 euro*100 stundas * VSAOI (23.59%)*prognozētais pieauguma koeficents)), 2028.gads un turpmāk ik gadu (2028.gada finansējums  x prognozētais pieauguma koeficents)</t>
  </si>
  <si>
    <t>Nepieciešamais papildu finansējums 2027.gadam  un turpmāk ik gadu (ja pasākums nav terminēts), euro</t>
  </si>
  <si>
    <t>Plānotais pacientu skaits</t>
  </si>
  <si>
    <t>1 pacienta izmaksas, euro</t>
  </si>
  <si>
    <t>Izmaksas gadā - min, euro</t>
  </si>
  <si>
    <t>Izmaksas gadā - max, euro</t>
  </si>
  <si>
    <t>Izmaksas gadā - vidējās, euro</t>
  </si>
  <si>
    <t>Medikaments 1</t>
  </si>
  <si>
    <t>146 026 - 360 890</t>
  </si>
  <si>
    <t>Medikaments 2</t>
  </si>
  <si>
    <t>Medikaments 3</t>
  </si>
  <si>
    <t>68 230 - 156 460</t>
  </si>
  <si>
    <t>Medikaments 4</t>
  </si>
  <si>
    <t>Medikaments 5</t>
  </si>
  <si>
    <t>33 000 - 88 000</t>
  </si>
  <si>
    <t>Medikaments 6</t>
  </si>
  <si>
    <t>31 150 - 62 350</t>
  </si>
  <si>
    <t>33.18.00 "Plānveida stacionāro veselības aprūpes pakalpojumu nodrošināšana"****</t>
  </si>
  <si>
    <t>****Atbilstoši 2025.gada 26.augusta Ministru kabineta  sēdes protokolam Nr.33 (prot.33 53.§) informatīvā ziņojuma "Par valsts pamatbudžeta un valsts speciālā budžeta bāzi un izdevumu pārskatīšanas rezultātiem 2026., 2027., 2028. un 2029.gadam " 37.punktam tiek atbalstīts veselības ministrijas priekšlikums, ka no 2026. gada apvienot budžeta apakšprogrammu 33.17.00 "Neatliekamās medicīniskās palīdzības nodrošināšana stacionārās ārstniecības iestādēs" ar budžeta apakšprogrammu 33.18.00 "Plānveida stacionāro veselības aprūpes pakalpojumu nodrošināšana" un izveidot jaunu budžeta apakšprogrammu 33.21.00 "Stacionāro veselības aprūpes pakalpojumu nodrošināšana".</t>
  </si>
  <si>
    <r>
      <t xml:space="preserve">Nepieciešamais papildu finansējums 2026.gadam, </t>
    </r>
    <r>
      <rPr>
        <i/>
        <sz val="10"/>
        <color rgb="FF000000"/>
        <rFont val="Times New Roman"/>
        <family val="1"/>
      </rPr>
      <t>euro</t>
    </r>
  </si>
  <si>
    <r>
      <t xml:space="preserve">Nepieciešamais papildu finansējums 2027.gadam, </t>
    </r>
    <r>
      <rPr>
        <i/>
        <sz val="10"/>
        <color rgb="FF000000"/>
        <rFont val="Times New Roman"/>
        <family val="1"/>
      </rPr>
      <t>euro</t>
    </r>
  </si>
  <si>
    <r>
      <t xml:space="preserve">Nepieciešamais papildu finansējums 2028.gadam, </t>
    </r>
    <r>
      <rPr>
        <i/>
        <sz val="10"/>
        <color rgb="FF000000"/>
        <rFont val="Times New Roman"/>
        <family val="1"/>
      </rPr>
      <t>euro</t>
    </r>
  </si>
  <si>
    <r>
      <t xml:space="preserve">Nepieciešamais papildu finansējums turpmāk ik gadu, </t>
    </r>
    <r>
      <rPr>
        <i/>
        <sz val="10"/>
        <color rgb="FF000000"/>
        <rFont val="Times New Roman"/>
        <family val="1"/>
      </rPr>
      <t xml:space="preserve">euro
</t>
    </r>
    <r>
      <rPr>
        <sz val="10"/>
        <color rgb="FF000000"/>
        <rFont val="Times New Roman"/>
        <family val="1"/>
      </rPr>
      <t>(ja pasākums nav terminēts)</t>
    </r>
  </si>
  <si>
    <t>Valsts apmaksāto medikamentu saraksts regulāri papildināts ar bērniem paredzētiem inovatīviem medikamentiem, nodrošinot to pieejamību pacientiem.</t>
  </si>
  <si>
    <t xml:space="preserve">Pacientiem, kuriem diagnosticē krūts vēzi, nodrošināta  molekulāri ģenētiskā  testa OncotypeDX veikšana atbilstoši noteiktām indikācijām. </t>
  </si>
  <si>
    <t xml:space="preserve"> 2027.gadā un turpmāk ik gadu (ja pasākums nav terminēts), euro</t>
  </si>
  <si>
    <t>Pacientiem, kuri slimo ar neizoperējamu primāru un sekundāru aknu, nieru un kaulu audzēju, nodrošināta  augstas precizitātes robotizētā perkutānā termālā ablācija.</t>
  </si>
  <si>
    <t xml:space="preserve">3.16.1.  Īstenots pilotprojekts, veicot ģenētiskās testēšanas analīzes Oncotype DX augsta riska I, II stadijas HR+, HER2- krūts vēža pacientiem, nodrošinot ES standartiem atbilstošu risinājumu kompleksu personalizētai krūts vēža pacientu ārstēšanai Latvijā. </t>
  </si>
  <si>
    <t>Pilotprojekta ietvaros veiktas ģenētiskās testēšanas analīzes Oncotype DX augsta riska I, II stadijas HR+, HER2- krūts vēža  pacientiem. Veikts ekonomisko priekšrocību izvērtējums un analīze personalizētas terapijas piemērošanai krūts vēža pacientiem. Sagatavoti priekšlikumi ģenētiskās testēšanas analīzes Oncotype DX apmaksai no valsts budžeta līdzekļiem.</t>
  </si>
  <si>
    <t>2027.gada I pusgads</t>
  </si>
  <si>
    <t>2026. gada I pusgads</t>
  </si>
  <si>
    <t>Atbilstoši noteiktajām prioritātēm nodrošināta inovatīvu medikamentu pieejamība bērniem, ievērojot pieejamā budžeta ietvarus</t>
  </si>
  <si>
    <t>Īstenots pilotprojekts, veicot ģenētiskās testēšanas analīzes Oncotype DX augsta riska I, II stadijas HR+, HER2- krūts vēža pacientiem, nodrošinot ES standartiem atbilstošu risinājumu kompleksu personalizētai krūts vēža pacientu ārstēšanai Latvijā</t>
  </si>
  <si>
    <t>Krūts vēža pacientiem nodrošināta personalizēta, vērtībās balstīta terapija, ieviešot ģenētisko testu OncotypeDX atbilstoši indikācijām Krūts vēža pacientu klīniskajā ceļā.</t>
  </si>
  <si>
    <t xml:space="preserve"> 2027.gadā  mākslīgā urīna saturēšanas sfinktera implantācija veikta 50 pacientiem, sēklinieku implantu implantācija veikta 10 pacientiem un endoprotēzes implantācija dzimumloceklī veikta 200 pacientiem.</t>
  </si>
  <si>
    <t>Sākot ar 2027.gadu medikamentozā terapija nodrošināta 5082 pacientiem ik gadu.</t>
  </si>
  <si>
    <t xml:space="preserve"> Sākot ar 2027.gadu.30 pacientiem, kuri slimo ar neiroendikrīniem audzējiem, katru gadu tiek nodrošināta diagnostika ar Ga68 PET-CT iekārtu.  </t>
  </si>
  <si>
    <t xml:space="preserve"> Sākot ar 2027.gadu 50 pacientiem, kuri slimo ar prostatas vai neiroendokrīniem audzējiem, katru gadu tiek nodrošināta ārstēšana ar radionukleīdajiem preparātiem.</t>
  </si>
  <si>
    <t>80 pacientiem pēc laringektomijas nodrošināta balss protēžu nomaiņa ik gadu</t>
  </si>
  <si>
    <t>Prognozētais pacientu skaits 2027.gadā un turpmāk ik gadu</t>
  </si>
  <si>
    <t>Prognozējamās izmaksas 1 pacientam, euro  2027. gadā un turpmāk ik gadu</t>
  </si>
  <si>
    <t>Prognozētais nepieciešamais papildu 
finansējums, euro  2027.gadā un turpmāk ik gadu</t>
  </si>
  <si>
    <t>Nepieciešamais finansējums 2027. gadā un turpmāk ik gadu, euro</t>
  </si>
  <si>
    <t>Nepieciešamais papildu finansējums 2027.gadam un turpmāk ik gadu, ja pasākums nav terminēts, euro</t>
  </si>
  <si>
    <t xml:space="preserve">4.7.2. Atbilstoši noteiktajām prioritātēm nodrošināta inovatīvu medikamentu pieejamība bērniem, ievērojot pieejamā budžeta ietvarus;***** </t>
  </si>
  <si>
    <t>4.7.3. Bērniem ar centrālās nervu sistēmas audzējiem pieejama protonu staru terapija atbilstoši noteiktiem kritērijiem;*****</t>
  </si>
  <si>
    <r>
      <t xml:space="preserve">4.7.4. Bērniem, kuri slimo ar onkoloģiskām slimībām, pieejama no valsts budžeta līdzekļiem apmaksāta </t>
    </r>
    <r>
      <rPr>
        <i/>
        <sz val="12"/>
        <color theme="1"/>
        <rFont val="Times New Roman"/>
        <family val="1"/>
      </rPr>
      <t>CAR T-cell</t>
    </r>
    <r>
      <rPr>
        <sz val="12"/>
        <color theme="1"/>
        <rFont val="Times New Roman"/>
        <family val="1"/>
      </rPr>
      <t xml:space="preserve"> terapija atbilstoši noteiktiem kritērijiem.*****</t>
    </r>
  </si>
  <si>
    <t>1) Izstrādāti kritēriji protonu staru terapijas saņemšanai.</t>
  </si>
  <si>
    <t>2025. gads</t>
  </si>
  <si>
    <t>2) Sākot ar 2026.gadu ikgadu 4 bērniem  ar centrālās nervu sistēmas audzējiem  nodrošināta   protonu staru terapija atbilstoši noteiktiem kritērijiem.</t>
  </si>
  <si>
    <r>
      <t xml:space="preserve">Sākot ar 2026.gadu ik gadu 2 bērniem, kuri slimo ar onkoloģiskam slimībām, nodrošināta  </t>
    </r>
    <r>
      <rPr>
        <i/>
        <sz val="12"/>
        <color theme="1"/>
        <rFont val="Times New Roman"/>
        <family val="1"/>
        <charset val="186"/>
      </rPr>
      <t>CAR T</t>
    </r>
    <r>
      <rPr>
        <sz val="12"/>
        <color theme="1"/>
        <rFont val="Times New Roman"/>
        <family val="1"/>
      </rPr>
      <t>-cell terapija atbilstoši noteiktiem kritērijiem.</t>
    </r>
  </si>
  <si>
    <t>*****Savukārt  plānā paredzētā  pasākuma 4.7.2. "Atbilstoši noteiktajām prioritātēm nodrošināta inovatīvu medikamentu pieejamība bērniem, ievērojot pieejamā budžeta ietvarus",  4.7.3." Bērniem ar centrālās nervu sistēmas audzējiem pieejama protonu staru terapija atbilstoši noteiktiem kritērijiem" un 4.7.4. "Bērniem, kuri slimo ar onkoloģiskām slimībām, pieejama no valsts budžeta līdzekļiem apmaksāta CAR T-cell terapija atbilstoši noteiktiem kritērijiem"   īstenošanu 2026.gadā nodrošināt atbilstoši Ministru kabineta 2025.gada 22.septembra sēdes protokola Nr. 38 "Informatīvais ziņojums "Par valsts budžeta likumprojektā  iekļaujamiem prioritārajiem pasākumiem 2026., 2027. un 2028. gadam"" 2.punktā noteiktajam, skat., prioritāro pasākumu "Mātes un bērna veselības uzlabošana".</t>
  </si>
  <si>
    <t>Pielikums Nr. 1.1.</t>
  </si>
  <si>
    <t>Pielikums Nr. 1.2.</t>
  </si>
  <si>
    <t>* Norādītais finansējums ir provizorisks, tas atkarīgs no publiskā iepirkuma ietvaros uzvarējušā pretendenta piedāvājuma.
** Eiropas Sociālā fonda Plus (ESF+) finansējums, Eiropas Savienības kohēzijas politikas programmas 2021.–2027.gadam 4.1.2.SAM "Uzlabot vienlīdzīgu un savlaicīgu piekļuvi kvalitatīviem, ilgtspējīgiem un izmaksu ziņā pieejamiem veselības aprūpes, veselības veicināšanas un slimību profilakses pakalpojumiem, uzlabojot veselības aprūpes sistēmu efektivitāti un izturētspēju"  4.1.2.1. pasākuma  "Nacionāla mēroga veselības veicināšanas un slimību profilakses pasākumi" projektā "Nacionāla mēroga veselības veicināšanas un slimību profilakses pasākumi" (Nr.4.1.2.1./1/24/I/001 ).  Šobrīd  nav zināms ar kādu finanšu apjomu rezultēsies plānotie 4.1.2.1. pasākuma  "Nacionāla mēroga veselības veicināšanas un slimību profilakses pasākumi" projekta "Nacionāla mēroga veselības veicināšanas un slimību profilakses pasākumi" (Nr.4.1.2.1./1/24/I/001) iepirkumi 2027.gadam, līdz ar to Veselības aprūpes pakalpojumu onkoloģijas jomā uzlabošanas plāna 2025.–2027. gadam, norādītais finansējuma apjoms var mainīties.</t>
  </si>
  <si>
    <t>Pielikums Nr. 1.4.</t>
  </si>
  <si>
    <t>Pielikums Nr. 1.5.</t>
  </si>
  <si>
    <t>*Eiropas Sociālā fonda  projekts Nr. 4.1.2.6 "Izglītības iespēju nodrošināšana ārstniecībā iesaistītajām personām".  </t>
  </si>
  <si>
    <t>Pielikums Nr. 1.6.</t>
  </si>
  <si>
    <t>Pielikums Nr. 1.7.</t>
  </si>
  <si>
    <t>Pielikums Nr. 1.8.1.</t>
  </si>
  <si>
    <t>Pielikums Nr. 1.10.1.</t>
  </si>
  <si>
    <t>*Eiropas Sociālā fonda (ESF+) finansējuma projekts Nr. 4.1.2.7/1/24/I/001 "Pilnveidot pacientu drošību un aprūpes kvalitāti".  Finansējums atkarīgs no iepirkuma organizēšanas un rezultāta.</t>
  </si>
  <si>
    <t>Pielikums Nr. 1.10.4.</t>
  </si>
  <si>
    <t>Pielikums Nr. 1.13.</t>
  </si>
  <si>
    <t>Pielikums Nr. 1.14.</t>
  </si>
  <si>
    <t>Pielikums Nr. 1.16.2.</t>
  </si>
  <si>
    <t>Pielikums Nr. 1.17.</t>
  </si>
  <si>
    <t>Pielikums Nr. 1.18.2.</t>
  </si>
  <si>
    <t xml:space="preserve">*Eiropas Sociālā fonda Plus projekts Nr.4.1.2.6/1/24/I/001 "Izglītības iespēju nodrošināšana ārstniecībā iesaistītajām personām". Finansējums atkarīgs no pakalpojuma sniedzēja, kurš uzvar iepirkumā, mācību dalībnieku skaita, mācību stundu skaita. </t>
  </si>
  <si>
    <t>Pielikums Nr. 1.18.3.</t>
  </si>
  <si>
    <t>Pielikums Nr. 1.20.1.</t>
  </si>
  <si>
    <t>Pielikums Nr. 1.20.2.</t>
  </si>
  <si>
    <t>Pielikums Nr. 1.23.3.</t>
  </si>
  <si>
    <t>Pielikums Nr. 1.28.</t>
  </si>
  <si>
    <t>Pielikums Nr. 3.3.1.</t>
  </si>
  <si>
    <t>Pielikums Nr. 3.3.2.</t>
  </si>
  <si>
    <t>Pielikums Nr. 3.4.</t>
  </si>
  <si>
    <t>Pielikums Nr. 3.5.1.</t>
  </si>
  <si>
    <t>Pielikums Nr. 3.6.1.</t>
  </si>
  <si>
    <t>Pielikums Nr. 3.6.2.</t>
  </si>
  <si>
    <t>Pielikums Nr. 3.9.2.</t>
  </si>
  <si>
    <t>*Atveseļošanas un noturības mehānisma ietvaros SIA "Rīgas Austrumu klīniskā universitātes slimnīca” īstenoto projektu Nr. 4.1.1.r.0/2/23/I/VM/001 “Latvijas Vēža centra izveide".</t>
  </si>
  <si>
    <t>Pielikums Nr. 3.11.1.</t>
  </si>
  <si>
    <t>Pielikums Nr. 3.11.2.</t>
  </si>
  <si>
    <t>Pielikums Nr. 3.13.1</t>
  </si>
  <si>
    <t>Pielikums Nr. 3.13.2.</t>
  </si>
  <si>
    <t>Pielikums Nr. 3.13.3.</t>
  </si>
  <si>
    <t>Pielikums Nr. 3.14.1.</t>
  </si>
  <si>
    <t>Pielikums Nr. 3.14.2.</t>
  </si>
  <si>
    <t>Pielikums Nr. 3.15.</t>
  </si>
  <si>
    <t>Pielikums Nr. 3.16.1.</t>
  </si>
  <si>
    <t>Pielikums Nr. 3.16.2.</t>
  </si>
  <si>
    <t>Pielikums Nr. 3.17.1.</t>
  </si>
  <si>
    <t>Pielikums Nr. 3.17.2.</t>
  </si>
  <si>
    <t>Pielikums Nr. 3.18.</t>
  </si>
  <si>
    <t>Pielikums Nr. 3.20.</t>
  </si>
  <si>
    <t>Pielikums Nr. 4.1.1.</t>
  </si>
  <si>
    <t>Pielikums Nr. 4.1.2.</t>
  </si>
  <si>
    <t>Pielikums Nr. 4.2.</t>
  </si>
  <si>
    <t>Pielikums Nr. 4.3.</t>
  </si>
  <si>
    <t>Pielikums Nr. 4.4.1.1.</t>
  </si>
  <si>
    <t>Pielikums Nr. 4.4.1.2.</t>
  </si>
  <si>
    <t>Pielikums Nr. 4.4.2.1.</t>
  </si>
  <si>
    <t>Pielikums Nr. 4.5.</t>
  </si>
  <si>
    <t>Pielikums Nr. 4.7.1.</t>
  </si>
  <si>
    <t>Pielikums Nr. 4.7.2.</t>
  </si>
  <si>
    <t>Pielikums Nr. 4.7.3.</t>
  </si>
  <si>
    <t>Pielikums Nr. 4.7.4.</t>
  </si>
  <si>
    <t>Pielikums Nr. 4.10.1.</t>
  </si>
  <si>
    <t>Pielikums Nr. 4.11.</t>
  </si>
  <si>
    <t>Pielikums Nr. 4.16.</t>
  </si>
  <si>
    <t>Pielikums Nr. 4.17.</t>
  </si>
  <si>
    <t>Pielikums Nr. 4.20.</t>
  </si>
  <si>
    <t>Pielikums Nr. 5.1.</t>
  </si>
  <si>
    <t>Pielikums Nr. 5.2.</t>
  </si>
  <si>
    <t>Pielikums Nr. 5.3.</t>
  </si>
  <si>
    <t>Pielikums Nr. 5.4.</t>
  </si>
  <si>
    <t>Pielikums Nr. 5.8.</t>
  </si>
  <si>
    <t>Pielikums Nr. 5.10.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</si>
</sst>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 _€_-;\-* #,##0\ _€_-;_-* &quot;-&quot;??\ _€_-;_-@_-"/>
    <numFmt numFmtId="165" formatCode="_-* #,##0_-;\-* #,##0_-;_-* &quot;-&quot;??_-;_-@_-"/>
    <numFmt numFmtId="166" formatCode="_(* #,##0_);_(* \(#,##0\);_(* &quot;-&quot;??_);_(@_)"/>
    <numFmt numFmtId="167" formatCode="#\ ##0.00"/>
    <numFmt numFmtId="168" formatCode="#,##0.0"/>
  </numFmts>
  <fonts count="65" x14ac:knownFonts="1">
    <font>
      <sz val="11"/>
      <color theme="1"/>
      <name val="Aptos Narrow"/>
      <family val="2"/>
      <scheme val="minor"/>
    </font>
    <font>
      <sz val="11"/>
      <color theme="1"/>
      <name val="Aptos Narrow"/>
      <family val="2"/>
      <charset val="186"/>
      <scheme val="minor"/>
    </font>
    <font>
      <sz val="12"/>
      <color theme="1"/>
      <name val="Times New Roman"/>
      <family val="1"/>
    </font>
    <font>
      <b/>
      <sz val="12"/>
      <color theme="1"/>
      <name val="Times New Roman"/>
      <family val="1"/>
    </font>
    <font>
      <b/>
      <sz val="12"/>
      <color rgb="FF000000"/>
      <name val="Times New Roman"/>
      <family val="1"/>
    </font>
    <font>
      <sz val="12"/>
      <color rgb="FF000000"/>
      <name val="Times New Roman"/>
      <family val="1"/>
    </font>
    <font>
      <i/>
      <sz val="12"/>
      <color rgb="FF000000"/>
      <name val="Times New Roman"/>
      <family val="1"/>
    </font>
    <font>
      <b/>
      <u/>
      <sz val="12"/>
      <color rgb="FF000000"/>
      <name val="Times New Roman"/>
      <family val="1"/>
    </font>
    <font>
      <i/>
      <sz val="12"/>
      <color theme="1"/>
      <name val="Times New Roman"/>
      <family val="1"/>
    </font>
    <font>
      <u/>
      <sz val="11"/>
      <color theme="10"/>
      <name val="Aptos Narrow"/>
      <family val="2"/>
      <scheme val="minor"/>
    </font>
    <font>
      <b/>
      <sz val="12"/>
      <name val="Times New Roman"/>
      <family val="1"/>
    </font>
    <font>
      <sz val="11"/>
      <color theme="1"/>
      <name val="Aptos Narrow"/>
      <family val="2"/>
      <scheme val="minor"/>
    </font>
    <font>
      <sz val="10"/>
      <name val="Arial"/>
      <family val="2"/>
      <charset val="186"/>
    </font>
    <font>
      <sz val="10"/>
      <name val="Times New Roman"/>
      <family val="1"/>
      <charset val="186"/>
    </font>
    <font>
      <b/>
      <sz val="10"/>
      <name val="Times New Roman"/>
      <family val="1"/>
      <charset val="186"/>
    </font>
    <font>
      <sz val="11"/>
      <color theme="1"/>
      <name val="Aptos Narrow"/>
      <family val="2"/>
      <charset val="186"/>
      <scheme val="minor"/>
    </font>
    <font>
      <sz val="10"/>
      <color theme="1"/>
      <name val="Times New Roman"/>
      <family val="1"/>
      <charset val="186"/>
    </font>
    <font>
      <b/>
      <sz val="10"/>
      <color theme="1"/>
      <name val="Times New Roman"/>
      <family val="1"/>
      <charset val="186"/>
    </font>
    <font>
      <b/>
      <sz val="10"/>
      <name val="Times New Roman"/>
      <family val="1"/>
    </font>
    <font>
      <sz val="10"/>
      <color theme="1"/>
      <name val="Times New Roman"/>
      <family val="1"/>
    </font>
    <font>
      <sz val="10"/>
      <color rgb="FF242424"/>
      <name val="Times New Roman"/>
      <family val="1"/>
    </font>
    <font>
      <b/>
      <sz val="10"/>
      <color rgb="FF242424"/>
      <name val="Times New Roman"/>
      <family val="1"/>
    </font>
    <font>
      <sz val="10"/>
      <color rgb="FF000000"/>
      <name val="Times New Roman"/>
      <family val="1"/>
    </font>
    <font>
      <b/>
      <sz val="10"/>
      <color rgb="FF000000"/>
      <name val="Times New Roman"/>
      <family val="1"/>
    </font>
    <font>
      <b/>
      <sz val="10"/>
      <color theme="1"/>
      <name val="Times New Roman"/>
      <family val="1"/>
    </font>
    <font>
      <sz val="10"/>
      <color rgb="FFFF0000"/>
      <name val="Times New Roman"/>
      <family val="1"/>
    </font>
    <font>
      <u/>
      <sz val="10"/>
      <color rgb="FF000000"/>
      <name val="Times New Roman"/>
      <family val="1"/>
    </font>
    <font>
      <sz val="10"/>
      <name val="Times New Roman"/>
      <family val="1"/>
    </font>
    <font>
      <sz val="10"/>
      <color theme="1"/>
      <name val="Aptos Narrow"/>
      <family val="2"/>
      <scheme val="minor"/>
    </font>
    <font>
      <sz val="10"/>
      <color rgb="FF000000"/>
      <name val="Times New Roman"/>
      <family val="1"/>
      <charset val="186"/>
    </font>
    <font>
      <b/>
      <sz val="10"/>
      <color rgb="FF000000"/>
      <name val="Times New Roman"/>
      <family val="1"/>
      <charset val="186"/>
    </font>
    <font>
      <sz val="10"/>
      <color rgb="FF000000"/>
      <name val="Calibri"/>
      <family val="2"/>
    </font>
    <font>
      <sz val="11"/>
      <color theme="1"/>
      <name val="Times New Roman"/>
      <family val="1"/>
    </font>
    <font>
      <b/>
      <sz val="11"/>
      <color theme="1"/>
      <name val="Times New Roman"/>
      <family val="1"/>
    </font>
    <font>
      <sz val="11"/>
      <color rgb="FF000000"/>
      <name val="Calibri"/>
      <family val="2"/>
    </font>
    <font>
      <sz val="10"/>
      <color rgb="FFFF0000"/>
      <name val="Times New Roman"/>
      <family val="1"/>
      <charset val="186"/>
    </font>
    <font>
      <sz val="11"/>
      <color theme="1"/>
      <name val="Aptos Narrow"/>
      <family val="2"/>
      <scheme val="minor"/>
    </font>
    <font>
      <sz val="12"/>
      <name val="Times New Roman"/>
      <family val="1"/>
    </font>
    <font>
      <i/>
      <sz val="11"/>
      <color theme="1"/>
      <name val="Times New Roman"/>
      <family val="1"/>
    </font>
    <font>
      <sz val="10"/>
      <color rgb="FF000000"/>
      <name val="Calibri"/>
      <family val="2"/>
      <charset val="186"/>
    </font>
    <font>
      <i/>
      <sz val="10"/>
      <color rgb="FF000000"/>
      <name val="Times New Roman"/>
      <family val="1"/>
    </font>
    <font>
      <i/>
      <sz val="10"/>
      <color theme="1"/>
      <name val="Times New Roman"/>
      <family val="1"/>
    </font>
    <font>
      <sz val="12"/>
      <name val="Times New Roman"/>
      <family val="1"/>
      <charset val="186"/>
    </font>
    <font>
      <sz val="10"/>
      <name val="Arial"/>
      <family val="2"/>
    </font>
    <font>
      <sz val="10"/>
      <color indexed="8"/>
      <name val="MS Sans Serif"/>
      <family val="2"/>
      <charset val="186"/>
    </font>
    <font>
      <i/>
      <sz val="10"/>
      <name val="Times New Roman"/>
      <family val="1"/>
    </font>
    <font>
      <b/>
      <i/>
      <sz val="10"/>
      <name val="Times New Roman"/>
      <family val="1"/>
    </font>
    <font>
      <sz val="11"/>
      <color rgb="FF000000"/>
      <name val="Times New Roman"/>
      <family val="1"/>
      <charset val="186"/>
    </font>
    <font>
      <b/>
      <sz val="10"/>
      <color rgb="FFC00000"/>
      <name val="Times New Roman"/>
      <family val="1"/>
    </font>
    <font>
      <sz val="10"/>
      <color theme="1"/>
      <name val="Times New Roman"/>
      <family val="1"/>
    </font>
    <font>
      <b/>
      <sz val="10"/>
      <color theme="1"/>
      <name val="Times New Roman"/>
      <family val="1"/>
    </font>
    <font>
      <b/>
      <sz val="10"/>
      <color rgb="FFFF0000"/>
      <name val="Times New Roman"/>
      <family val="1"/>
    </font>
    <font>
      <sz val="10"/>
      <color indexed="8"/>
      <name val="Times New Roman"/>
      <family val="1"/>
    </font>
    <font>
      <b/>
      <sz val="10"/>
      <color indexed="8"/>
      <name val="Times New Roman"/>
      <family val="1"/>
    </font>
    <font>
      <i/>
      <sz val="12"/>
      <name val="Times New Roman"/>
      <family val="1"/>
    </font>
    <font>
      <sz val="12"/>
      <color rgb="FF212529"/>
      <name val="Times New Roman"/>
      <family val="1"/>
    </font>
    <font>
      <i/>
      <sz val="11"/>
      <name val="Times New Roman"/>
      <family val="1"/>
    </font>
    <font>
      <sz val="11"/>
      <color rgb="FF000000"/>
      <name val="Aptos Narrow"/>
      <family val="2"/>
      <charset val="186"/>
      <scheme val="minor"/>
    </font>
    <font>
      <sz val="10"/>
      <color rgb="FF0070C0"/>
      <name val="Times New Roman"/>
      <family val="1"/>
    </font>
    <font>
      <i/>
      <sz val="10"/>
      <color indexed="8"/>
      <name val="Times New Roman"/>
      <family val="1"/>
    </font>
    <font>
      <b/>
      <sz val="12"/>
      <name val="Times New Roman"/>
      <family val="1"/>
      <charset val="186"/>
    </font>
    <font>
      <b/>
      <sz val="12"/>
      <color rgb="FFFF0000"/>
      <name val="Times New Roman"/>
      <family val="1"/>
      <charset val="186"/>
    </font>
    <font>
      <i/>
      <sz val="10"/>
      <color rgb="FF242424"/>
      <name val="Times New Roman"/>
      <family val="1"/>
    </font>
    <font>
      <sz val="12"/>
      <color theme="1"/>
      <name val="Times New Roman"/>
      <family val="1"/>
      <charset val="186"/>
    </font>
    <font>
      <i/>
      <sz val="12"/>
      <color theme="1"/>
      <name val="Times New Roman"/>
      <family val="1"/>
      <charset val="186"/>
    </font>
  </fonts>
  <fills count="22">
    <fill>
      <patternFill patternType="none"/>
    </fill>
    <fill>
      <patternFill patternType="gray125"/>
    </fill>
    <fill>
      <patternFill patternType="solid">
        <fgColor rgb="FFE2EFD9"/>
        <bgColor indexed="64"/>
      </patternFill>
    </fill>
    <fill>
      <patternFill patternType="solid">
        <fgColor rgb="FFFFFFFF"/>
        <bgColor indexed="64"/>
      </patternFill>
    </fill>
    <fill>
      <patternFill patternType="solid">
        <fgColor theme="9" tint="0.79998168889431442"/>
        <bgColor indexed="64"/>
      </patternFill>
    </fill>
    <fill>
      <patternFill patternType="solid">
        <fgColor theme="0"/>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rgb="FFE2EFDA"/>
        <bgColor rgb="FF000000"/>
      </patternFill>
    </fill>
    <fill>
      <patternFill patternType="solid">
        <fgColor theme="5" tint="0.79998168889431442"/>
        <bgColor indexed="64"/>
      </patternFill>
    </fill>
    <fill>
      <patternFill patternType="solid">
        <fgColor theme="9" tint="0.79998168889431442"/>
        <bgColor rgb="FF000000"/>
      </patternFill>
    </fill>
    <fill>
      <patternFill patternType="solid">
        <fgColor rgb="FFDAF2D0"/>
        <bgColor rgb="FF000000"/>
      </patternFill>
    </fill>
    <fill>
      <patternFill patternType="solid">
        <fgColor rgb="FFFFFFFF"/>
        <bgColor rgb="FF000000"/>
      </patternFill>
    </fill>
    <fill>
      <patternFill patternType="solid">
        <fgColor theme="0"/>
        <bgColor rgb="FF000000"/>
      </patternFill>
    </fill>
    <fill>
      <patternFill patternType="solid">
        <fgColor theme="9" tint="0.59999389629810485"/>
        <bgColor indexed="64"/>
      </patternFill>
    </fill>
    <fill>
      <patternFill patternType="solid">
        <fgColor theme="0" tint="-0.14999847407452621"/>
        <bgColor indexed="64"/>
      </patternFill>
    </fill>
    <fill>
      <patternFill patternType="solid">
        <fgColor theme="9" tint="0.59999389629810485"/>
        <bgColor rgb="FF000000"/>
      </patternFill>
    </fill>
    <fill>
      <patternFill patternType="solid">
        <fgColor theme="2"/>
        <bgColor indexed="64"/>
      </patternFill>
    </fill>
    <fill>
      <patternFill patternType="solid">
        <fgColor rgb="FFE2EFDA"/>
        <bgColor indexed="64"/>
      </patternFill>
    </fill>
    <fill>
      <patternFill patternType="solid">
        <fgColor theme="2" tint="-9.9978637043366805E-2"/>
        <bgColor indexed="64"/>
      </patternFill>
    </fill>
    <fill>
      <patternFill patternType="solid">
        <fgColor theme="9" tint="0.39997558519241921"/>
        <bgColor indexed="64"/>
      </patternFill>
    </fill>
    <fill>
      <patternFill patternType="solid">
        <fgColor theme="9" tint="0.79998168889431442"/>
        <bgColor rgb="FFF7CAAC"/>
      </patternFill>
    </fill>
  </fills>
  <borders count="39">
    <border>
      <left/>
      <right/>
      <top/>
      <bottom/>
      <diagonal/>
    </border>
    <border>
      <left style="medium">
        <color rgb="FF414142"/>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indexed="64"/>
      </right>
      <top/>
      <bottom style="thin">
        <color indexed="64"/>
      </bottom>
      <diagonal/>
    </border>
    <border>
      <left style="thin">
        <color rgb="FF808080"/>
      </left>
      <right style="thin">
        <color rgb="FF808080"/>
      </right>
      <top/>
      <bottom style="thin">
        <color rgb="FF808080"/>
      </bottom>
      <diagonal/>
    </border>
    <border>
      <left/>
      <right style="thin">
        <color rgb="FF808080"/>
      </right>
      <top style="thin">
        <color rgb="FF808080"/>
      </top>
      <bottom style="thin">
        <color rgb="FF808080"/>
      </bottom>
      <diagonal/>
    </border>
    <border>
      <left/>
      <right style="thin">
        <color rgb="FF808080"/>
      </right>
      <top/>
      <bottom style="thin">
        <color rgb="FF808080"/>
      </bottom>
      <diagonal/>
    </border>
    <border>
      <left style="thin">
        <color indexed="64"/>
      </left>
      <right style="thin">
        <color indexed="64"/>
      </right>
      <top/>
      <bottom style="thin">
        <color rgb="FF000000"/>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medium">
        <color rgb="FF414142"/>
      </left>
      <right/>
      <top style="thin">
        <color indexed="64"/>
      </top>
      <bottom style="thin">
        <color indexed="64"/>
      </bottom>
      <diagonal/>
    </border>
    <border>
      <left style="medium">
        <color rgb="FF414142"/>
      </left>
      <right style="thin">
        <color indexed="64"/>
      </right>
      <top style="thin">
        <color indexed="64"/>
      </top>
      <bottom/>
      <diagonal/>
    </border>
    <border>
      <left style="medium">
        <color rgb="FF414142"/>
      </left>
      <right style="thin">
        <color indexed="64"/>
      </right>
      <top/>
      <bottom style="thin">
        <color indexed="64"/>
      </bottom>
      <diagonal/>
    </border>
    <border>
      <left style="thin">
        <color rgb="FF000000"/>
      </left>
      <right/>
      <top style="thin">
        <color rgb="FF000000"/>
      </top>
      <bottom/>
      <diagonal/>
    </border>
  </borders>
  <cellStyleXfs count="22">
    <xf numFmtId="0" fontId="0" fillId="0" borderId="0"/>
    <xf numFmtId="0" fontId="9" fillId="0" borderId="0" applyNumberFormat="0" applyFill="0" applyBorder="0" applyAlignment="0" applyProtection="0"/>
    <xf numFmtId="43" fontId="11" fillId="0" borderId="0" applyFont="0" applyFill="0" applyBorder="0" applyAlignment="0" applyProtection="0"/>
    <xf numFmtId="0" fontId="12" fillId="0" borderId="0"/>
    <xf numFmtId="0" fontId="15" fillId="0" borderId="0"/>
    <xf numFmtId="0" fontId="11" fillId="0" borderId="0"/>
    <xf numFmtId="0" fontId="34" fillId="0" borderId="0"/>
    <xf numFmtId="0" fontId="36" fillId="0" borderId="0"/>
    <xf numFmtId="0" fontId="11" fillId="0" borderId="0"/>
    <xf numFmtId="0" fontId="15" fillId="0" borderId="0"/>
    <xf numFmtId="0" fontId="43" fillId="0" borderId="0"/>
    <xf numFmtId="0" fontId="44" fillId="0" borderId="0"/>
    <xf numFmtId="43" fontId="11" fillId="0" borderId="0" applyFont="0" applyFill="0" applyBorder="0" applyAlignment="0" applyProtection="0"/>
    <xf numFmtId="0" fontId="1" fillId="0" borderId="0"/>
    <xf numFmtId="0" fontId="1" fillId="0" borderId="0"/>
    <xf numFmtId="43" fontId="11" fillId="0" borderId="0" applyFont="0" applyFill="0" applyBorder="0" applyAlignment="0" applyProtection="0"/>
    <xf numFmtId="43" fontId="11" fillId="0" borderId="0" applyFont="0" applyFill="0" applyBorder="0" applyAlignment="0" applyProtection="0"/>
    <xf numFmtId="0" fontId="1" fillId="0" borderId="0"/>
    <xf numFmtId="43" fontId="11" fillId="0" borderId="0" applyFont="0" applyFill="0" applyBorder="0" applyAlignment="0" applyProtection="0"/>
    <xf numFmtId="43" fontId="11" fillId="0" borderId="0" applyFont="0" applyFill="0" applyBorder="0" applyAlignment="0" applyProtection="0"/>
    <xf numFmtId="0" fontId="1" fillId="0" borderId="0"/>
    <xf numFmtId="0" fontId="12" fillId="0" borderId="0"/>
  </cellStyleXfs>
  <cellXfs count="1231">
    <xf numFmtId="0" fontId="0" fillId="0" borderId="0" xfId="0"/>
    <xf numFmtId="0" fontId="5" fillId="3" borderId="2" xfId="0" applyFont="1" applyFill="1" applyBorder="1" applyAlignment="1">
      <alignment vertical="center" wrapText="1"/>
    </xf>
    <xf numFmtId="0" fontId="2" fillId="0" borderId="2" xfId="0" applyFont="1" applyBorder="1" applyAlignment="1">
      <alignment vertical="center" wrapText="1"/>
    </xf>
    <xf numFmtId="0" fontId="5" fillId="3"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vertical="center" wrapText="1"/>
    </xf>
    <xf numFmtId="0" fontId="4" fillId="4" borderId="2" xfId="0" applyFont="1" applyFill="1" applyBorder="1" applyAlignment="1">
      <alignment horizontal="center" vertical="center" wrapText="1"/>
    </xf>
    <xf numFmtId="0" fontId="4" fillId="4" borderId="2" xfId="0" applyFont="1" applyFill="1" applyBorder="1" applyAlignment="1">
      <alignment vertical="center" wrapText="1"/>
    </xf>
    <xf numFmtId="0" fontId="4" fillId="4" borderId="3" xfId="0" applyFont="1" applyFill="1" applyBorder="1" applyAlignment="1">
      <alignment horizontal="center" vertical="center" wrapText="1"/>
    </xf>
    <xf numFmtId="0" fontId="10" fillId="4" borderId="3" xfId="0" applyFont="1" applyFill="1" applyBorder="1" applyAlignment="1">
      <alignment horizontal="center" vertical="top" wrapText="1"/>
    </xf>
    <xf numFmtId="0" fontId="10" fillId="4" borderId="3" xfId="0" applyFont="1" applyFill="1" applyBorder="1" applyAlignment="1">
      <alignment horizontal="center" vertical="center" wrapText="1"/>
    </xf>
    <xf numFmtId="0" fontId="3" fillId="4" borderId="2" xfId="0" applyFont="1" applyFill="1" applyBorder="1" applyAlignment="1">
      <alignment vertical="center" wrapText="1"/>
    </xf>
    <xf numFmtId="0" fontId="2" fillId="4" borderId="2" xfId="0" applyFont="1" applyFill="1" applyBorder="1" applyAlignment="1">
      <alignment vertical="center" wrapText="1"/>
    </xf>
    <xf numFmtId="0" fontId="7" fillId="4" borderId="2" xfId="0" applyFont="1" applyFill="1" applyBorder="1" applyAlignment="1">
      <alignment vertical="center" wrapText="1"/>
    </xf>
    <xf numFmtId="0" fontId="4" fillId="6" borderId="2" xfId="0" applyFont="1" applyFill="1" applyBorder="1" applyAlignment="1">
      <alignment vertical="center" wrapText="1"/>
    </xf>
    <xf numFmtId="0" fontId="5" fillId="3" borderId="2" xfId="0" applyFont="1" applyFill="1" applyBorder="1" applyAlignment="1">
      <alignment horizontal="left" vertical="top" wrapText="1"/>
    </xf>
    <xf numFmtId="0" fontId="3" fillId="2" borderId="2" xfId="0" applyFont="1" applyFill="1" applyBorder="1" applyAlignment="1">
      <alignment vertical="center" wrapText="1"/>
    </xf>
    <xf numFmtId="0" fontId="5" fillId="5" borderId="2" xfId="0" applyFont="1" applyFill="1" applyBorder="1" applyAlignment="1">
      <alignment horizontal="center" vertical="center" wrapText="1"/>
    </xf>
    <xf numFmtId="0" fontId="4" fillId="7" borderId="2" xfId="0" applyFont="1" applyFill="1" applyBorder="1" applyAlignment="1">
      <alignment horizontal="center" vertical="center" wrapText="1"/>
    </xf>
    <xf numFmtId="0" fontId="4" fillId="7" borderId="9" xfId="0" applyFont="1" applyFill="1" applyBorder="1" applyAlignment="1">
      <alignment horizontal="center" vertical="center" wrapText="1"/>
    </xf>
    <xf numFmtId="0" fontId="4" fillId="7" borderId="8"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4" fillId="6" borderId="4" xfId="0" applyFont="1" applyFill="1" applyBorder="1" applyAlignment="1">
      <alignment vertical="center" wrapText="1"/>
    </xf>
    <xf numFmtId="0" fontId="2" fillId="3" borderId="2" xfId="0" applyFont="1" applyFill="1" applyBorder="1" applyAlignment="1">
      <alignment vertical="top" wrapText="1"/>
    </xf>
    <xf numFmtId="0" fontId="16" fillId="4" borderId="2" xfId="4" applyFont="1" applyFill="1" applyBorder="1" applyAlignment="1">
      <alignment horizontal="center" vertical="center" wrapText="1"/>
    </xf>
    <xf numFmtId="0" fontId="16" fillId="4" borderId="8" xfId="4" applyFont="1" applyFill="1" applyBorder="1" applyAlignment="1">
      <alignment horizontal="center" vertical="center" wrapText="1"/>
    </xf>
    <xf numFmtId="3" fontId="18" fillId="0" borderId="2" xfId="3" applyNumberFormat="1" applyFont="1" applyBorder="1"/>
    <xf numFmtId="3" fontId="18" fillId="4" borderId="2" xfId="3" applyNumberFormat="1" applyFont="1" applyFill="1" applyBorder="1"/>
    <xf numFmtId="0" fontId="2" fillId="5" borderId="2" xfId="0" applyFont="1" applyFill="1" applyBorder="1" applyAlignment="1">
      <alignment vertical="center" wrapText="1"/>
    </xf>
    <xf numFmtId="3" fontId="2" fillId="5" borderId="2" xfId="0" applyNumberFormat="1" applyFont="1" applyFill="1" applyBorder="1" applyAlignment="1">
      <alignment horizontal="center" vertical="center" wrapText="1"/>
    </xf>
    <xf numFmtId="3" fontId="5" fillId="3" borderId="2" xfId="0" applyNumberFormat="1" applyFont="1" applyFill="1" applyBorder="1" applyAlignment="1">
      <alignment horizontal="center" vertical="center" wrapText="1"/>
    </xf>
    <xf numFmtId="3" fontId="3" fillId="4" borderId="2" xfId="0" applyNumberFormat="1" applyFont="1" applyFill="1" applyBorder="1" applyAlignment="1">
      <alignment horizontal="center" vertical="center" wrapText="1"/>
    </xf>
    <xf numFmtId="0" fontId="19" fillId="0" borderId="0" xfId="0" applyFont="1"/>
    <xf numFmtId="0" fontId="20" fillId="0" borderId="0" xfId="0" applyFont="1" applyAlignment="1">
      <alignment wrapText="1"/>
    </xf>
    <xf numFmtId="0" fontId="19" fillId="4" borderId="2" xfId="4" applyFont="1" applyFill="1" applyBorder="1" applyAlignment="1">
      <alignment horizontal="center" vertical="center"/>
    </xf>
    <xf numFmtId="0" fontId="19" fillId="4" borderId="2" xfId="4" applyFont="1" applyFill="1" applyBorder="1" applyAlignment="1">
      <alignment horizontal="center" vertical="center" wrapText="1"/>
    </xf>
    <xf numFmtId="0" fontId="19" fillId="5" borderId="0" xfId="4" applyFont="1" applyFill="1" applyAlignment="1">
      <alignment horizontal="center" vertical="center" wrapText="1"/>
    </xf>
    <xf numFmtId="0" fontId="19" fillId="0" borderId="0" xfId="0" applyFont="1" applyAlignment="1">
      <alignment vertical="top" wrapText="1"/>
    </xf>
    <xf numFmtId="0" fontId="22" fillId="3" borderId="0" xfId="0" applyFont="1" applyFill="1" applyAlignment="1">
      <alignment vertical="top" wrapText="1"/>
    </xf>
    <xf numFmtId="0" fontId="20" fillId="0" borderId="16" xfId="0" applyFont="1" applyBorder="1" applyAlignment="1">
      <alignment vertical="center" wrapText="1"/>
    </xf>
    <xf numFmtId="164" fontId="23" fillId="5" borderId="2" xfId="4" applyNumberFormat="1" applyFont="1" applyFill="1" applyBorder="1" applyAlignment="1">
      <alignment vertical="center"/>
    </xf>
    <xf numFmtId="165" fontId="23" fillId="5" borderId="2" xfId="4" applyNumberFormat="1" applyFont="1" applyFill="1" applyBorder="1" applyAlignment="1">
      <alignment vertical="center"/>
    </xf>
    <xf numFmtId="165" fontId="24" fillId="5" borderId="0" xfId="4" applyNumberFormat="1" applyFont="1" applyFill="1" applyAlignment="1">
      <alignment horizontal="center" vertical="center"/>
    </xf>
    <xf numFmtId="43" fontId="19" fillId="5" borderId="0" xfId="4" applyNumberFormat="1" applyFont="1" applyFill="1" applyAlignment="1">
      <alignment horizontal="right"/>
    </xf>
    <xf numFmtId="0" fontId="25" fillId="0" borderId="0" xfId="0" applyFont="1" applyAlignment="1">
      <alignment vertical="top" wrapText="1"/>
    </xf>
    <xf numFmtId="0" fontId="19" fillId="0" borderId="0" xfId="0" applyFont="1" applyAlignment="1">
      <alignment vertical="top"/>
    </xf>
    <xf numFmtId="0" fontId="22" fillId="3" borderId="0" xfId="0" applyFont="1" applyFill="1" applyAlignment="1">
      <alignment horizontal="center" vertical="top" wrapText="1"/>
    </xf>
    <xf numFmtId="0" fontId="19" fillId="4" borderId="2" xfId="0" applyFont="1" applyFill="1" applyBorder="1" applyAlignment="1">
      <alignment horizontal="center" vertical="top" wrapText="1"/>
    </xf>
    <xf numFmtId="0" fontId="19" fillId="4" borderId="2" xfId="0" applyFont="1" applyFill="1" applyBorder="1" applyAlignment="1">
      <alignment horizontal="center" vertical="center"/>
    </xf>
    <xf numFmtId="0" fontId="19" fillId="4" borderId="2" xfId="0" applyFont="1" applyFill="1" applyBorder="1" applyAlignment="1">
      <alignment vertical="center" wrapText="1"/>
    </xf>
    <xf numFmtId="2" fontId="18" fillId="0" borderId="2" xfId="0" applyNumberFormat="1" applyFont="1" applyBorder="1" applyAlignment="1">
      <alignment horizontal="center" vertical="center" wrapText="1"/>
    </xf>
    <xf numFmtId="0" fontId="22" fillId="3" borderId="2" xfId="0" applyFont="1" applyFill="1" applyBorder="1" applyAlignment="1">
      <alignment horizontal="center" vertical="center" wrapText="1"/>
    </xf>
    <xf numFmtId="0" fontId="19" fillId="0" borderId="2" xfId="0" applyFont="1" applyBorder="1" applyAlignment="1">
      <alignment horizontal="center" vertical="center" wrapText="1"/>
    </xf>
    <xf numFmtId="0" fontId="23" fillId="3" borderId="2" xfId="0" applyFont="1" applyFill="1" applyBorder="1" applyAlignment="1">
      <alignment horizontal="center" vertical="center" wrapText="1"/>
    </xf>
    <xf numFmtId="1" fontId="19" fillId="0" borderId="2" xfId="0" applyNumberFormat="1" applyFont="1" applyBorder="1" applyAlignment="1">
      <alignment horizontal="center" vertical="center" wrapText="1"/>
    </xf>
    <xf numFmtId="0" fontId="22" fillId="3" borderId="0" xfId="0" applyFont="1" applyFill="1" applyAlignment="1">
      <alignment horizontal="left" vertical="center" wrapText="1"/>
    </xf>
    <xf numFmtId="0" fontId="19" fillId="0" borderId="0" xfId="0" applyFont="1" applyAlignment="1">
      <alignment horizontal="center" vertical="center" wrapText="1"/>
    </xf>
    <xf numFmtId="0" fontId="23" fillId="3" borderId="0" xfId="0" applyFont="1" applyFill="1" applyAlignment="1">
      <alignment horizontal="center" vertical="center" wrapText="1"/>
    </xf>
    <xf numFmtId="0" fontId="22" fillId="0" borderId="0" xfId="0" applyFont="1" applyAlignment="1">
      <alignment horizontal="center" vertical="center" wrapText="1"/>
    </xf>
    <xf numFmtId="0" fontId="23" fillId="0" borderId="0" xfId="0" applyFont="1" applyAlignment="1">
      <alignment horizontal="center" vertical="center" wrapText="1"/>
    </xf>
    <xf numFmtId="0" fontId="22" fillId="0" borderId="2" xfId="0" applyFont="1" applyBorder="1" applyAlignment="1">
      <alignment horizontal="center" vertical="center"/>
    </xf>
    <xf numFmtId="0" fontId="22" fillId="0" borderId="8" xfId="0" applyFont="1" applyBorder="1" applyAlignment="1">
      <alignment horizontal="left" vertical="center" wrapText="1"/>
    </xf>
    <xf numFmtId="0" fontId="22" fillId="0" borderId="8" xfId="0" applyFont="1" applyBorder="1" applyAlignment="1">
      <alignment horizontal="center" vertical="center"/>
    </xf>
    <xf numFmtId="2" fontId="23" fillId="0" borderId="16" xfId="0" applyNumberFormat="1" applyFont="1" applyBorder="1" applyAlignment="1">
      <alignment horizontal="center" vertical="center"/>
    </xf>
    <xf numFmtId="0" fontId="28" fillId="0" borderId="0" xfId="0" applyFont="1"/>
    <xf numFmtId="0" fontId="5" fillId="3" borderId="2" xfId="0" applyFont="1" applyFill="1" applyBorder="1" applyAlignment="1">
      <alignment vertical="top" wrapText="1"/>
    </xf>
    <xf numFmtId="0" fontId="5" fillId="3" borderId="3" xfId="0" applyFont="1" applyFill="1" applyBorder="1" applyAlignment="1">
      <alignment vertical="top" wrapText="1"/>
    </xf>
    <xf numFmtId="0" fontId="2" fillId="0" borderId="2" xfId="0" applyFont="1" applyBorder="1" applyAlignment="1">
      <alignment vertical="top" wrapText="1"/>
    </xf>
    <xf numFmtId="0" fontId="5" fillId="3" borderId="5" xfId="0" applyFont="1" applyFill="1" applyBorder="1" applyAlignment="1">
      <alignment vertical="top" wrapText="1"/>
    </xf>
    <xf numFmtId="3" fontId="5" fillId="3" borderId="3" xfId="0" applyNumberFormat="1" applyFont="1" applyFill="1" applyBorder="1" applyAlignment="1">
      <alignment horizontal="center" vertical="center" wrapText="1"/>
    </xf>
    <xf numFmtId="3" fontId="2" fillId="4" borderId="2" xfId="0" applyNumberFormat="1" applyFont="1" applyFill="1" applyBorder="1" applyAlignment="1">
      <alignment horizontal="center" vertical="center" wrapText="1"/>
    </xf>
    <xf numFmtId="3" fontId="5" fillId="4" borderId="2" xfId="0" applyNumberFormat="1" applyFont="1" applyFill="1" applyBorder="1" applyAlignment="1">
      <alignment horizontal="center" vertical="center" wrapText="1"/>
    </xf>
    <xf numFmtId="0" fontId="16" fillId="0" borderId="0" xfId="0" applyFont="1"/>
    <xf numFmtId="0" fontId="17" fillId="0" borderId="0" xfId="0" applyFont="1"/>
    <xf numFmtId="0" fontId="16" fillId="0" borderId="0" xfId="0" applyFont="1" applyAlignment="1">
      <alignment vertical="top" wrapText="1"/>
    </xf>
    <xf numFmtId="0" fontId="29" fillId="0" borderId="0" xfId="0" applyFont="1" applyAlignment="1">
      <alignment vertical="top" wrapText="1"/>
    </xf>
    <xf numFmtId="0" fontId="16" fillId="0" borderId="0" xfId="0" applyFont="1" applyAlignment="1">
      <alignment vertical="top"/>
    </xf>
    <xf numFmtId="0" fontId="29" fillId="3" borderId="0" xfId="0" applyFont="1" applyFill="1" applyAlignment="1">
      <alignment horizontal="center" vertical="top" wrapText="1"/>
    </xf>
    <xf numFmtId="0" fontId="29" fillId="8" borderId="9" xfId="0" applyFont="1" applyFill="1" applyBorder="1" applyAlignment="1">
      <alignment horizontal="center" vertical="center" wrapText="1"/>
    </xf>
    <xf numFmtId="0" fontId="29" fillId="8" borderId="2" xfId="0" applyFont="1" applyFill="1" applyBorder="1" applyAlignment="1">
      <alignment horizontal="center" vertical="center" wrapText="1"/>
    </xf>
    <xf numFmtId="0" fontId="29" fillId="10" borderId="2" xfId="0" applyFont="1" applyFill="1" applyBorder="1" applyAlignment="1">
      <alignment horizontal="center" vertical="center"/>
    </xf>
    <xf numFmtId="0" fontId="29" fillId="10" borderId="2" xfId="0" applyFont="1" applyFill="1" applyBorder="1" applyAlignment="1">
      <alignment horizontal="center" vertical="center" wrapText="1"/>
    </xf>
    <xf numFmtId="2" fontId="16" fillId="0" borderId="2" xfId="0" applyNumberFormat="1" applyFont="1" applyBorder="1" applyAlignment="1">
      <alignment horizontal="center" vertical="center" wrapText="1"/>
    </xf>
    <xf numFmtId="0" fontId="13"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9" xfId="0" applyFont="1" applyBorder="1" applyAlignment="1">
      <alignment horizontal="center" vertical="center" wrapText="1"/>
    </xf>
    <xf numFmtId="165" fontId="16" fillId="0" borderId="5" xfId="2" applyNumberFormat="1" applyFont="1" applyFill="1" applyBorder="1" applyAlignment="1">
      <alignment horizontal="center" vertical="center"/>
    </xf>
    <xf numFmtId="0" fontId="16" fillId="0" borderId="0" xfId="0" applyFont="1" applyAlignment="1">
      <alignment horizontal="right"/>
    </xf>
    <xf numFmtId="3" fontId="2" fillId="0" borderId="2" xfId="0" applyNumberFormat="1" applyFont="1" applyBorder="1" applyAlignment="1">
      <alignment horizontal="center" vertical="center" wrapText="1"/>
    </xf>
    <xf numFmtId="0" fontId="24" fillId="0" borderId="0" xfId="0" applyFont="1" applyAlignment="1">
      <alignment horizontal="center"/>
    </xf>
    <xf numFmtId="0" fontId="19" fillId="0" borderId="0" xfId="4" applyFont="1" applyAlignment="1">
      <alignment horizontal="center" vertical="center" wrapText="1"/>
    </xf>
    <xf numFmtId="0" fontId="22" fillId="0" borderId="0" xfId="0" applyFont="1" applyAlignment="1">
      <alignment vertical="top" wrapText="1"/>
    </xf>
    <xf numFmtId="165" fontId="24" fillId="5" borderId="2" xfId="4" applyNumberFormat="1" applyFont="1" applyFill="1" applyBorder="1" applyAlignment="1">
      <alignment horizontal="center" vertical="center"/>
    </xf>
    <xf numFmtId="165" fontId="24" fillId="0" borderId="0" xfId="4" applyNumberFormat="1" applyFont="1" applyAlignment="1">
      <alignment horizontal="center" vertical="center"/>
    </xf>
    <xf numFmtId="43" fontId="19" fillId="0" borderId="0" xfId="4" applyNumberFormat="1" applyFont="1" applyAlignment="1">
      <alignment horizontal="right"/>
    </xf>
    <xf numFmtId="0" fontId="22" fillId="0" borderId="0" xfId="0" applyFont="1" applyAlignment="1">
      <alignment horizontal="center" vertical="top" wrapText="1"/>
    </xf>
    <xf numFmtId="0" fontId="22" fillId="10" borderId="2" xfId="0" applyFont="1" applyFill="1" applyBorder="1" applyAlignment="1">
      <alignment horizontal="center" vertical="center"/>
    </xf>
    <xf numFmtId="165" fontId="23" fillId="3" borderId="2" xfId="2" applyNumberFormat="1" applyFont="1" applyFill="1" applyBorder="1" applyAlignment="1">
      <alignment horizontal="center" vertical="center" wrapText="1"/>
    </xf>
    <xf numFmtId="0" fontId="25" fillId="0" borderId="0" xfId="0" applyFont="1" applyAlignment="1">
      <alignment vertical="top"/>
    </xf>
    <xf numFmtId="0" fontId="25" fillId="0" borderId="0" xfId="0" applyFont="1"/>
    <xf numFmtId="0" fontId="24" fillId="0" borderId="7" xfId="4" applyFont="1" applyBorder="1" applyAlignment="1">
      <alignment horizontal="center" vertical="center" wrapText="1"/>
    </xf>
    <xf numFmtId="3" fontId="4" fillId="4" borderId="2" xfId="0" applyNumberFormat="1" applyFont="1" applyFill="1" applyBorder="1" applyAlignment="1">
      <alignment horizontal="center" vertical="center" wrapText="1"/>
    </xf>
    <xf numFmtId="3" fontId="24" fillId="0" borderId="2" xfId="0" applyNumberFormat="1" applyFont="1" applyBorder="1" applyAlignment="1">
      <alignment horizontal="center" vertical="center" wrapText="1"/>
    </xf>
    <xf numFmtId="0" fontId="19" fillId="5" borderId="2" xfId="0" applyFont="1" applyFill="1" applyBorder="1" applyAlignment="1">
      <alignment vertical="center" wrapText="1"/>
    </xf>
    <xf numFmtId="0" fontId="19" fillId="5" borderId="2" xfId="0" applyFont="1" applyFill="1" applyBorder="1" applyAlignment="1">
      <alignment horizontal="center" vertical="top" wrapText="1"/>
    </xf>
    <xf numFmtId="0" fontId="19" fillId="5" borderId="2" xfId="0" applyFont="1" applyFill="1" applyBorder="1" applyAlignment="1">
      <alignment vertical="center"/>
    </xf>
    <xf numFmtId="0" fontId="19" fillId="5" borderId="8" xfId="0" applyFont="1" applyFill="1" applyBorder="1" applyAlignment="1">
      <alignment vertical="center" wrapText="1"/>
    </xf>
    <xf numFmtId="0" fontId="19" fillId="0" borderId="2" xfId="0" applyFont="1" applyBorder="1" applyAlignment="1">
      <alignment vertical="center" wrapText="1"/>
    </xf>
    <xf numFmtId="0" fontId="19" fillId="0" borderId="3" xfId="0" applyFont="1" applyBorder="1" applyAlignment="1">
      <alignment vertical="center" wrapText="1"/>
    </xf>
    <xf numFmtId="0" fontId="19" fillId="0" borderId="0" xfId="0" applyFont="1" applyAlignment="1">
      <alignment vertical="center" wrapText="1"/>
    </xf>
    <xf numFmtId="3" fontId="24" fillId="0" borderId="2" xfId="0" applyNumberFormat="1" applyFont="1" applyBorder="1"/>
    <xf numFmtId="3" fontId="24" fillId="0" borderId="2" xfId="0" applyNumberFormat="1" applyFont="1" applyBorder="1" applyAlignment="1">
      <alignment horizontal="right"/>
    </xf>
    <xf numFmtId="3" fontId="24" fillId="4" borderId="2" xfId="0" applyNumberFormat="1" applyFont="1" applyFill="1" applyBorder="1" applyAlignment="1">
      <alignment horizontal="center" vertical="center"/>
    </xf>
    <xf numFmtId="3" fontId="19" fillId="5" borderId="2" xfId="4" applyNumberFormat="1" applyFont="1" applyFill="1" applyBorder="1" applyAlignment="1">
      <alignment horizontal="right" wrapText="1"/>
    </xf>
    <xf numFmtId="3" fontId="19" fillId="5" borderId="2" xfId="4" applyNumberFormat="1" applyFont="1" applyFill="1" applyBorder="1" applyAlignment="1">
      <alignment horizontal="right"/>
    </xf>
    <xf numFmtId="3" fontId="2" fillId="4" borderId="3" xfId="0" applyNumberFormat="1" applyFont="1" applyFill="1" applyBorder="1" applyAlignment="1">
      <alignment horizontal="center" vertical="center" wrapText="1"/>
    </xf>
    <xf numFmtId="3" fontId="2" fillId="0" borderId="3" xfId="0" applyNumberFormat="1" applyFont="1" applyBorder="1" applyAlignment="1">
      <alignment horizontal="center" vertical="center" wrapText="1"/>
    </xf>
    <xf numFmtId="0" fontId="29" fillId="0" borderId="0" xfId="0" applyFont="1"/>
    <xf numFmtId="0" fontId="29" fillId="0" borderId="2" xfId="0" applyFont="1" applyBorder="1" applyAlignment="1">
      <alignment horizontal="center" vertical="center" wrapText="1"/>
    </xf>
    <xf numFmtId="2" fontId="29" fillId="0" borderId="2" xfId="0" applyNumberFormat="1" applyFont="1" applyBorder="1" applyAlignment="1">
      <alignment horizontal="center" vertical="center" wrapText="1"/>
    </xf>
    <xf numFmtId="166" fontId="24" fillId="5" borderId="2" xfId="4" applyNumberFormat="1" applyFont="1" applyFill="1" applyBorder="1" applyAlignment="1">
      <alignment horizontal="center" vertical="center" wrapText="1"/>
    </xf>
    <xf numFmtId="0" fontId="29" fillId="0" borderId="0" xfId="0" applyFont="1" applyAlignment="1">
      <alignment horizontal="center" vertical="center" wrapText="1"/>
    </xf>
    <xf numFmtId="166" fontId="23" fillId="4" borderId="2" xfId="0" applyNumberFormat="1" applyFont="1" applyFill="1" applyBorder="1" applyAlignment="1">
      <alignment horizontal="center" vertical="center" wrapText="1"/>
    </xf>
    <xf numFmtId="0" fontId="29" fillId="0" borderId="0" xfId="0" applyFont="1" applyAlignment="1">
      <alignment wrapText="1"/>
    </xf>
    <xf numFmtId="0" fontId="30" fillId="0" borderId="0" xfId="0" applyFont="1"/>
    <xf numFmtId="0" fontId="29" fillId="12" borderId="0" xfId="0" applyFont="1" applyFill="1" applyAlignment="1">
      <alignment wrapText="1"/>
    </xf>
    <xf numFmtId="0" fontId="31" fillId="0" borderId="0" xfId="0" applyFont="1"/>
    <xf numFmtId="0" fontId="31" fillId="0" borderId="0" xfId="0" applyFont="1" applyAlignment="1">
      <alignment wrapText="1"/>
    </xf>
    <xf numFmtId="0" fontId="29" fillId="11" borderId="17" xfId="0" applyFont="1" applyFill="1" applyBorder="1" applyAlignment="1">
      <alignment wrapText="1"/>
    </xf>
    <xf numFmtId="0" fontId="29" fillId="0" borderId="17" xfId="0" applyFont="1" applyBorder="1" applyAlignment="1">
      <alignment horizontal="center" wrapText="1"/>
    </xf>
    <xf numFmtId="0" fontId="29" fillId="0" borderId="0" xfId="0" applyFont="1" applyAlignment="1">
      <alignment horizontal="center" wrapText="1"/>
    </xf>
    <xf numFmtId="0" fontId="29" fillId="0" borderId="16" xfId="0" applyFont="1" applyBorder="1" applyAlignment="1">
      <alignment horizontal="center" wrapText="1"/>
    </xf>
    <xf numFmtId="3" fontId="23" fillId="4" borderId="16" xfId="0" applyNumberFormat="1" applyFont="1" applyFill="1" applyBorder="1" applyAlignment="1">
      <alignment horizontal="center" wrapText="1"/>
    </xf>
    <xf numFmtId="0" fontId="29" fillId="12" borderId="0" xfId="0" applyFont="1" applyFill="1"/>
    <xf numFmtId="0" fontId="32" fillId="0" borderId="0" xfId="0" applyFont="1"/>
    <xf numFmtId="166" fontId="24" fillId="5" borderId="0" xfId="4" applyNumberFormat="1" applyFont="1" applyFill="1" applyAlignment="1">
      <alignment horizontal="center" vertical="center" wrapText="1"/>
    </xf>
    <xf numFmtId="0" fontId="24" fillId="0" borderId="0" xfId="4" applyFont="1" applyAlignment="1">
      <alignment horizontal="center" vertical="center" wrapText="1"/>
    </xf>
    <xf numFmtId="165" fontId="24" fillId="0" borderId="2" xfId="4" applyNumberFormat="1" applyFont="1" applyBorder="1" applyAlignment="1">
      <alignment horizontal="center" vertical="center" wrapText="1"/>
    </xf>
    <xf numFmtId="3" fontId="5" fillId="5" borderId="2" xfId="0" applyNumberFormat="1" applyFont="1" applyFill="1" applyBorder="1" applyAlignment="1">
      <alignment horizontal="center" vertical="center" wrapText="1"/>
    </xf>
    <xf numFmtId="0" fontId="22" fillId="13" borderId="2" xfId="0" applyFont="1" applyFill="1" applyBorder="1" applyAlignment="1">
      <alignment horizontal="center" vertical="center" wrapText="1"/>
    </xf>
    <xf numFmtId="0" fontId="29" fillId="10" borderId="17" xfId="0" applyFont="1" applyFill="1" applyBorder="1" applyAlignment="1">
      <alignment wrapText="1"/>
    </xf>
    <xf numFmtId="0" fontId="35" fillId="0" borderId="22" xfId="0" applyFont="1" applyBorder="1" applyAlignment="1">
      <alignment wrapText="1"/>
    </xf>
    <xf numFmtId="0" fontId="29" fillId="0" borderId="2" xfId="6" applyFont="1" applyBorder="1" applyAlignment="1">
      <alignment vertical="center"/>
    </xf>
    <xf numFmtId="2" fontId="29" fillId="0" borderId="8" xfId="0" applyNumberFormat="1" applyFont="1" applyBorder="1" applyAlignment="1">
      <alignment horizontal="center"/>
    </xf>
    <xf numFmtId="165" fontId="29" fillId="0" borderId="17" xfId="2" applyNumberFormat="1" applyFont="1" applyBorder="1" applyAlignment="1">
      <alignment horizontal="center" wrapText="1"/>
    </xf>
    <xf numFmtId="0" fontId="29" fillId="0" borderId="2" xfId="6" applyFont="1" applyBorder="1" applyAlignment="1">
      <alignment horizontal="center" vertical="center"/>
    </xf>
    <xf numFmtId="0" fontId="16" fillId="0" borderId="2" xfId="6" applyFont="1" applyBorder="1" applyAlignment="1">
      <alignment vertical="center" wrapText="1"/>
    </xf>
    <xf numFmtId="0" fontId="29" fillId="12" borderId="16" xfId="0" applyFont="1" applyFill="1" applyBorder="1" applyAlignment="1">
      <alignment horizontal="center" wrapText="1"/>
    </xf>
    <xf numFmtId="165" fontId="29" fillId="12" borderId="16" xfId="2" applyNumberFormat="1" applyFont="1" applyFill="1" applyBorder="1" applyAlignment="1">
      <alignment horizontal="center" wrapText="1"/>
    </xf>
    <xf numFmtId="0" fontId="35" fillId="0" borderId="0" xfId="0" applyFont="1"/>
    <xf numFmtId="0" fontId="35" fillId="0" borderId="0" xfId="0" applyFont="1" applyAlignment="1">
      <alignment wrapText="1"/>
    </xf>
    <xf numFmtId="0" fontId="29" fillId="12" borderId="0" xfId="0" applyFont="1" applyFill="1" applyAlignment="1">
      <alignment horizontal="center" wrapText="1"/>
    </xf>
    <xf numFmtId="0" fontId="32" fillId="0" borderId="2" xfId="0" applyFont="1" applyBorder="1"/>
    <xf numFmtId="0" fontId="33" fillId="4" borderId="2" xfId="0" applyFont="1" applyFill="1" applyBorder="1" applyAlignment="1">
      <alignment horizontal="center" vertical="center" wrapText="1"/>
    </xf>
    <xf numFmtId="0" fontId="33" fillId="4" borderId="2" xfId="0" applyFont="1" applyFill="1" applyBorder="1" applyAlignment="1">
      <alignment horizontal="center" vertical="center"/>
    </xf>
    <xf numFmtId="0" fontId="33" fillId="4" borderId="9" xfId="0" applyFont="1" applyFill="1" applyBorder="1" applyAlignment="1">
      <alignment horizontal="center" vertical="center" wrapText="1"/>
    </xf>
    <xf numFmtId="0" fontId="32" fillId="0" borderId="2" xfId="0" applyFont="1" applyBorder="1" applyAlignment="1">
      <alignment horizontal="center" vertical="center"/>
    </xf>
    <xf numFmtId="49" fontId="32" fillId="0" borderId="2" xfId="0" applyNumberFormat="1" applyFont="1" applyBorder="1" applyAlignment="1">
      <alignment horizontal="center" vertical="center"/>
    </xf>
    <xf numFmtId="2" fontId="32" fillId="0" borderId="2" xfId="0" applyNumberFormat="1" applyFont="1" applyBorder="1" applyAlignment="1">
      <alignment horizontal="center" vertical="center"/>
    </xf>
    <xf numFmtId="2" fontId="32" fillId="0" borderId="9" xfId="0" applyNumberFormat="1" applyFont="1" applyBorder="1" applyAlignment="1">
      <alignment horizontal="center" vertical="center"/>
    </xf>
    <xf numFmtId="4" fontId="32" fillId="0" borderId="2" xfId="0" applyNumberFormat="1" applyFont="1" applyBorder="1" applyAlignment="1">
      <alignment horizontal="center" vertical="center"/>
    </xf>
    <xf numFmtId="3" fontId="33" fillId="4" borderId="2" xfId="0" applyNumberFormat="1" applyFont="1" applyFill="1" applyBorder="1" applyAlignment="1">
      <alignment horizontal="center"/>
    </xf>
    <xf numFmtId="0" fontId="38" fillId="0" borderId="0" xfId="0" applyFont="1"/>
    <xf numFmtId="0" fontId="5" fillId="3" borderId="3" xfId="0" applyFont="1" applyFill="1" applyBorder="1" applyAlignment="1">
      <alignment horizontal="center" vertical="center" wrapText="1"/>
    </xf>
    <xf numFmtId="0" fontId="34" fillId="0" borderId="0" xfId="0" applyFont="1"/>
    <xf numFmtId="0" fontId="29" fillId="12" borderId="17" xfId="0" applyFont="1" applyFill="1" applyBorder="1" applyAlignment="1">
      <alignment horizontal="center" wrapText="1"/>
    </xf>
    <xf numFmtId="0" fontId="29" fillId="12" borderId="5" xfId="0" applyFont="1" applyFill="1" applyBorder="1" applyAlignment="1">
      <alignment horizontal="center"/>
    </xf>
    <xf numFmtId="0" fontId="29" fillId="12" borderId="17" xfId="0" applyFont="1" applyFill="1" applyBorder="1" applyAlignment="1">
      <alignment horizontal="center"/>
    </xf>
    <xf numFmtId="0" fontId="29" fillId="0" borderId="17" xfId="0" applyFont="1" applyBorder="1" applyAlignment="1">
      <alignment horizontal="center"/>
    </xf>
    <xf numFmtId="0" fontId="29" fillId="11" borderId="17" xfId="0" applyFont="1" applyFill="1" applyBorder="1" applyAlignment="1">
      <alignment horizontal="center" vertical="center" wrapText="1"/>
    </xf>
    <xf numFmtId="0" fontId="14" fillId="0" borderId="5" xfId="0" applyFont="1" applyBorder="1" applyAlignment="1">
      <alignment horizontal="center" vertical="center" wrapText="1"/>
    </xf>
    <xf numFmtId="0" fontId="14" fillId="0" borderId="17" xfId="0" applyFont="1" applyBorder="1" applyAlignment="1">
      <alignment horizontal="center" vertical="center" wrapText="1"/>
    </xf>
    <xf numFmtId="0" fontId="29" fillId="12" borderId="17" xfId="0" applyFont="1" applyFill="1" applyBorder="1" applyAlignment="1">
      <alignment horizontal="center" vertical="center" wrapText="1"/>
    </xf>
    <xf numFmtId="2" fontId="13" fillId="0" borderId="17" xfId="0" applyNumberFormat="1" applyFont="1" applyBorder="1" applyAlignment="1">
      <alignment horizontal="center" vertical="center" wrapText="1"/>
    </xf>
    <xf numFmtId="2" fontId="29" fillId="12" borderId="17" xfId="0" applyNumberFormat="1" applyFont="1" applyFill="1" applyBorder="1" applyAlignment="1">
      <alignment horizontal="center" vertical="center" wrapText="1"/>
    </xf>
    <xf numFmtId="2" fontId="29" fillId="12" borderId="5" xfId="0" applyNumberFormat="1" applyFont="1" applyFill="1" applyBorder="1" applyAlignment="1">
      <alignment horizontal="center" vertical="center" wrapText="1"/>
    </xf>
    <xf numFmtId="2" fontId="39" fillId="0" borderId="0" xfId="6" applyNumberFormat="1" applyFont="1"/>
    <xf numFmtId="0" fontId="39" fillId="0" borderId="0" xfId="6" applyFont="1"/>
    <xf numFmtId="167" fontId="39" fillId="0" borderId="0" xfId="6" applyNumberFormat="1" applyFont="1"/>
    <xf numFmtId="165" fontId="23" fillId="4" borderId="16" xfId="2" applyNumberFormat="1" applyFont="1" applyFill="1" applyBorder="1" applyAlignment="1">
      <alignment horizontal="center" wrapText="1"/>
    </xf>
    <xf numFmtId="0" fontId="2" fillId="0" borderId="0" xfId="0" applyFont="1"/>
    <xf numFmtId="0" fontId="2" fillId="5" borderId="0" xfId="0" applyFont="1" applyFill="1"/>
    <xf numFmtId="0" fontId="5" fillId="5" borderId="2" xfId="0" applyFont="1" applyFill="1" applyBorder="1" applyAlignment="1">
      <alignment vertical="center" wrapText="1"/>
    </xf>
    <xf numFmtId="0" fontId="5" fillId="5" borderId="2" xfId="0" applyFont="1" applyFill="1" applyBorder="1" applyAlignment="1">
      <alignment vertical="top" wrapText="1"/>
    </xf>
    <xf numFmtId="4" fontId="27" fillId="0" borderId="2" xfId="0" applyNumberFormat="1" applyFont="1" applyBorder="1" applyAlignment="1">
      <alignment horizontal="center" vertical="center" wrapText="1"/>
    </xf>
    <xf numFmtId="0" fontId="22" fillId="4" borderId="23" xfId="0" applyFont="1" applyFill="1" applyBorder="1" applyAlignment="1">
      <alignment horizontal="center" vertical="center" wrapText="1"/>
    </xf>
    <xf numFmtId="3" fontId="22" fillId="3" borderId="2" xfId="0" applyNumberFormat="1" applyFont="1" applyFill="1" applyBorder="1" applyAlignment="1">
      <alignment horizontal="center" vertical="center" wrapText="1"/>
    </xf>
    <xf numFmtId="3" fontId="19" fillId="0" borderId="2" xfId="0" applyNumberFormat="1" applyFont="1" applyBorder="1" applyAlignment="1">
      <alignment horizontal="center" vertical="center" wrapText="1"/>
    </xf>
    <xf numFmtId="3" fontId="19" fillId="0" borderId="16" xfId="0" applyNumberFormat="1" applyFont="1" applyBorder="1" applyAlignment="1">
      <alignment horizontal="center" vertical="center" wrapText="1"/>
    </xf>
    <xf numFmtId="3" fontId="19" fillId="14" borderId="16" xfId="0" applyNumberFormat="1" applyFont="1" applyFill="1" applyBorder="1" applyAlignment="1">
      <alignment horizontal="center" vertical="center" wrapText="1"/>
    </xf>
    <xf numFmtId="0" fontId="19" fillId="4" borderId="2" xfId="0" applyFont="1" applyFill="1" applyBorder="1" applyAlignment="1">
      <alignment horizontal="center" vertical="center" wrapText="1"/>
    </xf>
    <xf numFmtId="0" fontId="2" fillId="5" borderId="2" xfId="0" applyFont="1" applyFill="1" applyBorder="1" applyAlignment="1">
      <alignment horizontal="center" vertical="center" wrapText="1"/>
    </xf>
    <xf numFmtId="3" fontId="19" fillId="4" borderId="2" xfId="0" applyNumberFormat="1" applyFont="1" applyFill="1" applyBorder="1" applyAlignment="1">
      <alignment horizontal="center" vertical="center" wrapText="1"/>
    </xf>
    <xf numFmtId="0" fontId="20" fillId="0" borderId="0" xfId="0" applyFont="1" applyAlignment="1">
      <alignment vertical="center" wrapText="1"/>
    </xf>
    <xf numFmtId="164" fontId="23" fillId="5" borderId="0" xfId="4" applyNumberFormat="1" applyFont="1" applyFill="1" applyAlignment="1">
      <alignment vertical="center"/>
    </xf>
    <xf numFmtId="165" fontId="23" fillId="5" borderId="0" xfId="4" applyNumberFormat="1" applyFont="1" applyFill="1" applyAlignment="1">
      <alignment vertical="center"/>
    </xf>
    <xf numFmtId="165" fontId="23" fillId="5" borderId="0" xfId="4" applyNumberFormat="1" applyFont="1" applyFill="1" applyAlignment="1">
      <alignment horizontal="center" vertical="center" wrapText="1"/>
    </xf>
    <xf numFmtId="0" fontId="22" fillId="12" borderId="0" xfId="0" applyFont="1" applyFill="1" applyAlignment="1">
      <alignment wrapText="1"/>
    </xf>
    <xf numFmtId="0" fontId="22" fillId="12" borderId="2" xfId="0" applyFont="1" applyFill="1" applyBorder="1" applyAlignment="1">
      <alignment horizontal="center" vertical="center" wrapText="1"/>
    </xf>
    <xf numFmtId="0" fontId="22" fillId="12" borderId="8" xfId="0" applyFont="1" applyFill="1" applyBorder="1" applyAlignment="1">
      <alignment horizontal="center" vertical="center" wrapText="1"/>
    </xf>
    <xf numFmtId="0" fontId="22" fillId="12" borderId="0" xfId="0" applyFont="1" applyFill="1"/>
    <xf numFmtId="0" fontId="22" fillId="12" borderId="0" xfId="0" applyFont="1" applyFill="1" applyAlignment="1">
      <alignment horizontal="center" vertical="center" wrapText="1"/>
    </xf>
    <xf numFmtId="0" fontId="18" fillId="0" borderId="5" xfId="0" applyFont="1" applyBorder="1" applyAlignment="1">
      <alignment horizontal="center" vertical="center" wrapText="1"/>
    </xf>
    <xf numFmtId="0" fontId="18" fillId="0" borderId="17" xfId="0" applyFont="1" applyBorder="1" applyAlignment="1">
      <alignment horizontal="center" vertical="center" wrapText="1"/>
    </xf>
    <xf numFmtId="0" fontId="22" fillId="12" borderId="17" xfId="0" applyFont="1" applyFill="1" applyBorder="1" applyAlignment="1">
      <alignment horizontal="center" vertical="center" wrapText="1"/>
    </xf>
    <xf numFmtId="0" fontId="22" fillId="12" borderId="0" xfId="0" applyFont="1" applyFill="1" applyAlignment="1">
      <alignment horizontal="center" vertical="center"/>
    </xf>
    <xf numFmtId="0" fontId="22" fillId="11" borderId="17" xfId="0" applyFont="1" applyFill="1" applyBorder="1" applyAlignment="1">
      <alignment horizontal="center" vertical="center" wrapText="1"/>
    </xf>
    <xf numFmtId="0" fontId="22" fillId="12" borderId="5" xfId="0" applyFont="1" applyFill="1" applyBorder="1" applyAlignment="1">
      <alignment horizontal="center"/>
    </xf>
    <xf numFmtId="0" fontId="22" fillId="12" borderId="17" xfId="0" applyFont="1" applyFill="1" applyBorder="1" applyAlignment="1">
      <alignment horizontal="center"/>
    </xf>
    <xf numFmtId="0" fontId="22" fillId="12" borderId="17" xfId="0" applyFont="1" applyFill="1" applyBorder="1" applyAlignment="1">
      <alignment horizontal="center" wrapText="1"/>
    </xf>
    <xf numFmtId="0" fontId="22" fillId="0" borderId="17" xfId="0" applyFont="1" applyBorder="1" applyAlignment="1">
      <alignment horizontal="center"/>
    </xf>
    <xf numFmtId="0" fontId="27" fillId="8" borderId="5" xfId="0" applyFont="1" applyFill="1" applyBorder="1" applyAlignment="1">
      <alignment horizontal="center" vertical="center" wrapText="1"/>
    </xf>
    <xf numFmtId="0" fontId="27" fillId="12" borderId="17" xfId="0" applyFont="1" applyFill="1" applyBorder="1" applyAlignment="1">
      <alignment horizontal="center" vertical="center" wrapText="1"/>
    </xf>
    <xf numFmtId="2" fontId="27" fillId="12" borderId="17" xfId="0" applyNumberFormat="1" applyFont="1" applyFill="1" applyBorder="1" applyAlignment="1">
      <alignment horizontal="center" vertical="center" wrapText="1"/>
    </xf>
    <xf numFmtId="0" fontId="27" fillId="12" borderId="17" xfId="0" applyFont="1" applyFill="1" applyBorder="1" applyAlignment="1">
      <alignment horizontal="center" vertical="center"/>
    </xf>
    <xf numFmtId="2" fontId="23" fillId="12" borderId="17" xfId="0" applyNumberFormat="1" applyFont="1" applyFill="1" applyBorder="1" applyAlignment="1">
      <alignment horizontal="center" vertical="center"/>
    </xf>
    <xf numFmtId="2" fontId="22" fillId="12" borderId="17" xfId="0" applyNumberFormat="1" applyFont="1" applyFill="1" applyBorder="1" applyAlignment="1">
      <alignment horizontal="center" vertical="center"/>
    </xf>
    <xf numFmtId="0" fontId="19" fillId="0" borderId="0" xfId="0" applyFont="1" applyAlignment="1">
      <alignment vertical="center"/>
    </xf>
    <xf numFmtId="2" fontId="22" fillId="12" borderId="5" xfId="0" applyNumberFormat="1" applyFont="1" applyFill="1" applyBorder="1" applyAlignment="1">
      <alignment horizontal="center" vertical="center" wrapText="1"/>
    </xf>
    <xf numFmtId="2" fontId="22" fillId="12" borderId="17" xfId="0" applyNumberFormat="1" applyFont="1" applyFill="1" applyBorder="1" applyAlignment="1">
      <alignment horizontal="center" vertical="center" wrapText="1"/>
    </xf>
    <xf numFmtId="2" fontId="27" fillId="0" borderId="5" xfId="0" applyNumberFormat="1" applyFont="1" applyBorder="1" applyAlignment="1">
      <alignment horizontal="center" vertical="center" wrapText="1"/>
    </xf>
    <xf numFmtId="2" fontId="27" fillId="0" borderId="17" xfId="0" applyNumberFormat="1" applyFont="1" applyBorder="1" applyAlignment="1">
      <alignment horizontal="center" vertical="center" wrapText="1"/>
    </xf>
    <xf numFmtId="0" fontId="37" fillId="0" borderId="2" xfId="0" applyFont="1" applyBorder="1" applyAlignment="1">
      <alignment vertical="top" wrapText="1"/>
    </xf>
    <xf numFmtId="0" fontId="2" fillId="5" borderId="3" xfId="0" applyFont="1" applyFill="1" applyBorder="1" applyAlignment="1">
      <alignment vertical="center" wrapText="1"/>
    </xf>
    <xf numFmtId="0" fontId="22" fillId="3" borderId="5" xfId="0" applyFont="1" applyFill="1" applyBorder="1" applyAlignment="1">
      <alignment horizontal="center" vertical="center" wrapText="1"/>
    </xf>
    <xf numFmtId="0" fontId="22" fillId="3" borderId="17" xfId="0" applyFont="1" applyFill="1" applyBorder="1" applyAlignment="1">
      <alignment horizontal="left" vertical="center" wrapText="1"/>
    </xf>
    <xf numFmtId="0" fontId="19" fillId="4" borderId="2" xfId="9" applyFont="1" applyFill="1" applyBorder="1" applyAlignment="1">
      <alignment horizontal="center" vertical="center" wrapText="1"/>
    </xf>
    <xf numFmtId="0" fontId="19" fillId="0" borderId="0" xfId="9" applyFont="1"/>
    <xf numFmtId="3" fontId="22" fillId="3" borderId="17" xfId="0" applyNumberFormat="1" applyFont="1" applyFill="1" applyBorder="1" applyAlignment="1">
      <alignment horizontal="center" vertical="center" wrapText="1"/>
    </xf>
    <xf numFmtId="3" fontId="23" fillId="14" borderId="17" xfId="0" applyNumberFormat="1" applyFont="1" applyFill="1" applyBorder="1" applyAlignment="1">
      <alignment horizontal="center" vertical="center" wrapText="1"/>
    </xf>
    <xf numFmtId="0" fontId="22" fillId="3" borderId="2" xfId="0" applyFont="1" applyFill="1" applyBorder="1" applyAlignment="1">
      <alignment horizontal="left" vertical="center" wrapText="1"/>
    </xf>
    <xf numFmtId="0" fontId="22" fillId="3" borderId="5" xfId="0" applyFont="1" applyFill="1" applyBorder="1" applyAlignment="1">
      <alignment horizontal="center" vertical="top" wrapText="1"/>
    </xf>
    <xf numFmtId="0" fontId="22" fillId="3" borderId="17" xfId="0" applyFont="1" applyFill="1" applyBorder="1" applyAlignment="1">
      <alignment horizontal="left" vertical="top" wrapText="1"/>
    </xf>
    <xf numFmtId="3" fontId="24" fillId="0" borderId="2" xfId="0" applyNumberFormat="1" applyFont="1" applyBorder="1" applyAlignment="1">
      <alignment horizontal="center" vertical="top" wrapText="1"/>
    </xf>
    <xf numFmtId="3" fontId="19" fillId="0" borderId="2" xfId="0" applyNumberFormat="1" applyFont="1" applyBorder="1" applyAlignment="1">
      <alignment horizontal="center" vertical="top" wrapText="1"/>
    </xf>
    <xf numFmtId="0" fontId="24" fillId="0" borderId="2" xfId="0" applyFont="1" applyBorder="1" applyAlignment="1">
      <alignment horizontal="center" vertical="center" wrapText="1"/>
    </xf>
    <xf numFmtId="3" fontId="24" fillId="14" borderId="2" xfId="0" applyNumberFormat="1" applyFont="1" applyFill="1" applyBorder="1" applyAlignment="1">
      <alignment horizontal="center" vertical="center" wrapText="1"/>
    </xf>
    <xf numFmtId="3" fontId="18" fillId="14" borderId="2" xfId="0" applyNumberFormat="1" applyFont="1" applyFill="1" applyBorder="1" applyAlignment="1">
      <alignment horizontal="center" vertical="top" wrapText="1"/>
    </xf>
    <xf numFmtId="0" fontId="24" fillId="0" borderId="2" xfId="0" applyFont="1" applyBorder="1" applyAlignment="1">
      <alignment horizontal="center" vertical="top" wrapText="1"/>
    </xf>
    <xf numFmtId="0" fontId="37" fillId="3" borderId="2"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2" fillId="5" borderId="3" xfId="0" applyFont="1" applyFill="1" applyBorder="1" applyAlignment="1">
      <alignment horizontal="center" vertical="center" wrapText="1"/>
    </xf>
    <xf numFmtId="0" fontId="37" fillId="0" borderId="3" xfId="0" applyFont="1" applyBorder="1" applyAlignment="1">
      <alignment vertical="top" wrapText="1"/>
    </xf>
    <xf numFmtId="0" fontId="3" fillId="6" borderId="4" xfId="0" applyFont="1" applyFill="1" applyBorder="1" applyAlignment="1">
      <alignment vertical="center" wrapText="1"/>
    </xf>
    <xf numFmtId="3" fontId="27" fillId="4" borderId="2" xfId="8" applyNumberFormat="1" applyFont="1" applyFill="1" applyBorder="1" applyAlignment="1">
      <alignment horizontal="center" vertical="center" wrapText="1"/>
    </xf>
    <xf numFmtId="3" fontId="27" fillId="15" borderId="2" xfId="8" applyNumberFormat="1" applyFont="1" applyFill="1" applyBorder="1" applyAlignment="1">
      <alignment horizontal="center" vertical="center" wrapText="1"/>
    </xf>
    <xf numFmtId="4" fontId="27" fillId="15" borderId="2" xfId="8" applyNumberFormat="1" applyFont="1" applyFill="1" applyBorder="1" applyAlignment="1">
      <alignment horizontal="center" vertical="center" wrapText="1"/>
    </xf>
    <xf numFmtId="3" fontId="27" fillId="5" borderId="2" xfId="8" applyNumberFormat="1" applyFont="1" applyFill="1" applyBorder="1" applyAlignment="1">
      <alignment horizontal="center" vertical="center" wrapText="1"/>
    </xf>
    <xf numFmtId="4" fontId="27" fillId="5" borderId="2" xfId="8" applyNumberFormat="1" applyFont="1" applyFill="1" applyBorder="1" applyAlignment="1">
      <alignment horizontal="center" vertical="center" wrapText="1"/>
    </xf>
    <xf numFmtId="0" fontId="19" fillId="5" borderId="0" xfId="0" applyFont="1" applyFill="1"/>
    <xf numFmtId="0" fontId="24" fillId="15" borderId="2" xfId="0" applyFont="1" applyFill="1" applyBorder="1" applyAlignment="1">
      <alignment wrapText="1"/>
    </xf>
    <xf numFmtId="0" fontId="19" fillId="0" borderId="2" xfId="0" applyFont="1" applyBorder="1" applyAlignment="1">
      <alignment wrapText="1"/>
    </xf>
    <xf numFmtId="0" fontId="19" fillId="0" borderId="2" xfId="0" applyFont="1" applyBorder="1" applyAlignment="1">
      <alignment horizontal="right" wrapText="1"/>
    </xf>
    <xf numFmtId="3" fontId="18" fillId="14" borderId="2" xfId="8" applyNumberFormat="1" applyFont="1" applyFill="1" applyBorder="1" applyAlignment="1">
      <alignment horizontal="center" vertical="center" wrapText="1"/>
    </xf>
    <xf numFmtId="0" fontId="18" fillId="0" borderId="2" xfId="10" applyFont="1" applyBorder="1" applyAlignment="1">
      <alignment horizontal="center" vertical="center" wrapText="1"/>
    </xf>
    <xf numFmtId="49" fontId="27" fillId="0" borderId="2" xfId="10" applyNumberFormat="1" applyFont="1" applyBorder="1" applyAlignment="1">
      <alignment horizontal="center" vertical="center" wrapText="1"/>
    </xf>
    <xf numFmtId="0" fontId="27" fillId="0" borderId="2" xfId="10" applyFont="1" applyBorder="1" applyAlignment="1">
      <alignment horizontal="center" vertical="center" textRotation="90" wrapText="1"/>
    </xf>
    <xf numFmtId="0" fontId="27" fillId="0" borderId="2" xfId="10" applyFont="1" applyBorder="1" applyAlignment="1">
      <alignment horizontal="center" vertical="center" wrapText="1"/>
    </xf>
    <xf numFmtId="0" fontId="27" fillId="5" borderId="2" xfId="10" applyFont="1" applyFill="1" applyBorder="1" applyAlignment="1">
      <alignment horizontal="center" vertical="center" wrapText="1"/>
    </xf>
    <xf numFmtId="9" fontId="27" fillId="0" borderId="2" xfId="10" applyNumberFormat="1" applyFont="1" applyBorder="1" applyAlignment="1">
      <alignment horizontal="center" vertical="center" wrapText="1"/>
    </xf>
    <xf numFmtId="9" fontId="27" fillId="5" borderId="2" xfId="10" applyNumberFormat="1" applyFont="1" applyFill="1" applyBorder="1" applyAlignment="1">
      <alignment horizontal="center" vertical="center" wrapText="1"/>
    </xf>
    <xf numFmtId="0" fontId="45" fillId="0" borderId="2" xfId="10" applyFont="1" applyBorder="1" applyAlignment="1">
      <alignment horizontal="center" vertical="center" wrapText="1"/>
    </xf>
    <xf numFmtId="3" fontId="45" fillId="0" borderId="2" xfId="10" applyNumberFormat="1" applyFont="1" applyBorder="1" applyAlignment="1">
      <alignment horizontal="center" vertical="center" wrapText="1"/>
    </xf>
    <xf numFmtId="3" fontId="45" fillId="5" borderId="2" xfId="10" applyNumberFormat="1" applyFont="1" applyFill="1" applyBorder="1" applyAlignment="1">
      <alignment horizontal="center" vertical="center" wrapText="1"/>
    </xf>
    <xf numFmtId="0" fontId="27" fillId="0" borderId="0" xfId="10" applyFont="1" applyAlignment="1">
      <alignment horizontal="left" vertical="center" wrapText="1"/>
    </xf>
    <xf numFmtId="0" fontId="27" fillId="0" borderId="0" xfId="10" applyFont="1" applyAlignment="1">
      <alignment horizontal="center" vertical="center" wrapText="1"/>
    </xf>
    <xf numFmtId="49" fontId="27" fillId="0" borderId="0" xfId="10" applyNumberFormat="1" applyFont="1" applyAlignment="1">
      <alignment horizontal="center"/>
    </xf>
    <xf numFmtId="0" fontId="27" fillId="0" borderId="0" xfId="10" applyFont="1" applyAlignment="1">
      <alignment horizontal="center"/>
    </xf>
    <xf numFmtId="0" fontId="27" fillId="0" borderId="0" xfId="10" applyFont="1"/>
    <xf numFmtId="0" fontId="27" fillId="5" borderId="0" xfId="10" applyFont="1" applyFill="1"/>
    <xf numFmtId="0" fontId="46" fillId="0" borderId="2" xfId="10" applyFont="1" applyBorder="1" applyAlignment="1">
      <alignment horizontal="left" vertical="center" wrapText="1"/>
    </xf>
    <xf numFmtId="49" fontId="27" fillId="0" borderId="2" xfId="10" applyNumberFormat="1" applyFont="1" applyBorder="1" applyAlignment="1">
      <alignment horizontal="center" vertical="center"/>
    </xf>
    <xf numFmtId="0" fontId="27" fillId="0" borderId="2" xfId="10" applyFont="1" applyBorder="1" applyAlignment="1">
      <alignment horizontal="center" vertical="center"/>
    </xf>
    <xf numFmtId="0" fontId="27" fillId="0" borderId="2" xfId="10" applyFont="1" applyBorder="1"/>
    <xf numFmtId="0" fontId="27" fillId="5" borderId="2" xfId="10" applyFont="1" applyFill="1" applyBorder="1"/>
    <xf numFmtId="0" fontId="27" fillId="0" borderId="26" xfId="0" applyFont="1" applyBorder="1" applyAlignment="1">
      <alignment horizontal="left" vertical="center" wrapText="1"/>
    </xf>
    <xf numFmtId="168" fontId="18" fillId="0" borderId="2" xfId="10" applyNumberFormat="1" applyFont="1" applyBorder="1" applyAlignment="1">
      <alignment horizontal="center" wrapText="1"/>
    </xf>
    <xf numFmtId="0" fontId="27" fillId="0" borderId="5" xfId="10" applyFont="1" applyBorder="1" applyAlignment="1">
      <alignment horizontal="center"/>
    </xf>
    <xf numFmtId="0" fontId="27" fillId="0" borderId="5" xfId="10" applyFont="1" applyBorder="1"/>
    <xf numFmtId="2" fontId="27" fillId="0" borderId="2" xfId="10" applyNumberFormat="1" applyFont="1" applyBorder="1"/>
    <xf numFmtId="2" fontId="27" fillId="5" borderId="2" xfId="10" applyNumberFormat="1" applyFont="1" applyFill="1" applyBorder="1"/>
    <xf numFmtId="4" fontId="27" fillId="5" borderId="2" xfId="10" applyNumberFormat="1" applyFont="1" applyFill="1" applyBorder="1" applyAlignment="1">
      <alignment horizontal="right" wrapText="1"/>
    </xf>
    <xf numFmtId="0" fontId="27" fillId="0" borderId="26" xfId="0" applyFont="1" applyBorder="1" applyAlignment="1">
      <alignment vertical="center" wrapText="1"/>
    </xf>
    <xf numFmtId="0" fontId="27" fillId="0" borderId="26" xfId="11" applyFont="1" applyBorder="1" applyAlignment="1">
      <alignment horizontal="left" wrapText="1"/>
    </xf>
    <xf numFmtId="4" fontId="27" fillId="5" borderId="0" xfId="10" applyNumberFormat="1" applyFont="1" applyFill="1"/>
    <xf numFmtId="0" fontId="27" fillId="0" borderId="2" xfId="10" applyFont="1" applyBorder="1" applyAlignment="1">
      <alignment horizontal="right" vertical="center" wrapText="1"/>
    </xf>
    <xf numFmtId="2" fontId="19" fillId="5" borderId="0" xfId="0" applyNumberFormat="1" applyFont="1" applyFill="1"/>
    <xf numFmtId="0" fontId="27" fillId="0" borderId="0" xfId="0" applyFont="1" applyAlignment="1">
      <alignment horizontal="left"/>
    </xf>
    <xf numFmtId="0" fontId="24" fillId="5" borderId="2" xfId="0" applyFont="1" applyFill="1" applyBorder="1" applyAlignment="1">
      <alignment wrapText="1"/>
    </xf>
    <xf numFmtId="3" fontId="18" fillId="5" borderId="2" xfId="8" applyNumberFormat="1" applyFont="1" applyFill="1" applyBorder="1" applyAlignment="1">
      <alignment horizontal="center" vertical="center" wrapText="1"/>
    </xf>
    <xf numFmtId="0" fontId="27" fillId="5" borderId="2" xfId="10" applyFont="1" applyFill="1" applyBorder="1" applyAlignment="1">
      <alignment horizontal="right" vertical="center" wrapText="1"/>
    </xf>
    <xf numFmtId="168" fontId="18" fillId="5" borderId="2" xfId="10" applyNumberFormat="1" applyFont="1" applyFill="1" applyBorder="1" applyAlignment="1">
      <alignment horizontal="center" vertical="center" wrapText="1"/>
    </xf>
    <xf numFmtId="49" fontId="27" fillId="5" borderId="2" xfId="10" applyNumberFormat="1" applyFont="1" applyFill="1" applyBorder="1" applyAlignment="1">
      <alignment horizontal="center"/>
    </xf>
    <xf numFmtId="0" fontId="27" fillId="5" borderId="2" xfId="10" applyFont="1" applyFill="1" applyBorder="1" applyAlignment="1">
      <alignment horizontal="center"/>
    </xf>
    <xf numFmtId="4" fontId="18" fillId="5" borderId="2" xfId="10" applyNumberFormat="1" applyFont="1" applyFill="1" applyBorder="1" applyAlignment="1">
      <alignment horizontal="center" vertical="center" wrapText="1"/>
    </xf>
    <xf numFmtId="3" fontId="27" fillId="5" borderId="2" xfId="10" applyNumberFormat="1" applyFont="1" applyFill="1" applyBorder="1" applyAlignment="1">
      <alignment horizontal="center" vertical="center" wrapText="1"/>
    </xf>
    <xf numFmtId="0" fontId="27" fillId="5" borderId="0" xfId="10" applyFont="1" applyFill="1" applyAlignment="1">
      <alignment horizontal="left" vertical="center" wrapText="1"/>
    </xf>
    <xf numFmtId="4" fontId="18" fillId="5" borderId="2" xfId="8" applyNumberFormat="1" applyFont="1" applyFill="1" applyBorder="1" applyAlignment="1">
      <alignment horizontal="center" vertical="center" wrapText="1"/>
    </xf>
    <xf numFmtId="0" fontId="37" fillId="5"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27" fillId="4" borderId="2" xfId="0" applyFont="1" applyFill="1" applyBorder="1" applyAlignment="1">
      <alignment horizontal="center" vertical="center" wrapText="1"/>
    </xf>
    <xf numFmtId="0" fontId="29" fillId="12" borderId="0" xfId="0" applyFont="1" applyFill="1" applyAlignment="1">
      <alignment vertical="center"/>
    </xf>
    <xf numFmtId="0" fontId="13" fillId="8" borderId="5" xfId="0" applyFont="1" applyFill="1" applyBorder="1" applyAlignment="1">
      <alignment vertical="center" wrapText="1"/>
    </xf>
    <xf numFmtId="0" fontId="42" fillId="8" borderId="22" xfId="0" applyFont="1" applyFill="1" applyBorder="1" applyAlignment="1">
      <alignment vertical="center" wrapText="1"/>
    </xf>
    <xf numFmtId="0" fontId="13" fillId="12" borderId="17" xfId="0" applyFont="1" applyFill="1" applyBorder="1" applyAlignment="1">
      <alignment horizontal="center" vertical="center" wrapText="1"/>
    </xf>
    <xf numFmtId="2" fontId="13" fillId="12" borderId="17" xfId="0" applyNumberFormat="1" applyFont="1" applyFill="1" applyBorder="1" applyAlignment="1">
      <alignment horizontal="center" vertical="center" wrapText="1"/>
    </xf>
    <xf numFmtId="0" fontId="13" fillId="12" borderId="17" xfId="0" applyFont="1" applyFill="1" applyBorder="1" applyAlignment="1">
      <alignment horizontal="center" vertical="center"/>
    </xf>
    <xf numFmtId="2" fontId="30" fillId="12" borderId="17" xfId="0" applyNumberFormat="1" applyFont="1" applyFill="1" applyBorder="1" applyAlignment="1">
      <alignment horizontal="center" vertical="center"/>
    </xf>
    <xf numFmtId="0" fontId="30" fillId="12" borderId="17" xfId="0" applyFont="1" applyFill="1" applyBorder="1" applyAlignment="1">
      <alignment horizontal="center" vertical="center"/>
    </xf>
    <xf numFmtId="2" fontId="29" fillId="12" borderId="17" xfId="0" applyNumberFormat="1" applyFont="1" applyFill="1" applyBorder="1" applyAlignment="1">
      <alignment horizontal="center" vertical="center"/>
    </xf>
    <xf numFmtId="0" fontId="29" fillId="11" borderId="17" xfId="0" applyFont="1" applyFill="1" applyBorder="1" applyAlignment="1">
      <alignment vertical="center" wrapText="1"/>
    </xf>
    <xf numFmtId="0" fontId="13" fillId="10" borderId="18" xfId="0" applyFont="1" applyFill="1" applyBorder="1" applyAlignment="1">
      <alignment horizontal="left" vertical="center" wrapText="1"/>
    </xf>
    <xf numFmtId="0" fontId="42" fillId="4" borderId="22" xfId="0" applyFont="1" applyFill="1" applyBorder="1" applyAlignment="1">
      <alignment vertical="center" wrapText="1"/>
    </xf>
    <xf numFmtId="2" fontId="13" fillId="0" borderId="8" xfId="0" applyNumberFormat="1" applyFont="1" applyBorder="1" applyAlignment="1">
      <alignment horizontal="center" vertical="center"/>
    </xf>
    <xf numFmtId="0" fontId="29" fillId="0" borderId="17" xfId="0" applyFont="1" applyBorder="1" applyAlignment="1">
      <alignment horizontal="center" vertical="center" wrapText="1"/>
    </xf>
    <xf numFmtId="0" fontId="29" fillId="0" borderId="0" xfId="0" applyFont="1" applyAlignment="1">
      <alignment vertical="center"/>
    </xf>
    <xf numFmtId="0" fontId="29" fillId="0" borderId="0" xfId="0" applyFont="1" applyAlignment="1">
      <alignment vertical="center" wrapText="1"/>
    </xf>
    <xf numFmtId="0" fontId="29" fillId="0" borderId="16" xfId="0" applyFont="1" applyBorder="1" applyAlignment="1">
      <alignment horizontal="center" vertical="center" wrapText="1"/>
    </xf>
    <xf numFmtId="2" fontId="13" fillId="0" borderId="5" xfId="0" applyNumberFormat="1" applyFont="1" applyBorder="1" applyAlignment="1">
      <alignment horizontal="center" vertical="center" wrapText="1"/>
    </xf>
    <xf numFmtId="0" fontId="29" fillId="11" borderId="2" xfId="0" applyFont="1" applyFill="1" applyBorder="1" applyAlignment="1">
      <alignment horizontal="center" vertical="center" wrapText="1"/>
    </xf>
    <xf numFmtId="3" fontId="29" fillId="0" borderId="17" xfId="0" applyNumberFormat="1" applyFont="1" applyBorder="1" applyAlignment="1">
      <alignment horizontal="center" vertical="center" wrapText="1"/>
    </xf>
    <xf numFmtId="3" fontId="29" fillId="14" borderId="16" xfId="0" applyNumberFormat="1" applyFont="1" applyFill="1" applyBorder="1" applyAlignment="1">
      <alignment horizontal="center" vertical="center" wrapText="1"/>
    </xf>
    <xf numFmtId="0" fontId="47" fillId="0" borderId="0" xfId="0" applyFont="1" applyAlignment="1">
      <alignment horizontal="center" vertical="center"/>
    </xf>
    <xf numFmtId="0" fontId="47" fillId="12" borderId="0" xfId="0" applyFont="1" applyFill="1"/>
    <xf numFmtId="0" fontId="47" fillId="0" borderId="0" xfId="0" applyFont="1" applyAlignment="1">
      <alignment horizontal="center" vertical="center" wrapText="1"/>
    </xf>
    <xf numFmtId="0" fontId="29" fillId="0" borderId="24" xfId="0" applyFont="1" applyBorder="1" applyAlignment="1">
      <alignment horizontal="center" wrapText="1"/>
    </xf>
    <xf numFmtId="0" fontId="22" fillId="0" borderId="0" xfId="0" applyFont="1" applyAlignment="1">
      <alignment vertical="top"/>
    </xf>
    <xf numFmtId="0" fontId="23" fillId="0" borderId="0" xfId="0" applyFont="1" applyAlignment="1">
      <alignment horizontal="left"/>
    </xf>
    <xf numFmtId="0" fontId="22" fillId="0" borderId="8" xfId="0" applyFont="1" applyBorder="1" applyAlignment="1">
      <alignment vertical="top" wrapText="1"/>
    </xf>
    <xf numFmtId="0" fontId="22" fillId="0" borderId="8" xfId="0" applyFont="1" applyBorder="1" applyAlignment="1">
      <alignment vertical="top"/>
    </xf>
    <xf numFmtId="0" fontId="22" fillId="0" borderId="5" xfId="0" applyFont="1" applyBorder="1" applyAlignment="1">
      <alignment vertical="top"/>
    </xf>
    <xf numFmtId="0" fontId="22" fillId="0" borderId="17" xfId="0" applyFont="1" applyBorder="1" applyAlignment="1">
      <alignment vertical="top" wrapText="1"/>
    </xf>
    <xf numFmtId="0" fontId="22" fillId="0" borderId="17" xfId="0" applyFont="1" applyBorder="1" applyAlignment="1">
      <alignment vertical="top"/>
    </xf>
    <xf numFmtId="0" fontId="19" fillId="0" borderId="0" xfId="0" applyFont="1" applyAlignment="1">
      <alignment horizontal="center" vertical="top"/>
    </xf>
    <xf numFmtId="0" fontId="19" fillId="0" borderId="0" xfId="0" applyFont="1" applyAlignment="1">
      <alignment horizontal="right" vertical="top"/>
    </xf>
    <xf numFmtId="4" fontId="22" fillId="0" borderId="17" xfId="0" applyNumberFormat="1" applyFont="1" applyBorder="1" applyAlignment="1">
      <alignment vertical="top"/>
    </xf>
    <xf numFmtId="4" fontId="22" fillId="0" borderId="8" xfId="0" applyNumberFormat="1" applyFont="1" applyBorder="1" applyAlignment="1">
      <alignment vertical="top"/>
    </xf>
    <xf numFmtId="3" fontId="23" fillId="16" borderId="17" xfId="0" applyNumberFormat="1" applyFont="1" applyFill="1" applyBorder="1" applyAlignment="1">
      <alignment vertical="top"/>
    </xf>
    <xf numFmtId="3" fontId="23" fillId="16" borderId="8" xfId="0" applyNumberFormat="1" applyFont="1" applyFill="1" applyBorder="1" applyAlignment="1">
      <alignment vertical="top"/>
    </xf>
    <xf numFmtId="3" fontId="23" fillId="16" borderId="2" xfId="0" applyNumberFormat="1" applyFont="1" applyFill="1" applyBorder="1" applyAlignment="1">
      <alignment vertical="top"/>
    </xf>
    <xf numFmtId="0" fontId="22" fillId="0" borderId="5" xfId="0" applyFont="1" applyBorder="1" applyAlignment="1">
      <alignment horizontal="center" vertical="center"/>
    </xf>
    <xf numFmtId="0" fontId="22" fillId="0" borderId="0" xfId="0" applyFont="1" applyAlignment="1">
      <alignment horizontal="center" vertical="center"/>
    </xf>
    <xf numFmtId="3" fontId="22" fillId="0" borderId="17" xfId="0" applyNumberFormat="1" applyFont="1" applyBorder="1" applyAlignment="1">
      <alignment vertical="top"/>
    </xf>
    <xf numFmtId="0" fontId="22" fillId="4" borderId="2" xfId="0" applyFont="1" applyFill="1" applyBorder="1" applyAlignment="1">
      <alignment horizontal="center" vertical="center"/>
    </xf>
    <xf numFmtId="0" fontId="22" fillId="4" borderId="8" xfId="0" applyFont="1" applyFill="1" applyBorder="1" applyAlignment="1">
      <alignment horizontal="center" vertical="center" wrapText="1"/>
    </xf>
    <xf numFmtId="0" fontId="22" fillId="4" borderId="8" xfId="0" applyFont="1" applyFill="1" applyBorder="1" applyAlignment="1">
      <alignment horizontal="center" vertical="center"/>
    </xf>
    <xf numFmtId="0" fontId="19" fillId="0" borderId="2" xfId="0" applyFont="1" applyBorder="1" applyAlignment="1">
      <alignment horizontal="center" vertical="top"/>
    </xf>
    <xf numFmtId="0" fontId="2" fillId="4" borderId="3"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19" fillId="0" borderId="0" xfId="0" applyFont="1" applyAlignment="1">
      <alignment horizontal="right"/>
    </xf>
    <xf numFmtId="0" fontId="22" fillId="0" borderId="2" xfId="0" applyFont="1" applyBorder="1" applyAlignment="1">
      <alignment vertical="center" wrapText="1"/>
    </xf>
    <xf numFmtId="3" fontId="22" fillId="0" borderId="2" xfId="0" applyNumberFormat="1" applyFont="1" applyBorder="1" applyAlignment="1">
      <alignment horizontal="center" vertical="center"/>
    </xf>
    <xf numFmtId="3" fontId="19" fillId="0" borderId="2" xfId="0" applyNumberFormat="1" applyFont="1" applyBorder="1" applyAlignment="1">
      <alignment horizontal="center" vertical="center"/>
    </xf>
    <xf numFmtId="0" fontId="22" fillId="4" borderId="2" xfId="0" applyFont="1" applyFill="1" applyBorder="1" applyAlignment="1">
      <alignment horizontal="center" vertical="center" wrapText="1"/>
    </xf>
    <xf numFmtId="0" fontId="37" fillId="4" borderId="2" xfId="0" applyFont="1" applyFill="1" applyBorder="1" applyAlignment="1">
      <alignment horizontal="center" vertical="center" wrapText="1"/>
    </xf>
    <xf numFmtId="0" fontId="48" fillId="0" borderId="0" xfId="0" applyFont="1"/>
    <xf numFmtId="0" fontId="27" fillId="4" borderId="2" xfId="0" applyFont="1" applyFill="1" applyBorder="1" applyAlignment="1">
      <alignment horizontal="center" vertical="center"/>
    </xf>
    <xf numFmtId="3" fontId="19" fillId="0" borderId="2" xfId="0" applyNumberFormat="1" applyFont="1" applyBorder="1" applyAlignment="1">
      <alignment vertical="center"/>
    </xf>
    <xf numFmtId="0" fontId="19" fillId="0" borderId="2" xfId="0" applyFont="1" applyBorder="1"/>
    <xf numFmtId="0" fontId="27" fillId="0" borderId="2" xfId="0" applyFont="1" applyBorder="1" applyAlignment="1">
      <alignment vertical="center" wrapText="1"/>
    </xf>
    <xf numFmtId="3" fontId="24" fillId="14" borderId="2" xfId="0" applyNumberFormat="1" applyFont="1" applyFill="1" applyBorder="1"/>
    <xf numFmtId="0" fontId="19" fillId="0" borderId="2" xfId="0" applyFont="1" applyBorder="1" applyAlignment="1">
      <alignment horizontal="center"/>
    </xf>
    <xf numFmtId="3" fontId="24" fillId="14" borderId="2" xfId="0" applyNumberFormat="1" applyFont="1" applyFill="1" applyBorder="1" applyAlignment="1">
      <alignment horizontal="center"/>
    </xf>
    <xf numFmtId="0" fontId="19" fillId="0" borderId="2" xfId="0" applyFont="1" applyBorder="1" applyAlignment="1">
      <alignment horizontal="right"/>
    </xf>
    <xf numFmtId="0" fontId="27" fillId="0" borderId="0" xfId="0" applyFont="1"/>
    <xf numFmtId="3" fontId="27" fillId="0" borderId="2" xfId="0" applyNumberFormat="1" applyFont="1" applyBorder="1" applyAlignment="1">
      <alignment vertical="center"/>
    </xf>
    <xf numFmtId="3" fontId="27" fillId="0" borderId="2" xfId="0" applyNumberFormat="1" applyFont="1" applyBorder="1" applyAlignment="1">
      <alignment horizontal="center" vertical="center"/>
    </xf>
    <xf numFmtId="0" fontId="27" fillId="0" borderId="2" xfId="0" applyFont="1" applyBorder="1"/>
    <xf numFmtId="3" fontId="18" fillId="14" borderId="2" xfId="0" applyNumberFormat="1" applyFont="1" applyFill="1" applyBorder="1" applyAlignment="1">
      <alignment horizontal="center" vertical="center"/>
    </xf>
    <xf numFmtId="0" fontId="27" fillId="0" borderId="2" xfId="0" applyFont="1" applyBorder="1" applyAlignment="1">
      <alignment horizontal="right"/>
    </xf>
    <xf numFmtId="0" fontId="24" fillId="0" borderId="0" xfId="0" applyFont="1"/>
    <xf numFmtId="0" fontId="24" fillId="0" borderId="2" xfId="0" applyFont="1" applyBorder="1"/>
    <xf numFmtId="0" fontId="18" fillId="0" borderId="2" xfId="0" applyFont="1" applyBorder="1" applyAlignment="1">
      <alignment horizontal="right"/>
    </xf>
    <xf numFmtId="3" fontId="18" fillId="14" borderId="2" xfId="0" applyNumberFormat="1" applyFont="1" applyFill="1" applyBorder="1"/>
    <xf numFmtId="0" fontId="5" fillId="5" borderId="3" xfId="0" applyFont="1" applyFill="1" applyBorder="1" applyAlignment="1">
      <alignment horizontal="left" vertical="center" wrapText="1"/>
    </xf>
    <xf numFmtId="0" fontId="2" fillId="0" borderId="2" xfId="0" applyFont="1" applyBorder="1" applyAlignment="1">
      <alignment horizontal="left" vertical="top" wrapText="1"/>
    </xf>
    <xf numFmtId="0" fontId="29" fillId="10" borderId="17" xfId="0" applyFont="1" applyFill="1" applyBorder="1" applyAlignment="1">
      <alignment horizontal="center" vertical="center" wrapText="1"/>
    </xf>
    <xf numFmtId="0" fontId="22" fillId="5" borderId="2" xfId="0" applyFont="1" applyFill="1" applyBorder="1" applyAlignment="1">
      <alignment horizontal="center" vertical="center" wrapText="1"/>
    </xf>
    <xf numFmtId="3" fontId="22" fillId="5" borderId="2" xfId="0" applyNumberFormat="1" applyFont="1" applyFill="1" applyBorder="1" applyAlignment="1">
      <alignment horizontal="center" vertical="center" wrapText="1"/>
    </xf>
    <xf numFmtId="0" fontId="22" fillId="0" borderId="2" xfId="0" applyFont="1" applyBorder="1" applyAlignment="1">
      <alignment horizontal="right" vertical="center" wrapText="1"/>
    </xf>
    <xf numFmtId="3" fontId="23" fillId="0" borderId="2" xfId="0" applyNumberFormat="1" applyFont="1" applyBorder="1" applyAlignment="1">
      <alignment horizontal="center" vertical="center"/>
    </xf>
    <xf numFmtId="0" fontId="27" fillId="0" borderId="0" xfId="0" applyFont="1" applyAlignment="1">
      <alignment horizontal="right"/>
    </xf>
    <xf numFmtId="0" fontId="27" fillId="0" borderId="9" xfId="0" applyFont="1" applyBorder="1" applyAlignment="1">
      <alignment vertical="center" wrapText="1"/>
    </xf>
    <xf numFmtId="0" fontId="18" fillId="0" borderId="0" xfId="0" applyFont="1"/>
    <xf numFmtId="0" fontId="27" fillId="0" borderId="5" xfId="0" applyFont="1" applyBorder="1" applyAlignment="1">
      <alignment vertical="center" wrapText="1"/>
    </xf>
    <xf numFmtId="3" fontId="27" fillId="0" borderId="5" xfId="0" applyNumberFormat="1" applyFont="1" applyBorder="1" applyAlignment="1">
      <alignment horizontal="center" vertical="center"/>
    </xf>
    <xf numFmtId="0" fontId="27" fillId="0" borderId="5" xfId="0" applyFont="1" applyBorder="1" applyAlignment="1">
      <alignment horizontal="center" vertical="center"/>
    </xf>
    <xf numFmtId="3" fontId="18" fillId="14" borderId="2" xfId="0" applyNumberFormat="1" applyFont="1" applyFill="1" applyBorder="1" applyAlignment="1">
      <alignment horizontal="center"/>
    </xf>
    <xf numFmtId="0" fontId="19" fillId="0" borderId="2" xfId="0" applyFont="1" applyBorder="1" applyAlignment="1">
      <alignment horizontal="center" vertical="center"/>
    </xf>
    <xf numFmtId="0" fontId="27" fillId="4" borderId="9" xfId="0" applyFont="1" applyFill="1" applyBorder="1" applyAlignment="1">
      <alignment horizontal="center" vertical="center"/>
    </xf>
    <xf numFmtId="0" fontId="18" fillId="0" borderId="9" xfId="0" applyFont="1" applyBorder="1"/>
    <xf numFmtId="0" fontId="49" fillId="0" borderId="0" xfId="0" applyFont="1"/>
    <xf numFmtId="0" fontId="50" fillId="0" borderId="0" xfId="0" applyFont="1" applyAlignment="1">
      <alignment horizontal="center"/>
    </xf>
    <xf numFmtId="0" fontId="49" fillId="0" borderId="27" xfId="0" applyFont="1" applyBorder="1" applyAlignment="1">
      <alignment horizontal="center" vertical="center" wrapText="1"/>
    </xf>
    <xf numFmtId="0" fontId="29" fillId="0" borderId="16" xfId="0" applyFont="1" applyBorder="1" applyAlignment="1">
      <alignment horizontal="center" vertical="center"/>
    </xf>
    <xf numFmtId="2" fontId="29" fillId="0" borderId="16" xfId="0" applyNumberFormat="1" applyFont="1" applyBorder="1" applyAlignment="1">
      <alignment horizontal="center" vertical="center" wrapText="1"/>
    </xf>
    <xf numFmtId="2" fontId="30" fillId="0" borderId="2" xfId="0" applyNumberFormat="1" applyFont="1" applyBorder="1" applyAlignment="1">
      <alignment horizontal="center" vertical="center" wrapText="1"/>
    </xf>
    <xf numFmtId="0" fontId="49" fillId="0" borderId="0" xfId="0" applyFont="1" applyAlignment="1">
      <alignment horizontal="center" vertical="center"/>
    </xf>
    <xf numFmtId="165" fontId="29" fillId="0" borderId="24" xfId="2" applyNumberFormat="1" applyFont="1" applyFill="1" applyBorder="1" applyAlignment="1">
      <alignment horizontal="center" wrapText="1"/>
    </xf>
    <xf numFmtId="0" fontId="29" fillId="4" borderId="2" xfId="0" applyFont="1" applyFill="1" applyBorder="1" applyAlignment="1">
      <alignment horizontal="center" vertical="center" wrapText="1"/>
    </xf>
    <xf numFmtId="0" fontId="29" fillId="0" borderId="2" xfId="0" applyFont="1" applyBorder="1" applyAlignment="1">
      <alignment horizontal="center" vertical="center"/>
    </xf>
    <xf numFmtId="2" fontId="30" fillId="0" borderId="2" xfId="0" applyNumberFormat="1" applyFont="1" applyBorder="1" applyAlignment="1">
      <alignment horizontal="center" vertical="center"/>
    </xf>
    <xf numFmtId="0" fontId="30" fillId="0" borderId="2" xfId="0" applyFont="1" applyBorder="1" applyAlignment="1">
      <alignment horizontal="center" vertical="center"/>
    </xf>
    <xf numFmtId="0" fontId="29" fillId="12" borderId="2" xfId="0" applyFont="1" applyFill="1" applyBorder="1" applyAlignment="1">
      <alignment horizontal="center" vertical="center" wrapText="1"/>
    </xf>
    <xf numFmtId="165" fontId="29" fillId="12" borderId="2" xfId="2" applyNumberFormat="1" applyFont="1" applyFill="1" applyBorder="1" applyAlignment="1">
      <alignment horizontal="center" vertical="center" wrapText="1"/>
    </xf>
    <xf numFmtId="0" fontId="49" fillId="0" borderId="16" xfId="0" applyFont="1" applyBorder="1" applyAlignment="1">
      <alignment horizontal="center" vertical="center"/>
    </xf>
    <xf numFmtId="0" fontId="49" fillId="0" borderId="28" xfId="0" applyFont="1" applyBorder="1" applyAlignment="1">
      <alignment horizontal="center" vertical="center"/>
    </xf>
    <xf numFmtId="0" fontId="49" fillId="0" borderId="16" xfId="0" applyFont="1" applyBorder="1" applyAlignment="1">
      <alignment horizontal="center" vertical="center" wrapText="1"/>
    </xf>
    <xf numFmtId="0" fontId="49" fillId="0" borderId="28" xfId="0" applyFont="1" applyBorder="1" applyAlignment="1">
      <alignment horizontal="center" vertical="center" wrapText="1"/>
    </xf>
    <xf numFmtId="0" fontId="24" fillId="0" borderId="2" xfId="13" applyFont="1" applyBorder="1" applyAlignment="1">
      <alignment horizontal="right" vertical="center" wrapText="1"/>
    </xf>
    <xf numFmtId="165" fontId="30" fillId="12" borderId="2" xfId="2" applyNumberFormat="1" applyFont="1" applyFill="1" applyBorder="1" applyAlignment="1">
      <alignment horizontal="center" vertical="center"/>
    </xf>
    <xf numFmtId="165" fontId="30" fillId="16" borderId="2" xfId="2" applyNumberFormat="1" applyFont="1" applyFill="1" applyBorder="1" applyAlignment="1">
      <alignment horizontal="center" vertical="center"/>
    </xf>
    <xf numFmtId="1" fontId="50" fillId="0" borderId="16" xfId="0" applyNumberFormat="1" applyFont="1" applyBorder="1" applyAlignment="1">
      <alignment horizontal="center" vertical="center"/>
    </xf>
    <xf numFmtId="2" fontId="49" fillId="0" borderId="16" xfId="0" applyNumberFormat="1" applyFont="1" applyBorder="1" applyAlignment="1">
      <alignment horizontal="center" vertical="center"/>
    </xf>
    <xf numFmtId="2" fontId="49" fillId="0" borderId="28" xfId="0" applyNumberFormat="1" applyFont="1" applyBorder="1" applyAlignment="1">
      <alignment horizontal="center" vertical="center"/>
    </xf>
    <xf numFmtId="2" fontId="29" fillId="12" borderId="2" xfId="0" applyNumberFormat="1" applyFont="1" applyFill="1" applyBorder="1" applyAlignment="1">
      <alignment horizontal="center" vertical="center" wrapText="1"/>
    </xf>
    <xf numFmtId="2" fontId="29" fillId="12" borderId="8" xfId="0" applyNumberFormat="1" applyFont="1" applyFill="1" applyBorder="1" applyAlignment="1">
      <alignment horizontal="center" vertical="center" wrapText="1"/>
    </xf>
    <xf numFmtId="3" fontId="2" fillId="5" borderId="3" xfId="0" applyNumberFormat="1" applyFont="1" applyFill="1" applyBorder="1" applyAlignment="1">
      <alignment horizontal="center" vertical="center" wrapText="1"/>
    </xf>
    <xf numFmtId="0" fontId="2" fillId="0" borderId="3" xfId="0" applyFont="1" applyBorder="1" applyAlignment="1">
      <alignment vertical="top" wrapText="1"/>
    </xf>
    <xf numFmtId="0" fontId="2" fillId="3" borderId="2" xfId="0" applyFont="1" applyFill="1" applyBorder="1" applyAlignment="1">
      <alignment horizontal="left" vertical="top" wrapText="1"/>
    </xf>
    <xf numFmtId="0" fontId="2" fillId="5" borderId="2" xfId="0" applyFont="1" applyFill="1" applyBorder="1" applyAlignment="1">
      <alignment vertical="top" wrapText="1"/>
    </xf>
    <xf numFmtId="0" fontId="5" fillId="3" borderId="2" xfId="0" applyFont="1" applyFill="1" applyBorder="1" applyAlignment="1">
      <alignment horizontal="justify" vertical="top" wrapText="1"/>
    </xf>
    <xf numFmtId="0" fontId="2" fillId="3" borderId="2" xfId="0" applyFont="1" applyFill="1" applyBorder="1" applyAlignment="1">
      <alignment horizontal="center" vertical="center" wrapText="1"/>
    </xf>
    <xf numFmtId="3" fontId="24" fillId="0" borderId="2" xfId="0" applyNumberFormat="1" applyFont="1" applyBorder="1" applyAlignment="1">
      <alignment horizontal="center" vertical="center"/>
    </xf>
    <xf numFmtId="0" fontId="5" fillId="4" borderId="3" xfId="0" applyFont="1" applyFill="1" applyBorder="1" applyAlignment="1">
      <alignment horizontal="center" vertical="center" wrapText="1"/>
    </xf>
    <xf numFmtId="0" fontId="5" fillId="4" borderId="5" xfId="0" applyFont="1" applyFill="1" applyBorder="1" applyAlignment="1">
      <alignment horizontal="center" vertical="center" wrapText="1"/>
    </xf>
    <xf numFmtId="3" fontId="5" fillId="3" borderId="5" xfId="0" applyNumberFormat="1" applyFont="1" applyFill="1" applyBorder="1" applyAlignment="1">
      <alignment horizontal="center" vertical="center" wrapText="1"/>
    </xf>
    <xf numFmtId="0" fontId="19" fillId="4" borderId="2" xfId="0" applyFont="1" applyFill="1" applyBorder="1" applyAlignment="1">
      <alignment horizontal="center"/>
    </xf>
    <xf numFmtId="0" fontId="19" fillId="0" borderId="2" xfId="0" applyFont="1" applyBorder="1" applyAlignment="1">
      <alignment vertical="top" wrapText="1"/>
    </xf>
    <xf numFmtId="3" fontId="19" fillId="0" borderId="2" xfId="0" applyNumberFormat="1" applyFont="1" applyBorder="1" applyAlignment="1">
      <alignment horizontal="center" vertical="top"/>
    </xf>
    <xf numFmtId="0" fontId="24" fillId="4" borderId="2" xfId="0" applyFont="1" applyFill="1" applyBorder="1" applyAlignment="1">
      <alignment horizontal="center" vertical="center" wrapText="1"/>
    </xf>
    <xf numFmtId="0" fontId="24" fillId="0" borderId="3" xfId="0" applyFont="1" applyBorder="1" applyAlignment="1">
      <alignment horizontal="center" vertical="center" wrapText="1"/>
    </xf>
    <xf numFmtId="1" fontId="19" fillId="0" borderId="2" xfId="0" applyNumberFormat="1" applyFont="1" applyBorder="1" applyAlignment="1">
      <alignment horizontal="center" vertical="center"/>
    </xf>
    <xf numFmtId="1" fontId="19" fillId="0" borderId="9" xfId="0" applyNumberFormat="1" applyFont="1" applyBorder="1" applyAlignment="1">
      <alignment horizontal="center" vertical="center"/>
    </xf>
    <xf numFmtId="0" fontId="19" fillId="0" borderId="3" xfId="0" applyFont="1" applyBorder="1" applyAlignment="1">
      <alignment horizontal="left" wrapText="1"/>
    </xf>
    <xf numFmtId="0" fontId="19" fillId="0" borderId="3" xfId="0" applyFont="1" applyBorder="1" applyAlignment="1">
      <alignment horizontal="center" vertical="center"/>
    </xf>
    <xf numFmtId="0" fontId="18" fillId="0" borderId="2" xfId="0" applyFont="1" applyBorder="1"/>
    <xf numFmtId="0" fontId="18" fillId="0" borderId="2" xfId="0" applyFont="1" applyBorder="1" applyAlignment="1">
      <alignment horizontal="center" vertical="center"/>
    </xf>
    <xf numFmtId="1" fontId="18" fillId="0" borderId="2" xfId="0" applyNumberFormat="1" applyFont="1" applyBorder="1" applyAlignment="1">
      <alignment horizontal="center" vertical="center"/>
    </xf>
    <xf numFmtId="1" fontId="18" fillId="4" borderId="2" xfId="0" applyNumberFormat="1" applyFont="1" applyFill="1" applyBorder="1" applyAlignment="1">
      <alignment horizontal="center" vertical="center"/>
    </xf>
    <xf numFmtId="0" fontId="51" fillId="0" borderId="0" xfId="0" applyFont="1"/>
    <xf numFmtId="1" fontId="51" fillId="0" borderId="0" xfId="0" applyNumberFormat="1" applyFont="1"/>
    <xf numFmtId="2" fontId="51" fillId="0" borderId="0" xfId="0" applyNumberFormat="1" applyFont="1"/>
    <xf numFmtId="1" fontId="19" fillId="0" borderId="2" xfId="0" applyNumberFormat="1" applyFont="1" applyBorder="1" applyAlignment="1">
      <alignment horizontal="center" wrapText="1"/>
    </xf>
    <xf numFmtId="0" fontId="19" fillId="0" borderId="0" xfId="0" applyFont="1" applyAlignment="1">
      <alignment horizontal="center"/>
    </xf>
    <xf numFmtId="1" fontId="18" fillId="0" borderId="2" xfId="0" applyNumberFormat="1" applyFont="1" applyBorder="1" applyAlignment="1">
      <alignment horizontal="center"/>
    </xf>
    <xf numFmtId="1" fontId="51" fillId="0" borderId="0" xfId="0" applyNumberFormat="1" applyFont="1" applyAlignment="1">
      <alignment horizontal="center"/>
    </xf>
    <xf numFmtId="0" fontId="19" fillId="5" borderId="2" xfId="0" applyFont="1" applyFill="1" applyBorder="1" applyAlignment="1">
      <alignment wrapText="1"/>
    </xf>
    <xf numFmtId="0" fontId="24" fillId="4" borderId="2" xfId="0" applyFont="1" applyFill="1" applyBorder="1" applyAlignment="1">
      <alignment horizontal="center" vertical="center"/>
    </xf>
    <xf numFmtId="0" fontId="27" fillId="5" borderId="2" xfId="0" applyFont="1" applyFill="1" applyBorder="1" applyAlignment="1">
      <alignment vertical="top" wrapText="1"/>
    </xf>
    <xf numFmtId="3" fontId="27" fillId="5" borderId="2" xfId="0" applyNumberFormat="1" applyFont="1" applyFill="1" applyBorder="1" applyAlignment="1">
      <alignment horizontal="center" vertical="center"/>
    </xf>
    <xf numFmtId="3" fontId="18" fillId="5" borderId="2" xfId="0" applyNumberFormat="1" applyFont="1" applyFill="1" applyBorder="1" applyAlignment="1">
      <alignment horizontal="center" vertical="center"/>
    </xf>
    <xf numFmtId="0" fontId="24" fillId="4" borderId="2" xfId="0" applyFont="1" applyFill="1" applyBorder="1" applyAlignment="1">
      <alignment vertical="center"/>
    </xf>
    <xf numFmtId="0" fontId="19" fillId="5" borderId="2" xfId="0" applyFont="1" applyFill="1" applyBorder="1" applyAlignment="1">
      <alignment horizontal="center" vertical="center"/>
    </xf>
    <xf numFmtId="0" fontId="37" fillId="5" borderId="2" xfId="0" applyFont="1" applyFill="1" applyBorder="1" applyAlignment="1">
      <alignment vertical="center" wrapText="1"/>
    </xf>
    <xf numFmtId="3" fontId="37" fillId="5" borderId="2" xfId="0" applyNumberFormat="1" applyFont="1" applyFill="1" applyBorder="1" applyAlignment="1">
      <alignment horizontal="center" vertical="center" wrapText="1"/>
    </xf>
    <xf numFmtId="0" fontId="37" fillId="0" borderId="2" xfId="0" applyFont="1" applyBorder="1" applyAlignment="1">
      <alignment vertical="center" wrapText="1"/>
    </xf>
    <xf numFmtId="0" fontId="37" fillId="0" borderId="2" xfId="0" applyFont="1" applyBorder="1" applyAlignment="1">
      <alignment horizontal="center" vertical="center" wrapText="1"/>
    </xf>
    <xf numFmtId="0" fontId="5" fillId="5" borderId="3" xfId="0" applyFont="1" applyFill="1" applyBorder="1" applyAlignment="1">
      <alignment horizontal="center" vertical="center" wrapText="1"/>
    </xf>
    <xf numFmtId="0" fontId="2" fillId="5" borderId="2" xfId="0" applyFont="1" applyFill="1" applyBorder="1" applyAlignment="1">
      <alignment horizontal="left" vertical="top" wrapText="1"/>
    </xf>
    <xf numFmtId="0" fontId="37" fillId="5" borderId="2" xfId="0" applyFont="1" applyFill="1" applyBorder="1" applyAlignment="1">
      <alignment horizontal="left" vertical="top" wrapText="1"/>
    </xf>
    <xf numFmtId="0" fontId="22" fillId="18" borderId="2" xfId="0" applyFont="1" applyFill="1" applyBorder="1" applyAlignment="1">
      <alignment horizontal="center" vertical="center"/>
    </xf>
    <xf numFmtId="0" fontId="22" fillId="18" borderId="2" xfId="0" applyFont="1" applyFill="1" applyBorder="1" applyAlignment="1">
      <alignment horizontal="center" vertical="center" wrapText="1"/>
    </xf>
    <xf numFmtId="0" fontId="3" fillId="4" borderId="2" xfId="0" applyFont="1" applyFill="1" applyBorder="1" applyAlignment="1">
      <alignment horizontal="center" vertical="center" wrapText="1"/>
    </xf>
    <xf numFmtId="3" fontId="4" fillId="6" borderId="2" xfId="0" applyNumberFormat="1" applyFont="1" applyFill="1" applyBorder="1" applyAlignment="1">
      <alignment horizontal="center" vertical="center" wrapText="1"/>
    </xf>
    <xf numFmtId="3" fontId="3" fillId="6" borderId="4" xfId="0" applyNumberFormat="1" applyFont="1" applyFill="1" applyBorder="1" applyAlignment="1">
      <alignment horizontal="center" vertical="center" wrapText="1"/>
    </xf>
    <xf numFmtId="3" fontId="4" fillId="6" borderId="4" xfId="0" applyNumberFormat="1" applyFont="1" applyFill="1" applyBorder="1" applyAlignment="1">
      <alignment horizontal="center" vertical="center" wrapText="1"/>
    </xf>
    <xf numFmtId="0" fontId="2" fillId="0" borderId="8" xfId="0" applyFont="1" applyBorder="1" applyAlignment="1">
      <alignment vertical="top" wrapText="1"/>
    </xf>
    <xf numFmtId="0" fontId="37" fillId="5" borderId="3" xfId="0" applyFont="1" applyFill="1" applyBorder="1" applyAlignment="1">
      <alignment horizontal="center" vertical="center" wrapText="1"/>
    </xf>
    <xf numFmtId="0" fontId="37" fillId="5" borderId="2" xfId="0" applyFont="1" applyFill="1" applyBorder="1" applyAlignment="1">
      <alignment vertical="top" wrapText="1"/>
    </xf>
    <xf numFmtId="0" fontId="37" fillId="5" borderId="3" xfId="0" applyFont="1" applyFill="1" applyBorder="1" applyAlignment="1">
      <alignment vertical="top" wrapText="1"/>
    </xf>
    <xf numFmtId="0" fontId="37" fillId="4" borderId="3" xfId="0" applyFont="1" applyFill="1" applyBorder="1" applyAlignment="1">
      <alignment horizontal="center" vertical="center" wrapText="1"/>
    </xf>
    <xf numFmtId="0" fontId="22" fillId="3" borderId="25" xfId="0" applyFont="1" applyFill="1" applyBorder="1" applyAlignment="1">
      <alignment horizontal="right" wrapText="1"/>
    </xf>
    <xf numFmtId="3" fontId="37" fillId="0" borderId="2" xfId="0" applyNumberFormat="1" applyFont="1" applyBorder="1" applyAlignment="1">
      <alignment horizontal="center" vertical="center" wrapText="1"/>
    </xf>
    <xf numFmtId="0" fontId="37" fillId="3" borderId="2" xfId="0" applyFont="1" applyFill="1" applyBorder="1" applyAlignment="1">
      <alignment vertical="center" wrapText="1"/>
    </xf>
    <xf numFmtId="0" fontId="27" fillId="0" borderId="2" xfId="0" applyFont="1" applyBorder="1" applyAlignment="1">
      <alignment wrapText="1"/>
    </xf>
    <xf numFmtId="0" fontId="5" fillId="5" borderId="2" xfId="0" applyFont="1" applyFill="1" applyBorder="1" applyAlignment="1">
      <alignment horizontal="left" vertical="center" wrapText="1"/>
    </xf>
    <xf numFmtId="0" fontId="16" fillId="5" borderId="0" xfId="4" applyFont="1" applyFill="1" applyAlignment="1">
      <alignment horizontal="center" vertical="center" wrapText="1"/>
    </xf>
    <xf numFmtId="165" fontId="16" fillId="5" borderId="0" xfId="4" applyNumberFormat="1" applyFont="1" applyFill="1" applyAlignment="1">
      <alignment horizontal="center" vertical="center"/>
    </xf>
    <xf numFmtId="0" fontId="37" fillId="3" borderId="2" xfId="0" applyFont="1" applyFill="1" applyBorder="1" applyAlignment="1">
      <alignment vertical="top" wrapText="1"/>
    </xf>
    <xf numFmtId="0" fontId="5" fillId="3" borderId="3" xfId="0" applyFont="1" applyFill="1" applyBorder="1" applyAlignment="1">
      <alignment horizontal="left" vertical="top" wrapText="1"/>
    </xf>
    <xf numFmtId="0" fontId="37" fillId="3" borderId="5" xfId="0" applyFont="1" applyFill="1" applyBorder="1" applyAlignment="1">
      <alignment horizontal="center" vertical="center" wrapText="1"/>
    </xf>
    <xf numFmtId="0" fontId="27" fillId="4" borderId="2" xfId="7" applyFont="1" applyFill="1" applyBorder="1" applyAlignment="1">
      <alignment horizontal="center" vertical="center" wrapText="1"/>
    </xf>
    <xf numFmtId="3" fontId="27" fillId="4" borderId="2" xfId="7" applyNumberFormat="1" applyFont="1" applyFill="1" applyBorder="1" applyAlignment="1">
      <alignment horizontal="center" vertical="center" wrapText="1"/>
    </xf>
    <xf numFmtId="3" fontId="53" fillId="14" borderId="2" xfId="7" applyNumberFormat="1" applyFont="1" applyFill="1" applyBorder="1" applyAlignment="1">
      <alignment horizontal="center" vertical="center"/>
    </xf>
    <xf numFmtId="3" fontId="18" fillId="0" borderId="2" xfId="0" applyNumberFormat="1" applyFont="1" applyBorder="1" applyAlignment="1">
      <alignment horizontal="center" vertical="center" wrapText="1"/>
    </xf>
    <xf numFmtId="0" fontId="2" fillId="5" borderId="3" xfId="1" applyFont="1" applyFill="1" applyBorder="1" applyAlignment="1">
      <alignment vertical="top" wrapText="1"/>
    </xf>
    <xf numFmtId="0" fontId="37" fillId="3" borderId="3" xfId="0" applyFont="1" applyFill="1" applyBorder="1" applyAlignment="1">
      <alignment vertical="top" wrapText="1"/>
    </xf>
    <xf numFmtId="0" fontId="37" fillId="3" borderId="8" xfId="0" applyFont="1" applyFill="1" applyBorder="1" applyAlignment="1">
      <alignment vertical="top" wrapText="1"/>
    </xf>
    <xf numFmtId="0" fontId="37" fillId="5" borderId="0" xfId="0" applyFont="1" applyFill="1"/>
    <xf numFmtId="0" fontId="2" fillId="5" borderId="2" xfId="0" applyFont="1" applyFill="1" applyBorder="1"/>
    <xf numFmtId="3" fontId="37" fillId="4" borderId="2" xfId="0" applyNumberFormat="1" applyFont="1" applyFill="1" applyBorder="1" applyAlignment="1">
      <alignment horizontal="center" vertical="center"/>
    </xf>
    <xf numFmtId="3" fontId="55" fillId="5" borderId="2" xfId="0" applyNumberFormat="1" applyFont="1" applyFill="1" applyBorder="1" applyAlignment="1">
      <alignment horizontal="center" vertical="center"/>
    </xf>
    <xf numFmtId="0" fontId="2" fillId="5" borderId="0" xfId="0" applyFont="1" applyFill="1" applyAlignment="1">
      <alignment vertical="top" wrapText="1"/>
    </xf>
    <xf numFmtId="0" fontId="19" fillId="17" borderId="0" xfId="0" applyFont="1" applyFill="1"/>
    <xf numFmtId="0" fontId="37" fillId="3" borderId="2" xfId="0" applyFont="1" applyFill="1" applyBorder="1" applyAlignment="1">
      <alignment horizontal="justify" vertical="top" wrapText="1"/>
    </xf>
    <xf numFmtId="0" fontId="37" fillId="5" borderId="12" xfId="0" applyFont="1" applyFill="1" applyBorder="1" applyAlignment="1">
      <alignment vertical="top" wrapText="1"/>
    </xf>
    <xf numFmtId="0" fontId="37" fillId="3" borderId="5" xfId="0" applyFont="1" applyFill="1" applyBorder="1" applyAlignment="1">
      <alignment vertical="top" wrapText="1"/>
    </xf>
    <xf numFmtId="3" fontId="37" fillId="4" borderId="2" xfId="0" applyNumberFormat="1" applyFont="1" applyFill="1" applyBorder="1" applyAlignment="1">
      <alignment horizontal="center" vertical="center" wrapText="1"/>
    </xf>
    <xf numFmtId="0" fontId="27" fillId="5" borderId="14" xfId="0" applyFont="1" applyFill="1" applyBorder="1" applyAlignment="1">
      <alignment vertical="top" wrapText="1"/>
    </xf>
    <xf numFmtId="0" fontId="27" fillId="5" borderId="9" xfId="0" applyFont="1" applyFill="1" applyBorder="1" applyAlignment="1">
      <alignment vertical="top" wrapText="1"/>
    </xf>
    <xf numFmtId="3" fontId="19" fillId="5" borderId="2" xfId="0" applyNumberFormat="1" applyFont="1" applyFill="1" applyBorder="1" applyAlignment="1">
      <alignment vertical="center"/>
    </xf>
    <xf numFmtId="0" fontId="19" fillId="5" borderId="2" xfId="0" applyFont="1" applyFill="1" applyBorder="1"/>
    <xf numFmtId="0" fontId="4" fillId="6" borderId="2" xfId="0" applyFont="1" applyFill="1" applyBorder="1" applyAlignment="1">
      <alignment horizontal="center" vertical="center" wrapText="1"/>
    </xf>
    <xf numFmtId="0" fontId="5" fillId="3" borderId="3" xfId="0" applyFont="1" applyFill="1" applyBorder="1" applyAlignment="1">
      <alignment horizontal="left" vertical="center" wrapText="1"/>
    </xf>
    <xf numFmtId="0" fontId="5" fillId="3" borderId="5" xfId="0" applyFont="1" applyFill="1" applyBorder="1" applyAlignment="1">
      <alignment horizontal="left" vertical="center" wrapText="1"/>
    </xf>
    <xf numFmtId="0" fontId="2" fillId="5" borderId="3" xfId="0" applyFont="1" applyFill="1" applyBorder="1" applyAlignment="1">
      <alignment horizontal="left" vertical="center" wrapText="1"/>
    </xf>
    <xf numFmtId="0" fontId="19" fillId="0" borderId="0" xfId="0" applyFont="1" applyAlignment="1">
      <alignment horizontal="left" vertical="top"/>
    </xf>
    <xf numFmtId="0" fontId="4" fillId="5" borderId="2" xfId="0" applyFont="1" applyFill="1" applyBorder="1" applyAlignment="1">
      <alignment horizontal="center" vertical="center" wrapText="1"/>
    </xf>
    <xf numFmtId="0" fontId="4" fillId="5" borderId="9"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5" borderId="8" xfId="0" applyFont="1" applyFill="1" applyBorder="1" applyAlignment="1">
      <alignment horizontal="right" vertical="center" wrapText="1"/>
    </xf>
    <xf numFmtId="0" fontId="4" fillId="5" borderId="3" xfId="0" applyFont="1" applyFill="1" applyBorder="1" applyAlignment="1">
      <alignment horizontal="center" vertical="center" wrapText="1"/>
    </xf>
    <xf numFmtId="0" fontId="4" fillId="19" borderId="9" xfId="0" applyFont="1" applyFill="1" applyBorder="1" applyAlignment="1">
      <alignment horizontal="center" vertical="center" wrapText="1"/>
    </xf>
    <xf numFmtId="0" fontId="4" fillId="19" borderId="10" xfId="0" applyFont="1" applyFill="1" applyBorder="1" applyAlignment="1">
      <alignment horizontal="center" vertical="center" wrapText="1"/>
    </xf>
    <xf numFmtId="0" fontId="4" fillId="19" borderId="8" xfId="0" applyFont="1" applyFill="1" applyBorder="1" applyAlignment="1">
      <alignment horizontal="center" vertical="center" wrapText="1"/>
    </xf>
    <xf numFmtId="0" fontId="4" fillId="19" borderId="2" xfId="0" applyFont="1" applyFill="1" applyBorder="1" applyAlignment="1">
      <alignment horizontal="center" vertical="center" wrapText="1"/>
    </xf>
    <xf numFmtId="3" fontId="4" fillId="5" borderId="2" xfId="0" applyNumberFormat="1" applyFont="1" applyFill="1" applyBorder="1" applyAlignment="1">
      <alignment horizontal="center" vertical="center" wrapText="1"/>
    </xf>
    <xf numFmtId="3" fontId="4" fillId="5" borderId="3" xfId="0" applyNumberFormat="1" applyFont="1" applyFill="1" applyBorder="1" applyAlignment="1">
      <alignment horizontal="center" vertical="center" wrapText="1"/>
    </xf>
    <xf numFmtId="3" fontId="4" fillId="19" borderId="2" xfId="0" applyNumberFormat="1" applyFont="1" applyFill="1" applyBorder="1" applyAlignment="1">
      <alignment horizontal="center" vertical="center" wrapText="1"/>
    </xf>
    <xf numFmtId="3" fontId="4" fillId="4" borderId="5" xfId="0" applyNumberFormat="1" applyFont="1" applyFill="1" applyBorder="1" applyAlignment="1">
      <alignment horizontal="center" vertical="center" wrapText="1"/>
    </xf>
    <xf numFmtId="3" fontId="4" fillId="7" borderId="2" xfId="0" applyNumberFormat="1" applyFont="1" applyFill="1" applyBorder="1" applyAlignment="1">
      <alignment horizontal="center" vertical="center" wrapText="1"/>
    </xf>
    <xf numFmtId="0" fontId="2" fillId="5" borderId="2" xfId="0" applyFont="1" applyFill="1" applyBorder="1" applyAlignment="1">
      <alignment horizontal="left" vertical="center" wrapText="1"/>
    </xf>
    <xf numFmtId="0" fontId="20" fillId="0" borderId="29" xfId="0" applyFont="1" applyBorder="1" applyAlignment="1">
      <alignment vertical="center" wrapText="1"/>
    </xf>
    <xf numFmtId="0" fontId="2" fillId="5" borderId="2" xfId="0" applyFont="1" applyFill="1" applyBorder="1" applyAlignment="1">
      <alignment horizontal="center" vertical="center"/>
    </xf>
    <xf numFmtId="3" fontId="2" fillId="4" borderId="2" xfId="0" applyNumberFormat="1" applyFont="1" applyFill="1" applyBorder="1" applyAlignment="1">
      <alignment horizontal="center" vertical="center"/>
    </xf>
    <xf numFmtId="0" fontId="2" fillId="4" borderId="2" xfId="0" applyFont="1" applyFill="1" applyBorder="1" applyAlignment="1">
      <alignment horizontal="center" vertical="center"/>
    </xf>
    <xf numFmtId="0" fontId="5" fillId="5" borderId="28" xfId="0" applyFont="1" applyFill="1" applyBorder="1" applyAlignment="1">
      <alignment vertical="center" wrapText="1"/>
    </xf>
    <xf numFmtId="0" fontId="5" fillId="5" borderId="28" xfId="0" applyFont="1" applyFill="1" applyBorder="1" applyAlignment="1">
      <alignment horizontal="center" vertical="center" wrapText="1"/>
    </xf>
    <xf numFmtId="0" fontId="27" fillId="5" borderId="2" xfId="0" applyFont="1" applyFill="1" applyBorder="1" applyAlignment="1">
      <alignment wrapText="1"/>
    </xf>
    <xf numFmtId="3" fontId="27" fillId="5" borderId="2" xfId="0" applyNumberFormat="1" applyFont="1" applyFill="1" applyBorder="1" applyAlignment="1">
      <alignment horizontal="center" vertical="center" wrapText="1"/>
    </xf>
    <xf numFmtId="0" fontId="5" fillId="3" borderId="2" xfId="0" applyFont="1" applyFill="1" applyBorder="1" applyAlignment="1">
      <alignment horizontal="left" vertical="center" wrapText="1"/>
    </xf>
    <xf numFmtId="0" fontId="2" fillId="0" borderId="3" xfId="0" applyFont="1" applyBorder="1" applyAlignment="1">
      <alignment horizontal="left" vertical="center" wrapText="1"/>
    </xf>
    <xf numFmtId="0" fontId="2" fillId="0" borderId="2" xfId="0" applyFont="1" applyBorder="1" applyAlignment="1">
      <alignment horizontal="left" vertical="center" wrapText="1"/>
    </xf>
    <xf numFmtId="0" fontId="37" fillId="5" borderId="2" xfId="0" applyFont="1" applyFill="1" applyBorder="1" applyAlignment="1">
      <alignment horizontal="left" vertical="center" wrapText="1"/>
    </xf>
    <xf numFmtId="0" fontId="37" fillId="0" borderId="2" xfId="0" applyFont="1" applyBorder="1" applyAlignment="1">
      <alignment horizontal="left" vertical="center" wrapText="1"/>
    </xf>
    <xf numFmtId="0" fontId="37" fillId="5" borderId="3" xfId="0" applyFont="1" applyFill="1" applyBorder="1" applyAlignment="1">
      <alignment horizontal="left" vertical="center" wrapText="1"/>
    </xf>
    <xf numFmtId="0" fontId="37" fillId="3" borderId="2" xfId="0" applyFont="1" applyFill="1" applyBorder="1" applyAlignment="1">
      <alignment horizontal="left" vertical="center" wrapText="1"/>
    </xf>
    <xf numFmtId="0" fontId="19" fillId="4" borderId="2" xfId="13" applyFont="1" applyFill="1" applyBorder="1" applyAlignment="1">
      <alignment horizontal="center" vertical="center" wrapText="1"/>
    </xf>
    <xf numFmtId="164" fontId="23" fillId="5" borderId="2" xfId="13" applyNumberFormat="1" applyFont="1" applyFill="1" applyBorder="1" applyAlignment="1">
      <alignment vertical="center"/>
    </xf>
    <xf numFmtId="0" fontId="25" fillId="0" borderId="0" xfId="0" applyFont="1" applyAlignment="1">
      <alignment horizontal="left" vertical="top"/>
    </xf>
    <xf numFmtId="0" fontId="22" fillId="4" borderId="2" xfId="17" applyFont="1" applyFill="1" applyBorder="1" applyAlignment="1">
      <alignment horizontal="center" vertical="center" wrapText="1"/>
    </xf>
    <xf numFmtId="0" fontId="27" fillId="4" borderId="2" xfId="17" applyFont="1" applyFill="1" applyBorder="1" applyAlignment="1">
      <alignment horizontal="center" vertical="center" wrapText="1"/>
    </xf>
    <xf numFmtId="4" fontId="19" fillId="0" borderId="2" xfId="17" applyNumberFormat="1" applyFont="1" applyBorder="1" applyAlignment="1">
      <alignment horizontal="left" vertical="center"/>
    </xf>
    <xf numFmtId="168" fontId="19" fillId="0" borderId="2" xfId="17" applyNumberFormat="1" applyFont="1" applyBorder="1" applyAlignment="1">
      <alignment horizontal="center" vertical="center"/>
    </xf>
    <xf numFmtId="4" fontId="19" fillId="0" borderId="2" xfId="17" applyNumberFormat="1" applyFont="1" applyBorder="1" applyAlignment="1">
      <alignment horizontal="center" vertical="center"/>
    </xf>
    <xf numFmtId="3" fontId="27" fillId="0" borderId="2" xfId="17" applyNumberFormat="1" applyFont="1" applyBorder="1" applyAlignment="1">
      <alignment horizontal="center" vertical="center"/>
    </xf>
    <xf numFmtId="4" fontId="27" fillId="0" borderId="2" xfId="17" applyNumberFormat="1" applyFont="1" applyBorder="1" applyAlignment="1">
      <alignment horizontal="center" vertical="center"/>
    </xf>
    <xf numFmtId="3" fontId="19" fillId="0" borderId="2" xfId="17" applyNumberFormat="1" applyFont="1" applyBorder="1" applyAlignment="1">
      <alignment horizontal="center" vertical="center"/>
    </xf>
    <xf numFmtId="3" fontId="22" fillId="0" borderId="2" xfId="17" applyNumberFormat="1" applyFont="1" applyBorder="1" applyAlignment="1">
      <alignment horizontal="center" vertical="center" wrapText="1"/>
    </xf>
    <xf numFmtId="4" fontId="19" fillId="0" borderId="2" xfId="17" applyNumberFormat="1" applyFont="1" applyBorder="1" applyAlignment="1">
      <alignment horizontal="left" vertical="center" wrapText="1"/>
    </xf>
    <xf numFmtId="0" fontId="19" fillId="0" borderId="0" xfId="17" applyFont="1"/>
    <xf numFmtId="0" fontId="24" fillId="0" borderId="2" xfId="17" applyFont="1" applyBorder="1" applyAlignment="1">
      <alignment horizontal="right"/>
    </xf>
    <xf numFmtId="4" fontId="19" fillId="0" borderId="2" xfId="17" applyNumberFormat="1" applyFont="1" applyBorder="1" applyAlignment="1">
      <alignment horizontal="center"/>
    </xf>
    <xf numFmtId="3" fontId="24" fillId="0" borderId="2" xfId="17" applyNumberFormat="1" applyFont="1" applyBorder="1" applyAlignment="1">
      <alignment horizontal="center"/>
    </xf>
    <xf numFmtId="0" fontId="57" fillId="0" borderId="0" xfId="0" applyFont="1"/>
    <xf numFmtId="0" fontId="27" fillId="0" borderId="17" xfId="0" applyFont="1" applyBorder="1" applyAlignment="1">
      <alignment vertical="top" wrapText="1"/>
    </xf>
    <xf numFmtId="3" fontId="27" fillId="0" borderId="17" xfId="0" applyNumberFormat="1" applyFont="1" applyBorder="1" applyAlignment="1">
      <alignment vertical="top"/>
    </xf>
    <xf numFmtId="4" fontId="27" fillId="0" borderId="17" xfId="0" applyNumberFormat="1" applyFont="1" applyBorder="1" applyAlignment="1">
      <alignment vertical="top"/>
    </xf>
    <xf numFmtId="0" fontId="27" fillId="0" borderId="2" xfId="0" applyFont="1" applyBorder="1" applyAlignment="1">
      <alignment horizontal="center" vertical="top"/>
    </xf>
    <xf numFmtId="4" fontId="27" fillId="0" borderId="2" xfId="17" applyNumberFormat="1" applyFont="1" applyBorder="1" applyAlignment="1">
      <alignment horizontal="left" vertical="center"/>
    </xf>
    <xf numFmtId="168" fontId="27" fillId="0" borderId="2" xfId="17" applyNumberFormat="1" applyFont="1" applyBorder="1" applyAlignment="1">
      <alignment horizontal="center" vertical="center"/>
    </xf>
    <xf numFmtId="3" fontId="27" fillId="0" borderId="2" xfId="17" applyNumberFormat="1" applyFont="1" applyBorder="1" applyAlignment="1">
      <alignment horizontal="center" vertical="center" wrapText="1"/>
    </xf>
    <xf numFmtId="0" fontId="24" fillId="0" borderId="0" xfId="0" applyFont="1" applyAlignment="1">
      <alignment vertical="top"/>
    </xf>
    <xf numFmtId="0" fontId="19" fillId="0" borderId="2" xfId="0" applyFont="1" applyBorder="1" applyAlignment="1">
      <alignment vertical="top"/>
    </xf>
    <xf numFmtId="0" fontId="37" fillId="0" borderId="2" xfId="0" applyFont="1" applyBorder="1" applyAlignment="1">
      <alignment vertical="center"/>
    </xf>
    <xf numFmtId="0" fontId="37" fillId="0" borderId="3" xfId="0" applyFont="1" applyBorder="1" applyAlignment="1">
      <alignment vertical="center"/>
    </xf>
    <xf numFmtId="0" fontId="19" fillId="0" borderId="2" xfId="0" applyFont="1" applyBorder="1" applyAlignment="1">
      <alignment horizontal="left" vertical="center" wrapText="1"/>
    </xf>
    <xf numFmtId="0" fontId="27" fillId="0" borderId="2" xfId="0" applyFont="1" applyBorder="1" applyAlignment="1">
      <alignment horizontal="center" vertical="center" wrapText="1"/>
    </xf>
    <xf numFmtId="0" fontId="27" fillId="0" borderId="0" xfId="3" applyFont="1"/>
    <xf numFmtId="0" fontId="19" fillId="4" borderId="9" xfId="4" applyFont="1" applyFill="1" applyBorder="1" applyAlignment="1">
      <alignment horizontal="center" vertical="center" wrapText="1"/>
    </xf>
    <xf numFmtId="164" fontId="24" fillId="14" borderId="2" xfId="4" applyNumberFormat="1" applyFont="1" applyFill="1" applyBorder="1" applyAlignment="1">
      <alignment vertical="center"/>
    </xf>
    <xf numFmtId="0" fontId="27" fillId="4" borderId="2" xfId="3" applyFont="1" applyFill="1" applyBorder="1" applyAlignment="1">
      <alignment horizontal="center" vertical="center"/>
    </xf>
    <xf numFmtId="0" fontId="27" fillId="4" borderId="2" xfId="3" applyFont="1" applyFill="1" applyBorder="1" applyAlignment="1">
      <alignment horizontal="center" vertical="center" wrapText="1"/>
    </xf>
    <xf numFmtId="0" fontId="27" fillId="0" borderId="2" xfId="3" applyFont="1" applyBorder="1" applyAlignment="1">
      <alignment horizontal="center"/>
    </xf>
    <xf numFmtId="0" fontId="27" fillId="0" borderId="2" xfId="3" applyFont="1" applyBorder="1"/>
    <xf numFmtId="9" fontId="27" fillId="0" borderId="2" xfId="3" applyNumberFormat="1" applyFont="1" applyBorder="1" applyAlignment="1">
      <alignment horizontal="center" vertical="center"/>
    </xf>
    <xf numFmtId="3" fontId="27" fillId="0" borderId="2" xfId="3" applyNumberFormat="1" applyFont="1" applyBorder="1" applyAlignment="1">
      <alignment horizontal="center" vertical="center"/>
    </xf>
    <xf numFmtId="3" fontId="27" fillId="0" borderId="2" xfId="3" applyNumberFormat="1" applyFont="1" applyBorder="1"/>
    <xf numFmtId="0" fontId="27" fillId="0" borderId="15" xfId="3" applyFont="1" applyBorder="1"/>
    <xf numFmtId="0" fontId="27" fillId="0" borderId="11" xfId="3" applyFont="1" applyBorder="1"/>
    <xf numFmtId="0" fontId="27" fillId="0" borderId="12" xfId="3" applyFont="1" applyBorder="1"/>
    <xf numFmtId="2" fontId="27" fillId="0" borderId="2" xfId="3" applyNumberFormat="1" applyFont="1" applyBorder="1" applyAlignment="1">
      <alignment vertical="center"/>
    </xf>
    <xf numFmtId="0" fontId="27" fillId="0" borderId="2" xfId="3" applyFont="1" applyBorder="1" applyAlignment="1">
      <alignment vertical="center"/>
    </xf>
    <xf numFmtId="0" fontId="27" fillId="0" borderId="2" xfId="3" applyFont="1" applyBorder="1" applyAlignment="1">
      <alignment vertical="center" wrapText="1"/>
    </xf>
    <xf numFmtId="9" fontId="27" fillId="0" borderId="11" xfId="3" applyNumberFormat="1" applyFont="1" applyBorder="1" applyAlignment="1">
      <alignment horizontal="center" vertical="center"/>
    </xf>
    <xf numFmtId="0" fontId="27" fillId="0" borderId="11" xfId="3" applyFont="1" applyBorder="1" applyAlignment="1">
      <alignment horizontal="center" vertical="center"/>
    </xf>
    <xf numFmtId="0" fontId="27" fillId="0" borderId="11" xfId="3" applyFont="1" applyBorder="1" applyAlignment="1">
      <alignment horizontal="center" vertical="center" wrapText="1"/>
    </xf>
    <xf numFmtId="2" fontId="27" fillId="0" borderId="11" xfId="3" applyNumberFormat="1" applyFont="1" applyBorder="1" applyAlignment="1">
      <alignment horizontal="center" vertical="center"/>
    </xf>
    <xf numFmtId="0" fontId="27" fillId="0" borderId="0" xfId="3" applyFont="1" applyAlignment="1">
      <alignment horizontal="center" vertical="center" wrapText="1"/>
    </xf>
    <xf numFmtId="3" fontId="27" fillId="0" borderId="0" xfId="3" applyNumberFormat="1" applyFont="1"/>
    <xf numFmtId="0" fontId="27" fillId="0" borderId="2" xfId="0" applyFont="1" applyBorder="1" applyAlignment="1">
      <alignment horizontal="left" vertical="center" wrapText="1"/>
    </xf>
    <xf numFmtId="2" fontId="18" fillId="0" borderId="0" xfId="0" applyNumberFormat="1" applyFont="1" applyAlignment="1">
      <alignment horizontal="center" vertical="center" wrapText="1"/>
    </xf>
    <xf numFmtId="43" fontId="19" fillId="0" borderId="0" xfId="4" applyNumberFormat="1" applyFont="1"/>
    <xf numFmtId="0" fontId="51" fillId="0" borderId="2" xfId="0" applyFont="1" applyBorder="1" applyAlignment="1">
      <alignment horizontal="center" vertical="center" wrapText="1"/>
    </xf>
    <xf numFmtId="2" fontId="51" fillId="0" borderId="2" xfId="0" applyNumberFormat="1" applyFont="1" applyBorder="1" applyAlignment="1">
      <alignment horizontal="center" vertical="center"/>
    </xf>
    <xf numFmtId="49" fontId="18" fillId="9" borderId="2" xfId="5" applyNumberFormat="1" applyFont="1" applyFill="1" applyBorder="1" applyAlignment="1">
      <alignment horizontal="center" vertical="center" wrapText="1"/>
    </xf>
    <xf numFmtId="0" fontId="18" fillId="9" borderId="2" xfId="5" applyFont="1" applyFill="1" applyBorder="1" applyAlignment="1">
      <alignment horizontal="center" vertical="center" wrapText="1"/>
    </xf>
    <xf numFmtId="0" fontId="18" fillId="0" borderId="2" xfId="5" applyFont="1" applyBorder="1" applyAlignment="1">
      <alignment horizontal="center" vertical="center" wrapText="1"/>
    </xf>
    <xf numFmtId="0" fontId="18" fillId="0" borderId="2" xfId="5" applyFont="1" applyBorder="1" applyAlignment="1">
      <alignment vertical="center" wrapText="1"/>
    </xf>
    <xf numFmtId="0" fontId="18" fillId="9" borderId="2" xfId="5" applyFont="1" applyFill="1" applyBorder="1" applyAlignment="1">
      <alignment vertical="center" wrapText="1"/>
    </xf>
    <xf numFmtId="4" fontId="19" fillId="0" borderId="2" xfId="0" applyNumberFormat="1" applyFont="1" applyBorder="1" applyAlignment="1">
      <alignment horizontal="center" vertical="center"/>
    </xf>
    <xf numFmtId="4" fontId="19" fillId="0" borderId="2" xfId="0" applyNumberFormat="1" applyFont="1" applyBorder="1" applyAlignment="1">
      <alignment horizontal="left" vertical="center" wrapText="1"/>
    </xf>
    <xf numFmtId="0" fontId="19" fillId="0" borderId="16" xfId="4" applyFont="1" applyBorder="1" applyAlignment="1">
      <alignment horizontal="left" vertical="center" wrapText="1"/>
    </xf>
    <xf numFmtId="0" fontId="53" fillId="0" borderId="2" xfId="7" applyFont="1" applyBorder="1" applyAlignment="1">
      <alignment wrapText="1"/>
    </xf>
    <xf numFmtId="3" fontId="53" fillId="5" borderId="2" xfId="7" applyNumberFormat="1" applyFont="1" applyFill="1" applyBorder="1" applyAlignment="1">
      <alignment horizontal="center" vertical="center"/>
    </xf>
    <xf numFmtId="3" fontId="24" fillId="0" borderId="2" xfId="7" applyNumberFormat="1" applyFont="1" applyBorder="1"/>
    <xf numFmtId="3" fontId="19" fillId="0" borderId="2" xfId="7" applyNumberFormat="1" applyFont="1" applyBorder="1"/>
    <xf numFmtId="3" fontId="19" fillId="0" borderId="2" xfId="0" applyNumberFormat="1" applyFont="1" applyBorder="1"/>
    <xf numFmtId="3" fontId="22" fillId="0" borderId="0" xfId="0" applyNumberFormat="1" applyFont="1"/>
    <xf numFmtId="3" fontId="24" fillId="0" borderId="2" xfId="7" applyNumberFormat="1" applyFont="1" applyBorder="1" applyAlignment="1">
      <alignment horizontal="center" vertical="center"/>
    </xf>
    <xf numFmtId="0" fontId="19" fillId="0" borderId="0" xfId="4" applyFont="1"/>
    <xf numFmtId="0" fontId="19" fillId="0" borderId="0" xfId="4" applyFont="1" applyAlignment="1">
      <alignment horizontal="right"/>
    </xf>
    <xf numFmtId="0" fontId="19" fillId="0" borderId="2" xfId="4" applyFont="1" applyBorder="1"/>
    <xf numFmtId="0" fontId="19" fillId="0" borderId="2" xfId="4" applyFont="1" applyBorder="1" applyAlignment="1">
      <alignment horizontal="center" vertical="center" wrapText="1"/>
    </xf>
    <xf numFmtId="165" fontId="19" fillId="0" borderId="2" xfId="2" applyNumberFormat="1" applyFont="1" applyBorder="1"/>
    <xf numFmtId="0" fontId="19" fillId="0" borderId="2" xfId="4" applyFont="1" applyBorder="1" applyAlignment="1">
      <alignment wrapText="1"/>
    </xf>
    <xf numFmtId="165" fontId="19" fillId="0" borderId="2" xfId="2" applyNumberFormat="1" applyFont="1" applyBorder="1" applyAlignment="1">
      <alignment horizontal="right"/>
    </xf>
    <xf numFmtId="165" fontId="24" fillId="4" borderId="2" xfId="2" applyNumberFormat="1" applyFont="1" applyFill="1" applyBorder="1"/>
    <xf numFmtId="3" fontId="58" fillId="0" borderId="0" xfId="4" applyNumberFormat="1" applyFont="1"/>
    <xf numFmtId="0" fontId="24" fillId="4" borderId="9" xfId="0" applyFont="1" applyFill="1" applyBorder="1" applyAlignment="1">
      <alignment horizontal="center" vertical="center" wrapText="1"/>
    </xf>
    <xf numFmtId="49" fontId="19" fillId="0" borderId="2" xfId="0" applyNumberFormat="1" applyFont="1" applyBorder="1" applyAlignment="1">
      <alignment horizontal="center" vertical="center"/>
    </xf>
    <xf numFmtId="2" fontId="19" fillId="0" borderId="2" xfId="0" applyNumberFormat="1" applyFont="1" applyBorder="1" applyAlignment="1">
      <alignment horizontal="center" vertical="center"/>
    </xf>
    <xf numFmtId="2" fontId="19" fillId="0" borderId="9" xfId="0" applyNumberFormat="1" applyFont="1" applyBorder="1" applyAlignment="1">
      <alignment horizontal="center" vertical="center"/>
    </xf>
    <xf numFmtId="3" fontId="24" fillId="4" borderId="2" xfId="0" applyNumberFormat="1" applyFont="1" applyFill="1" applyBorder="1" applyAlignment="1">
      <alignment horizontal="center"/>
    </xf>
    <xf numFmtId="0" fontId="41" fillId="0" borderId="0" xfId="0" applyFont="1"/>
    <xf numFmtId="0" fontId="22" fillId="10" borderId="8" xfId="0" applyFont="1" applyFill="1" applyBorder="1" applyAlignment="1">
      <alignment horizontal="center" vertical="center" wrapText="1"/>
    </xf>
    <xf numFmtId="2" fontId="19" fillId="0" borderId="2" xfId="0" applyNumberFormat="1" applyFont="1" applyBorder="1" applyAlignment="1">
      <alignment horizontal="center" vertical="center" wrapText="1"/>
    </xf>
    <xf numFmtId="0" fontId="41" fillId="0" borderId="2" xfId="0" applyFont="1" applyBorder="1" applyAlignment="1">
      <alignment horizontal="center" vertical="center"/>
    </xf>
    <xf numFmtId="0" fontId="19" fillId="5" borderId="0" xfId="0" applyFont="1" applyFill="1" applyAlignment="1">
      <alignment horizontal="center" vertical="center"/>
    </xf>
    <xf numFmtId="2" fontId="19" fillId="0" borderId="0" xfId="0" applyNumberFormat="1" applyFont="1" applyAlignment="1">
      <alignment horizontal="center" vertical="center" wrapText="1"/>
    </xf>
    <xf numFmtId="0" fontId="27" fillId="0" borderId="0" xfId="0" applyFont="1" applyAlignment="1">
      <alignment horizontal="center" vertical="center" wrapText="1"/>
    </xf>
    <xf numFmtId="0" fontId="19" fillId="0" borderId="4" xfId="0" applyFont="1" applyBorder="1"/>
    <xf numFmtId="0" fontId="22" fillId="10" borderId="2" xfId="0" applyFont="1" applyFill="1" applyBorder="1" applyAlignment="1">
      <alignment horizontal="center" vertical="center" wrapText="1"/>
    </xf>
    <xf numFmtId="1" fontId="19" fillId="0" borderId="0" xfId="0" applyNumberFormat="1" applyFont="1"/>
    <xf numFmtId="0" fontId="19" fillId="4" borderId="8" xfId="0" applyFont="1" applyFill="1" applyBorder="1" applyAlignment="1">
      <alignment horizontal="center" vertical="center"/>
    </xf>
    <xf numFmtId="2" fontId="19" fillId="5" borderId="2" xfId="0" applyNumberFormat="1" applyFont="1" applyFill="1" applyBorder="1" applyAlignment="1">
      <alignment horizontal="center" vertical="center" wrapText="1"/>
    </xf>
    <xf numFmtId="0" fontId="19" fillId="0" borderId="5" xfId="0" applyFont="1" applyBorder="1"/>
    <xf numFmtId="0" fontId="41" fillId="5" borderId="2" xfId="0" applyFont="1" applyFill="1" applyBorder="1" applyAlignment="1">
      <alignment horizontal="center" vertical="center"/>
    </xf>
    <xf numFmtId="0" fontId="19" fillId="5" borderId="2" xfId="0" applyFont="1" applyFill="1" applyBorder="1" applyAlignment="1">
      <alignment horizontal="center" vertical="center" wrapText="1"/>
    </xf>
    <xf numFmtId="3" fontId="19" fillId="5" borderId="2" xfId="0" applyNumberFormat="1" applyFont="1" applyFill="1" applyBorder="1" applyAlignment="1">
      <alignment horizontal="center" vertical="center"/>
    </xf>
    <xf numFmtId="1" fontId="19" fillId="5" borderId="0" xfId="0" applyNumberFormat="1" applyFont="1" applyFill="1"/>
    <xf numFmtId="3" fontId="19" fillId="5" borderId="0" xfId="0" applyNumberFormat="1" applyFont="1" applyFill="1"/>
    <xf numFmtId="0" fontId="19" fillId="4" borderId="2" xfId="0" applyFont="1" applyFill="1" applyBorder="1" applyAlignment="1">
      <alignment horizontal="center" vertical="center" textRotation="90" wrapText="1"/>
    </xf>
    <xf numFmtId="0" fontId="19" fillId="4" borderId="3" xfId="0" applyFont="1" applyFill="1" applyBorder="1" applyAlignment="1">
      <alignment horizontal="center" vertical="center"/>
    </xf>
    <xf numFmtId="2" fontId="19" fillId="0" borderId="3" xfId="0" applyNumberFormat="1" applyFont="1" applyBorder="1" applyAlignment="1">
      <alignment horizontal="center" vertical="center" wrapText="1"/>
    </xf>
    <xf numFmtId="0" fontId="27" fillId="0" borderId="3" xfId="0" applyFont="1" applyBorder="1" applyAlignment="1">
      <alignment horizontal="center" vertical="center" wrapText="1"/>
    </xf>
    <xf numFmtId="0" fontId="19" fillId="0" borderId="3" xfId="0" applyFont="1" applyBorder="1" applyAlignment="1">
      <alignment horizontal="center" vertical="center" wrapText="1"/>
    </xf>
    <xf numFmtId="3" fontId="19" fillId="0" borderId="3" xfId="0" applyNumberFormat="1" applyFont="1" applyBorder="1" applyAlignment="1">
      <alignment horizontal="center" vertical="center"/>
    </xf>
    <xf numFmtId="0" fontId="41" fillId="5" borderId="3" xfId="0" applyFont="1" applyFill="1" applyBorder="1" applyAlignment="1">
      <alignment horizontal="center" vertical="center"/>
    </xf>
    <xf numFmtId="1" fontId="41" fillId="0" borderId="0" xfId="0" applyNumberFormat="1" applyFont="1" applyAlignment="1">
      <alignment wrapText="1"/>
    </xf>
    <xf numFmtId="0" fontId="19" fillId="0" borderId="2" xfId="0" applyFont="1" applyBorder="1" applyAlignment="1">
      <alignment horizontal="right" vertical="center" wrapText="1"/>
    </xf>
    <xf numFmtId="1" fontId="19" fillId="0" borderId="0" xfId="0" applyNumberFormat="1" applyFont="1" applyAlignment="1">
      <alignment horizontal="center" vertical="center"/>
    </xf>
    <xf numFmtId="0" fontId="22" fillId="0" borderId="0" xfId="0" applyFont="1"/>
    <xf numFmtId="0" fontId="23" fillId="0" borderId="0" xfId="0" applyFont="1"/>
    <xf numFmtId="0" fontId="19" fillId="5" borderId="2" xfId="4" applyFont="1" applyFill="1" applyBorder="1" applyAlignment="1">
      <alignment horizontal="right" vertical="center" wrapText="1"/>
    </xf>
    <xf numFmtId="0" fontId="19" fillId="5" borderId="0" xfId="4" applyFont="1" applyFill="1" applyAlignment="1">
      <alignment horizontal="right" vertical="center" wrapText="1"/>
    </xf>
    <xf numFmtId="0" fontId="22" fillId="10" borderId="2" xfId="0" applyFont="1" applyFill="1" applyBorder="1" applyAlignment="1">
      <alignment horizontal="left" vertical="center" wrapText="1"/>
    </xf>
    <xf numFmtId="0" fontId="22" fillId="0" borderId="2" xfId="0" applyFont="1" applyBorder="1" applyAlignment="1">
      <alignment horizontal="center" vertical="center" wrapText="1"/>
    </xf>
    <xf numFmtId="166" fontId="22" fillId="0" borderId="2" xfId="0" applyNumberFormat="1" applyFont="1" applyBorder="1" applyAlignment="1">
      <alignment horizontal="center" vertical="center" wrapText="1"/>
    </xf>
    <xf numFmtId="0" fontId="19" fillId="4" borderId="2" xfId="0" applyFont="1" applyFill="1" applyBorder="1" applyAlignment="1">
      <alignment horizontal="left" vertical="center" wrapText="1"/>
    </xf>
    <xf numFmtId="0" fontId="19" fillId="4" borderId="2" xfId="0" applyFont="1" applyFill="1" applyBorder="1"/>
    <xf numFmtId="0" fontId="19" fillId="0" borderId="0" xfId="0" applyFont="1" applyAlignment="1">
      <alignment horizontal="center" vertical="center"/>
    </xf>
    <xf numFmtId="166" fontId="19" fillId="0" borderId="0" xfId="0" applyNumberFormat="1" applyFont="1"/>
    <xf numFmtId="3" fontId="52" fillId="5" borderId="2" xfId="7" applyNumberFormat="1" applyFont="1" applyFill="1" applyBorder="1" applyAlignment="1">
      <alignment horizontal="center" vertical="center"/>
    </xf>
    <xf numFmtId="3" fontId="59" fillId="5" borderId="2" xfId="7" applyNumberFormat="1" applyFont="1" applyFill="1" applyBorder="1" applyAlignment="1">
      <alignment horizontal="center" vertical="center" wrapText="1"/>
    </xf>
    <xf numFmtId="164" fontId="24" fillId="5" borderId="0" xfId="4" applyNumberFormat="1" applyFont="1" applyFill="1" applyAlignment="1">
      <alignment horizontal="right" vertical="center"/>
    </xf>
    <xf numFmtId="3" fontId="24" fillId="5" borderId="2" xfId="4" applyNumberFormat="1" applyFont="1" applyFill="1" applyBorder="1" applyAlignment="1">
      <alignment horizontal="center" vertical="center" wrapText="1"/>
    </xf>
    <xf numFmtId="0" fontId="22" fillId="0" borderId="0" xfId="0" applyFont="1" applyAlignment="1">
      <alignment wrapText="1"/>
    </xf>
    <xf numFmtId="0" fontId="22" fillId="10" borderId="8" xfId="0" applyFont="1" applyFill="1" applyBorder="1" applyAlignment="1">
      <alignment horizontal="center" vertical="center"/>
    </xf>
    <xf numFmtId="0" fontId="19" fillId="10" borderId="8" xfId="0" applyFont="1" applyFill="1" applyBorder="1" applyAlignment="1">
      <alignment horizontal="center" vertical="center" wrapText="1"/>
    </xf>
    <xf numFmtId="0" fontId="22" fillId="0" borderId="5" xfId="0" applyFont="1" applyBorder="1"/>
    <xf numFmtId="0" fontId="22" fillId="0" borderId="17" xfId="0" applyFont="1" applyBorder="1"/>
    <xf numFmtId="0" fontId="22" fillId="0" borderId="17" xfId="0" applyFont="1" applyBorder="1" applyAlignment="1">
      <alignment horizontal="center" vertical="center"/>
    </xf>
    <xf numFmtId="0" fontId="22" fillId="0" borderId="17" xfId="0" applyFont="1" applyBorder="1" applyAlignment="1">
      <alignment horizontal="center" vertical="center" wrapText="1"/>
    </xf>
    <xf numFmtId="3" fontId="19" fillId="0" borderId="17" xfId="0" applyNumberFormat="1" applyFont="1" applyBorder="1" applyAlignment="1">
      <alignment horizontal="center" vertical="center" wrapText="1"/>
    </xf>
    <xf numFmtId="0" fontId="22" fillId="0" borderId="5" xfId="0" applyFont="1" applyBorder="1" applyAlignment="1">
      <alignment horizontal="right"/>
    </xf>
    <xf numFmtId="3" fontId="24" fillId="4" borderId="17" xfId="0" applyNumberFormat="1" applyFont="1" applyFill="1" applyBorder="1" applyAlignment="1">
      <alignment horizontal="center" vertical="center" wrapText="1"/>
    </xf>
    <xf numFmtId="0" fontId="40" fillId="0" borderId="0" xfId="0" applyFont="1"/>
    <xf numFmtId="0" fontId="40" fillId="0" borderId="0" xfId="0" applyFont="1" applyAlignment="1">
      <alignment wrapText="1"/>
    </xf>
    <xf numFmtId="0" fontId="27" fillId="0" borderId="2" xfId="0" applyFont="1" applyBorder="1" applyAlignment="1">
      <alignment vertical="top" wrapText="1"/>
    </xf>
    <xf numFmtId="0" fontId="19" fillId="5" borderId="2" xfId="0" applyFont="1" applyFill="1" applyBorder="1" applyAlignment="1">
      <alignment vertical="top" wrapText="1"/>
    </xf>
    <xf numFmtId="0" fontId="24" fillId="0" borderId="2" xfId="0" applyFont="1" applyBorder="1" applyAlignment="1">
      <alignment vertical="top"/>
    </xf>
    <xf numFmtId="0" fontId="37" fillId="5" borderId="0" xfId="0" applyFont="1" applyFill="1" applyAlignment="1">
      <alignment horizontal="left" vertical="top" wrapText="1"/>
    </xf>
    <xf numFmtId="0" fontId="5" fillId="5" borderId="3" xfId="0" applyFont="1" applyFill="1" applyBorder="1" applyAlignment="1">
      <alignment vertical="top" wrapText="1"/>
    </xf>
    <xf numFmtId="0" fontId="2" fillId="5" borderId="2" xfId="0" applyFont="1" applyFill="1" applyBorder="1" applyAlignment="1">
      <alignment vertical="top"/>
    </xf>
    <xf numFmtId="0" fontId="2" fillId="5" borderId="2" xfId="0" applyFont="1" applyFill="1" applyBorder="1" applyAlignment="1">
      <alignment vertical="center"/>
    </xf>
    <xf numFmtId="0" fontId="5" fillId="5" borderId="2" xfId="0" applyFont="1" applyFill="1" applyBorder="1" applyAlignment="1">
      <alignment horizontal="left" vertical="top" wrapText="1"/>
    </xf>
    <xf numFmtId="3" fontId="18" fillId="14" borderId="2" xfId="17" applyNumberFormat="1" applyFont="1" applyFill="1" applyBorder="1" applyAlignment="1">
      <alignment horizontal="center" vertical="center"/>
    </xf>
    <xf numFmtId="0" fontId="22" fillId="12" borderId="2" xfId="0" applyFont="1" applyFill="1" applyBorder="1" applyAlignment="1">
      <alignment horizontal="center" wrapText="1"/>
    </xf>
    <xf numFmtId="0" fontId="22" fillId="12" borderId="8" xfId="0" applyFont="1" applyFill="1" applyBorder="1" applyAlignment="1">
      <alignment horizontal="center" wrapText="1"/>
    </xf>
    <xf numFmtId="0" fontId="27" fillId="0" borderId="5" xfId="0" applyFont="1" applyBorder="1" applyAlignment="1">
      <alignment horizontal="center" vertical="center" wrapText="1"/>
    </xf>
    <xf numFmtId="0" fontId="27" fillId="8" borderId="5" xfId="0" applyFont="1" applyFill="1" applyBorder="1" applyAlignment="1">
      <alignment wrapText="1"/>
    </xf>
    <xf numFmtId="0" fontId="27" fillId="8" borderId="17" xfId="0" applyFont="1" applyFill="1" applyBorder="1" applyAlignment="1">
      <alignment wrapText="1"/>
    </xf>
    <xf numFmtId="0" fontId="27" fillId="12" borderId="17" xfId="0" applyFont="1" applyFill="1" applyBorder="1" applyAlignment="1">
      <alignment horizontal="center" wrapText="1"/>
    </xf>
    <xf numFmtId="2" fontId="27" fillId="12" borderId="17" xfId="0" applyNumberFormat="1" applyFont="1" applyFill="1" applyBorder="1" applyAlignment="1">
      <alignment horizontal="center" wrapText="1"/>
    </xf>
    <xf numFmtId="0" fontId="27" fillId="12" borderId="17" xfId="0" applyFont="1" applyFill="1" applyBorder="1" applyAlignment="1">
      <alignment horizontal="center"/>
    </xf>
    <xf numFmtId="2" fontId="23" fillId="12" borderId="17" xfId="0" applyNumberFormat="1" applyFont="1" applyFill="1" applyBorder="1" applyAlignment="1">
      <alignment horizontal="center"/>
    </xf>
    <xf numFmtId="0" fontId="23" fillId="12" borderId="17" xfId="0" applyFont="1" applyFill="1" applyBorder="1" applyAlignment="1">
      <alignment horizontal="center"/>
    </xf>
    <xf numFmtId="2" fontId="22" fillId="12" borderId="17" xfId="0" applyNumberFormat="1" applyFont="1" applyFill="1" applyBorder="1" applyAlignment="1">
      <alignment horizontal="center"/>
    </xf>
    <xf numFmtId="0" fontId="22" fillId="11" borderId="17" xfId="0" applyFont="1" applyFill="1" applyBorder="1" applyAlignment="1">
      <alignment wrapText="1"/>
    </xf>
    <xf numFmtId="0" fontId="27" fillId="10" borderId="22" xfId="0" applyFont="1" applyFill="1" applyBorder="1" applyAlignment="1">
      <alignment wrapText="1"/>
    </xf>
    <xf numFmtId="0" fontId="27" fillId="10" borderId="19" xfId="0" applyFont="1" applyFill="1" applyBorder="1" applyAlignment="1">
      <alignment wrapText="1"/>
    </xf>
    <xf numFmtId="2" fontId="27" fillId="0" borderId="8" xfId="0" applyNumberFormat="1" applyFont="1" applyBorder="1" applyAlignment="1">
      <alignment horizontal="center"/>
    </xf>
    <xf numFmtId="0" fontId="22" fillId="0" borderId="17" xfId="0" applyFont="1" applyBorder="1" applyAlignment="1">
      <alignment horizontal="center" wrapText="1"/>
    </xf>
    <xf numFmtId="3" fontId="22" fillId="0" borderId="17" xfId="0" applyNumberFormat="1" applyFont="1" applyBorder="1" applyAlignment="1">
      <alignment horizontal="center" wrapText="1"/>
    </xf>
    <xf numFmtId="0" fontId="27" fillId="10" borderId="18" xfId="0" applyFont="1" applyFill="1" applyBorder="1" applyAlignment="1">
      <alignment wrapText="1"/>
    </xf>
    <xf numFmtId="0" fontId="27" fillId="10" borderId="20" xfId="0" applyFont="1" applyFill="1" applyBorder="1" applyAlignment="1">
      <alignment wrapText="1"/>
    </xf>
    <xf numFmtId="0" fontId="22" fillId="0" borderId="0" xfId="0" applyFont="1" applyAlignment="1">
      <alignment horizontal="center" wrapText="1"/>
    </xf>
    <xf numFmtId="0" fontId="22" fillId="0" borderId="16" xfId="0" applyFont="1" applyBorder="1" applyAlignment="1">
      <alignment horizontal="center" wrapText="1"/>
    </xf>
    <xf numFmtId="0" fontId="29" fillId="12" borderId="8" xfId="0" applyFont="1" applyFill="1" applyBorder="1" applyAlignment="1">
      <alignment horizontal="center" vertical="center" wrapText="1"/>
    </xf>
    <xf numFmtId="3" fontId="5" fillId="3" borderId="2" xfId="0" applyNumberFormat="1" applyFont="1" applyFill="1" applyBorder="1" applyAlignment="1">
      <alignment horizontal="left" vertical="top" wrapText="1"/>
    </xf>
    <xf numFmtId="164" fontId="24" fillId="5" borderId="8" xfId="4" applyNumberFormat="1" applyFont="1" applyFill="1" applyBorder="1" applyAlignment="1">
      <alignment horizontal="center" vertical="center"/>
    </xf>
    <xf numFmtId="0" fontId="2" fillId="5" borderId="3" xfId="0" applyFont="1" applyFill="1" applyBorder="1" applyAlignment="1">
      <alignment vertical="top" wrapText="1"/>
    </xf>
    <xf numFmtId="0" fontId="2" fillId="5" borderId="5" xfId="0" applyFont="1" applyFill="1" applyBorder="1" applyAlignment="1">
      <alignment vertical="top" wrapText="1"/>
    </xf>
    <xf numFmtId="0" fontId="61" fillId="0" borderId="0" xfId="0" applyFont="1"/>
    <xf numFmtId="3" fontId="37" fillId="4" borderId="3" xfId="0" applyNumberFormat="1" applyFont="1" applyFill="1" applyBorder="1" applyAlignment="1">
      <alignment horizontal="center" vertical="center"/>
    </xf>
    <xf numFmtId="3" fontId="55" fillId="5" borderId="3" xfId="0" applyNumberFormat="1" applyFont="1" applyFill="1" applyBorder="1" applyAlignment="1">
      <alignment horizontal="center" vertical="center"/>
    </xf>
    <xf numFmtId="0" fontId="60" fillId="4" borderId="2" xfId="0" applyFont="1" applyFill="1" applyBorder="1" applyAlignment="1">
      <alignment vertical="center" wrapText="1"/>
    </xf>
    <xf numFmtId="3" fontId="41" fillId="0" borderId="2" xfId="0" applyNumberFormat="1" applyFont="1" applyBorder="1" applyAlignment="1">
      <alignment horizontal="center" vertical="center" wrapText="1"/>
    </xf>
    <xf numFmtId="0" fontId="52" fillId="0" borderId="0" xfId="17" applyFont="1"/>
    <xf numFmtId="0" fontId="19" fillId="4" borderId="2" xfId="17" applyFont="1" applyFill="1" applyBorder="1" applyAlignment="1">
      <alignment horizontal="center" vertical="center"/>
    </xf>
    <xf numFmtId="0" fontId="27" fillId="4" borderId="2" xfId="8" applyFont="1" applyFill="1" applyBorder="1" applyAlignment="1">
      <alignment horizontal="center" vertical="center" wrapText="1"/>
    </xf>
    <xf numFmtId="0" fontId="19" fillId="0" borderId="2" xfId="17" applyFont="1" applyBorder="1" applyAlignment="1">
      <alignment horizontal="center" vertical="center"/>
    </xf>
    <xf numFmtId="4" fontId="52" fillId="0" borderId="8" xfId="17" applyNumberFormat="1" applyFont="1" applyBorder="1" applyAlignment="1">
      <alignment horizontal="left" vertical="center" wrapText="1"/>
    </xf>
    <xf numFmtId="3" fontId="52" fillId="0" borderId="2" xfId="17" applyNumberFormat="1" applyFont="1" applyBorder="1" applyAlignment="1">
      <alignment horizontal="center" vertical="center"/>
    </xf>
    <xf numFmtId="3" fontId="53" fillId="0" borderId="2" xfId="17" applyNumberFormat="1" applyFont="1" applyBorder="1" applyAlignment="1">
      <alignment horizontal="center" vertical="center"/>
    </xf>
    <xf numFmtId="3" fontId="52" fillId="5" borderId="2" xfId="17" applyNumberFormat="1" applyFont="1" applyFill="1" applyBorder="1" applyAlignment="1">
      <alignment horizontal="center" vertical="center"/>
    </xf>
    <xf numFmtId="3" fontId="53" fillId="20" borderId="2" xfId="17" applyNumberFormat="1" applyFont="1" applyFill="1" applyBorder="1" applyAlignment="1">
      <alignment horizontal="center" vertical="center"/>
    </xf>
    <xf numFmtId="4" fontId="52" fillId="0" borderId="2" xfId="17" applyNumberFormat="1" applyFont="1" applyBorder="1" applyAlignment="1">
      <alignment horizontal="left" vertical="center" wrapText="1"/>
    </xf>
    <xf numFmtId="0" fontId="19" fillId="5" borderId="0" xfId="20" applyFont="1" applyFill="1"/>
    <xf numFmtId="0" fontId="19" fillId="5" borderId="2" xfId="20" applyFont="1" applyFill="1" applyBorder="1" applyAlignment="1">
      <alignment horizontal="center" vertical="center" wrapText="1"/>
    </xf>
    <xf numFmtId="0" fontId="19" fillId="5" borderId="0" xfId="20" applyFont="1" applyFill="1" applyAlignment="1">
      <alignment horizontal="center" vertical="center" wrapText="1"/>
    </xf>
    <xf numFmtId="2" fontId="27" fillId="0" borderId="2" xfId="21" applyNumberFormat="1" applyFont="1" applyBorder="1" applyAlignment="1" applyProtection="1">
      <alignment horizontal="center" vertical="center" wrapText="1"/>
      <protection locked="0"/>
    </xf>
    <xf numFmtId="2" fontId="19" fillId="5" borderId="2" xfId="20" applyNumberFormat="1" applyFont="1" applyFill="1" applyBorder="1" applyAlignment="1">
      <alignment horizontal="center" vertical="center" wrapText="1"/>
    </xf>
    <xf numFmtId="4" fontId="19" fillId="0" borderId="2" xfId="0" applyNumberFormat="1" applyFont="1" applyBorder="1" applyAlignment="1">
      <alignment horizontal="center"/>
    </xf>
    <xf numFmtId="4" fontId="19" fillId="0" borderId="2" xfId="0" applyNumberFormat="1" applyFont="1" applyBorder="1" applyAlignment="1">
      <alignment vertical="center"/>
    </xf>
    <xf numFmtId="0" fontId="24" fillId="0" borderId="2" xfId="0" applyFont="1" applyBorder="1" applyAlignment="1">
      <alignment wrapText="1"/>
    </xf>
    <xf numFmtId="4" fontId="24" fillId="0" borderId="2" xfId="0" applyNumberFormat="1" applyFont="1" applyBorder="1"/>
    <xf numFmtId="0" fontId="27" fillId="4" borderId="2" xfId="20" applyFont="1" applyFill="1" applyBorder="1" applyAlignment="1">
      <alignment horizontal="center" vertical="center" wrapText="1"/>
    </xf>
    <xf numFmtId="3" fontId="24" fillId="14" borderId="2" xfId="0" applyNumberFormat="1" applyFont="1" applyFill="1" applyBorder="1" applyAlignment="1">
      <alignment horizontal="center" vertical="center"/>
    </xf>
    <xf numFmtId="164" fontId="24" fillId="0" borderId="2" xfId="20" applyNumberFormat="1" applyFont="1" applyBorder="1" applyAlignment="1">
      <alignment horizontal="center" vertical="center"/>
    </xf>
    <xf numFmtId="1" fontId="18" fillId="0" borderId="2" xfId="21" applyNumberFormat="1" applyFont="1" applyBorder="1" applyAlignment="1" applyProtection="1">
      <alignment horizontal="center" vertical="center" wrapText="1"/>
      <protection locked="0"/>
    </xf>
    <xf numFmtId="1" fontId="19" fillId="5" borderId="2" xfId="20" applyNumberFormat="1" applyFont="1" applyFill="1" applyBorder="1" applyAlignment="1">
      <alignment horizontal="center" vertical="center" wrapText="1"/>
    </xf>
    <xf numFmtId="3" fontId="60" fillId="4" borderId="2" xfId="0" applyNumberFormat="1" applyFont="1" applyFill="1" applyBorder="1" applyAlignment="1">
      <alignment horizontal="center" vertical="center" wrapText="1"/>
    </xf>
    <xf numFmtId="3" fontId="19" fillId="0" borderId="2" xfId="0" applyNumberFormat="1" applyFont="1" applyBorder="1" applyAlignment="1">
      <alignment horizontal="center"/>
    </xf>
    <xf numFmtId="3" fontId="19" fillId="0" borderId="17" xfId="0" applyNumberFormat="1" applyFont="1" applyBorder="1" applyAlignment="1">
      <alignment vertical="top"/>
    </xf>
    <xf numFmtId="4" fontId="19" fillId="0" borderId="17" xfId="0" applyNumberFormat="1" applyFont="1" applyBorder="1" applyAlignment="1">
      <alignment vertical="top"/>
    </xf>
    <xf numFmtId="0" fontId="27" fillId="5" borderId="17" xfId="0" applyFont="1" applyFill="1" applyBorder="1" applyAlignment="1">
      <alignment vertical="top" wrapText="1"/>
    </xf>
    <xf numFmtId="0" fontId="19" fillId="5" borderId="17" xfId="0" applyFont="1" applyFill="1" applyBorder="1" applyAlignment="1">
      <alignment vertical="top" wrapText="1"/>
    </xf>
    <xf numFmtId="0" fontId="19" fillId="5" borderId="2" xfId="0" applyFont="1" applyFill="1" applyBorder="1" applyAlignment="1">
      <alignment horizontal="left" vertical="center" wrapText="1"/>
    </xf>
    <xf numFmtId="0" fontId="37" fillId="3" borderId="3" xfId="0" applyFont="1" applyFill="1" applyBorder="1" applyAlignment="1">
      <alignment vertical="center" wrapText="1"/>
    </xf>
    <xf numFmtId="0" fontId="2" fillId="3" borderId="3" xfId="0" applyFont="1" applyFill="1" applyBorder="1" applyAlignment="1">
      <alignment horizontal="left" vertical="center" wrapText="1"/>
    </xf>
    <xf numFmtId="0" fontId="2" fillId="5" borderId="2" xfId="0" applyFont="1" applyFill="1" applyBorder="1" applyAlignment="1">
      <alignment horizontal="left" vertical="center"/>
    </xf>
    <xf numFmtId="0" fontId="13" fillId="0" borderId="0" xfId="3" applyFont="1" applyAlignment="1">
      <alignment horizontal="right"/>
    </xf>
    <xf numFmtId="3" fontId="5" fillId="5" borderId="2" xfId="0" applyNumberFormat="1" applyFont="1" applyFill="1" applyBorder="1" applyAlignment="1">
      <alignment horizontal="left" vertical="top" wrapText="1"/>
    </xf>
    <xf numFmtId="3" fontId="19" fillId="5" borderId="0" xfId="4" applyNumberFormat="1" applyFont="1" applyFill="1" applyAlignment="1">
      <alignment horizontal="right" wrapText="1"/>
    </xf>
    <xf numFmtId="3" fontId="19" fillId="5" borderId="0" xfId="4" applyNumberFormat="1" applyFont="1" applyFill="1" applyAlignment="1">
      <alignment horizontal="right"/>
    </xf>
    <xf numFmtId="3" fontId="27" fillId="5" borderId="0" xfId="4" applyNumberFormat="1" applyFont="1" applyFill="1" applyAlignment="1">
      <alignment horizontal="right"/>
    </xf>
    <xf numFmtId="3" fontId="24" fillId="5" borderId="0" xfId="0" applyNumberFormat="1" applyFont="1" applyFill="1"/>
    <xf numFmtId="3" fontId="27" fillId="0" borderId="2" xfId="0" applyNumberFormat="1" applyFont="1" applyBorder="1"/>
    <xf numFmtId="0" fontId="29" fillId="13" borderId="0" xfId="0" applyFont="1" applyFill="1" applyAlignment="1">
      <alignment horizontal="center" wrapText="1"/>
    </xf>
    <xf numFmtId="165" fontId="23" fillId="13" borderId="0" xfId="2" applyNumberFormat="1" applyFont="1" applyFill="1" applyBorder="1" applyAlignment="1">
      <alignment horizontal="center" vertical="center"/>
    </xf>
    <xf numFmtId="0" fontId="29" fillId="11" borderId="2" xfId="0" applyFont="1" applyFill="1" applyBorder="1" applyAlignment="1">
      <alignment horizontal="center" wrapText="1"/>
    </xf>
    <xf numFmtId="165" fontId="23" fillId="12" borderId="2" xfId="2" applyNumberFormat="1" applyFont="1" applyFill="1" applyBorder="1" applyAlignment="1">
      <alignment horizontal="center" vertical="center"/>
    </xf>
    <xf numFmtId="0" fontId="29" fillId="13" borderId="0" xfId="0" applyFont="1" applyFill="1" applyAlignment="1">
      <alignment wrapText="1"/>
    </xf>
    <xf numFmtId="165" fontId="30" fillId="13" borderId="0" xfId="2" applyNumberFormat="1" applyFont="1" applyFill="1" applyBorder="1" applyAlignment="1">
      <alignment horizontal="center" vertical="center"/>
    </xf>
    <xf numFmtId="3" fontId="23" fillId="0" borderId="2" xfId="0" applyNumberFormat="1" applyFont="1" applyBorder="1" applyAlignment="1">
      <alignment horizontal="center" vertical="center" wrapText="1"/>
    </xf>
    <xf numFmtId="0" fontId="2" fillId="5" borderId="4" xfId="0" applyFont="1" applyFill="1" applyBorder="1" applyAlignment="1">
      <alignment horizontal="left" vertical="center" wrapText="1"/>
    </xf>
    <xf numFmtId="0" fontId="2" fillId="5" borderId="5" xfId="0" applyFont="1" applyFill="1" applyBorder="1" applyAlignment="1">
      <alignment horizontal="left" vertical="center" wrapText="1"/>
    </xf>
    <xf numFmtId="0" fontId="37" fillId="5" borderId="5" xfId="0" applyFont="1" applyFill="1" applyBorder="1" applyAlignment="1">
      <alignment horizontal="center" vertical="center" wrapText="1"/>
    </xf>
    <xf numFmtId="0" fontId="2" fillId="5" borderId="3" xfId="0" applyFont="1" applyFill="1" applyBorder="1" applyAlignment="1">
      <alignment horizontal="left" vertical="top" wrapText="1"/>
    </xf>
    <xf numFmtId="0" fontId="19" fillId="0" borderId="16" xfId="0" applyFont="1" applyBorder="1"/>
    <xf numFmtId="0" fontId="19" fillId="5" borderId="16" xfId="0" applyFont="1" applyFill="1" applyBorder="1" applyAlignment="1">
      <alignment horizontal="center" vertical="center"/>
    </xf>
    <xf numFmtId="0" fontId="37" fillId="5" borderId="12" xfId="0" applyFont="1" applyFill="1" applyBorder="1" applyAlignment="1">
      <alignment horizontal="left" vertical="top" wrapText="1"/>
    </xf>
    <xf numFmtId="3" fontId="24" fillId="0" borderId="2" xfId="0" applyNumberFormat="1" applyFont="1" applyBorder="1" applyAlignment="1">
      <alignment horizontal="center"/>
    </xf>
    <xf numFmtId="3" fontId="19" fillId="0" borderId="29" xfId="0" applyNumberFormat="1" applyFont="1" applyBorder="1" applyAlignment="1">
      <alignment horizontal="center" vertical="center"/>
    </xf>
    <xf numFmtId="0" fontId="2" fillId="5" borderId="5" xfId="0" applyFont="1" applyFill="1" applyBorder="1" applyAlignment="1">
      <alignment horizontal="left" vertical="top" wrapText="1"/>
    </xf>
    <xf numFmtId="0" fontId="19" fillId="4" borderId="2" xfId="0" applyFont="1" applyFill="1" applyBorder="1" applyAlignment="1">
      <alignment horizontal="center" wrapText="1"/>
    </xf>
    <xf numFmtId="0" fontId="19" fillId="21" borderId="2" xfId="0" applyFont="1" applyFill="1" applyBorder="1" applyAlignment="1">
      <alignment horizontal="center" vertical="center" wrapText="1"/>
    </xf>
    <xf numFmtId="4" fontId="19" fillId="0" borderId="2" xfId="0" applyNumberFormat="1" applyFont="1" applyBorder="1" applyAlignment="1">
      <alignment horizontal="right" vertical="center" wrapText="1"/>
    </xf>
    <xf numFmtId="0" fontId="41" fillId="0" borderId="2" xfId="0" applyFont="1" applyBorder="1" applyAlignment="1">
      <alignment horizontal="center" vertical="center" wrapText="1"/>
    </xf>
    <xf numFmtId="0" fontId="62" fillId="0" borderId="16" xfId="0" applyFont="1" applyBorder="1" applyAlignment="1">
      <alignment vertical="center" wrapText="1"/>
    </xf>
    <xf numFmtId="0" fontId="62" fillId="0" borderId="16" xfId="0" applyFont="1" applyBorder="1" applyAlignment="1">
      <alignment horizontal="left" vertical="center" wrapText="1"/>
    </xf>
    <xf numFmtId="0" fontId="41" fillId="0" borderId="2" xfId="13" applyFont="1" applyBorder="1" applyAlignment="1">
      <alignment horizontal="left" vertical="center" wrapText="1"/>
    </xf>
    <xf numFmtId="0" fontId="41" fillId="0" borderId="2" xfId="4" applyFont="1" applyBorder="1" applyAlignment="1">
      <alignment horizontal="left" vertical="center" wrapText="1"/>
    </xf>
    <xf numFmtId="0" fontId="52" fillId="0" borderId="2" xfId="7" applyFont="1" applyBorder="1" applyAlignment="1">
      <alignment horizontal="left" vertical="center" wrapText="1"/>
    </xf>
    <xf numFmtId="0" fontId="22" fillId="11" borderId="2" xfId="0" applyFont="1" applyFill="1" applyBorder="1" applyAlignment="1">
      <alignment horizontal="center" vertical="center" wrapText="1"/>
    </xf>
    <xf numFmtId="0" fontId="41" fillId="5" borderId="2" xfId="4" applyFont="1" applyFill="1" applyBorder="1" applyAlignment="1">
      <alignment horizontal="left" vertical="center" wrapText="1"/>
    </xf>
    <xf numFmtId="0" fontId="19" fillId="5" borderId="2" xfId="4" applyFont="1" applyFill="1" applyBorder="1" applyAlignment="1">
      <alignment horizontal="right" vertical="top" wrapText="1"/>
    </xf>
    <xf numFmtId="0" fontId="41" fillId="5" borderId="2" xfId="4" applyFont="1" applyFill="1" applyBorder="1" applyAlignment="1">
      <alignment horizontal="left" vertical="top" wrapText="1"/>
    </xf>
    <xf numFmtId="0" fontId="41" fillId="5" borderId="2" xfId="4" applyFont="1" applyFill="1" applyBorder="1" applyAlignment="1">
      <alignment wrapText="1"/>
    </xf>
    <xf numFmtId="0" fontId="27" fillId="4" borderId="3" xfId="20" applyFont="1" applyFill="1" applyBorder="1" applyAlignment="1">
      <alignment horizontal="center" vertical="center" wrapText="1"/>
    </xf>
    <xf numFmtId="0" fontId="41" fillId="5" borderId="2" xfId="20" applyFont="1" applyFill="1" applyBorder="1" applyAlignment="1">
      <alignment horizontal="left" vertical="center" wrapText="1"/>
    </xf>
    <xf numFmtId="0" fontId="45" fillId="5" borderId="2" xfId="4" applyFont="1" applyFill="1" applyBorder="1" applyAlignment="1">
      <alignment horizontal="left" vertical="center" wrapText="1"/>
    </xf>
    <xf numFmtId="0" fontId="19" fillId="4" borderId="2" xfId="0" applyFont="1" applyFill="1" applyBorder="1" applyAlignment="1">
      <alignment vertical="center"/>
    </xf>
    <xf numFmtId="0" fontId="19" fillId="4" borderId="3" xfId="0" applyFont="1" applyFill="1" applyBorder="1" applyAlignment="1">
      <alignment horizontal="center" vertical="center" wrapText="1"/>
    </xf>
    <xf numFmtId="4" fontId="18" fillId="4" borderId="2" xfId="10" applyNumberFormat="1" applyFont="1" applyFill="1" applyBorder="1" applyAlignment="1">
      <alignment horizontal="center" vertical="center" wrapText="1"/>
    </xf>
    <xf numFmtId="0" fontId="5" fillId="5" borderId="5" xfId="0" applyFont="1" applyFill="1" applyBorder="1" applyAlignment="1">
      <alignment horizontal="left" vertical="center" wrapText="1"/>
    </xf>
    <xf numFmtId="0" fontId="20" fillId="0" borderId="0" xfId="0" applyFont="1"/>
    <xf numFmtId="164" fontId="24" fillId="5" borderId="0" xfId="4" applyNumberFormat="1" applyFont="1" applyFill="1" applyAlignment="1">
      <alignment vertical="center"/>
    </xf>
    <xf numFmtId="3" fontId="2" fillId="0" borderId="0" xfId="0" applyNumberFormat="1" applyFont="1"/>
    <xf numFmtId="0" fontId="37" fillId="5" borderId="5" xfId="0" applyFont="1" applyFill="1" applyBorder="1" applyAlignment="1">
      <alignment horizontal="left" vertical="top" wrapText="1"/>
    </xf>
    <xf numFmtId="0" fontId="37" fillId="5" borderId="5" xfId="0" applyFont="1" applyFill="1" applyBorder="1" applyAlignment="1">
      <alignment vertical="top" wrapText="1"/>
    </xf>
    <xf numFmtId="0" fontId="37" fillId="5" borderId="3" xfId="0" applyFont="1" applyFill="1" applyBorder="1" applyAlignment="1">
      <alignment vertical="center" wrapText="1"/>
    </xf>
    <xf numFmtId="0" fontId="37" fillId="5" borderId="12" xfId="0" applyFont="1" applyFill="1" applyBorder="1" applyAlignment="1">
      <alignment horizontal="center" vertical="center" wrapText="1"/>
    </xf>
    <xf numFmtId="0" fontId="5" fillId="5" borderId="2" xfId="0" applyFont="1" applyFill="1" applyBorder="1" applyAlignment="1">
      <alignment horizontal="center" vertical="top" wrapText="1"/>
    </xf>
    <xf numFmtId="0" fontId="37" fillId="5" borderId="2" xfId="0" applyFont="1" applyFill="1" applyBorder="1" applyAlignment="1">
      <alignment horizontal="center" vertical="top" wrapText="1"/>
    </xf>
    <xf numFmtId="0" fontId="63" fillId="5" borderId="0" xfId="0" applyFont="1" applyFill="1" applyAlignment="1">
      <alignment horizontal="center" vertical="center"/>
    </xf>
    <xf numFmtId="0" fontId="63" fillId="5" borderId="0" xfId="0" applyFont="1" applyFill="1" applyAlignment="1">
      <alignment wrapText="1"/>
    </xf>
    <xf numFmtId="0" fontId="63" fillId="5" borderId="0" xfId="0" applyFont="1" applyFill="1"/>
    <xf numFmtId="0" fontId="63" fillId="5" borderId="2" xfId="0" applyFont="1" applyFill="1" applyBorder="1"/>
    <xf numFmtId="0" fontId="5" fillId="5" borderId="31" xfId="0" applyFont="1" applyFill="1" applyBorder="1" applyAlignment="1">
      <alignment vertical="center" wrapText="1"/>
    </xf>
    <xf numFmtId="0" fontId="22" fillId="5" borderId="0" xfId="0" applyFont="1" applyFill="1" applyAlignment="1">
      <alignment horizontal="center" vertical="center" wrapText="1"/>
    </xf>
    <xf numFmtId="3" fontId="19" fillId="5" borderId="0" xfId="0" applyNumberFormat="1" applyFont="1" applyFill="1" applyAlignment="1">
      <alignment horizontal="center" vertical="center" wrapText="1"/>
    </xf>
    <xf numFmtId="0" fontId="22" fillId="4" borderId="38" xfId="0" applyFont="1" applyFill="1" applyBorder="1" applyAlignment="1">
      <alignment horizontal="center" vertical="center" wrapText="1"/>
    </xf>
    <xf numFmtId="3" fontId="19" fillId="0" borderId="29" xfId="0" applyNumberFormat="1" applyFont="1" applyBorder="1" applyAlignment="1">
      <alignment horizontal="center" vertical="center" wrapText="1"/>
    </xf>
    <xf numFmtId="0" fontId="37" fillId="5" borderId="3" xfId="0" applyFont="1" applyFill="1" applyBorder="1" applyAlignment="1">
      <alignment horizontal="left" vertical="top" wrapText="1"/>
    </xf>
    <xf numFmtId="0" fontId="5" fillId="5" borderId="3" xfId="0" applyFont="1" applyFill="1" applyBorder="1" applyAlignment="1">
      <alignment horizontal="left" vertical="top" wrapText="1"/>
    </xf>
    <xf numFmtId="0" fontId="22" fillId="4" borderId="16" xfId="0" applyFont="1" applyFill="1" applyBorder="1" applyAlignment="1">
      <alignment horizontal="center" vertical="center" wrapText="1"/>
    </xf>
    <xf numFmtId="0" fontId="22" fillId="4" borderId="29" xfId="0" applyFont="1" applyFill="1" applyBorder="1" applyAlignment="1">
      <alignment horizontal="center" vertical="center" wrapText="1"/>
    </xf>
    <xf numFmtId="0" fontId="3" fillId="6" borderId="2" xfId="0" applyFont="1" applyFill="1" applyBorder="1" applyAlignment="1">
      <alignment vertical="center" wrapText="1"/>
    </xf>
    <xf numFmtId="3" fontId="23" fillId="12" borderId="16" xfId="0" applyNumberFormat="1" applyFont="1" applyFill="1" applyBorder="1" applyAlignment="1">
      <alignment horizontal="center" vertical="center"/>
    </xf>
    <xf numFmtId="0" fontId="22" fillId="0" borderId="16" xfId="0" applyFont="1" applyBorder="1"/>
    <xf numFmtId="0" fontId="22" fillId="0" borderId="16" xfId="0" applyFont="1" applyBorder="1" applyAlignment="1">
      <alignment horizontal="center"/>
    </xf>
    <xf numFmtId="43" fontId="27" fillId="0" borderId="16" xfId="0" applyNumberFormat="1" applyFont="1" applyBorder="1" applyAlignment="1">
      <alignment horizontal="right" vertical="center"/>
    </xf>
    <xf numFmtId="165" fontId="22" fillId="0" borderId="16" xfId="0" applyNumberFormat="1" applyFont="1" applyBorder="1" applyAlignment="1">
      <alignment horizontal="center" vertical="center"/>
    </xf>
    <xf numFmtId="0" fontId="22" fillId="3" borderId="16" xfId="0" applyFont="1" applyFill="1" applyBorder="1"/>
    <xf numFmtId="165" fontId="27" fillId="0" borderId="16" xfId="0" applyNumberFormat="1" applyFont="1" applyBorder="1" applyAlignment="1">
      <alignment horizontal="right" vertical="center"/>
    </xf>
    <xf numFmtId="0" fontId="19" fillId="0" borderId="16" xfId="0" applyFont="1" applyBorder="1" applyAlignment="1">
      <alignment horizontal="right"/>
    </xf>
    <xf numFmtId="0" fontId="19" fillId="0" borderId="16" xfId="0" applyFont="1" applyBorder="1" applyAlignment="1">
      <alignment horizontal="center"/>
    </xf>
    <xf numFmtId="43" fontId="25" fillId="0" borderId="16" xfId="0" applyNumberFormat="1" applyFont="1" applyBorder="1" applyAlignment="1">
      <alignment horizontal="right"/>
    </xf>
    <xf numFmtId="165" fontId="22" fillId="3" borderId="16" xfId="0" applyNumberFormat="1" applyFont="1" applyFill="1" applyBorder="1"/>
    <xf numFmtId="165" fontId="23" fillId="0" borderId="16" xfId="0" applyNumberFormat="1" applyFont="1" applyBorder="1"/>
    <xf numFmtId="0" fontId="42" fillId="0" borderId="2" xfId="0" applyFont="1" applyBorder="1" applyAlignment="1">
      <alignment wrapText="1"/>
    </xf>
    <xf numFmtId="3" fontId="24" fillId="0" borderId="29" xfId="0" applyNumberFormat="1" applyFont="1" applyBorder="1" applyAlignment="1">
      <alignment horizontal="center" vertical="center"/>
    </xf>
    <xf numFmtId="0" fontId="37" fillId="3" borderId="3" xfId="0" applyFont="1" applyFill="1" applyBorder="1" applyAlignment="1">
      <alignment horizontal="left" vertical="center" wrapText="1"/>
    </xf>
    <xf numFmtId="0" fontId="5" fillId="3" borderId="8" xfId="0" applyFont="1" applyFill="1" applyBorder="1" applyAlignment="1">
      <alignment horizontal="center" vertical="center" wrapText="1"/>
    </xf>
    <xf numFmtId="0" fontId="22" fillId="21" borderId="8" xfId="0" applyFont="1" applyFill="1" applyBorder="1" applyAlignment="1">
      <alignment horizontal="center" vertical="center" wrapText="1"/>
    </xf>
    <xf numFmtId="0" fontId="24" fillId="0" borderId="27" xfId="0" applyFont="1" applyBorder="1"/>
    <xf numFmtId="0" fontId="5" fillId="0" borderId="3" xfId="0" applyFont="1" applyBorder="1" applyAlignment="1">
      <alignment horizontal="left" vertical="center" wrapText="1"/>
    </xf>
    <xf numFmtId="0" fontId="5" fillId="0" borderId="2" xfId="0" applyFont="1" applyBorder="1" applyAlignment="1">
      <alignment horizontal="left" vertical="center" wrapText="1"/>
    </xf>
    <xf numFmtId="0" fontId="5" fillId="0" borderId="5" xfId="0" applyFont="1" applyBorder="1" applyAlignment="1">
      <alignment horizontal="left"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22" fillId="13" borderId="0" xfId="0" applyFont="1" applyFill="1" applyAlignment="1">
      <alignment horizontal="center" vertical="center" wrapText="1"/>
    </xf>
    <xf numFmtId="0" fontId="22" fillId="11" borderId="9" xfId="0" applyFont="1" applyFill="1" applyBorder="1" applyAlignment="1">
      <alignment horizontal="center" vertical="center" wrapText="1"/>
    </xf>
    <xf numFmtId="0" fontId="45" fillId="0" borderId="9" xfId="0" applyFont="1" applyBorder="1" applyAlignment="1">
      <alignment wrapText="1"/>
    </xf>
    <xf numFmtId="0" fontId="62" fillId="0" borderId="29" xfId="0" applyFont="1" applyBorder="1" applyAlignment="1">
      <alignment vertical="center" wrapText="1"/>
    </xf>
    <xf numFmtId="0" fontId="63" fillId="5" borderId="2" xfId="0" applyFont="1" applyFill="1" applyBorder="1" applyAlignment="1">
      <alignment horizontal="center" vertical="center"/>
    </xf>
    <xf numFmtId="0" fontId="4" fillId="4" borderId="9" xfId="0" applyFont="1" applyFill="1" applyBorder="1" applyAlignment="1">
      <alignment horizontal="left" vertical="center" wrapText="1"/>
    </xf>
    <xf numFmtId="0" fontId="4" fillId="4" borderId="10" xfId="0" applyFont="1" applyFill="1" applyBorder="1" applyAlignment="1">
      <alignment horizontal="left" vertical="center" wrapText="1"/>
    </xf>
    <xf numFmtId="0" fontId="4" fillId="4" borderId="8" xfId="0" applyFont="1" applyFill="1" applyBorder="1" applyAlignment="1">
      <alignment horizontal="left" vertical="center" wrapText="1"/>
    </xf>
    <xf numFmtId="0" fontId="4" fillId="6" borderId="9" xfId="0" applyFont="1" applyFill="1" applyBorder="1" applyAlignment="1">
      <alignment horizontal="left" vertical="center" wrapText="1"/>
    </xf>
    <xf numFmtId="0" fontId="4" fillId="6" borderId="10" xfId="0" applyFont="1" applyFill="1" applyBorder="1" applyAlignment="1">
      <alignment horizontal="left" vertical="center" wrapText="1"/>
    </xf>
    <xf numFmtId="0" fontId="4" fillId="6" borderId="8" xfId="0" applyFont="1" applyFill="1" applyBorder="1" applyAlignment="1">
      <alignment horizontal="left" vertical="center" wrapText="1"/>
    </xf>
    <xf numFmtId="0" fontId="4" fillId="6" borderId="9" xfId="0" applyFont="1" applyFill="1" applyBorder="1" applyAlignment="1">
      <alignment vertical="center" wrapText="1"/>
    </xf>
    <xf numFmtId="0" fontId="4" fillId="6" borderId="8" xfId="0" applyFont="1" applyFill="1" applyBorder="1" applyAlignment="1">
      <alignment vertical="center" wrapText="1"/>
    </xf>
    <xf numFmtId="0" fontId="5" fillId="0" borderId="3" xfId="0" applyFont="1" applyBorder="1" applyAlignment="1">
      <alignment horizontal="left" vertical="center" wrapText="1"/>
    </xf>
    <xf numFmtId="0" fontId="5" fillId="0" borderId="5" xfId="0" applyFont="1" applyBorder="1" applyAlignment="1">
      <alignment horizontal="left" vertical="center" wrapText="1"/>
    </xf>
    <xf numFmtId="0" fontId="5" fillId="3" borderId="3" xfId="0" applyFont="1" applyFill="1" applyBorder="1" applyAlignment="1">
      <alignment horizontal="left" vertical="center" wrapText="1"/>
    </xf>
    <xf numFmtId="0" fontId="5" fillId="3" borderId="5" xfId="0" applyFont="1" applyFill="1" applyBorder="1" applyAlignment="1">
      <alignment horizontal="left" vertical="center" wrapText="1"/>
    </xf>
    <xf numFmtId="0" fontId="4" fillId="4" borderId="3"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5" borderId="9"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5" borderId="8" xfId="0" applyFont="1" applyFill="1" applyBorder="1" applyAlignment="1">
      <alignment horizontal="center" vertical="center" wrapText="1"/>
    </xf>
    <xf numFmtId="0" fontId="4" fillId="5" borderId="9" xfId="0" applyFont="1" applyFill="1" applyBorder="1" applyAlignment="1">
      <alignment horizontal="right" vertical="center" wrapText="1"/>
    </xf>
    <xf numFmtId="0" fontId="4" fillId="5" borderId="10" xfId="0" applyFont="1" applyFill="1" applyBorder="1" applyAlignment="1">
      <alignment horizontal="right" vertical="center" wrapText="1"/>
    </xf>
    <xf numFmtId="0" fontId="4" fillId="5" borderId="8" xfId="0" applyFont="1" applyFill="1" applyBorder="1" applyAlignment="1">
      <alignment horizontal="right" vertical="center" wrapText="1"/>
    </xf>
    <xf numFmtId="0" fontId="4" fillId="4" borderId="9" xfId="0" applyFont="1" applyFill="1" applyBorder="1" applyAlignment="1">
      <alignment horizontal="right" vertical="center" wrapText="1"/>
    </xf>
    <xf numFmtId="0" fontId="4" fillId="4" borderId="10" xfId="0" applyFont="1" applyFill="1" applyBorder="1" applyAlignment="1">
      <alignment horizontal="right" vertical="center" wrapText="1"/>
    </xf>
    <xf numFmtId="0" fontId="4" fillId="4" borderId="8" xfId="0" applyFont="1" applyFill="1" applyBorder="1" applyAlignment="1">
      <alignment horizontal="right" vertical="center" wrapText="1"/>
    </xf>
    <xf numFmtId="0" fontId="3" fillId="4" borderId="9" xfId="0" applyFont="1" applyFill="1" applyBorder="1" applyAlignment="1">
      <alignment horizontal="center" vertical="center"/>
    </xf>
    <xf numFmtId="0" fontId="3" fillId="4" borderId="10"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5" fillId="5" borderId="5"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5" borderId="3" xfId="0" applyFont="1" applyFill="1" applyBorder="1" applyAlignment="1">
      <alignment horizontal="left" vertical="center" wrapText="1"/>
    </xf>
    <xf numFmtId="0" fontId="5" fillId="5" borderId="5" xfId="0" applyFont="1" applyFill="1" applyBorder="1" applyAlignment="1">
      <alignment horizontal="left" vertical="center" wrapText="1"/>
    </xf>
    <xf numFmtId="0" fontId="5" fillId="3" borderId="4" xfId="0" applyFont="1" applyFill="1" applyBorder="1" applyAlignment="1">
      <alignment horizontal="left" vertical="center" wrapText="1"/>
    </xf>
    <xf numFmtId="0" fontId="2" fillId="5" borderId="3" xfId="0" applyFont="1" applyFill="1" applyBorder="1" applyAlignment="1">
      <alignment vertical="top" wrapText="1"/>
    </xf>
    <xf numFmtId="0" fontId="2" fillId="5" borderId="5" xfId="0" applyFont="1" applyFill="1" applyBorder="1" applyAlignment="1">
      <alignment vertical="top" wrapText="1"/>
    </xf>
    <xf numFmtId="0" fontId="2" fillId="0" borderId="3" xfId="0" applyFont="1" applyBorder="1" applyAlignment="1">
      <alignment vertical="center" wrapText="1"/>
    </xf>
    <xf numFmtId="0" fontId="2" fillId="0" borderId="5" xfId="0" applyFont="1" applyBorder="1" applyAlignment="1">
      <alignment vertical="center" wrapText="1"/>
    </xf>
    <xf numFmtId="0" fontId="2" fillId="5" borderId="3" xfId="0" applyFont="1" applyFill="1" applyBorder="1" applyAlignment="1">
      <alignment horizontal="left" vertical="center" wrapText="1"/>
    </xf>
    <xf numFmtId="0" fontId="2" fillId="5" borderId="5" xfId="0" applyFont="1" applyFill="1" applyBorder="1" applyAlignment="1">
      <alignment horizontal="left" vertical="center" wrapText="1"/>
    </xf>
    <xf numFmtId="0" fontId="5" fillId="3" borderId="3" xfId="0" applyFont="1" applyFill="1" applyBorder="1" applyAlignment="1">
      <alignment vertical="center" wrapText="1"/>
    </xf>
    <xf numFmtId="0" fontId="5" fillId="3" borderId="5" xfId="0" applyFont="1" applyFill="1" applyBorder="1" applyAlignment="1">
      <alignment vertical="center" wrapText="1"/>
    </xf>
    <xf numFmtId="0" fontId="5" fillId="3" borderId="3" xfId="0" applyFont="1" applyFill="1" applyBorder="1" applyAlignment="1">
      <alignment horizontal="left" vertical="top" wrapText="1"/>
    </xf>
    <xf numFmtId="0" fontId="5" fillId="3" borderId="5" xfId="0" applyFont="1" applyFill="1" applyBorder="1" applyAlignment="1">
      <alignment horizontal="left" vertical="top" wrapText="1"/>
    </xf>
    <xf numFmtId="0" fontId="2" fillId="5" borderId="3"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5" xfId="0" applyFont="1" applyFill="1" applyBorder="1" applyAlignment="1">
      <alignment horizontal="center" vertical="center" wrapText="1"/>
    </xf>
    <xf numFmtId="0" fontId="4" fillId="4" borderId="2" xfId="0" applyFont="1" applyFill="1" applyBorder="1" applyAlignment="1">
      <alignment horizontal="left" vertical="center" wrapText="1"/>
    </xf>
    <xf numFmtId="0" fontId="5" fillId="3" borderId="4" xfId="0" applyFont="1" applyFill="1" applyBorder="1" applyAlignment="1">
      <alignment horizontal="left" vertical="top" wrapText="1"/>
    </xf>
    <xf numFmtId="0" fontId="5" fillId="3" borderId="3" xfId="0" applyFont="1" applyFill="1" applyBorder="1" applyAlignment="1">
      <alignment vertical="top" wrapText="1"/>
    </xf>
    <xf numFmtId="0" fontId="5" fillId="3" borderId="5" xfId="0" applyFont="1" applyFill="1" applyBorder="1" applyAlignment="1">
      <alignment vertical="top" wrapText="1"/>
    </xf>
    <xf numFmtId="0" fontId="4" fillId="6" borderId="35" xfId="0" applyFont="1" applyFill="1" applyBorder="1" applyAlignment="1">
      <alignment vertical="center" wrapText="1"/>
    </xf>
    <xf numFmtId="0" fontId="5" fillId="5" borderId="4" xfId="0" applyFont="1" applyFill="1" applyBorder="1" applyAlignment="1">
      <alignment horizontal="left" vertical="center" wrapText="1"/>
    </xf>
    <xf numFmtId="0" fontId="5" fillId="3" borderId="4" xfId="0" applyFont="1" applyFill="1" applyBorder="1" applyAlignment="1">
      <alignment vertical="center" wrapText="1"/>
    </xf>
    <xf numFmtId="0" fontId="2" fillId="5" borderId="3" xfId="0" applyFont="1" applyFill="1" applyBorder="1" applyAlignment="1">
      <alignment vertical="center" wrapText="1"/>
    </xf>
    <xf numFmtId="0" fontId="2" fillId="5" borderId="5" xfId="0" applyFont="1" applyFill="1" applyBorder="1" applyAlignment="1">
      <alignment vertical="center" wrapText="1"/>
    </xf>
    <xf numFmtId="0" fontId="37" fillId="5" borderId="3" xfId="0" applyFont="1" applyFill="1" applyBorder="1" applyAlignment="1">
      <alignment horizontal="left" vertical="top" wrapText="1"/>
    </xf>
    <xf numFmtId="0" fontId="37" fillId="5" borderId="5" xfId="0" applyFont="1" applyFill="1" applyBorder="1" applyAlignment="1">
      <alignment horizontal="left" vertical="top" wrapText="1"/>
    </xf>
    <xf numFmtId="0" fontId="5" fillId="3" borderId="4" xfId="0" applyFont="1" applyFill="1" applyBorder="1" applyAlignment="1">
      <alignment vertical="top" wrapText="1"/>
    </xf>
    <xf numFmtId="0" fontId="37" fillId="5" borderId="3" xfId="0" applyFont="1" applyFill="1" applyBorder="1" applyAlignment="1">
      <alignment horizontal="center" vertical="center" wrapText="1"/>
    </xf>
    <xf numFmtId="0" fontId="37" fillId="5" borderId="5" xfId="0" applyFont="1" applyFill="1" applyBorder="1" applyAlignment="1">
      <alignment horizontal="center" vertical="center" wrapText="1"/>
    </xf>
    <xf numFmtId="0" fontId="3" fillId="4" borderId="9" xfId="0" applyFont="1" applyFill="1" applyBorder="1" applyAlignment="1">
      <alignment horizontal="left" vertical="center" wrapText="1"/>
    </xf>
    <xf numFmtId="0" fontId="3" fillId="4" borderId="10" xfId="0" applyFont="1" applyFill="1" applyBorder="1" applyAlignment="1">
      <alignment horizontal="left" vertical="center" wrapText="1"/>
    </xf>
    <xf numFmtId="0" fontId="3" fillId="4" borderId="8" xfId="0" applyFont="1" applyFill="1" applyBorder="1" applyAlignment="1">
      <alignment horizontal="left" vertical="center" wrapText="1"/>
    </xf>
    <xf numFmtId="0" fontId="2" fillId="0" borderId="3" xfId="0" applyFont="1" applyBorder="1" applyAlignment="1">
      <alignment horizontal="left" vertical="top" wrapText="1"/>
    </xf>
    <xf numFmtId="0" fontId="2" fillId="0" borderId="5" xfId="0" applyFont="1" applyBorder="1" applyAlignment="1">
      <alignment horizontal="left" vertical="top" wrapText="1"/>
    </xf>
    <xf numFmtId="0" fontId="5" fillId="5" borderId="3" xfId="0" applyFont="1" applyFill="1" applyBorder="1" applyAlignment="1">
      <alignment horizontal="center" vertical="top" wrapText="1"/>
    </xf>
    <xf numFmtId="0" fontId="5" fillId="5" borderId="4" xfId="0" applyFont="1" applyFill="1" applyBorder="1" applyAlignment="1">
      <alignment horizontal="center" vertical="top" wrapText="1"/>
    </xf>
    <xf numFmtId="0" fontId="5" fillId="5" borderId="5" xfId="0" applyFont="1" applyFill="1" applyBorder="1" applyAlignment="1">
      <alignment horizontal="center" vertical="top" wrapText="1"/>
    </xf>
    <xf numFmtId="0" fontId="37" fillId="3" borderId="3" xfId="0" applyFont="1" applyFill="1" applyBorder="1" applyAlignment="1">
      <alignment vertical="top" wrapText="1"/>
    </xf>
    <xf numFmtId="0" fontId="37" fillId="3" borderId="5" xfId="0" applyFont="1" applyFill="1" applyBorder="1" applyAlignment="1">
      <alignment vertical="top" wrapText="1"/>
    </xf>
    <xf numFmtId="0" fontId="5" fillId="3" borderId="2" xfId="0" applyFont="1" applyFill="1" applyBorder="1" applyAlignment="1">
      <alignment vertical="center" wrapText="1"/>
    </xf>
    <xf numFmtId="0" fontId="2" fillId="5" borderId="4" xfId="0" applyFont="1" applyFill="1" applyBorder="1" applyAlignment="1">
      <alignment horizontal="left" vertical="center" wrapText="1"/>
    </xf>
    <xf numFmtId="0" fontId="2" fillId="5" borderId="4" xfId="0" applyFont="1" applyFill="1" applyBorder="1" applyAlignment="1">
      <alignment vertical="center" wrapText="1"/>
    </xf>
    <xf numFmtId="0" fontId="2" fillId="5" borderId="3" xfId="0" applyFont="1" applyFill="1" applyBorder="1" applyAlignment="1">
      <alignment horizontal="left" vertical="top" wrapText="1"/>
    </xf>
    <xf numFmtId="0" fontId="2" fillId="5" borderId="4" xfId="0" applyFont="1" applyFill="1" applyBorder="1" applyAlignment="1">
      <alignment horizontal="left" vertical="top" wrapText="1"/>
    </xf>
    <xf numFmtId="0" fontId="2" fillId="5" borderId="5" xfId="0" applyFont="1" applyFill="1" applyBorder="1" applyAlignment="1">
      <alignment horizontal="left" vertical="top" wrapText="1"/>
    </xf>
    <xf numFmtId="0" fontId="5" fillId="5" borderId="2" xfId="0" applyFont="1" applyFill="1" applyBorder="1" applyAlignment="1">
      <alignment horizontal="left" vertical="center" wrapText="1"/>
    </xf>
    <xf numFmtId="0" fontId="2" fillId="5" borderId="2" xfId="0" applyFont="1" applyFill="1" applyBorder="1" applyAlignment="1">
      <alignment vertical="center" wrapText="1"/>
    </xf>
    <xf numFmtId="0" fontId="2" fillId="0" borderId="2" xfId="0" applyFont="1" applyBorder="1" applyAlignment="1">
      <alignment horizontal="left" vertical="top"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3" fillId="6" borderId="14" xfId="0" applyFont="1" applyFill="1" applyBorder="1" applyAlignment="1">
      <alignment horizontal="left" vertical="center" wrapText="1"/>
    </xf>
    <xf numFmtId="0" fontId="3" fillId="6" borderId="7" xfId="0" applyFont="1" applyFill="1" applyBorder="1" applyAlignment="1">
      <alignment horizontal="left" vertical="center" wrapText="1"/>
    </xf>
    <xf numFmtId="0" fontId="3" fillId="6" borderId="17" xfId="0" applyFont="1" applyFill="1" applyBorder="1" applyAlignment="1">
      <alignment horizontal="left" vertical="center" wrapText="1"/>
    </xf>
    <xf numFmtId="0" fontId="2" fillId="5" borderId="2" xfId="0" applyFont="1" applyFill="1" applyBorder="1" applyAlignment="1">
      <alignment horizontal="left" vertical="center" wrapText="1"/>
    </xf>
    <xf numFmtId="0" fontId="37" fillId="5" borderId="4" xfId="0" applyFont="1" applyFill="1" applyBorder="1" applyAlignment="1">
      <alignment horizontal="left" vertical="top" wrapText="1"/>
    </xf>
    <xf numFmtId="0" fontId="2" fillId="0" borderId="4" xfId="0" applyFont="1" applyBorder="1" applyAlignment="1">
      <alignment horizontal="left" vertical="top" wrapText="1"/>
    </xf>
    <xf numFmtId="0" fontId="37" fillId="0" borderId="3" xfId="0" applyFont="1" applyBorder="1" applyAlignment="1">
      <alignment horizontal="left" vertical="center" wrapText="1"/>
    </xf>
    <xf numFmtId="0" fontId="37" fillId="0" borderId="4" xfId="0" applyFont="1" applyBorder="1" applyAlignment="1">
      <alignment horizontal="left" vertical="center" wrapText="1"/>
    </xf>
    <xf numFmtId="0" fontId="37" fillId="0" borderId="5" xfId="0" applyFont="1" applyBorder="1" applyAlignment="1">
      <alignment horizontal="left" vertical="center" wrapText="1"/>
    </xf>
    <xf numFmtId="0" fontId="37" fillId="3" borderId="2" xfId="0" applyFont="1" applyFill="1" applyBorder="1" applyAlignment="1">
      <alignment horizontal="left" vertical="top" wrapText="1"/>
    </xf>
    <xf numFmtId="0" fontId="2" fillId="5" borderId="3" xfId="1" applyFont="1" applyFill="1" applyBorder="1" applyAlignment="1">
      <alignment horizontal="left" vertical="top" wrapText="1"/>
    </xf>
    <xf numFmtId="0" fontId="2" fillId="5" borderId="5" xfId="1" applyFont="1" applyFill="1" applyBorder="1" applyAlignment="1">
      <alignment horizontal="left" vertical="top" wrapText="1"/>
    </xf>
    <xf numFmtId="0" fontId="3" fillId="6" borderId="1" xfId="0" applyFont="1" applyFill="1" applyBorder="1" applyAlignment="1">
      <alignment horizontal="left" vertical="center" wrapText="1"/>
    </xf>
    <xf numFmtId="0" fontId="3" fillId="6" borderId="13" xfId="0" applyFont="1" applyFill="1" applyBorder="1" applyAlignment="1">
      <alignment horizontal="left" vertical="center" wrapText="1"/>
    </xf>
    <xf numFmtId="0" fontId="60" fillId="4" borderId="9" xfId="0" applyFont="1" applyFill="1" applyBorder="1" applyAlignment="1">
      <alignment horizontal="left" vertical="center" wrapText="1"/>
    </xf>
    <xf numFmtId="0" fontId="60" fillId="4" borderId="10" xfId="0" applyFont="1" applyFill="1" applyBorder="1" applyAlignment="1">
      <alignment horizontal="left" vertical="center" wrapText="1"/>
    </xf>
    <xf numFmtId="0" fontId="60" fillId="4" borderId="8" xfId="0" applyFont="1" applyFill="1" applyBorder="1" applyAlignment="1">
      <alignment horizontal="left" vertical="center" wrapText="1"/>
    </xf>
    <xf numFmtId="0" fontId="5" fillId="5" borderId="15" xfId="0" applyFont="1" applyFill="1" applyBorder="1" applyAlignment="1">
      <alignment horizontal="left" vertical="center" wrapText="1"/>
    </xf>
    <xf numFmtId="0" fontId="5" fillId="5" borderId="14" xfId="0" applyFont="1" applyFill="1" applyBorder="1" applyAlignment="1">
      <alignment horizontal="left" vertical="center" wrapText="1"/>
    </xf>
    <xf numFmtId="0" fontId="5" fillId="3" borderId="2" xfId="0" applyFont="1" applyFill="1" applyBorder="1" applyAlignment="1">
      <alignment horizontal="left" vertical="center" wrapText="1"/>
    </xf>
    <xf numFmtId="0" fontId="2" fillId="0" borderId="7" xfId="0" applyFont="1" applyBorder="1" applyAlignment="1">
      <alignment horizontal="left" vertical="center" wrapText="1"/>
    </xf>
    <xf numFmtId="0" fontId="10" fillId="7" borderId="9" xfId="0" applyFont="1" applyFill="1" applyBorder="1" applyAlignment="1">
      <alignment horizontal="left" vertical="center" wrapText="1"/>
    </xf>
    <xf numFmtId="0" fontId="10" fillId="7" borderId="10" xfId="0" applyFont="1" applyFill="1" applyBorder="1" applyAlignment="1">
      <alignment horizontal="left" vertical="center" wrapText="1"/>
    </xf>
    <xf numFmtId="0" fontId="10" fillId="7" borderId="8" xfId="0" applyFont="1" applyFill="1" applyBorder="1" applyAlignment="1">
      <alignment horizontal="left" vertical="center" wrapText="1"/>
    </xf>
    <xf numFmtId="0" fontId="37" fillId="3" borderId="3" xfId="0" applyFont="1" applyFill="1" applyBorder="1" applyAlignment="1">
      <alignment horizontal="left" vertical="top" wrapText="1"/>
    </xf>
    <xf numFmtId="0" fontId="37" fillId="3" borderId="5" xfId="0" applyFont="1" applyFill="1" applyBorder="1" applyAlignment="1">
      <alignment horizontal="left" vertical="top" wrapText="1"/>
    </xf>
    <xf numFmtId="0" fontId="37" fillId="5" borderId="4" xfId="0" applyFont="1" applyFill="1" applyBorder="1" applyAlignment="1">
      <alignment horizontal="center" vertical="center" wrapText="1"/>
    </xf>
    <xf numFmtId="0" fontId="5" fillId="5" borderId="4" xfId="0" applyFont="1" applyFill="1" applyBorder="1" applyAlignment="1">
      <alignment horizontal="center" vertical="center" wrapText="1"/>
    </xf>
    <xf numFmtId="0" fontId="2" fillId="5" borderId="4" xfId="0" applyFont="1" applyFill="1" applyBorder="1" applyAlignment="1">
      <alignment vertical="top"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5" fillId="5" borderId="36" xfId="0" applyFont="1" applyFill="1" applyBorder="1" applyAlignment="1">
      <alignment horizontal="center" vertical="center" wrapText="1"/>
    </xf>
    <xf numFmtId="0" fontId="5" fillId="5" borderId="37" xfId="0" applyFont="1" applyFill="1" applyBorder="1" applyAlignment="1">
      <alignment horizontal="center" vertical="center" wrapText="1"/>
    </xf>
    <xf numFmtId="0" fontId="4" fillId="2" borderId="9"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8" xfId="0" applyFont="1" applyFill="1" applyBorder="1" applyAlignment="1">
      <alignment horizontal="left" vertical="center" wrapText="1"/>
    </xf>
    <xf numFmtId="0" fontId="5" fillId="3" borderId="2" xfId="0" applyFont="1" applyFill="1" applyBorder="1" applyAlignment="1">
      <alignment horizontal="center" vertical="center" wrapText="1"/>
    </xf>
    <xf numFmtId="0" fontId="2" fillId="0" borderId="11" xfId="0" applyFont="1" applyBorder="1" applyAlignment="1">
      <alignment horizontal="left" vertical="top" wrapText="1"/>
    </xf>
    <xf numFmtId="0" fontId="2" fillId="0" borderId="0" xfId="0" applyFont="1" applyAlignment="1">
      <alignment horizontal="left" vertical="top" wrapText="1"/>
    </xf>
    <xf numFmtId="0" fontId="2" fillId="0" borderId="2" xfId="0" applyFont="1" applyBorder="1" applyAlignment="1">
      <alignment vertical="top" wrapText="1"/>
    </xf>
    <xf numFmtId="0" fontId="37" fillId="0" borderId="3" xfId="0" applyFont="1" applyBorder="1" applyAlignment="1">
      <alignment horizontal="left" vertical="top" wrapText="1"/>
    </xf>
    <xf numFmtId="0" fontId="37" fillId="0" borderId="4" xfId="0" applyFont="1" applyBorder="1" applyAlignment="1">
      <alignment horizontal="left" vertical="top" wrapText="1"/>
    </xf>
    <xf numFmtId="0" fontId="37" fillId="0" borderId="5" xfId="0" applyFont="1" applyBorder="1" applyAlignment="1">
      <alignment horizontal="left" vertical="top" wrapText="1"/>
    </xf>
    <xf numFmtId="0" fontId="2" fillId="0" borderId="0" xfId="0" applyFont="1" applyAlignment="1">
      <alignment horizontal="left" vertical="center" wrapText="1"/>
    </xf>
    <xf numFmtId="0" fontId="5" fillId="3" borderId="0" xfId="0" applyFont="1" applyFill="1" applyAlignment="1">
      <alignment horizontal="left" vertical="center" wrapText="1"/>
    </xf>
    <xf numFmtId="0" fontId="5" fillId="5" borderId="2" xfId="0" applyFont="1" applyFill="1" applyBorder="1" applyAlignment="1">
      <alignment horizontal="center" vertical="center" wrapText="1"/>
    </xf>
    <xf numFmtId="0" fontId="2" fillId="5" borderId="2" xfId="0" applyFont="1" applyFill="1" applyBorder="1" applyAlignment="1">
      <alignment vertical="top" wrapText="1"/>
    </xf>
    <xf numFmtId="0" fontId="5" fillId="5" borderId="2" xfId="0" applyFont="1" applyFill="1" applyBorder="1" applyAlignment="1">
      <alignment vertical="top" wrapText="1"/>
    </xf>
    <xf numFmtId="0" fontId="4" fillId="6" borderId="2" xfId="0" applyFont="1" applyFill="1" applyBorder="1" applyAlignment="1">
      <alignment horizontal="left" vertical="center" wrapText="1"/>
    </xf>
    <xf numFmtId="0" fontId="5" fillId="3" borderId="15" xfId="0" applyFont="1" applyFill="1" applyBorder="1" applyAlignment="1">
      <alignment horizontal="left" vertical="center" wrapText="1"/>
    </xf>
    <xf numFmtId="0" fontId="5" fillId="3" borderId="11" xfId="0" applyFont="1" applyFill="1" applyBorder="1" applyAlignment="1">
      <alignment horizontal="left" vertical="center" wrapText="1"/>
    </xf>
    <xf numFmtId="0" fontId="37" fillId="3" borderId="3" xfId="0" applyFont="1" applyFill="1" applyBorder="1" applyAlignment="1">
      <alignment horizontal="center" vertical="center" wrapText="1"/>
    </xf>
    <xf numFmtId="0" fontId="37" fillId="3" borderId="5" xfId="0" applyFont="1" applyFill="1" applyBorder="1" applyAlignment="1">
      <alignment horizontal="center" vertical="center" wrapText="1"/>
    </xf>
    <xf numFmtId="0" fontId="41" fillId="0" borderId="2" xfId="9" applyFont="1" applyBorder="1" applyAlignment="1">
      <alignment horizontal="center" vertical="center" wrapText="1"/>
    </xf>
    <xf numFmtId="0" fontId="41" fillId="0" borderId="2" xfId="0" applyFont="1" applyBorder="1" applyAlignment="1">
      <alignment horizontal="center" vertical="center" wrapText="1"/>
    </xf>
    <xf numFmtId="0" fontId="22" fillId="3" borderId="9" xfId="0" applyFont="1" applyFill="1" applyBorder="1" applyAlignment="1">
      <alignment horizontal="right" wrapText="1"/>
    </xf>
    <xf numFmtId="0" fontId="22" fillId="3" borderId="25" xfId="0" applyFont="1" applyFill="1" applyBorder="1" applyAlignment="1">
      <alignment horizontal="right" wrapText="1"/>
    </xf>
    <xf numFmtId="0" fontId="19" fillId="0" borderId="11" xfId="0" applyFont="1" applyBorder="1" applyAlignment="1">
      <alignment horizontal="left"/>
    </xf>
    <xf numFmtId="0" fontId="19" fillId="0" borderId="0" xfId="0" applyFont="1" applyAlignment="1">
      <alignment horizontal="left" vertical="center" wrapText="1"/>
    </xf>
    <xf numFmtId="0" fontId="24" fillId="0" borderId="7" xfId="0" applyFont="1" applyBorder="1" applyAlignment="1">
      <alignment horizontal="center" vertical="center" wrapText="1"/>
    </xf>
    <xf numFmtId="0" fontId="19" fillId="0" borderId="11" xfId="0" applyFont="1" applyBorder="1" applyAlignment="1">
      <alignment horizontal="left" vertical="justify" wrapText="1"/>
    </xf>
    <xf numFmtId="0" fontId="19" fillId="0" borderId="11" xfId="0" applyFont="1" applyBorder="1" applyAlignment="1">
      <alignment horizontal="left" vertical="center" wrapText="1"/>
    </xf>
    <xf numFmtId="0" fontId="23" fillId="0" borderId="7" xfId="0" applyFont="1" applyBorder="1" applyAlignment="1">
      <alignment horizontal="center" vertical="center" wrapText="1"/>
    </xf>
    <xf numFmtId="0" fontId="22" fillId="18" borderId="2" xfId="0" applyFont="1" applyFill="1" applyBorder="1" applyAlignment="1">
      <alignment horizontal="center" vertical="center"/>
    </xf>
    <xf numFmtId="0" fontId="22" fillId="4" borderId="9" xfId="0" applyFont="1" applyFill="1" applyBorder="1" applyAlignment="1">
      <alignment horizontal="center" vertical="center" wrapText="1"/>
    </xf>
    <xf numFmtId="0" fontId="22" fillId="4" borderId="8" xfId="0" applyFont="1" applyFill="1" applyBorder="1" applyAlignment="1">
      <alignment horizontal="center" vertical="center" wrapText="1"/>
    </xf>
    <xf numFmtId="0" fontId="45" fillId="5" borderId="3" xfId="0" applyFont="1" applyFill="1" applyBorder="1" applyAlignment="1">
      <alignment horizontal="center" vertical="center" wrapText="1"/>
    </xf>
    <xf numFmtId="0" fontId="45" fillId="5" borderId="4" xfId="0" applyFont="1" applyFill="1" applyBorder="1" applyAlignment="1">
      <alignment horizontal="center" vertical="center" wrapText="1"/>
    </xf>
    <xf numFmtId="0" fontId="45" fillId="5" borderId="5" xfId="0" applyFont="1" applyFill="1" applyBorder="1" applyAlignment="1">
      <alignment horizontal="center" vertical="center" wrapText="1"/>
    </xf>
    <xf numFmtId="0" fontId="18" fillId="0" borderId="7" xfId="0" applyFont="1" applyBorder="1" applyAlignment="1">
      <alignment horizontal="center" vertical="center" wrapText="1"/>
    </xf>
    <xf numFmtId="0" fontId="27" fillId="0" borderId="0" xfId="3" applyFont="1" applyAlignment="1">
      <alignment horizontal="left"/>
    </xf>
    <xf numFmtId="0" fontId="27" fillId="0" borderId="10" xfId="3" applyFont="1" applyBorder="1" applyAlignment="1">
      <alignment horizontal="center"/>
    </xf>
    <xf numFmtId="0" fontId="27" fillId="0" borderId="8" xfId="3" applyFont="1" applyBorder="1" applyAlignment="1">
      <alignment horizontal="center"/>
    </xf>
    <xf numFmtId="0" fontId="18" fillId="0" borderId="0" xfId="3" applyFont="1" applyAlignment="1">
      <alignment horizontal="center"/>
    </xf>
    <xf numFmtId="0" fontId="27" fillId="0" borderId="3" xfId="3" applyFont="1" applyBorder="1" applyAlignment="1">
      <alignment horizontal="center" vertical="center" wrapText="1"/>
    </xf>
    <xf numFmtId="0" fontId="27" fillId="0" borderId="5" xfId="3" applyFont="1" applyBorder="1" applyAlignment="1">
      <alignment horizontal="center" vertical="center" wrapText="1"/>
    </xf>
    <xf numFmtId="2" fontId="27" fillId="0" borderId="3" xfId="3" applyNumberFormat="1" applyFont="1" applyBorder="1" applyAlignment="1">
      <alignment horizontal="center" vertical="center"/>
    </xf>
    <xf numFmtId="2" fontId="27" fillId="0" borderId="5" xfId="3" applyNumberFormat="1" applyFont="1" applyBorder="1" applyAlignment="1">
      <alignment horizontal="center" vertical="center"/>
    </xf>
    <xf numFmtId="0" fontId="27" fillId="0" borderId="3" xfId="3" applyFont="1" applyBorder="1" applyAlignment="1">
      <alignment horizontal="center" vertical="center"/>
    </xf>
    <xf numFmtId="0" fontId="27" fillId="0" borderId="5" xfId="3" applyFont="1" applyBorder="1" applyAlignment="1">
      <alignment horizontal="center" vertical="center"/>
    </xf>
    <xf numFmtId="0" fontId="19" fillId="4" borderId="9" xfId="4" applyFont="1" applyFill="1" applyBorder="1" applyAlignment="1">
      <alignment horizontal="center" vertical="center" wrapText="1"/>
    </xf>
    <xf numFmtId="0" fontId="19" fillId="4" borderId="10" xfId="4" applyFont="1" applyFill="1" applyBorder="1" applyAlignment="1">
      <alignment horizontal="center" vertical="center" wrapText="1"/>
    </xf>
    <xf numFmtId="0" fontId="19" fillId="4" borderId="8" xfId="4" applyFont="1" applyFill="1" applyBorder="1" applyAlignment="1">
      <alignment horizontal="center" vertical="center" wrapText="1"/>
    </xf>
    <xf numFmtId="0" fontId="41" fillId="5" borderId="9" xfId="4" applyFont="1" applyFill="1" applyBorder="1" applyAlignment="1">
      <alignment horizontal="left" vertical="center" wrapText="1"/>
    </xf>
    <xf numFmtId="0" fontId="41" fillId="5" borderId="10" xfId="4" applyFont="1" applyFill="1" applyBorder="1" applyAlignment="1">
      <alignment horizontal="left" vertical="center" wrapText="1"/>
    </xf>
    <xf numFmtId="0" fontId="41" fillId="5" borderId="8" xfId="4" applyFont="1" applyFill="1" applyBorder="1" applyAlignment="1">
      <alignment horizontal="left" vertical="center" wrapText="1"/>
    </xf>
    <xf numFmtId="0" fontId="41" fillId="5" borderId="9" xfId="4" applyFont="1" applyFill="1" applyBorder="1" applyAlignment="1">
      <alignment horizontal="right" vertical="center" wrapText="1"/>
    </xf>
    <xf numFmtId="0" fontId="41" fillId="5" borderId="10" xfId="4" applyFont="1" applyFill="1" applyBorder="1" applyAlignment="1">
      <alignment horizontal="right" vertical="center" wrapText="1"/>
    </xf>
    <xf numFmtId="0" fontId="41" fillId="5" borderId="8" xfId="4" applyFont="1" applyFill="1" applyBorder="1" applyAlignment="1">
      <alignment horizontal="right" vertical="center" wrapText="1"/>
    </xf>
    <xf numFmtId="0" fontId="33" fillId="4" borderId="2" xfId="0" applyFont="1" applyFill="1" applyBorder="1" applyAlignment="1">
      <alignment horizontal="center" vertical="center" wrapText="1"/>
    </xf>
    <xf numFmtId="0" fontId="32" fillId="0" borderId="2" xfId="0" applyFont="1" applyBorder="1" applyAlignment="1">
      <alignment horizontal="right"/>
    </xf>
    <xf numFmtId="0" fontId="33" fillId="0" borderId="0" xfId="0" applyFont="1" applyAlignment="1">
      <alignment horizontal="center"/>
    </xf>
    <xf numFmtId="0" fontId="56" fillId="0" borderId="0" xfId="0" applyFont="1" applyAlignment="1">
      <alignment horizontal="left"/>
    </xf>
    <xf numFmtId="0" fontId="25" fillId="0" borderId="6" xfId="0" applyFont="1" applyBorder="1" applyAlignment="1">
      <alignment horizontal="left" vertical="top" wrapText="1"/>
    </xf>
    <xf numFmtId="0" fontId="25" fillId="0" borderId="0" xfId="0" applyFont="1" applyAlignment="1">
      <alignment horizontal="left" vertical="top" wrapText="1"/>
    </xf>
    <xf numFmtId="0" fontId="23" fillId="0" borderId="7" xfId="0" applyFont="1" applyBorder="1" applyAlignment="1">
      <alignment horizontal="left" vertical="center" wrapText="1"/>
    </xf>
    <xf numFmtId="0" fontId="19" fillId="0" borderId="11" xfId="0" applyFont="1" applyBorder="1" applyAlignment="1">
      <alignment horizontal="left" vertical="top"/>
    </xf>
    <xf numFmtId="0" fontId="19" fillId="0" borderId="0" xfId="0" applyFont="1" applyAlignment="1">
      <alignment horizontal="center" vertical="top"/>
    </xf>
    <xf numFmtId="0" fontId="24" fillId="0" borderId="0" xfId="0" applyFont="1" applyAlignment="1">
      <alignment horizontal="center" vertical="top"/>
    </xf>
    <xf numFmtId="0" fontId="25" fillId="0" borderId="0" xfId="0" applyFont="1" applyAlignment="1">
      <alignment horizontal="center" vertical="top" wrapText="1"/>
    </xf>
    <xf numFmtId="0" fontId="19" fillId="0" borderId="0" xfId="0" applyFont="1" applyAlignment="1">
      <alignment horizontal="left" vertical="top" wrapText="1"/>
    </xf>
    <xf numFmtId="0" fontId="22" fillId="0" borderId="11" xfId="0" applyFont="1" applyBorder="1" applyAlignment="1">
      <alignment vertical="center" wrapText="1"/>
    </xf>
    <xf numFmtId="0" fontId="22" fillId="0" borderId="3" xfId="0" applyFont="1" applyBorder="1" applyAlignment="1">
      <alignment horizontal="left" vertical="top" wrapText="1"/>
    </xf>
    <xf numFmtId="0" fontId="27" fillId="0" borderId="5" xfId="0" applyFont="1" applyBorder="1" applyAlignment="1">
      <alignment horizontal="left" vertical="top" wrapText="1"/>
    </xf>
    <xf numFmtId="0" fontId="18" fillId="0" borderId="9" xfId="5" applyFont="1" applyBorder="1" applyAlignment="1">
      <alignment horizontal="center" vertical="center"/>
    </xf>
    <xf numFmtId="0" fontId="18" fillId="0" borderId="10" xfId="5" applyFont="1" applyBorder="1" applyAlignment="1">
      <alignment horizontal="center" vertical="center"/>
    </xf>
    <xf numFmtId="0" fontId="18" fillId="0" borderId="8" xfId="5" applyFont="1" applyBorder="1" applyAlignment="1">
      <alignment horizontal="center" vertical="center"/>
    </xf>
    <xf numFmtId="0" fontId="18" fillId="0" borderId="3" xfId="5" applyFont="1" applyBorder="1" applyAlignment="1">
      <alignment horizontal="center" vertical="center" wrapText="1"/>
    </xf>
    <xf numFmtId="0" fontId="18" fillId="0" borderId="4" xfId="5" applyFont="1" applyBorder="1" applyAlignment="1">
      <alignment horizontal="center" vertical="center" wrapText="1"/>
    </xf>
    <xf numFmtId="0" fontId="18" fillId="0" borderId="5" xfId="5" applyFont="1" applyBorder="1" applyAlignment="1">
      <alignment horizontal="center" vertical="center" wrapText="1"/>
    </xf>
    <xf numFmtId="0" fontId="21" fillId="0" borderId="0" xfId="0" applyFont="1" applyAlignment="1">
      <alignment horizontal="center" vertical="center" wrapText="1"/>
    </xf>
    <xf numFmtId="0" fontId="22" fillId="8" borderId="3" xfId="0" applyFont="1" applyFill="1" applyBorder="1" applyAlignment="1">
      <alignment horizontal="center" vertical="center" wrapText="1"/>
    </xf>
    <xf numFmtId="0" fontId="22" fillId="8" borderId="5" xfId="0" applyFont="1" applyFill="1" applyBorder="1" applyAlignment="1">
      <alignment horizontal="center" vertical="center" wrapText="1"/>
    </xf>
    <xf numFmtId="0" fontId="22" fillId="8" borderId="3" xfId="0" applyFont="1" applyFill="1" applyBorder="1" applyAlignment="1">
      <alignment horizontal="center" vertical="center"/>
    </xf>
    <xf numFmtId="0" fontId="22" fillId="8" borderId="5" xfId="0" applyFont="1" applyFill="1" applyBorder="1" applyAlignment="1">
      <alignment horizontal="center" vertical="center"/>
    </xf>
    <xf numFmtId="0" fontId="19" fillId="4" borderId="2" xfId="0" applyFont="1" applyFill="1" applyBorder="1" applyAlignment="1">
      <alignment horizontal="center" vertical="top" wrapText="1"/>
    </xf>
    <xf numFmtId="0" fontId="22" fillId="4" borderId="2" xfId="0" applyFont="1" applyFill="1" applyBorder="1" applyAlignment="1">
      <alignment horizontal="center" vertical="top" wrapText="1"/>
    </xf>
    <xf numFmtId="0" fontId="19" fillId="5" borderId="0" xfId="4" applyFont="1" applyFill="1" applyAlignment="1">
      <alignment horizontal="center" vertical="center" wrapText="1"/>
    </xf>
    <xf numFmtId="0" fontId="22" fillId="3" borderId="9" xfId="0" applyFont="1" applyFill="1" applyBorder="1" applyAlignment="1">
      <alignment horizontal="right" vertical="top" wrapText="1"/>
    </xf>
    <xf numFmtId="0" fontId="22" fillId="3" borderId="25" xfId="0" applyFont="1" applyFill="1" applyBorder="1" applyAlignment="1">
      <alignment horizontal="right" vertical="top" wrapText="1"/>
    </xf>
    <xf numFmtId="0" fontId="22" fillId="4" borderId="2" xfId="0" applyFont="1" applyFill="1" applyBorder="1" applyAlignment="1">
      <alignment horizontal="center" vertical="center"/>
    </xf>
    <xf numFmtId="0" fontId="19" fillId="0" borderId="0" xfId="0" applyFont="1" applyAlignment="1">
      <alignment horizontal="left" vertical="top"/>
    </xf>
    <xf numFmtId="0" fontId="29" fillId="8" borderId="16" xfId="0" applyFont="1" applyFill="1" applyBorder="1" applyAlignment="1">
      <alignment horizontal="center" vertical="center" wrapText="1"/>
    </xf>
    <xf numFmtId="0" fontId="29" fillId="10" borderId="3" xfId="0" applyFont="1" applyFill="1" applyBorder="1" applyAlignment="1">
      <alignment horizontal="center" vertical="center" wrapText="1"/>
    </xf>
    <xf numFmtId="0" fontId="29" fillId="10" borderId="5" xfId="0" applyFont="1" applyFill="1" applyBorder="1" applyAlignment="1">
      <alignment horizontal="center" vertical="center" wrapText="1"/>
    </xf>
    <xf numFmtId="0" fontId="29" fillId="10" borderId="3" xfId="0" applyFont="1" applyFill="1" applyBorder="1" applyAlignment="1">
      <alignment horizontal="center" vertical="center"/>
    </xf>
    <xf numFmtId="0" fontId="29" fillId="10" borderId="5" xfId="0" applyFont="1" applyFill="1" applyBorder="1" applyAlignment="1">
      <alignment horizontal="center" vertical="center"/>
    </xf>
    <xf numFmtId="0" fontId="29" fillId="8" borderId="3" xfId="0" applyFont="1" applyFill="1" applyBorder="1" applyAlignment="1">
      <alignment horizontal="center" vertical="center" wrapText="1"/>
    </xf>
    <xf numFmtId="0" fontId="29" fillId="8" borderId="5" xfId="0" applyFont="1" applyFill="1" applyBorder="1" applyAlignment="1">
      <alignment horizontal="center" vertical="center" wrapText="1"/>
    </xf>
    <xf numFmtId="0" fontId="29" fillId="8" borderId="9" xfId="0" applyFont="1" applyFill="1" applyBorder="1" applyAlignment="1">
      <alignment horizontal="center" vertical="center" wrapText="1"/>
    </xf>
    <xf numFmtId="0" fontId="29" fillId="8" borderId="10" xfId="0" applyFont="1" applyFill="1" applyBorder="1" applyAlignment="1">
      <alignment horizontal="center" vertical="center" wrapText="1"/>
    </xf>
    <xf numFmtId="0" fontId="27" fillId="0" borderId="0" xfId="0" applyFont="1" applyAlignment="1">
      <alignment horizontal="left" vertical="center" wrapText="1"/>
    </xf>
    <xf numFmtId="0" fontId="24" fillId="0" borderId="0" xfId="0" applyFont="1" applyAlignment="1">
      <alignment horizontal="center" vertical="center" wrapText="1"/>
    </xf>
    <xf numFmtId="0" fontId="22" fillId="10" borderId="3" xfId="0" applyFont="1" applyFill="1" applyBorder="1" applyAlignment="1">
      <alignment horizontal="center" vertical="center" wrapText="1"/>
    </xf>
    <xf numFmtId="0" fontId="22" fillId="10" borderId="5" xfId="0" applyFont="1" applyFill="1" applyBorder="1" applyAlignment="1">
      <alignment horizontal="center" vertical="center" wrapText="1"/>
    </xf>
    <xf numFmtId="0" fontId="22" fillId="10" borderId="3" xfId="0" applyFont="1" applyFill="1" applyBorder="1" applyAlignment="1">
      <alignment horizontal="center" vertical="center"/>
    </xf>
    <xf numFmtId="0" fontId="22" fillId="10" borderId="5" xfId="0" applyFont="1" applyFill="1" applyBorder="1" applyAlignment="1">
      <alignment horizontal="center" vertical="center"/>
    </xf>
    <xf numFmtId="0" fontId="19" fillId="4" borderId="9" xfId="4" applyFont="1" applyFill="1" applyBorder="1" applyAlignment="1">
      <alignment horizontal="left" vertical="center" wrapText="1"/>
    </xf>
    <xf numFmtId="0" fontId="19" fillId="4" borderId="8" xfId="4" applyFont="1" applyFill="1" applyBorder="1" applyAlignment="1">
      <alignment horizontal="left" vertical="center" wrapText="1"/>
    </xf>
    <xf numFmtId="0" fontId="18" fillId="0" borderId="0" xfId="0" applyFont="1" applyAlignment="1">
      <alignment horizontal="center" vertical="center" wrapText="1"/>
    </xf>
    <xf numFmtId="0" fontId="19" fillId="0" borderId="2" xfId="4" applyFont="1" applyBorder="1" applyAlignment="1">
      <alignment horizontal="center"/>
    </xf>
    <xf numFmtId="0" fontId="24" fillId="0" borderId="0" xfId="4" applyFont="1" applyAlignment="1">
      <alignment horizontal="center" vertical="center" wrapText="1"/>
    </xf>
    <xf numFmtId="0" fontId="19" fillId="0" borderId="11" xfId="0" applyFont="1" applyBorder="1" applyAlignment="1">
      <alignment horizontal="right"/>
    </xf>
    <xf numFmtId="0" fontId="24" fillId="0" borderId="7" xfId="0" applyFont="1" applyBorder="1" applyAlignment="1">
      <alignment horizontal="center"/>
    </xf>
    <xf numFmtId="0" fontId="19" fillId="0" borderId="0" xfId="0" applyFont="1" applyAlignment="1">
      <alignment horizontal="right"/>
    </xf>
    <xf numFmtId="0" fontId="45" fillId="0" borderId="0" xfId="0" applyFont="1" applyAlignment="1">
      <alignment horizontal="left"/>
    </xf>
    <xf numFmtId="0" fontId="41" fillId="5" borderId="0" xfId="0" applyFont="1" applyFill="1" applyAlignment="1">
      <alignment horizontal="left" vertical="center"/>
    </xf>
    <xf numFmtId="0" fontId="41" fillId="5" borderId="0" xfId="0" applyFont="1" applyFill="1" applyAlignment="1">
      <alignment horizontal="left" vertical="center" wrapText="1"/>
    </xf>
    <xf numFmtId="0" fontId="24" fillId="0" borderId="0" xfId="0" applyFont="1" applyAlignment="1">
      <alignment horizontal="center"/>
    </xf>
    <xf numFmtId="0" fontId="19" fillId="0" borderId="2" xfId="0" applyFont="1" applyBorder="1" applyAlignment="1">
      <alignment horizontal="center" vertical="center" wrapText="1"/>
    </xf>
    <xf numFmtId="0" fontId="19" fillId="4" borderId="2" xfId="0" applyFont="1" applyFill="1" applyBorder="1" applyAlignment="1">
      <alignment horizontal="center" vertical="center" textRotation="90"/>
    </xf>
    <xf numFmtId="0" fontId="19" fillId="4" borderId="3" xfId="0" applyFont="1" applyFill="1" applyBorder="1" applyAlignment="1">
      <alignment horizontal="center" vertical="center" textRotation="90" wrapText="1"/>
    </xf>
    <xf numFmtId="0" fontId="19" fillId="4" borderId="5" xfId="0" applyFont="1" applyFill="1" applyBorder="1" applyAlignment="1">
      <alignment horizontal="center" vertical="center" textRotation="90" wrapText="1"/>
    </xf>
    <xf numFmtId="0" fontId="19" fillId="4" borderId="2" xfId="0" applyFont="1" applyFill="1" applyBorder="1" applyAlignment="1">
      <alignment horizontal="center" textRotation="90" wrapText="1"/>
    </xf>
    <xf numFmtId="0" fontId="19" fillId="4" borderId="2" xfId="0" applyFont="1" applyFill="1" applyBorder="1" applyAlignment="1">
      <alignment horizontal="center" vertical="center" textRotation="90" wrapText="1"/>
    </xf>
    <xf numFmtId="0" fontId="19" fillId="4" borderId="8" xfId="0" applyFont="1" applyFill="1" applyBorder="1" applyAlignment="1">
      <alignment horizontal="center" vertical="center"/>
    </xf>
    <xf numFmtId="0" fontId="19" fillId="0" borderId="2" xfId="0" applyFont="1" applyBorder="1" applyAlignment="1">
      <alignment horizontal="left" vertical="center" wrapText="1"/>
    </xf>
    <xf numFmtId="2" fontId="19" fillId="5" borderId="2" xfId="0" applyNumberFormat="1" applyFont="1" applyFill="1" applyBorder="1" applyAlignment="1">
      <alignment horizontal="center" vertical="center" wrapText="1"/>
    </xf>
    <xf numFmtId="0" fontId="27" fillId="0" borderId="2" xfId="0" applyFont="1" applyBorder="1" applyAlignment="1">
      <alignment horizontal="center" vertical="center" wrapText="1"/>
    </xf>
    <xf numFmtId="0" fontId="22" fillId="4" borderId="3" xfId="0" applyFont="1" applyFill="1" applyBorder="1" applyAlignment="1">
      <alignment horizontal="center" vertical="center" wrapText="1"/>
    </xf>
    <xf numFmtId="0" fontId="22" fillId="4" borderId="5" xfId="0" applyFont="1" applyFill="1" applyBorder="1" applyAlignment="1">
      <alignment horizontal="center" vertical="center" wrapText="1"/>
    </xf>
    <xf numFmtId="0" fontId="41" fillId="4" borderId="2" xfId="0" applyFont="1" applyFill="1" applyBorder="1" applyAlignment="1">
      <alignment horizontal="center" vertical="center"/>
    </xf>
    <xf numFmtId="0" fontId="22" fillId="10" borderId="12" xfId="0" applyFont="1" applyFill="1" applyBorder="1" applyAlignment="1">
      <alignment horizontal="center" vertical="center" wrapText="1"/>
    </xf>
    <xf numFmtId="0" fontId="22" fillId="10" borderId="17" xfId="0" applyFont="1" applyFill="1" applyBorder="1" applyAlignment="1">
      <alignment horizontal="center" vertical="center" wrapText="1"/>
    </xf>
    <xf numFmtId="0" fontId="22" fillId="10" borderId="9" xfId="0" applyFont="1" applyFill="1" applyBorder="1" applyAlignment="1">
      <alignment horizontal="center" vertical="center" wrapText="1"/>
    </xf>
    <xf numFmtId="0" fontId="22" fillId="10" borderId="10" xfId="0" applyFont="1" applyFill="1" applyBorder="1" applyAlignment="1">
      <alignment horizontal="center" vertical="center" wrapText="1"/>
    </xf>
    <xf numFmtId="0" fontId="22" fillId="10" borderId="8" xfId="0" applyFont="1" applyFill="1" applyBorder="1" applyAlignment="1">
      <alignment horizontal="center" vertical="center" wrapText="1"/>
    </xf>
    <xf numFmtId="0" fontId="22" fillId="4" borderId="11" xfId="0" applyFont="1" applyFill="1" applyBorder="1" applyAlignment="1">
      <alignment horizontal="center" vertical="center"/>
    </xf>
    <xf numFmtId="0" fontId="22" fillId="4" borderId="7" xfId="0" applyFont="1" applyFill="1" applyBorder="1" applyAlignment="1">
      <alignment horizontal="center" vertical="center"/>
    </xf>
    <xf numFmtId="0" fontId="22" fillId="10" borderId="2" xfId="0" applyFont="1" applyFill="1" applyBorder="1" applyAlignment="1">
      <alignment horizontal="center" vertical="center" wrapText="1"/>
    </xf>
    <xf numFmtId="0" fontId="22" fillId="10" borderId="2" xfId="0" applyFont="1" applyFill="1" applyBorder="1" applyAlignment="1">
      <alignment horizontal="center" vertical="center"/>
    </xf>
    <xf numFmtId="0" fontId="23" fillId="0" borderId="0" xfId="0" applyFont="1" applyAlignment="1">
      <alignment horizontal="center" vertical="center" wrapText="1"/>
    </xf>
    <xf numFmtId="0" fontId="22" fillId="11" borderId="3" xfId="0" applyFont="1" applyFill="1" applyBorder="1" applyAlignment="1">
      <alignment horizontal="center" vertical="center"/>
    </xf>
    <xf numFmtId="0" fontId="22" fillId="11" borderId="4" xfId="0" applyFont="1" applyFill="1" applyBorder="1" applyAlignment="1">
      <alignment horizontal="center" vertical="center"/>
    </xf>
    <xf numFmtId="0" fontId="22" fillId="11" borderId="21" xfId="0" applyFont="1" applyFill="1" applyBorder="1" applyAlignment="1">
      <alignment horizontal="center" vertical="center"/>
    </xf>
    <xf numFmtId="0" fontId="22" fillId="12" borderId="3" xfId="0" applyFont="1" applyFill="1" applyBorder="1" applyAlignment="1">
      <alignment horizontal="center" vertical="center" wrapText="1"/>
    </xf>
    <xf numFmtId="0" fontId="22" fillId="12" borderId="5" xfId="0" applyFont="1" applyFill="1" applyBorder="1" applyAlignment="1">
      <alignment horizontal="center" vertical="center" wrapText="1"/>
    </xf>
    <xf numFmtId="0" fontId="22" fillId="11" borderId="3" xfId="0" applyFont="1" applyFill="1" applyBorder="1" applyAlignment="1">
      <alignment horizontal="center" vertical="center" wrapText="1"/>
    </xf>
    <xf numFmtId="0" fontId="22" fillId="11" borderId="4" xfId="0" applyFont="1" applyFill="1" applyBorder="1" applyAlignment="1">
      <alignment horizontal="center" vertical="center" wrapText="1"/>
    </xf>
    <xf numFmtId="0" fontId="22" fillId="11" borderId="5" xfId="0" applyFont="1" applyFill="1" applyBorder="1" applyAlignment="1">
      <alignment horizontal="center" vertical="center" wrapText="1"/>
    </xf>
    <xf numFmtId="0" fontId="22" fillId="11" borderId="10" xfId="0" applyFont="1" applyFill="1" applyBorder="1" applyAlignment="1">
      <alignment horizontal="center" vertical="center" wrapText="1"/>
    </xf>
    <xf numFmtId="0" fontId="22" fillId="11" borderId="8" xfId="0" applyFont="1" applyFill="1" applyBorder="1" applyAlignment="1">
      <alignment horizontal="center" vertical="center" wrapText="1"/>
    </xf>
    <xf numFmtId="0" fontId="22" fillId="11" borderId="10" xfId="0" applyFont="1" applyFill="1" applyBorder="1" applyAlignment="1">
      <alignment horizontal="center" wrapText="1"/>
    </xf>
    <xf numFmtId="0" fontId="22" fillId="11" borderId="8" xfId="0" applyFont="1" applyFill="1" applyBorder="1" applyAlignment="1">
      <alignment horizontal="center" wrapText="1"/>
    </xf>
    <xf numFmtId="0" fontId="22" fillId="11" borderId="21" xfId="0" applyFont="1" applyFill="1" applyBorder="1" applyAlignment="1">
      <alignment horizontal="center" vertical="center" wrapText="1"/>
    </xf>
    <xf numFmtId="0" fontId="22" fillId="11" borderId="3" xfId="0" applyFont="1" applyFill="1" applyBorder="1" applyAlignment="1">
      <alignment wrapText="1"/>
    </xf>
    <xf numFmtId="0" fontId="22" fillId="11" borderId="5" xfId="0" applyFont="1" applyFill="1" applyBorder="1" applyAlignment="1">
      <alignment wrapText="1"/>
    </xf>
    <xf numFmtId="0" fontId="22" fillId="10" borderId="3" xfId="0" applyFont="1" applyFill="1" applyBorder="1" applyAlignment="1">
      <alignment wrapText="1"/>
    </xf>
    <xf numFmtId="0" fontId="22" fillId="10" borderId="21" xfId="0" applyFont="1" applyFill="1" applyBorder="1" applyAlignment="1">
      <alignment wrapText="1"/>
    </xf>
    <xf numFmtId="0" fontId="22" fillId="10" borderId="3" xfId="0" applyFont="1" applyFill="1" applyBorder="1"/>
    <xf numFmtId="0" fontId="22" fillId="10" borderId="21" xfId="0" applyFont="1" applyFill="1" applyBorder="1"/>
    <xf numFmtId="3" fontId="52" fillId="5" borderId="2" xfId="7" applyNumberFormat="1" applyFont="1" applyFill="1" applyBorder="1" applyAlignment="1">
      <alignment horizontal="center" vertical="center"/>
    </xf>
    <xf numFmtId="0" fontId="40" fillId="0" borderId="0" xfId="0" applyFont="1" applyAlignment="1">
      <alignment horizontal="left"/>
    </xf>
    <xf numFmtId="0" fontId="40" fillId="0" borderId="0" xfId="0" applyFont="1" applyAlignment="1">
      <alignment horizontal="left" wrapText="1"/>
    </xf>
    <xf numFmtId="164" fontId="19" fillId="5" borderId="0" xfId="4" applyNumberFormat="1" applyFont="1" applyFill="1" applyAlignment="1">
      <alignment horizontal="center" vertical="center" wrapText="1"/>
    </xf>
    <xf numFmtId="0" fontId="29" fillId="0" borderId="0" xfId="0" applyFont="1" applyAlignment="1">
      <alignment horizontal="left"/>
    </xf>
    <xf numFmtId="0" fontId="29" fillId="0" borderId="0" xfId="0" applyFont="1" applyAlignment="1">
      <alignment horizontal="left" wrapText="1"/>
    </xf>
    <xf numFmtId="0" fontId="30" fillId="0" borderId="0" xfId="0" applyFont="1" applyAlignment="1">
      <alignment horizontal="center" wrapText="1"/>
    </xf>
    <xf numFmtId="0" fontId="29" fillId="10" borderId="21" xfId="0" applyFont="1" applyFill="1" applyBorder="1" applyAlignment="1">
      <alignment horizontal="center" vertical="center" wrapText="1"/>
    </xf>
    <xf numFmtId="0" fontId="29" fillId="10" borderId="21" xfId="0" applyFont="1" applyFill="1" applyBorder="1" applyAlignment="1">
      <alignment horizontal="center" vertical="center"/>
    </xf>
    <xf numFmtId="0" fontId="29" fillId="10" borderId="10" xfId="0" applyFont="1" applyFill="1" applyBorder="1" applyAlignment="1">
      <alignment horizontal="center" wrapText="1"/>
    </xf>
    <xf numFmtId="0" fontId="29" fillId="10" borderId="8" xfId="0" applyFont="1" applyFill="1" applyBorder="1" applyAlignment="1">
      <alignment horizontal="center" wrapText="1"/>
    </xf>
    <xf numFmtId="0" fontId="29" fillId="11" borderId="3" xfId="0" applyFont="1" applyFill="1" applyBorder="1" applyAlignment="1">
      <alignment horizontal="center" vertical="center"/>
    </xf>
    <xf numFmtId="0" fontId="29" fillId="11" borderId="4" xfId="0" applyFont="1" applyFill="1" applyBorder="1" applyAlignment="1">
      <alignment horizontal="center" vertical="center"/>
    </xf>
    <xf numFmtId="0" fontId="29" fillId="11" borderId="21" xfId="0" applyFont="1" applyFill="1" applyBorder="1" applyAlignment="1">
      <alignment horizontal="center" vertical="center"/>
    </xf>
    <xf numFmtId="0" fontId="29" fillId="12" borderId="3" xfId="0" applyFont="1" applyFill="1" applyBorder="1" applyAlignment="1">
      <alignment horizontal="center" vertical="center" wrapText="1"/>
    </xf>
    <xf numFmtId="0" fontId="29" fillId="12" borderId="5" xfId="0" applyFont="1" applyFill="1" applyBorder="1" applyAlignment="1">
      <alignment horizontal="center" vertical="center" wrapText="1"/>
    </xf>
    <xf numFmtId="0" fontId="29" fillId="11" borderId="3" xfId="0" applyFont="1" applyFill="1" applyBorder="1" applyAlignment="1">
      <alignment horizontal="center" vertical="center" wrapText="1"/>
    </xf>
    <xf numFmtId="0" fontId="29" fillId="11" borderId="4" xfId="0" applyFont="1" applyFill="1" applyBorder="1" applyAlignment="1">
      <alignment horizontal="center" vertical="center" wrapText="1"/>
    </xf>
    <xf numFmtId="0" fontId="29" fillId="11" borderId="21" xfId="0" applyFont="1" applyFill="1" applyBorder="1" applyAlignment="1">
      <alignment horizontal="center" vertical="center" wrapText="1"/>
    </xf>
    <xf numFmtId="0" fontId="29" fillId="11" borderId="10" xfId="0" applyFont="1" applyFill="1" applyBorder="1" applyAlignment="1">
      <alignment horizontal="center" vertical="center" wrapText="1"/>
    </xf>
    <xf numFmtId="0" fontId="29" fillId="11" borderId="8" xfId="0" applyFont="1" applyFill="1" applyBorder="1" applyAlignment="1">
      <alignment horizontal="center" vertical="center" wrapText="1"/>
    </xf>
    <xf numFmtId="0" fontId="29" fillId="11" borderId="5" xfId="0" applyFont="1" applyFill="1" applyBorder="1" applyAlignment="1">
      <alignment horizontal="center" vertical="center" wrapText="1"/>
    </xf>
    <xf numFmtId="0" fontId="29" fillId="0" borderId="0" xfId="0" applyFont="1" applyAlignment="1">
      <alignment horizontal="left" vertical="center" wrapText="1"/>
    </xf>
    <xf numFmtId="0" fontId="30" fillId="0" borderId="0" xfId="0" applyFont="1" applyAlignment="1">
      <alignment horizontal="left" vertical="center" wrapText="1"/>
    </xf>
    <xf numFmtId="0" fontId="29" fillId="10" borderId="3" xfId="0" applyFont="1" applyFill="1" applyBorder="1" applyAlignment="1">
      <alignment vertical="center" wrapText="1"/>
    </xf>
    <xf numFmtId="0" fontId="29" fillId="10" borderId="21" xfId="0" applyFont="1" applyFill="1" applyBorder="1" applyAlignment="1">
      <alignment vertical="center" wrapText="1"/>
    </xf>
    <xf numFmtId="0" fontId="29" fillId="10" borderId="3" xfId="0" applyFont="1" applyFill="1" applyBorder="1" applyAlignment="1">
      <alignment vertical="center"/>
    </xf>
    <xf numFmtId="0" fontId="29" fillId="10" borderId="21" xfId="0" applyFont="1" applyFill="1" applyBorder="1" applyAlignment="1">
      <alignment vertical="center"/>
    </xf>
    <xf numFmtId="0" fontId="29" fillId="11" borderId="3" xfId="0" applyFont="1" applyFill="1" applyBorder="1" applyAlignment="1">
      <alignment vertical="center" wrapText="1"/>
    </xf>
    <xf numFmtId="0" fontId="29" fillId="11" borderId="5" xfId="0" applyFont="1" applyFill="1" applyBorder="1" applyAlignment="1">
      <alignment vertical="center" wrapText="1"/>
    </xf>
    <xf numFmtId="0" fontId="29" fillId="11" borderId="10" xfId="0" applyFont="1" applyFill="1" applyBorder="1" applyAlignment="1">
      <alignment horizontal="center" wrapText="1"/>
    </xf>
    <xf numFmtId="0" fontId="29" fillId="11" borderId="8" xfId="0" applyFont="1" applyFill="1" applyBorder="1" applyAlignment="1">
      <alignment horizontal="center" wrapText="1"/>
    </xf>
    <xf numFmtId="0" fontId="29" fillId="10" borderId="2" xfId="0" applyFont="1" applyFill="1" applyBorder="1" applyAlignment="1">
      <alignment horizontal="center" vertical="center" wrapText="1"/>
    </xf>
    <xf numFmtId="0" fontId="29" fillId="4" borderId="2" xfId="0" applyFont="1" applyFill="1" applyBorder="1" applyAlignment="1">
      <alignment horizontal="center" vertical="center" wrapText="1"/>
    </xf>
    <xf numFmtId="0" fontId="29" fillId="12" borderId="16" xfId="0" applyFont="1" applyFill="1" applyBorder="1" applyAlignment="1">
      <alignment horizontal="center" vertical="center" wrapText="1"/>
    </xf>
    <xf numFmtId="0" fontId="49" fillId="0" borderId="0" xfId="0" applyFont="1" applyAlignment="1">
      <alignment horizontal="center" vertical="center" wrapText="1"/>
    </xf>
    <xf numFmtId="0" fontId="49" fillId="0" borderId="32" xfId="0" applyFont="1" applyBorder="1" applyAlignment="1">
      <alignment horizontal="center" vertical="center" wrapText="1"/>
    </xf>
    <xf numFmtId="0" fontId="17" fillId="0" borderId="0" xfId="0" applyFont="1" applyAlignment="1">
      <alignment horizontal="center"/>
    </xf>
    <xf numFmtId="0" fontId="50" fillId="0" borderId="0" xfId="0" applyFont="1" applyAlignment="1">
      <alignment horizontal="center"/>
    </xf>
    <xf numFmtId="0" fontId="29" fillId="4" borderId="16" xfId="0" applyFont="1" applyFill="1" applyBorder="1" applyAlignment="1">
      <alignment horizontal="center" vertical="center" wrapText="1"/>
    </xf>
    <xf numFmtId="0" fontId="29" fillId="13" borderId="0" xfId="0" applyFont="1" applyFill="1" applyAlignment="1">
      <alignment horizontal="center" vertical="center" wrapText="1"/>
    </xf>
    <xf numFmtId="0" fontId="29" fillId="4" borderId="30" xfId="0" applyFont="1" applyFill="1" applyBorder="1" applyAlignment="1">
      <alignment horizontal="center" vertical="center" wrapText="1"/>
    </xf>
    <xf numFmtId="0" fontId="29" fillId="4" borderId="31" xfId="0" applyFont="1" applyFill="1" applyBorder="1" applyAlignment="1">
      <alignment horizontal="center" vertical="center" wrapText="1"/>
    </xf>
    <xf numFmtId="0" fontId="29" fillId="4" borderId="23" xfId="0" applyFont="1" applyFill="1" applyBorder="1" applyAlignment="1">
      <alignment horizontal="center" vertical="center" wrapText="1"/>
    </xf>
    <xf numFmtId="0" fontId="29" fillId="4" borderId="24" xfId="0" applyFont="1" applyFill="1" applyBorder="1" applyAlignment="1">
      <alignment horizontal="center" vertical="center" wrapText="1"/>
    </xf>
    <xf numFmtId="0" fontId="49" fillId="4" borderId="30" xfId="0" applyFont="1" applyFill="1" applyBorder="1" applyAlignment="1">
      <alignment horizontal="center" vertical="center" wrapText="1"/>
    </xf>
    <xf numFmtId="0" fontId="49" fillId="4" borderId="31" xfId="0" applyFont="1" applyFill="1" applyBorder="1" applyAlignment="1">
      <alignment horizontal="center" vertical="center" wrapText="1"/>
    </xf>
    <xf numFmtId="0" fontId="49" fillId="0" borderId="0" xfId="0" applyFont="1" applyAlignment="1">
      <alignment horizontal="center" vertical="center"/>
    </xf>
    <xf numFmtId="0" fontId="49" fillId="0" borderId="32" xfId="0" applyFont="1" applyBorder="1" applyAlignment="1">
      <alignment horizontal="center" vertical="center"/>
    </xf>
    <xf numFmtId="0" fontId="19" fillId="0" borderId="0" xfId="0" applyFont="1" applyAlignment="1">
      <alignment horizontal="left"/>
    </xf>
    <xf numFmtId="0" fontId="22" fillId="4" borderId="3" xfId="0" applyFont="1" applyFill="1" applyBorder="1" applyAlignment="1">
      <alignment horizontal="center" vertical="center"/>
    </xf>
    <xf numFmtId="0" fontId="22" fillId="4" borderId="5" xfId="0" applyFont="1" applyFill="1" applyBorder="1" applyAlignment="1">
      <alignment horizontal="center" vertical="center"/>
    </xf>
    <xf numFmtId="0" fontId="22" fillId="4" borderId="16" xfId="0" applyFont="1" applyFill="1" applyBorder="1" applyAlignment="1">
      <alignment horizontal="center" vertical="center" wrapText="1"/>
    </xf>
    <xf numFmtId="0" fontId="22" fillId="4" borderId="23" xfId="0" applyFont="1" applyFill="1" applyBorder="1" applyAlignment="1">
      <alignment horizontal="center" vertical="center" wrapText="1"/>
    </xf>
    <xf numFmtId="0" fontId="22" fillId="4" borderId="24" xfId="0" applyFont="1" applyFill="1" applyBorder="1" applyAlignment="1">
      <alignment horizontal="center" vertical="center" wrapText="1"/>
    </xf>
    <xf numFmtId="0" fontId="22" fillId="4" borderId="29" xfId="0" applyFont="1" applyFill="1" applyBorder="1" applyAlignment="1">
      <alignment horizontal="center" vertical="center" wrapText="1"/>
    </xf>
    <xf numFmtId="0" fontId="22" fillId="4" borderId="2" xfId="0" applyFont="1" applyFill="1" applyBorder="1" applyAlignment="1">
      <alignment horizontal="center" vertical="center" wrapText="1"/>
    </xf>
    <xf numFmtId="2" fontId="27" fillId="0" borderId="11" xfId="0" applyNumberFormat="1" applyFont="1" applyBorder="1" applyAlignment="1">
      <alignment horizontal="left" vertical="center" wrapText="1"/>
    </xf>
    <xf numFmtId="0" fontId="22" fillId="5" borderId="0" xfId="0" applyFont="1" applyFill="1" applyAlignment="1">
      <alignment horizontal="center" vertical="center" wrapText="1"/>
    </xf>
    <xf numFmtId="0" fontId="19" fillId="4" borderId="9" xfId="0" applyFont="1" applyFill="1" applyBorder="1" applyAlignment="1">
      <alignment horizontal="center" vertical="center" wrapText="1"/>
    </xf>
    <xf numFmtId="0" fontId="19" fillId="4" borderId="10"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8" fillId="4" borderId="2" xfId="0" applyFont="1" applyFill="1" applyBorder="1" applyAlignment="1">
      <alignment horizontal="center" vertical="center" wrapText="1"/>
    </xf>
    <xf numFmtId="0" fontId="27" fillId="4" borderId="2" xfId="0" applyFont="1" applyFill="1" applyBorder="1" applyAlignment="1">
      <alignment horizontal="center" vertical="center" wrapText="1"/>
    </xf>
    <xf numFmtId="3" fontId="27" fillId="5" borderId="3" xfId="8" applyNumberFormat="1" applyFont="1" applyFill="1" applyBorder="1" applyAlignment="1">
      <alignment horizontal="center" vertical="center" wrapText="1"/>
    </xf>
    <xf numFmtId="3" fontId="27" fillId="5" borderId="5" xfId="8" applyNumberFormat="1" applyFont="1" applyFill="1" applyBorder="1" applyAlignment="1">
      <alignment horizontal="center" vertical="center" wrapText="1"/>
    </xf>
    <xf numFmtId="0" fontId="19" fillId="0" borderId="7" xfId="0" applyFont="1" applyBorder="1" applyAlignment="1">
      <alignment horizontal="left"/>
    </xf>
    <xf numFmtId="0" fontId="27" fillId="0" borderId="0" xfId="0" applyFont="1" applyAlignment="1">
      <alignment horizontal="left"/>
    </xf>
    <xf numFmtId="0" fontId="16" fillId="0" borderId="11" xfId="0" applyFont="1" applyBorder="1" applyAlignment="1">
      <alignment horizontal="left" vertical="top" wrapText="1"/>
    </xf>
    <xf numFmtId="0" fontId="16" fillId="0" borderId="0" xfId="0" applyFont="1" applyAlignment="1">
      <alignment horizontal="right"/>
    </xf>
    <xf numFmtId="0" fontId="17" fillId="0" borderId="7" xfId="0" applyFont="1" applyBorder="1" applyAlignment="1">
      <alignment horizontal="left" wrapText="1"/>
    </xf>
    <xf numFmtId="0" fontId="19" fillId="21" borderId="23" xfId="0" applyFont="1" applyFill="1" applyBorder="1" applyAlignment="1">
      <alignment horizontal="center" vertical="center" wrapText="1"/>
    </xf>
    <xf numFmtId="0" fontId="19" fillId="21" borderId="24" xfId="0" applyFont="1" applyFill="1" applyBorder="1" applyAlignment="1">
      <alignment horizontal="center" vertical="center" wrapText="1"/>
    </xf>
    <xf numFmtId="0" fontId="27" fillId="21" borderId="23" xfId="0" applyFont="1" applyFill="1" applyBorder="1" applyAlignment="1">
      <alignment horizontal="center" vertical="center" wrapText="1"/>
    </xf>
    <xf numFmtId="0" fontId="27" fillId="21" borderId="24" xfId="0" applyFont="1" applyFill="1" applyBorder="1" applyAlignment="1">
      <alignment horizontal="center" vertical="center" wrapText="1"/>
    </xf>
    <xf numFmtId="0" fontId="27" fillId="21" borderId="33" xfId="0" applyFont="1" applyFill="1" applyBorder="1" applyAlignment="1">
      <alignment horizontal="center" vertical="center" wrapText="1"/>
    </xf>
    <xf numFmtId="0" fontId="27" fillId="21" borderId="34" xfId="0" applyFont="1" applyFill="1" applyBorder="1" applyAlignment="1">
      <alignment horizontal="center" vertical="center" wrapText="1"/>
    </xf>
    <xf numFmtId="0" fontId="24" fillId="0" borderId="0" xfId="0" applyFont="1" applyAlignment="1">
      <alignment horizontal="left" vertical="center" wrapText="1"/>
    </xf>
    <xf numFmtId="0" fontId="17" fillId="0" borderId="0" xfId="0" applyFont="1" applyAlignment="1">
      <alignment horizontal="left" vertical="center" wrapText="1"/>
    </xf>
    <xf numFmtId="0" fontId="24" fillId="0" borderId="7" xfId="0" applyFont="1" applyBorder="1" applyAlignment="1">
      <alignment horizontal="left" vertical="center" wrapText="1"/>
    </xf>
    <xf numFmtId="0" fontId="19" fillId="0" borderId="2" xfId="0" applyFont="1" applyBorder="1" applyAlignment="1">
      <alignment horizontal="center" vertical="center"/>
    </xf>
    <xf numFmtId="0" fontId="19" fillId="4" borderId="2" xfId="0" applyFont="1" applyFill="1" applyBorder="1" applyAlignment="1">
      <alignment horizontal="center" vertical="center" wrapText="1"/>
    </xf>
    <xf numFmtId="0" fontId="19" fillId="4" borderId="2" xfId="0" applyFont="1" applyFill="1" applyBorder="1" applyAlignment="1">
      <alignment horizontal="center"/>
    </xf>
    <xf numFmtId="0" fontId="27" fillId="0" borderId="11" xfId="0" applyFont="1" applyBorder="1" applyAlignment="1">
      <alignment horizontal="left" vertical="center" wrapText="1"/>
    </xf>
    <xf numFmtId="0" fontId="24" fillId="0" borderId="0" xfId="0" applyFont="1" applyAlignment="1">
      <alignment horizontal="center" vertical="center"/>
    </xf>
    <xf numFmtId="0" fontId="52" fillId="4" borderId="2" xfId="17" applyFont="1" applyFill="1" applyBorder="1" applyAlignment="1">
      <alignment horizontal="center" vertical="center" wrapText="1"/>
    </xf>
    <xf numFmtId="4" fontId="53" fillId="5" borderId="9" xfId="17" applyNumberFormat="1" applyFont="1" applyFill="1" applyBorder="1" applyAlignment="1">
      <alignment horizontal="center" vertical="center" wrapText="1"/>
    </xf>
    <xf numFmtId="4" fontId="53" fillId="5" borderId="8" xfId="17" applyNumberFormat="1" applyFont="1" applyFill="1" applyBorder="1" applyAlignment="1">
      <alignment horizontal="center" vertical="center" wrapText="1"/>
    </xf>
    <xf numFmtId="0" fontId="41" fillId="0" borderId="2" xfId="0" applyFont="1" applyBorder="1" applyAlignment="1">
      <alignment horizontal="left" vertical="center" wrapText="1"/>
    </xf>
    <xf numFmtId="0" fontId="18" fillId="0" borderId="0" xfId="0" applyFont="1" applyAlignment="1">
      <alignment horizontal="center"/>
    </xf>
    <xf numFmtId="0" fontId="19" fillId="5" borderId="0" xfId="0" applyFont="1" applyFill="1" applyAlignment="1">
      <alignment horizontal="left" vertical="center" wrapText="1"/>
    </xf>
    <xf numFmtId="0" fontId="22" fillId="4" borderId="10" xfId="0" applyFont="1" applyFill="1" applyBorder="1" applyAlignment="1">
      <alignment horizontal="center" vertical="center" wrapText="1"/>
    </xf>
    <xf numFmtId="0" fontId="19" fillId="4" borderId="2" xfId="0" applyFont="1" applyFill="1" applyBorder="1" applyAlignment="1">
      <alignment horizontal="center" vertical="center"/>
    </xf>
    <xf numFmtId="0" fontId="27" fillId="5" borderId="2" xfId="0" applyFont="1" applyFill="1" applyBorder="1" applyAlignment="1">
      <alignment horizontal="left" vertical="top" wrapText="1"/>
    </xf>
    <xf numFmtId="0" fontId="19" fillId="4" borderId="2" xfId="0" applyFont="1" applyFill="1" applyBorder="1" applyAlignment="1">
      <alignment horizontal="center" wrapText="1"/>
    </xf>
    <xf numFmtId="1" fontId="19" fillId="0" borderId="2" xfId="0" applyNumberFormat="1" applyFont="1" applyBorder="1" applyAlignment="1">
      <alignment horizontal="center"/>
    </xf>
    <xf numFmtId="3" fontId="18" fillId="0" borderId="2" xfId="0" applyNumberFormat="1" applyFont="1" applyBorder="1" applyAlignment="1">
      <alignment horizontal="center"/>
    </xf>
    <xf numFmtId="0" fontId="19" fillId="0" borderId="2" xfId="0" applyFont="1" applyBorder="1" applyAlignment="1">
      <alignment horizontal="left" vertical="top" wrapText="1"/>
    </xf>
    <xf numFmtId="1" fontId="19" fillId="0" borderId="2" xfId="0" applyNumberFormat="1" applyFont="1" applyBorder="1" applyAlignment="1">
      <alignment horizontal="center" vertical="center"/>
    </xf>
    <xf numFmtId="0" fontId="27" fillId="5" borderId="2" xfId="0" applyFont="1" applyFill="1" applyBorder="1" applyAlignment="1">
      <alignment horizontal="left" vertical="top"/>
    </xf>
    <xf numFmtId="0" fontId="45" fillId="0" borderId="2" xfId="0" applyFont="1" applyBorder="1" applyAlignment="1">
      <alignment horizontal="center" vertical="center" wrapText="1"/>
    </xf>
    <xf numFmtId="0" fontId="19" fillId="5" borderId="2" xfId="0" applyFont="1" applyFill="1" applyBorder="1" applyAlignment="1">
      <alignment horizontal="left" vertical="center" wrapText="1"/>
    </xf>
    <xf numFmtId="0" fontId="19" fillId="0" borderId="0" xfId="0" applyFont="1" applyAlignment="1">
      <alignment horizontal="center"/>
    </xf>
  </cellXfs>
  <cellStyles count="22">
    <cellStyle name="Comma" xfId="2" builtinId="3"/>
    <cellStyle name="Comma 2" xfId="12" xr:uid="{FE21BD0A-C8AF-4D0B-AEFF-986674FFB598}"/>
    <cellStyle name="Comma 2 2" xfId="18" xr:uid="{EEAFBC85-914B-416A-B5A8-3B7AB75057D6}"/>
    <cellStyle name="Comma 3" xfId="15" xr:uid="{8F8594D8-2B8B-4019-A86A-8D5E45E4D8D7}"/>
    <cellStyle name="Comma 3 2" xfId="19" xr:uid="{FC0A71D2-F2F5-4259-9E3C-C3C391695F44}"/>
    <cellStyle name="Comma 4" xfId="16" xr:uid="{5C4F9612-9241-43FB-ACD0-25BC3044DBC5}"/>
    <cellStyle name="Hyperlink" xfId="1" builtinId="8"/>
    <cellStyle name="Normal" xfId="0" builtinId="0"/>
    <cellStyle name="Normal 10 2 2" xfId="21" xr:uid="{24E62D92-53E6-4465-B3A1-F59F511C01D3}"/>
    <cellStyle name="Normal 10 7" xfId="5" xr:uid="{EAD2266B-4335-4C02-A034-24DF64DF48CA}"/>
    <cellStyle name="Normal 2" xfId="3" xr:uid="{51111533-230D-4DE1-8C54-C4E118B00892}"/>
    <cellStyle name="Normal 2 12" xfId="7" xr:uid="{100A0544-E5C2-4A84-92E7-8337344F5A88}"/>
    <cellStyle name="Normal 2 12 2" xfId="8" xr:uid="{4EF5DE8C-D22D-42C5-B6E0-8F32D627BA35}"/>
    <cellStyle name="Normal 2 2" xfId="10" xr:uid="{651DE67A-7E18-40ED-B520-FA57924C69F2}"/>
    <cellStyle name="Normal 2 3 3" xfId="9" xr:uid="{82886027-EAA5-4056-A6BC-75BC3E7ADB6F}"/>
    <cellStyle name="Normal 2 3 3 2" xfId="17" xr:uid="{FE75A93D-30DA-40BD-A1CE-549D2DEDF9E4}"/>
    <cellStyle name="Normal 3" xfId="6" xr:uid="{7EA97E9F-2CBE-499D-8952-2E06CADA7327}"/>
    <cellStyle name="Normal 3 10 2 2 2" xfId="4" xr:uid="{9F2AEF57-F257-4D49-BEB7-3249F75412E3}"/>
    <cellStyle name="Normal 3 10 2 2 2 2" xfId="13" xr:uid="{066EA69A-CAA5-4E2E-8D9B-A4B8DAA23C0C}"/>
    <cellStyle name="Normal 3 10 9" xfId="20" xr:uid="{6FE554F3-4D2B-414F-A80F-7F71FDF4E34F}"/>
    <cellStyle name="Normal 5" xfId="14" xr:uid="{1E32C722-BCE6-4E0A-BB81-55F973EB7E51}"/>
    <cellStyle name="Normal_Sheet1" xfId="11" xr:uid="{A66EE998-1FAF-429A-8DE6-E110B3C3F867}"/>
  </cellStyles>
  <dxfs count="1">
    <dxf>
      <font>
        <b val="0"/>
        <i val="0"/>
        <color auto="1"/>
      </font>
      <numFmt numFmtId="169" formatCode=";;;"/>
    </dxf>
  </dxfs>
  <tableStyles count="0" defaultTableStyle="TableStyleMedium2" defaultPivotStyle="PivotStyleLight16"/>
  <colors>
    <mruColors>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7" Type="http://schemas.openxmlformats.org/officeDocument/2006/relationships/worksheet" Target="worksheets/sheet7.xml"/><Relationship Id="rId71"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D49EA-2373-4214-9685-B3630DB2E993}">
  <sheetPr>
    <tabColor theme="9" tint="0.79998168889431442"/>
  </sheetPr>
  <dimension ref="A1:AZ200"/>
  <sheetViews>
    <sheetView zoomScale="57" zoomScaleNormal="57" workbookViewId="0">
      <pane ySplit="3" topLeftCell="A4" activePane="bottomLeft" state="frozen"/>
      <selection pane="bottomLeft" activeCell="N1" sqref="N1:Q1"/>
    </sheetView>
  </sheetViews>
  <sheetFormatPr defaultColWidth="9.1796875" defaultRowHeight="66" customHeight="1" x14ac:dyDescent="0.35"/>
  <cols>
    <col min="1" max="1" width="9.453125" style="180" customWidth="1"/>
    <col min="2" max="2" width="44.7265625" style="180" customWidth="1"/>
    <col min="3" max="3" width="47.54296875" style="180" customWidth="1"/>
    <col min="4" max="4" width="45.54296875" style="180" customWidth="1"/>
    <col min="5" max="5" width="40.1796875" style="180" customWidth="1"/>
    <col min="6" max="6" width="18.81640625" style="180" customWidth="1"/>
    <col min="7" max="7" width="18.7265625" style="180" customWidth="1"/>
    <col min="8" max="8" width="20.26953125" style="180" customWidth="1"/>
    <col min="9" max="9" width="17.26953125" style="180" customWidth="1"/>
    <col min="10" max="11" width="17.7265625" style="180" customWidth="1"/>
    <col min="12" max="12" width="21.7265625" style="180" customWidth="1"/>
    <col min="13" max="13" width="25.1796875" style="180" customWidth="1"/>
    <col min="14" max="14" width="21.1796875" style="180" customWidth="1"/>
    <col min="15" max="15" width="25.81640625" style="180" customWidth="1"/>
    <col min="16" max="16" width="25" style="180" customWidth="1"/>
    <col min="17" max="17" width="26.7265625" style="180" customWidth="1"/>
    <col min="18" max="16384" width="9.1796875" style="180"/>
  </cols>
  <sheetData>
    <row r="1" spans="1:17" ht="45.75" customHeight="1" x14ac:dyDescent="0.35">
      <c r="N1" s="957" t="s">
        <v>209</v>
      </c>
      <c r="O1" s="957"/>
      <c r="P1" s="957"/>
      <c r="Q1" s="957"/>
    </row>
    <row r="2" spans="1:17" ht="66" customHeight="1" x14ac:dyDescent="0.35">
      <c r="A2" s="863" t="s">
        <v>1</v>
      </c>
      <c r="B2" s="863" t="s">
        <v>2</v>
      </c>
      <c r="C2" s="863" t="s">
        <v>3</v>
      </c>
      <c r="D2" s="863" t="s">
        <v>4</v>
      </c>
      <c r="E2" s="863" t="s">
        <v>194</v>
      </c>
      <c r="F2" s="877" t="s">
        <v>1014</v>
      </c>
      <c r="G2" s="878"/>
      <c r="H2" s="879"/>
      <c r="I2" s="874" t="s">
        <v>1015</v>
      </c>
      <c r="J2" s="875"/>
      <c r="K2" s="875"/>
      <c r="L2" s="875"/>
      <c r="M2" s="876"/>
      <c r="N2" s="863" t="s">
        <v>5</v>
      </c>
      <c r="O2" s="863" t="s">
        <v>6</v>
      </c>
      <c r="P2" s="863" t="s">
        <v>200</v>
      </c>
      <c r="Q2" s="863" t="s">
        <v>7</v>
      </c>
    </row>
    <row r="3" spans="1:17" ht="73.5" customHeight="1" x14ac:dyDescent="0.35">
      <c r="A3" s="864"/>
      <c r="B3" s="864"/>
      <c r="C3" s="864"/>
      <c r="D3" s="864"/>
      <c r="E3" s="864"/>
      <c r="F3" s="8" t="s">
        <v>195</v>
      </c>
      <c r="G3" s="8" t="s">
        <v>196</v>
      </c>
      <c r="H3" s="8" t="s">
        <v>197</v>
      </c>
      <c r="I3" s="8" t="s">
        <v>195</v>
      </c>
      <c r="J3" s="8" t="s">
        <v>196</v>
      </c>
      <c r="K3" s="8" t="s">
        <v>197</v>
      </c>
      <c r="L3" s="9" t="s">
        <v>198</v>
      </c>
      <c r="M3" s="10" t="s">
        <v>199</v>
      </c>
      <c r="N3" s="864"/>
      <c r="O3" s="864"/>
      <c r="P3" s="864"/>
      <c r="Q3" s="864"/>
    </row>
    <row r="4" spans="1:17" ht="48.75" customHeight="1" x14ac:dyDescent="0.35">
      <c r="A4" s="958" t="s">
        <v>201</v>
      </c>
      <c r="B4" s="959"/>
      <c r="C4" s="959"/>
      <c r="D4" s="960"/>
      <c r="E4" s="19"/>
      <c r="F4" s="521">
        <f>F5+F6</f>
        <v>133391729</v>
      </c>
      <c r="G4" s="521">
        <f t="shared" ref="G4:M4" si="0">G5+G6</f>
        <v>136055098</v>
      </c>
      <c r="H4" s="521">
        <f t="shared" si="0"/>
        <v>131637217</v>
      </c>
      <c r="I4" s="521">
        <f t="shared" si="0"/>
        <v>865741</v>
      </c>
      <c r="J4" s="521">
        <f t="shared" si="0"/>
        <v>6887238</v>
      </c>
      <c r="K4" s="521">
        <f t="shared" si="0"/>
        <v>75184040</v>
      </c>
      <c r="L4" s="521">
        <f t="shared" si="0"/>
        <v>1647608</v>
      </c>
      <c r="M4" s="521">
        <f t="shared" si="0"/>
        <v>71059334</v>
      </c>
      <c r="N4" s="20"/>
      <c r="O4" s="18"/>
      <c r="P4" s="18"/>
      <c r="Q4" s="18"/>
    </row>
    <row r="5" spans="1:17" ht="15.5" x14ac:dyDescent="0.35">
      <c r="A5" s="6"/>
      <c r="B5" s="871" t="s">
        <v>811</v>
      </c>
      <c r="C5" s="872"/>
      <c r="D5" s="873"/>
      <c r="E5" s="6"/>
      <c r="F5" s="520">
        <f t="shared" ref="F5:M6" si="1">F8+F24</f>
        <v>130993917</v>
      </c>
      <c r="G5" s="520">
        <f t="shared" si="1"/>
        <v>131565114</v>
      </c>
      <c r="H5" s="520">
        <f t="shared" si="1"/>
        <v>131553217</v>
      </c>
      <c r="I5" s="520">
        <f t="shared" si="1"/>
        <v>0</v>
      </c>
      <c r="J5" s="520">
        <f t="shared" si="1"/>
        <v>2973948</v>
      </c>
      <c r="K5" s="520">
        <f t="shared" si="1"/>
        <v>69811923</v>
      </c>
      <c r="L5" s="520">
        <f t="shared" si="1"/>
        <v>0</v>
      </c>
      <c r="M5" s="520">
        <f t="shared" si="1"/>
        <v>70744934</v>
      </c>
      <c r="N5" s="6"/>
      <c r="O5" s="6"/>
      <c r="P5" s="6"/>
      <c r="Q5" s="6"/>
    </row>
    <row r="6" spans="1:17" ht="15.5" x14ac:dyDescent="0.35">
      <c r="A6" s="6"/>
      <c r="B6" s="871" t="s">
        <v>812</v>
      </c>
      <c r="C6" s="872"/>
      <c r="D6" s="873"/>
      <c r="E6" s="6"/>
      <c r="F6" s="101">
        <f t="shared" si="1"/>
        <v>2397812</v>
      </c>
      <c r="G6" s="101">
        <f t="shared" si="1"/>
        <v>4489984</v>
      </c>
      <c r="H6" s="101">
        <f t="shared" si="1"/>
        <v>84000</v>
      </c>
      <c r="I6" s="101">
        <f t="shared" si="1"/>
        <v>865741</v>
      </c>
      <c r="J6" s="101">
        <f t="shared" si="1"/>
        <v>3913290</v>
      </c>
      <c r="K6" s="101">
        <f t="shared" si="1"/>
        <v>5372117</v>
      </c>
      <c r="L6" s="101">
        <f t="shared" si="1"/>
        <v>1647608</v>
      </c>
      <c r="M6" s="101">
        <f t="shared" si="1"/>
        <v>314400</v>
      </c>
      <c r="N6" s="6"/>
      <c r="O6" s="6"/>
      <c r="P6" s="6"/>
      <c r="Q6" s="6"/>
    </row>
    <row r="7" spans="1:17" ht="29.25" customHeight="1" x14ac:dyDescent="0.35">
      <c r="A7" s="516"/>
      <c r="B7" s="513"/>
      <c r="C7" s="514"/>
      <c r="D7" s="515" t="s">
        <v>801</v>
      </c>
      <c r="E7" s="516"/>
      <c r="F7" s="519">
        <f>F8+F9</f>
        <v>133391729</v>
      </c>
      <c r="G7" s="519">
        <f t="shared" ref="G7:M7" si="2">G8+G9</f>
        <v>136055098</v>
      </c>
      <c r="H7" s="519">
        <f t="shared" si="2"/>
        <v>131637217</v>
      </c>
      <c r="I7" s="519">
        <f t="shared" si="2"/>
        <v>830741</v>
      </c>
      <c r="J7" s="519">
        <f t="shared" si="2"/>
        <v>6162238</v>
      </c>
      <c r="K7" s="519">
        <f t="shared" si="2"/>
        <v>73794040</v>
      </c>
      <c r="L7" s="519">
        <f t="shared" si="2"/>
        <v>1647608</v>
      </c>
      <c r="M7" s="519">
        <f t="shared" si="2"/>
        <v>70744934</v>
      </c>
      <c r="N7" s="516"/>
      <c r="O7" s="516"/>
      <c r="P7" s="516"/>
      <c r="Q7" s="516"/>
    </row>
    <row r="8" spans="1:17" ht="29.25" customHeight="1" x14ac:dyDescent="0.35">
      <c r="A8" s="508"/>
      <c r="B8" s="509"/>
      <c r="C8" s="510"/>
      <c r="D8" s="511" t="s">
        <v>202</v>
      </c>
      <c r="E8" s="508"/>
      <c r="F8" s="517">
        <f>F10+F11+F12+F13+F14+F15+F16+F17+F18</f>
        <v>130993917</v>
      </c>
      <c r="G8" s="517">
        <f t="shared" ref="G8:M8" si="3">G10+G11+G12+G13+G14+G15+G16+G17+G18</f>
        <v>131565114</v>
      </c>
      <c r="H8" s="517">
        <f t="shared" si="3"/>
        <v>131553217</v>
      </c>
      <c r="I8" s="517">
        <f t="shared" si="3"/>
        <v>0</v>
      </c>
      <c r="J8" s="517">
        <f t="shared" si="3"/>
        <v>2973948</v>
      </c>
      <c r="K8" s="517">
        <f t="shared" si="3"/>
        <v>69811923</v>
      </c>
      <c r="L8" s="517">
        <f t="shared" si="3"/>
        <v>0</v>
      </c>
      <c r="M8" s="517">
        <f t="shared" si="3"/>
        <v>70744934</v>
      </c>
      <c r="N8" s="508"/>
      <c r="O8" s="508"/>
      <c r="P8" s="508"/>
      <c r="Q8" s="508"/>
    </row>
    <row r="9" spans="1:17" ht="29.25" customHeight="1" x14ac:dyDescent="0.35">
      <c r="A9" s="508"/>
      <c r="B9" s="509"/>
      <c r="C9" s="510"/>
      <c r="D9" s="511" t="s">
        <v>203</v>
      </c>
      <c r="E9" s="508"/>
      <c r="F9" s="517">
        <f>F19+F20+F21+F22</f>
        <v>2397812</v>
      </c>
      <c r="G9" s="517">
        <f t="shared" ref="G9:M9" si="4">G19+G20+G21+G22</f>
        <v>4489984</v>
      </c>
      <c r="H9" s="517">
        <f t="shared" si="4"/>
        <v>84000</v>
      </c>
      <c r="I9" s="517">
        <f t="shared" si="4"/>
        <v>830741</v>
      </c>
      <c r="J9" s="517">
        <f t="shared" si="4"/>
        <v>3188290</v>
      </c>
      <c r="K9" s="517">
        <f t="shared" si="4"/>
        <v>3982117</v>
      </c>
      <c r="L9" s="517">
        <f t="shared" si="4"/>
        <v>1647608</v>
      </c>
      <c r="M9" s="517">
        <f t="shared" si="4"/>
        <v>0</v>
      </c>
      <c r="N9" s="508"/>
      <c r="O9" s="508"/>
      <c r="P9" s="508"/>
      <c r="Q9" s="508"/>
    </row>
    <row r="10" spans="1:17" ht="29.25" customHeight="1" x14ac:dyDescent="0.35">
      <c r="A10" s="508"/>
      <c r="B10" s="509"/>
      <c r="C10" s="510"/>
      <c r="D10" s="511"/>
      <c r="E10" s="522" t="s">
        <v>348</v>
      </c>
      <c r="F10" s="517">
        <f t="shared" ref="F10:M10" si="5">F97+F120+F154+F110</f>
        <v>53694894</v>
      </c>
      <c r="G10" s="517">
        <f t="shared" si="5"/>
        <v>53694894</v>
      </c>
      <c r="H10" s="517">
        <f t="shared" si="5"/>
        <v>53694894</v>
      </c>
      <c r="I10" s="517">
        <f t="shared" si="5"/>
        <v>0</v>
      </c>
      <c r="J10" s="517">
        <f t="shared" si="5"/>
        <v>2493948</v>
      </c>
      <c r="K10" s="517">
        <f t="shared" si="5"/>
        <v>55902394</v>
      </c>
      <c r="L10" s="517">
        <f t="shared" si="5"/>
        <v>0</v>
      </c>
      <c r="M10" s="517">
        <f t="shared" si="5"/>
        <v>56860791</v>
      </c>
      <c r="N10" s="508"/>
      <c r="O10" s="508"/>
      <c r="P10" s="508"/>
      <c r="Q10" s="508"/>
    </row>
    <row r="11" spans="1:17" ht="29.25" customHeight="1" x14ac:dyDescent="0.35">
      <c r="A11" s="508"/>
      <c r="B11" s="509"/>
      <c r="C11" s="510"/>
      <c r="D11" s="511"/>
      <c r="E11" s="522" t="s">
        <v>807</v>
      </c>
      <c r="F11" s="517">
        <f>F37+F39</f>
        <v>2398652</v>
      </c>
      <c r="G11" s="517">
        <f t="shared" ref="G11:M11" si="6">G37+G39</f>
        <v>2945343</v>
      </c>
      <c r="H11" s="517">
        <f t="shared" si="6"/>
        <v>2945343</v>
      </c>
      <c r="I11" s="517">
        <f t="shared" si="6"/>
        <v>0</v>
      </c>
      <c r="J11" s="517">
        <f t="shared" si="6"/>
        <v>0</v>
      </c>
      <c r="K11" s="517">
        <f t="shared" si="6"/>
        <v>3272663</v>
      </c>
      <c r="L11" s="517">
        <f t="shared" si="6"/>
        <v>0</v>
      </c>
      <c r="M11" s="517">
        <f t="shared" si="6"/>
        <v>3272663</v>
      </c>
      <c r="N11" s="508"/>
      <c r="O11" s="508"/>
      <c r="P11" s="508"/>
      <c r="Q11" s="508"/>
    </row>
    <row r="12" spans="1:17" ht="29.25" customHeight="1" x14ac:dyDescent="0.35">
      <c r="A12" s="508"/>
      <c r="B12" s="509"/>
      <c r="C12" s="510"/>
      <c r="D12" s="511"/>
      <c r="E12" s="522" t="s">
        <v>806</v>
      </c>
      <c r="F12" s="517">
        <f>F38</f>
        <v>73671</v>
      </c>
      <c r="G12" s="517">
        <f t="shared" ref="G12:M12" si="7">G38</f>
        <v>73671</v>
      </c>
      <c r="H12" s="517">
        <f t="shared" si="7"/>
        <v>73671</v>
      </c>
      <c r="I12" s="517">
        <f t="shared" si="7"/>
        <v>0</v>
      </c>
      <c r="J12" s="517">
        <f t="shared" si="7"/>
        <v>0</v>
      </c>
      <c r="K12" s="517">
        <f t="shared" si="7"/>
        <v>265919</v>
      </c>
      <c r="L12" s="517">
        <f t="shared" si="7"/>
        <v>0</v>
      </c>
      <c r="M12" s="517">
        <f t="shared" si="7"/>
        <v>265919</v>
      </c>
      <c r="N12" s="508"/>
      <c r="O12" s="508"/>
      <c r="P12" s="508"/>
      <c r="Q12" s="508"/>
    </row>
    <row r="13" spans="1:17" ht="29.25" customHeight="1" x14ac:dyDescent="0.35">
      <c r="A13" s="508"/>
      <c r="B13" s="509"/>
      <c r="C13" s="510"/>
      <c r="D13" s="511"/>
      <c r="E13" s="459" t="s">
        <v>803</v>
      </c>
      <c r="F13" s="517">
        <f t="shared" ref="F13:M13" si="8">F80+F98+F111+F116+F134+F130</f>
        <v>3827093</v>
      </c>
      <c r="G13" s="517">
        <f t="shared" si="8"/>
        <v>3827093</v>
      </c>
      <c r="H13" s="517">
        <f t="shared" si="8"/>
        <v>3827093</v>
      </c>
      <c r="I13" s="517">
        <f t="shared" si="8"/>
        <v>0</v>
      </c>
      <c r="J13" s="517">
        <f t="shared" si="8"/>
        <v>0</v>
      </c>
      <c r="K13" s="517">
        <f t="shared" si="8"/>
        <v>1813149</v>
      </c>
      <c r="L13" s="517">
        <f t="shared" si="8"/>
        <v>0</v>
      </c>
      <c r="M13" s="517">
        <f t="shared" si="8"/>
        <v>1818697</v>
      </c>
      <c r="N13" s="508"/>
      <c r="O13" s="508"/>
      <c r="P13" s="508"/>
      <c r="Q13" s="508"/>
    </row>
    <row r="14" spans="1:17" ht="29.25" customHeight="1" x14ac:dyDescent="0.35">
      <c r="A14" s="508"/>
      <c r="B14" s="509"/>
      <c r="C14" s="510"/>
      <c r="D14" s="511"/>
      <c r="E14" s="459" t="s">
        <v>804</v>
      </c>
      <c r="F14" s="517">
        <f t="shared" ref="F14:M14" si="9">F57+F73+F112+F117+F122+F124+F126+F127+F56+F78+F81+F95+F108+F139+F141+F145+F147+F153+F161+F163+F171+F173+F176</f>
        <v>68931458</v>
      </c>
      <c r="G14" s="517">
        <f t="shared" si="9"/>
        <v>68931458</v>
      </c>
      <c r="H14" s="517">
        <f t="shared" si="9"/>
        <v>68931458</v>
      </c>
      <c r="I14" s="517">
        <f t="shared" si="9"/>
        <v>0</v>
      </c>
      <c r="J14" s="517">
        <f t="shared" si="9"/>
        <v>0</v>
      </c>
      <c r="K14" s="517">
        <f t="shared" si="9"/>
        <v>2988731</v>
      </c>
      <c r="L14" s="517">
        <f t="shared" si="9"/>
        <v>0</v>
      </c>
      <c r="M14" s="517">
        <f t="shared" si="9"/>
        <v>3336809</v>
      </c>
      <c r="N14" s="508"/>
      <c r="O14" s="508"/>
      <c r="P14" s="508"/>
      <c r="Q14" s="508"/>
    </row>
    <row r="15" spans="1:17" ht="29.25" customHeight="1" x14ac:dyDescent="0.35">
      <c r="A15" s="508"/>
      <c r="B15" s="509"/>
      <c r="C15" s="510"/>
      <c r="D15" s="511"/>
      <c r="E15" s="459" t="s">
        <v>1257</v>
      </c>
      <c r="F15" s="517">
        <f t="shared" ref="F15:M15" si="10">F113+F119+F121+F123+F125+F91+F136+F132+F156+F157</f>
        <v>2068149</v>
      </c>
      <c r="G15" s="517">
        <f t="shared" si="10"/>
        <v>2068149</v>
      </c>
      <c r="H15" s="517">
        <f t="shared" si="10"/>
        <v>2068149</v>
      </c>
      <c r="I15" s="517">
        <f t="shared" si="10"/>
        <v>0</v>
      </c>
      <c r="J15" s="517">
        <f t="shared" si="10"/>
        <v>480000</v>
      </c>
      <c r="K15" s="517">
        <f t="shared" si="10"/>
        <v>4472407</v>
      </c>
      <c r="L15" s="517">
        <f t="shared" si="10"/>
        <v>0</v>
      </c>
      <c r="M15" s="517">
        <f t="shared" si="10"/>
        <v>4485763</v>
      </c>
      <c r="N15" s="508"/>
      <c r="O15" s="508"/>
      <c r="P15" s="508"/>
      <c r="Q15" s="508"/>
    </row>
    <row r="16" spans="1:17" ht="29.25" customHeight="1" x14ac:dyDescent="0.35">
      <c r="A16" s="508"/>
      <c r="B16" s="509"/>
      <c r="C16" s="510"/>
      <c r="D16" s="511"/>
      <c r="E16" s="459" t="s">
        <v>1085</v>
      </c>
      <c r="F16" s="517">
        <f>F128</f>
        <v>0</v>
      </c>
      <c r="G16" s="517">
        <f t="shared" ref="G16:M16" si="11">G128</f>
        <v>0</v>
      </c>
      <c r="H16" s="517">
        <f t="shared" si="11"/>
        <v>0</v>
      </c>
      <c r="I16" s="517">
        <f t="shared" si="11"/>
        <v>0</v>
      </c>
      <c r="J16" s="517">
        <f t="shared" si="11"/>
        <v>0</v>
      </c>
      <c r="K16" s="517">
        <f t="shared" si="11"/>
        <v>373292</v>
      </c>
      <c r="L16" s="517">
        <f t="shared" si="11"/>
        <v>0</v>
      </c>
      <c r="M16" s="517">
        <f t="shared" si="11"/>
        <v>373292</v>
      </c>
      <c r="N16" s="508"/>
      <c r="O16" s="508"/>
      <c r="P16" s="508"/>
      <c r="Q16" s="508"/>
    </row>
    <row r="17" spans="1:17" ht="29.25" customHeight="1" x14ac:dyDescent="0.35">
      <c r="A17" s="508"/>
      <c r="B17" s="509"/>
      <c r="C17" s="510"/>
      <c r="D17" s="511"/>
      <c r="E17" s="459" t="s">
        <v>808</v>
      </c>
      <c r="F17" s="508">
        <f t="shared" ref="F17:M17" si="12">F48+F102</f>
        <v>0</v>
      </c>
      <c r="G17" s="508">
        <f t="shared" si="12"/>
        <v>24506</v>
      </c>
      <c r="H17" s="508">
        <f t="shared" si="12"/>
        <v>12609</v>
      </c>
      <c r="I17" s="508">
        <f t="shared" si="12"/>
        <v>0</v>
      </c>
      <c r="J17" s="508">
        <f t="shared" si="12"/>
        <v>0</v>
      </c>
      <c r="K17" s="508">
        <f t="shared" si="12"/>
        <v>0</v>
      </c>
      <c r="L17" s="508">
        <f t="shared" si="12"/>
        <v>0</v>
      </c>
      <c r="M17" s="508">
        <f t="shared" si="12"/>
        <v>0</v>
      </c>
      <c r="N17" s="508"/>
      <c r="O17" s="508"/>
      <c r="P17" s="508"/>
      <c r="Q17" s="508"/>
    </row>
    <row r="18" spans="1:17" ht="29.25" customHeight="1" x14ac:dyDescent="0.35">
      <c r="A18" s="508"/>
      <c r="B18" s="509"/>
      <c r="C18" s="510"/>
      <c r="D18" s="511"/>
      <c r="E18" s="459" t="s">
        <v>495</v>
      </c>
      <c r="F18" s="517">
        <f t="shared" ref="F18:M18" si="13">F29+F34+F35+F53+F59</f>
        <v>0</v>
      </c>
      <c r="G18" s="517">
        <f t="shared" si="13"/>
        <v>0</v>
      </c>
      <c r="H18" s="517">
        <f t="shared" si="13"/>
        <v>0</v>
      </c>
      <c r="I18" s="517">
        <f t="shared" si="13"/>
        <v>0</v>
      </c>
      <c r="J18" s="517">
        <f t="shared" si="13"/>
        <v>0</v>
      </c>
      <c r="K18" s="517">
        <f t="shared" si="13"/>
        <v>723368</v>
      </c>
      <c r="L18" s="517">
        <f t="shared" si="13"/>
        <v>0</v>
      </c>
      <c r="M18" s="517">
        <f t="shared" si="13"/>
        <v>331000</v>
      </c>
      <c r="N18" s="508"/>
      <c r="O18" s="508"/>
      <c r="P18" s="508"/>
      <c r="Q18" s="508"/>
    </row>
    <row r="19" spans="1:17" ht="29.25" customHeight="1" x14ac:dyDescent="0.35">
      <c r="A19" s="508"/>
      <c r="B19" s="509"/>
      <c r="C19" s="510"/>
      <c r="D19" s="511"/>
      <c r="E19" s="459" t="s">
        <v>845</v>
      </c>
      <c r="F19" s="517">
        <f t="shared" ref="F19:M19" si="14">F30+F31+F32+F33+F44+F54+F62+F63+F66+F68+F103+F106+F107+F140</f>
        <v>13866</v>
      </c>
      <c r="G19" s="517">
        <f t="shared" si="14"/>
        <v>13866</v>
      </c>
      <c r="H19" s="517">
        <f t="shared" si="14"/>
        <v>0</v>
      </c>
      <c r="I19" s="517">
        <f t="shared" si="14"/>
        <v>18058</v>
      </c>
      <c r="J19" s="517">
        <f t="shared" si="14"/>
        <v>374408</v>
      </c>
      <c r="K19" s="517">
        <f t="shared" si="14"/>
        <v>384103</v>
      </c>
      <c r="L19" s="517">
        <f t="shared" si="14"/>
        <v>0</v>
      </c>
      <c r="M19" s="517">
        <f t="shared" si="14"/>
        <v>0</v>
      </c>
      <c r="N19" s="508"/>
      <c r="O19" s="508"/>
      <c r="P19" s="508"/>
      <c r="Q19" s="508"/>
    </row>
    <row r="20" spans="1:17" ht="29.25" customHeight="1" x14ac:dyDescent="0.35">
      <c r="A20" s="508"/>
      <c r="B20" s="509"/>
      <c r="C20" s="510"/>
      <c r="D20" s="511"/>
      <c r="E20" s="459" t="s">
        <v>810</v>
      </c>
      <c r="F20" s="517">
        <f>F142</f>
        <v>0</v>
      </c>
      <c r="G20" s="517">
        <f t="shared" ref="G20:M20" si="15">G142</f>
        <v>0</v>
      </c>
      <c r="H20" s="517">
        <f t="shared" si="15"/>
        <v>0</v>
      </c>
      <c r="I20" s="517">
        <f>I142</f>
        <v>812683</v>
      </c>
      <c r="J20" s="517">
        <f t="shared" si="15"/>
        <v>2595882</v>
      </c>
      <c r="K20" s="517">
        <f t="shared" si="15"/>
        <v>3598014</v>
      </c>
      <c r="L20" s="517">
        <f t="shared" si="15"/>
        <v>1647608</v>
      </c>
      <c r="M20" s="517">
        <f t="shared" si="15"/>
        <v>0</v>
      </c>
      <c r="N20" s="508"/>
      <c r="O20" s="508"/>
      <c r="P20" s="508"/>
      <c r="Q20" s="508"/>
    </row>
    <row r="21" spans="1:17" ht="29.25" customHeight="1" x14ac:dyDescent="0.35">
      <c r="A21" s="508"/>
      <c r="B21" s="509"/>
      <c r="C21" s="510"/>
      <c r="D21" s="511"/>
      <c r="E21" s="459" t="s">
        <v>805</v>
      </c>
      <c r="F21" s="517">
        <f t="shared" ref="F21:M21" si="16">F115+F129+F131+F195</f>
        <v>2379446</v>
      </c>
      <c r="G21" s="517">
        <f t="shared" si="16"/>
        <v>4401118</v>
      </c>
      <c r="H21" s="517">
        <f t="shared" si="16"/>
        <v>0</v>
      </c>
      <c r="I21" s="517">
        <f t="shared" si="16"/>
        <v>0</v>
      </c>
      <c r="J21" s="517">
        <f t="shared" si="16"/>
        <v>0</v>
      </c>
      <c r="K21" s="517">
        <f t="shared" si="16"/>
        <v>0</v>
      </c>
      <c r="L21" s="517">
        <f t="shared" si="16"/>
        <v>0</v>
      </c>
      <c r="M21" s="517">
        <f t="shared" si="16"/>
        <v>0</v>
      </c>
      <c r="N21" s="508"/>
      <c r="O21" s="508"/>
      <c r="P21" s="508"/>
      <c r="Q21" s="508"/>
    </row>
    <row r="22" spans="1:17" ht="29.25" customHeight="1" x14ac:dyDescent="0.35">
      <c r="A22" s="508"/>
      <c r="B22" s="509"/>
      <c r="C22" s="510"/>
      <c r="D22" s="511"/>
      <c r="E22" s="459" t="s">
        <v>730</v>
      </c>
      <c r="F22" s="517">
        <f>F144+F150</f>
        <v>4500</v>
      </c>
      <c r="G22" s="517">
        <f t="shared" ref="G22:M22" si="17">G144+G150</f>
        <v>75000</v>
      </c>
      <c r="H22" s="517">
        <f t="shared" si="17"/>
        <v>84000</v>
      </c>
      <c r="I22" s="517">
        <f t="shared" si="17"/>
        <v>0</v>
      </c>
      <c r="J22" s="517">
        <f t="shared" si="17"/>
        <v>218000</v>
      </c>
      <c r="K22" s="517">
        <f t="shared" si="17"/>
        <v>0</v>
      </c>
      <c r="L22" s="517">
        <f t="shared" si="17"/>
        <v>0</v>
      </c>
      <c r="M22" s="517">
        <f t="shared" si="17"/>
        <v>0</v>
      </c>
      <c r="N22" s="508"/>
      <c r="O22" s="508"/>
      <c r="P22" s="508"/>
      <c r="Q22" s="508"/>
    </row>
    <row r="23" spans="1:17" ht="29.25" customHeight="1" x14ac:dyDescent="0.35">
      <c r="A23" s="516"/>
      <c r="B23" s="513"/>
      <c r="C23" s="514"/>
      <c r="D23" s="515" t="s">
        <v>802</v>
      </c>
      <c r="E23" s="516"/>
      <c r="F23" s="519">
        <f>F24+F25</f>
        <v>0</v>
      </c>
      <c r="G23" s="519">
        <f t="shared" ref="G23:M23" si="18">G24+G25</f>
        <v>0</v>
      </c>
      <c r="H23" s="519">
        <f t="shared" si="18"/>
        <v>0</v>
      </c>
      <c r="I23" s="519">
        <f t="shared" si="18"/>
        <v>35000</v>
      </c>
      <c r="J23" s="519">
        <f t="shared" si="18"/>
        <v>725000</v>
      </c>
      <c r="K23" s="519">
        <f t="shared" si="18"/>
        <v>1390000</v>
      </c>
      <c r="L23" s="519">
        <f t="shared" si="18"/>
        <v>0</v>
      </c>
      <c r="M23" s="519">
        <f t="shared" si="18"/>
        <v>314400</v>
      </c>
      <c r="N23" s="516"/>
      <c r="O23" s="516"/>
      <c r="P23" s="516"/>
      <c r="Q23" s="516"/>
    </row>
    <row r="24" spans="1:17" ht="32.25" customHeight="1" x14ac:dyDescent="0.35">
      <c r="A24" s="508"/>
      <c r="B24" s="868" t="s">
        <v>202</v>
      </c>
      <c r="C24" s="869"/>
      <c r="D24" s="870"/>
      <c r="E24" s="508"/>
      <c r="F24" s="508">
        <v>0</v>
      </c>
      <c r="G24" s="508">
        <v>0</v>
      </c>
      <c r="H24" s="508">
        <v>0</v>
      </c>
      <c r="I24" s="508">
        <v>0</v>
      </c>
      <c r="J24" s="508">
        <v>0</v>
      </c>
      <c r="K24" s="508">
        <v>0</v>
      </c>
      <c r="L24" s="508">
        <v>0</v>
      </c>
      <c r="M24" s="508">
        <v>0</v>
      </c>
      <c r="N24" s="508"/>
      <c r="O24" s="508"/>
      <c r="P24" s="508"/>
      <c r="Q24" s="508"/>
    </row>
    <row r="25" spans="1:17" ht="33.75" customHeight="1" x14ac:dyDescent="0.35">
      <c r="A25" s="508"/>
      <c r="B25" s="868" t="s">
        <v>203</v>
      </c>
      <c r="C25" s="869"/>
      <c r="D25" s="870"/>
      <c r="E25" s="508"/>
      <c r="F25" s="517">
        <f>F26</f>
        <v>0</v>
      </c>
      <c r="G25" s="517">
        <f t="shared" ref="G25:M25" si="19">G26</f>
        <v>0</v>
      </c>
      <c r="H25" s="517">
        <f t="shared" si="19"/>
        <v>0</v>
      </c>
      <c r="I25" s="517">
        <f t="shared" si="19"/>
        <v>35000</v>
      </c>
      <c r="J25" s="517">
        <f t="shared" si="19"/>
        <v>725000</v>
      </c>
      <c r="K25" s="517">
        <f t="shared" si="19"/>
        <v>1390000</v>
      </c>
      <c r="L25" s="517">
        <f t="shared" si="19"/>
        <v>0</v>
      </c>
      <c r="M25" s="517">
        <f t="shared" si="19"/>
        <v>314400</v>
      </c>
      <c r="N25" s="508"/>
      <c r="O25" s="508"/>
      <c r="P25" s="508"/>
      <c r="Q25" s="508"/>
    </row>
    <row r="26" spans="1:17" ht="56.25" customHeight="1" x14ac:dyDescent="0.35">
      <c r="A26" s="512"/>
      <c r="B26" s="865"/>
      <c r="C26" s="866"/>
      <c r="D26" s="867"/>
      <c r="E26" s="374" t="s">
        <v>809</v>
      </c>
      <c r="F26" s="518">
        <f t="shared" ref="F26:M26" si="20">F182+F183+F184+F185+F192</f>
        <v>0</v>
      </c>
      <c r="G26" s="518">
        <f t="shared" si="20"/>
        <v>0</v>
      </c>
      <c r="H26" s="518">
        <f t="shared" si="20"/>
        <v>0</v>
      </c>
      <c r="I26" s="518">
        <f>I182+I183+I184+I185+I192</f>
        <v>35000</v>
      </c>
      <c r="J26" s="518">
        <f t="shared" si="20"/>
        <v>725000</v>
      </c>
      <c r="K26" s="518">
        <f t="shared" si="20"/>
        <v>1390000</v>
      </c>
      <c r="L26" s="518">
        <f t="shared" si="20"/>
        <v>0</v>
      </c>
      <c r="M26" s="518">
        <f t="shared" si="20"/>
        <v>314400</v>
      </c>
      <c r="N26" s="512"/>
      <c r="O26" s="512"/>
      <c r="P26" s="512"/>
      <c r="Q26" s="512"/>
    </row>
    <row r="27" spans="1:17" ht="50.25" customHeight="1" x14ac:dyDescent="0.35">
      <c r="A27" s="857" t="s">
        <v>0</v>
      </c>
      <c r="B27" s="858"/>
      <c r="C27" s="854" t="s">
        <v>1225</v>
      </c>
      <c r="D27" s="855"/>
      <c r="E27" s="856"/>
      <c r="F27" s="464">
        <f t="shared" ref="F27:M27" si="21">F28+F36+F41+F58+F60+F64+F75</f>
        <v>31319412</v>
      </c>
      <c r="G27" s="464">
        <f t="shared" si="21"/>
        <v>31878712</v>
      </c>
      <c r="H27" s="464">
        <f t="shared" si="21"/>
        <v>31864846</v>
      </c>
      <c r="I27" s="464">
        <f t="shared" si="21"/>
        <v>18058</v>
      </c>
      <c r="J27" s="464">
        <f t="shared" si="21"/>
        <v>332058</v>
      </c>
      <c r="K27" s="464">
        <f t="shared" si="21"/>
        <v>4695098</v>
      </c>
      <c r="L27" s="464">
        <f t="shared" si="21"/>
        <v>0</v>
      </c>
      <c r="M27" s="464">
        <f t="shared" si="21"/>
        <v>4087934</v>
      </c>
      <c r="N27" s="14"/>
      <c r="O27" s="14"/>
      <c r="P27" s="14"/>
      <c r="Q27" s="14"/>
    </row>
    <row r="28" spans="1:17" ht="46.5" customHeight="1" x14ac:dyDescent="0.35">
      <c r="A28" s="851" t="s">
        <v>8</v>
      </c>
      <c r="B28" s="852"/>
      <c r="C28" s="852"/>
      <c r="D28" s="852"/>
      <c r="E28" s="853"/>
      <c r="F28" s="101">
        <f>SUM(F29:F35)</f>
        <v>13866</v>
      </c>
      <c r="G28" s="101">
        <f t="shared" ref="G28:M28" si="22">SUM(G29:G35)</f>
        <v>13866</v>
      </c>
      <c r="H28" s="101">
        <f t="shared" si="22"/>
        <v>0</v>
      </c>
      <c r="I28" s="101">
        <f t="shared" si="22"/>
        <v>0</v>
      </c>
      <c r="J28" s="101">
        <f t="shared" si="22"/>
        <v>98500</v>
      </c>
      <c r="K28" s="101">
        <f t="shared" si="22"/>
        <v>365300</v>
      </c>
      <c r="L28" s="101">
        <f t="shared" si="22"/>
        <v>0</v>
      </c>
      <c r="M28" s="101">
        <f t="shared" si="22"/>
        <v>188800</v>
      </c>
      <c r="N28" s="7"/>
      <c r="O28" s="7"/>
      <c r="P28" s="7"/>
      <c r="Q28" s="7"/>
    </row>
    <row r="29" spans="1:17" ht="87" customHeight="1" x14ac:dyDescent="0.35">
      <c r="A29" s="163" t="s">
        <v>9</v>
      </c>
      <c r="B29" s="487" t="s">
        <v>949</v>
      </c>
      <c r="C29" s="470" t="s">
        <v>950</v>
      </c>
      <c r="D29" s="470" t="s">
        <v>10</v>
      </c>
      <c r="E29" s="470" t="s">
        <v>760</v>
      </c>
      <c r="F29" s="424">
        <v>0</v>
      </c>
      <c r="G29" s="424">
        <v>0</v>
      </c>
      <c r="H29" s="424">
        <v>0</v>
      </c>
      <c r="I29" s="163">
        <v>0</v>
      </c>
      <c r="J29" s="69">
        <v>0</v>
      </c>
      <c r="K29" s="69">
        <v>54300</v>
      </c>
      <c r="L29" s="69">
        <v>0</v>
      </c>
      <c r="M29" s="69">
        <v>54300</v>
      </c>
      <c r="N29" s="504" t="s">
        <v>11</v>
      </c>
      <c r="O29" s="374" t="s">
        <v>1136</v>
      </c>
      <c r="P29" s="163" t="s">
        <v>202</v>
      </c>
      <c r="Q29" s="840" t="s">
        <v>833</v>
      </c>
    </row>
    <row r="30" spans="1:17" s="181" customFormat="1" ht="51" customHeight="1" x14ac:dyDescent="0.35">
      <c r="A30" s="17" t="s">
        <v>12</v>
      </c>
      <c r="B30" s="469" t="s">
        <v>1209</v>
      </c>
      <c r="C30" s="469" t="s">
        <v>948</v>
      </c>
      <c r="D30" s="469" t="s">
        <v>649</v>
      </c>
      <c r="E30" s="469" t="s">
        <v>698</v>
      </c>
      <c r="F30" s="71">
        <v>0</v>
      </c>
      <c r="G30" s="71">
        <v>0</v>
      </c>
      <c r="H30" s="71">
        <v>0</v>
      </c>
      <c r="I30" s="138">
        <v>0</v>
      </c>
      <c r="J30" s="138">
        <v>60500</v>
      </c>
      <c r="K30" s="138">
        <v>0</v>
      </c>
      <c r="L30" s="138">
        <v>0</v>
      </c>
      <c r="M30" s="138">
        <v>0</v>
      </c>
      <c r="N30" s="476" t="s">
        <v>13</v>
      </c>
      <c r="O30" s="476" t="s">
        <v>1137</v>
      </c>
      <c r="P30" s="17" t="s">
        <v>482</v>
      </c>
      <c r="Q30" s="841" t="s">
        <v>45</v>
      </c>
    </row>
    <row r="31" spans="1:17" s="181" customFormat="1" ht="49.5" customHeight="1" x14ac:dyDescent="0.35">
      <c r="A31" s="17" t="s">
        <v>516</v>
      </c>
      <c r="B31" s="469" t="s">
        <v>945</v>
      </c>
      <c r="C31" s="469" t="s">
        <v>946</v>
      </c>
      <c r="D31" s="469" t="s">
        <v>947</v>
      </c>
      <c r="E31" s="469" t="s">
        <v>698</v>
      </c>
      <c r="F31" s="240">
        <v>0</v>
      </c>
      <c r="G31" s="240">
        <v>0</v>
      </c>
      <c r="H31" s="240">
        <v>0</v>
      </c>
      <c r="I31" s="17">
        <v>0</v>
      </c>
      <c r="J31" s="138">
        <v>0</v>
      </c>
      <c r="K31" s="138">
        <v>181500</v>
      </c>
      <c r="L31" s="138">
        <v>0</v>
      </c>
      <c r="M31" s="138">
        <v>0</v>
      </c>
      <c r="N31" s="476" t="s">
        <v>13</v>
      </c>
      <c r="O31" s="476" t="s">
        <v>651</v>
      </c>
      <c r="P31" s="17" t="s">
        <v>482</v>
      </c>
      <c r="Q31" s="841" t="s">
        <v>215</v>
      </c>
    </row>
    <row r="32" spans="1:17" s="181" customFormat="1" ht="49.5" customHeight="1" x14ac:dyDescent="0.35">
      <c r="A32" s="17" t="s">
        <v>653</v>
      </c>
      <c r="B32" s="469" t="s">
        <v>1210</v>
      </c>
      <c r="C32" s="469" t="s">
        <v>943</v>
      </c>
      <c r="D32" s="469" t="s">
        <v>944</v>
      </c>
      <c r="E32" s="469" t="s">
        <v>698</v>
      </c>
      <c r="F32" s="240">
        <v>0</v>
      </c>
      <c r="G32" s="240">
        <v>0</v>
      </c>
      <c r="H32" s="240">
        <v>0</v>
      </c>
      <c r="I32" s="17">
        <v>0</v>
      </c>
      <c r="J32" s="138">
        <v>38000</v>
      </c>
      <c r="K32" s="138">
        <v>0</v>
      </c>
      <c r="L32" s="138">
        <v>0</v>
      </c>
      <c r="M32" s="138">
        <v>0</v>
      </c>
      <c r="N32" s="476" t="s">
        <v>13</v>
      </c>
      <c r="O32" s="476" t="s">
        <v>1137</v>
      </c>
      <c r="P32" s="17" t="s">
        <v>482</v>
      </c>
      <c r="Q32" s="841" t="s">
        <v>45</v>
      </c>
    </row>
    <row r="33" spans="1:17" s="181" customFormat="1" ht="48" customHeight="1" x14ac:dyDescent="0.35">
      <c r="A33" s="17" t="s">
        <v>654</v>
      </c>
      <c r="B33" s="469" t="s">
        <v>940</v>
      </c>
      <c r="C33" s="469" t="s">
        <v>941</v>
      </c>
      <c r="D33" s="469" t="s">
        <v>942</v>
      </c>
      <c r="E33" s="469" t="s">
        <v>698</v>
      </c>
      <c r="F33" s="71">
        <v>13866</v>
      </c>
      <c r="G33" s="71">
        <v>13866</v>
      </c>
      <c r="H33" s="71">
        <v>0</v>
      </c>
      <c r="I33" s="138">
        <v>0</v>
      </c>
      <c r="J33" s="138">
        <v>0</v>
      </c>
      <c r="K33" s="138">
        <v>0</v>
      </c>
      <c r="L33" s="138">
        <v>0</v>
      </c>
      <c r="M33" s="138">
        <v>0</v>
      </c>
      <c r="N33" s="476" t="s">
        <v>13</v>
      </c>
      <c r="O33" s="476" t="s">
        <v>652</v>
      </c>
      <c r="P33" s="17" t="s">
        <v>482</v>
      </c>
      <c r="Q33" s="841" t="s">
        <v>45</v>
      </c>
    </row>
    <row r="34" spans="1:17" ht="111" customHeight="1" x14ac:dyDescent="0.35">
      <c r="A34" s="481" t="s">
        <v>278</v>
      </c>
      <c r="B34" s="497" t="s">
        <v>939</v>
      </c>
      <c r="C34" s="803" t="s">
        <v>1128</v>
      </c>
      <c r="D34" s="803" t="s">
        <v>1129</v>
      </c>
      <c r="E34" s="803" t="s">
        <v>760</v>
      </c>
      <c r="F34" s="425">
        <v>0</v>
      </c>
      <c r="G34" s="425">
        <v>0</v>
      </c>
      <c r="H34" s="425">
        <v>0</v>
      </c>
      <c r="I34" s="21">
        <v>0</v>
      </c>
      <c r="J34" s="426">
        <v>0</v>
      </c>
      <c r="K34" s="426">
        <v>54300</v>
      </c>
      <c r="L34" s="426">
        <v>0</v>
      </c>
      <c r="M34" s="426">
        <v>54300</v>
      </c>
      <c r="N34" s="505" t="s">
        <v>11</v>
      </c>
      <c r="O34" s="798" t="s">
        <v>1139</v>
      </c>
      <c r="P34" s="21" t="s">
        <v>202</v>
      </c>
      <c r="Q34" s="842" t="s">
        <v>833</v>
      </c>
    </row>
    <row r="35" spans="1:17" ht="50.25" customHeight="1" x14ac:dyDescent="0.35">
      <c r="A35" s="239" t="s">
        <v>737</v>
      </c>
      <c r="B35" s="479" t="s">
        <v>936</v>
      </c>
      <c r="C35" s="469" t="s">
        <v>937</v>
      </c>
      <c r="D35" s="469" t="s">
        <v>938</v>
      </c>
      <c r="E35" s="469" t="s">
        <v>760</v>
      </c>
      <c r="F35" s="240">
        <v>0</v>
      </c>
      <c r="G35" s="240">
        <v>0</v>
      </c>
      <c r="H35" s="240">
        <v>0</v>
      </c>
      <c r="I35" s="3">
        <v>0</v>
      </c>
      <c r="J35" s="30">
        <v>0</v>
      </c>
      <c r="K35" s="30">
        <v>75200</v>
      </c>
      <c r="L35" s="30">
        <v>0</v>
      </c>
      <c r="M35" s="30">
        <v>80200</v>
      </c>
      <c r="N35" s="531" t="s">
        <v>11</v>
      </c>
      <c r="O35" s="476" t="s">
        <v>1138</v>
      </c>
      <c r="P35" s="3" t="s">
        <v>202</v>
      </c>
      <c r="Q35" s="841" t="s">
        <v>833</v>
      </c>
    </row>
    <row r="36" spans="1:17" ht="51.75" customHeight="1" x14ac:dyDescent="0.35">
      <c r="A36" s="851" t="s">
        <v>15</v>
      </c>
      <c r="B36" s="852"/>
      <c r="C36" s="852"/>
      <c r="D36" s="852"/>
      <c r="E36" s="853"/>
      <c r="F36" s="31">
        <f t="shared" ref="F36:M36" si="23">SUM(F37:F40)</f>
        <v>2472323</v>
      </c>
      <c r="G36" s="31">
        <f t="shared" si="23"/>
        <v>3019014</v>
      </c>
      <c r="H36" s="31">
        <f t="shared" si="23"/>
        <v>3019014</v>
      </c>
      <c r="I36" s="31">
        <f t="shared" si="23"/>
        <v>0</v>
      </c>
      <c r="J36" s="31">
        <f t="shared" si="23"/>
        <v>0</v>
      </c>
      <c r="K36" s="31">
        <f t="shared" si="23"/>
        <v>3538582</v>
      </c>
      <c r="L36" s="31">
        <f t="shared" si="23"/>
        <v>0</v>
      </c>
      <c r="M36" s="31">
        <f t="shared" si="23"/>
        <v>3538582</v>
      </c>
      <c r="N36" s="12"/>
      <c r="O36" s="12"/>
      <c r="P36" s="12"/>
      <c r="Q36" s="12"/>
    </row>
    <row r="37" spans="1:17" ht="34.5" customHeight="1" x14ac:dyDescent="0.35">
      <c r="A37" s="882" t="s">
        <v>736</v>
      </c>
      <c r="B37" s="896" t="s">
        <v>930</v>
      </c>
      <c r="C37" s="910" t="s">
        <v>931</v>
      </c>
      <c r="D37" s="961" t="s">
        <v>934</v>
      </c>
      <c r="E37" s="420" t="s">
        <v>761</v>
      </c>
      <c r="F37" s="70">
        <f>2057842+194043</f>
        <v>2251885</v>
      </c>
      <c r="G37" s="70">
        <f>2263626+388086</f>
        <v>2651712</v>
      </c>
      <c r="H37" s="70">
        <f>2263626+388086</f>
        <v>2651712</v>
      </c>
      <c r="I37" s="29">
        <v>0</v>
      </c>
      <c r="J37" s="29">
        <v>0</v>
      </c>
      <c r="K37" s="29">
        <v>3272663</v>
      </c>
      <c r="L37" s="29">
        <v>0</v>
      </c>
      <c r="M37" s="29">
        <v>3272663</v>
      </c>
      <c r="N37" s="861" t="s">
        <v>204</v>
      </c>
      <c r="O37" s="861" t="s">
        <v>1155</v>
      </c>
      <c r="P37" s="966" t="s">
        <v>202</v>
      </c>
      <c r="Q37" s="859" t="s">
        <v>833</v>
      </c>
    </row>
    <row r="38" spans="1:17" ht="51.75" customHeight="1" x14ac:dyDescent="0.35">
      <c r="A38" s="883"/>
      <c r="B38" s="902"/>
      <c r="C38" s="911"/>
      <c r="D38" s="962"/>
      <c r="E38" s="65" t="s">
        <v>762</v>
      </c>
      <c r="F38" s="71">
        <v>73671</v>
      </c>
      <c r="G38" s="71">
        <v>73671</v>
      </c>
      <c r="H38" s="71">
        <v>73671</v>
      </c>
      <c r="I38" s="29">
        <v>0</v>
      </c>
      <c r="J38" s="138">
        <v>0</v>
      </c>
      <c r="K38" s="30">
        <v>265919</v>
      </c>
      <c r="L38" s="30">
        <v>0</v>
      </c>
      <c r="M38" s="30">
        <v>265919</v>
      </c>
      <c r="N38" s="862"/>
      <c r="O38" s="862"/>
      <c r="P38" s="967"/>
      <c r="Q38" s="860"/>
    </row>
    <row r="39" spans="1:17" ht="93.75" customHeight="1" x14ac:dyDescent="0.35">
      <c r="A39" s="883"/>
      <c r="B39" s="902"/>
      <c r="C39" s="818" t="s">
        <v>932</v>
      </c>
      <c r="D39" s="817" t="s">
        <v>738</v>
      </c>
      <c r="E39" s="420" t="s">
        <v>761</v>
      </c>
      <c r="F39" s="71">
        <v>146767</v>
      </c>
      <c r="G39" s="71">
        <v>293631</v>
      </c>
      <c r="H39" s="71">
        <v>293631</v>
      </c>
      <c r="I39" s="29">
        <v>0</v>
      </c>
      <c r="J39" s="138">
        <v>0</v>
      </c>
      <c r="K39" s="138">
        <v>0</v>
      </c>
      <c r="L39" s="138">
        <v>0</v>
      </c>
      <c r="M39" s="138">
        <v>0</v>
      </c>
      <c r="N39" s="504" t="s">
        <v>204</v>
      </c>
      <c r="O39" s="504" t="s">
        <v>280</v>
      </c>
      <c r="P39" s="843" t="s">
        <v>233</v>
      </c>
      <c r="Q39" s="840" t="s">
        <v>833</v>
      </c>
    </row>
    <row r="40" spans="1:17" ht="61.5" customHeight="1" x14ac:dyDescent="0.35">
      <c r="A40" s="884"/>
      <c r="B40" s="897"/>
      <c r="C40" s="65" t="s">
        <v>933</v>
      </c>
      <c r="D40" s="65" t="s">
        <v>935</v>
      </c>
      <c r="E40" s="65"/>
      <c r="F40" s="71">
        <v>0</v>
      </c>
      <c r="G40" s="71">
        <v>0</v>
      </c>
      <c r="H40" s="71">
        <v>0</v>
      </c>
      <c r="I40" s="30">
        <v>0</v>
      </c>
      <c r="J40" s="30">
        <v>0</v>
      </c>
      <c r="K40" s="30">
        <v>0</v>
      </c>
      <c r="L40" s="30">
        <v>0</v>
      </c>
      <c r="M40" s="30">
        <v>0</v>
      </c>
      <c r="N40" s="531" t="s">
        <v>11</v>
      </c>
      <c r="O40" s="531" t="s">
        <v>14</v>
      </c>
      <c r="P40" s="844" t="s">
        <v>233</v>
      </c>
      <c r="Q40" s="841" t="s">
        <v>833</v>
      </c>
    </row>
    <row r="41" spans="1:17" ht="38.25" customHeight="1" x14ac:dyDescent="0.35">
      <c r="A41" s="851" t="s">
        <v>16</v>
      </c>
      <c r="B41" s="852"/>
      <c r="C41" s="852"/>
      <c r="D41" s="852"/>
      <c r="E41" s="853"/>
      <c r="F41" s="31">
        <f t="shared" ref="F41:M41" si="24">SUM(F42:F57)</f>
        <v>11270223</v>
      </c>
      <c r="G41" s="31">
        <f t="shared" si="24"/>
        <v>11282832</v>
      </c>
      <c r="H41" s="31">
        <f t="shared" si="24"/>
        <v>11282832</v>
      </c>
      <c r="I41" s="31">
        <f t="shared" si="24"/>
        <v>0</v>
      </c>
      <c r="J41" s="31">
        <f t="shared" si="24"/>
        <v>65000</v>
      </c>
      <c r="K41" s="31">
        <f t="shared" si="24"/>
        <v>548306</v>
      </c>
      <c r="L41" s="31">
        <f t="shared" si="24"/>
        <v>0</v>
      </c>
      <c r="M41" s="31">
        <f t="shared" si="24"/>
        <v>38938</v>
      </c>
      <c r="N41" s="12"/>
      <c r="O41" s="12"/>
      <c r="P41" s="12"/>
      <c r="Q41" s="12"/>
    </row>
    <row r="42" spans="1:17" ht="49.5" customHeight="1" x14ac:dyDescent="0.35">
      <c r="A42" s="882" t="s">
        <v>279</v>
      </c>
      <c r="B42" s="918" t="s">
        <v>926</v>
      </c>
      <c r="C42" s="67" t="s">
        <v>927</v>
      </c>
      <c r="D42" s="67" t="s">
        <v>929</v>
      </c>
      <c r="E42" s="418"/>
      <c r="F42" s="347">
        <v>0</v>
      </c>
      <c r="G42" s="347">
        <v>0</v>
      </c>
      <c r="H42" s="347">
        <v>0</v>
      </c>
      <c r="I42" s="299">
        <v>0</v>
      </c>
      <c r="J42" s="299">
        <v>0</v>
      </c>
      <c r="K42" s="299">
        <v>0</v>
      </c>
      <c r="L42" s="299">
        <v>0</v>
      </c>
      <c r="M42" s="299">
        <v>0</v>
      </c>
      <c r="N42" s="532" t="s">
        <v>13</v>
      </c>
      <c r="O42" s="2" t="s">
        <v>17</v>
      </c>
      <c r="P42" s="191" t="s">
        <v>233</v>
      </c>
      <c r="Q42" s="533" t="s">
        <v>830</v>
      </c>
    </row>
    <row r="43" spans="1:17" ht="66" customHeight="1" x14ac:dyDescent="0.35">
      <c r="A43" s="884"/>
      <c r="B43" s="919"/>
      <c r="C43" s="67" t="s">
        <v>928</v>
      </c>
      <c r="D43" s="67" t="s">
        <v>205</v>
      </c>
      <c r="E43" s="67"/>
      <c r="F43" s="348">
        <v>0</v>
      </c>
      <c r="G43" s="347">
        <v>0</v>
      </c>
      <c r="H43" s="347">
        <v>0</v>
      </c>
      <c r="I43" s="4">
        <v>0</v>
      </c>
      <c r="J43" s="4">
        <v>0</v>
      </c>
      <c r="K43" s="4">
        <v>0</v>
      </c>
      <c r="L43" s="4">
        <v>0</v>
      </c>
      <c r="M43" s="4">
        <v>0</v>
      </c>
      <c r="N43" s="533" t="s">
        <v>11</v>
      </c>
      <c r="O43" s="2" t="s">
        <v>18</v>
      </c>
      <c r="P43" s="191" t="s">
        <v>233</v>
      </c>
      <c r="Q43" s="533" t="s">
        <v>19</v>
      </c>
    </row>
    <row r="44" spans="1:17" ht="66" customHeight="1" x14ac:dyDescent="0.35">
      <c r="A44" s="882" t="s">
        <v>25</v>
      </c>
      <c r="B44" s="896" t="s">
        <v>921</v>
      </c>
      <c r="C44" s="488" t="s">
        <v>922</v>
      </c>
      <c r="D44" s="479" t="s">
        <v>772</v>
      </c>
      <c r="E44" s="65" t="s">
        <v>698</v>
      </c>
      <c r="F44" s="240">
        <v>0</v>
      </c>
      <c r="G44" s="347">
        <v>0</v>
      </c>
      <c r="H44" s="347">
        <v>0</v>
      </c>
      <c r="I44" s="3">
        <v>0</v>
      </c>
      <c r="J44" s="138">
        <v>65000</v>
      </c>
      <c r="K44" s="138">
        <v>65000</v>
      </c>
      <c r="L44" s="3">
        <v>0</v>
      </c>
      <c r="M44" s="3">
        <v>0</v>
      </c>
      <c r="N44" s="531" t="s">
        <v>704</v>
      </c>
      <c r="O44" s="1" t="s">
        <v>1156</v>
      </c>
      <c r="P44" s="3" t="s">
        <v>482</v>
      </c>
      <c r="Q44" s="531" t="s">
        <v>833</v>
      </c>
    </row>
    <row r="45" spans="1:17" ht="66" customHeight="1" x14ac:dyDescent="0.35">
      <c r="A45" s="883"/>
      <c r="B45" s="902"/>
      <c r="C45" s="488" t="s">
        <v>923</v>
      </c>
      <c r="D45" s="479" t="s">
        <v>20</v>
      </c>
      <c r="E45" s="65"/>
      <c r="F45" s="240">
        <v>0</v>
      </c>
      <c r="G45" s="347">
        <v>0</v>
      </c>
      <c r="H45" s="347">
        <v>0</v>
      </c>
      <c r="I45" s="3">
        <v>0</v>
      </c>
      <c r="J45" s="3">
        <v>0</v>
      </c>
      <c r="K45" s="3">
        <v>0</v>
      </c>
      <c r="L45" s="3">
        <v>0</v>
      </c>
      <c r="M45" s="3">
        <v>0</v>
      </c>
      <c r="N45" s="476" t="s">
        <v>11</v>
      </c>
      <c r="O45" s="182" t="s">
        <v>867</v>
      </c>
      <c r="P45" s="191" t="s">
        <v>233</v>
      </c>
      <c r="Q45" s="537" t="s">
        <v>214</v>
      </c>
    </row>
    <row r="46" spans="1:17" ht="48.75" customHeight="1" x14ac:dyDescent="0.35">
      <c r="A46" s="883"/>
      <c r="B46" s="902"/>
      <c r="C46" s="923" t="s">
        <v>924</v>
      </c>
      <c r="D46" s="479" t="s">
        <v>21</v>
      </c>
      <c r="E46" s="65"/>
      <c r="F46" s="240">
        <v>0</v>
      </c>
      <c r="G46" s="347">
        <v>0</v>
      </c>
      <c r="H46" s="347">
        <v>0</v>
      </c>
      <c r="I46" s="3">
        <v>0</v>
      </c>
      <c r="J46" s="3">
        <v>0</v>
      </c>
      <c r="K46" s="3">
        <v>0</v>
      </c>
      <c r="L46" s="3">
        <v>0</v>
      </c>
      <c r="M46" s="3">
        <v>0</v>
      </c>
      <c r="N46" s="885" t="s">
        <v>11</v>
      </c>
      <c r="O46" s="908" t="s">
        <v>867</v>
      </c>
      <c r="P46" s="191" t="s">
        <v>233</v>
      </c>
      <c r="Q46" s="861" t="s">
        <v>23</v>
      </c>
    </row>
    <row r="47" spans="1:17" ht="37.5" customHeight="1" x14ac:dyDescent="0.35">
      <c r="A47" s="883"/>
      <c r="B47" s="902"/>
      <c r="C47" s="924"/>
      <c r="D47" s="479" t="s">
        <v>22</v>
      </c>
      <c r="E47" s="65"/>
      <c r="F47" s="240">
        <v>0</v>
      </c>
      <c r="G47" s="347">
        <v>0</v>
      </c>
      <c r="H47" s="347">
        <v>0</v>
      </c>
      <c r="I47" s="3">
        <v>0</v>
      </c>
      <c r="J47" s="3">
        <v>0</v>
      </c>
      <c r="K47" s="3">
        <v>0</v>
      </c>
      <c r="L47" s="3">
        <v>0</v>
      </c>
      <c r="M47" s="3">
        <v>0</v>
      </c>
      <c r="N47" s="886"/>
      <c r="O47" s="909"/>
      <c r="P47" s="191" t="s">
        <v>233</v>
      </c>
      <c r="Q47" s="862"/>
    </row>
    <row r="48" spans="1:17" ht="51" customHeight="1" x14ac:dyDescent="0.35">
      <c r="A48" s="884"/>
      <c r="B48" s="897"/>
      <c r="C48" s="183" t="s">
        <v>925</v>
      </c>
      <c r="D48" s="65" t="s">
        <v>24</v>
      </c>
      <c r="E48" s="65" t="s">
        <v>763</v>
      </c>
      <c r="F48" s="240">
        <v>0</v>
      </c>
      <c r="G48" s="115">
        <v>12609</v>
      </c>
      <c r="H48" s="115">
        <v>12609</v>
      </c>
      <c r="I48" s="3">
        <v>0</v>
      </c>
      <c r="J48" s="138">
        <v>0</v>
      </c>
      <c r="K48" s="138">
        <v>0</v>
      </c>
      <c r="L48" s="3">
        <v>0</v>
      </c>
      <c r="M48" s="3">
        <v>0</v>
      </c>
      <c r="N48" s="476" t="s">
        <v>74</v>
      </c>
      <c r="O48" s="182" t="s">
        <v>1158</v>
      </c>
      <c r="P48" s="17" t="s">
        <v>233</v>
      </c>
      <c r="Q48" s="531" t="s">
        <v>833</v>
      </c>
    </row>
    <row r="49" spans="1:17" s="489" customFormat="1" ht="66" customHeight="1" x14ac:dyDescent="0.35">
      <c r="A49" s="913" t="s">
        <v>210</v>
      </c>
      <c r="B49" s="910" t="s">
        <v>918</v>
      </c>
      <c r="C49" s="469" t="s">
        <v>739</v>
      </c>
      <c r="D49" s="469" t="s">
        <v>919</v>
      </c>
      <c r="E49" s="469"/>
      <c r="F49" s="354">
        <v>0</v>
      </c>
      <c r="G49" s="471">
        <v>0</v>
      </c>
      <c r="H49" s="471">
        <v>0</v>
      </c>
      <c r="I49" s="298">
        <v>0</v>
      </c>
      <c r="J49" s="298">
        <v>0</v>
      </c>
      <c r="K49" s="298">
        <v>0</v>
      </c>
      <c r="L49" s="298">
        <v>0</v>
      </c>
      <c r="M49" s="298">
        <v>0</v>
      </c>
      <c r="N49" s="534" t="s">
        <v>1157</v>
      </c>
      <c r="O49" s="454" t="s">
        <v>37</v>
      </c>
      <c r="P49" s="298" t="s">
        <v>233</v>
      </c>
      <c r="Q49" s="534" t="s">
        <v>831</v>
      </c>
    </row>
    <row r="50" spans="1:17" s="489" customFormat="1" ht="49.5" customHeight="1" x14ac:dyDescent="0.35">
      <c r="A50" s="963"/>
      <c r="B50" s="941"/>
      <c r="C50" s="469" t="s">
        <v>740</v>
      </c>
      <c r="D50" s="469" t="s">
        <v>920</v>
      </c>
      <c r="E50" s="496"/>
      <c r="F50" s="354">
        <v>0</v>
      </c>
      <c r="G50" s="471">
        <v>0</v>
      </c>
      <c r="H50" s="471">
        <v>0</v>
      </c>
      <c r="I50" s="298">
        <v>0</v>
      </c>
      <c r="J50" s="468">
        <v>0</v>
      </c>
      <c r="K50" s="468">
        <v>0</v>
      </c>
      <c r="L50" s="468">
        <v>0</v>
      </c>
      <c r="M50" s="468">
        <v>0</v>
      </c>
      <c r="N50" s="536" t="s">
        <v>11</v>
      </c>
      <c r="O50" s="804" t="s">
        <v>1159</v>
      </c>
      <c r="P50" s="298" t="s">
        <v>233</v>
      </c>
      <c r="Q50" s="536" t="s">
        <v>521</v>
      </c>
    </row>
    <row r="51" spans="1:17" s="489" customFormat="1" ht="84" customHeight="1" x14ac:dyDescent="0.35">
      <c r="A51" s="914"/>
      <c r="B51" s="911"/>
      <c r="C51" s="469" t="s">
        <v>741</v>
      </c>
      <c r="D51" s="469" t="s">
        <v>211</v>
      </c>
      <c r="E51" s="496"/>
      <c r="F51" s="354">
        <v>0</v>
      </c>
      <c r="G51" s="471">
        <v>0</v>
      </c>
      <c r="H51" s="471">
        <v>0</v>
      </c>
      <c r="I51" s="298">
        <v>0</v>
      </c>
      <c r="J51" s="298">
        <v>0</v>
      </c>
      <c r="K51" s="298">
        <v>0</v>
      </c>
      <c r="L51" s="298">
        <v>0</v>
      </c>
      <c r="M51" s="298">
        <v>0</v>
      </c>
      <c r="N51" s="536" t="s">
        <v>1134</v>
      </c>
      <c r="O51" s="804" t="s">
        <v>1160</v>
      </c>
      <c r="P51" s="468" t="s">
        <v>233</v>
      </c>
      <c r="Q51" s="536" t="s">
        <v>522</v>
      </c>
    </row>
    <row r="52" spans="1:17" s="489" customFormat="1" ht="84" customHeight="1" x14ac:dyDescent="0.35">
      <c r="A52" s="770" t="s">
        <v>742</v>
      </c>
      <c r="B52" s="802" t="s">
        <v>1161</v>
      </c>
      <c r="C52" s="803" t="s">
        <v>1162</v>
      </c>
      <c r="D52" s="803" t="s">
        <v>1163</v>
      </c>
      <c r="E52" s="496"/>
      <c r="F52" s="354">
        <v>0</v>
      </c>
      <c r="G52" s="471">
        <v>0</v>
      </c>
      <c r="H52" s="471">
        <v>0</v>
      </c>
      <c r="I52" s="298">
        <v>0</v>
      </c>
      <c r="J52" s="298">
        <v>0</v>
      </c>
      <c r="K52" s="298">
        <v>0</v>
      </c>
      <c r="L52" s="298">
        <v>0</v>
      </c>
      <c r="M52" s="298">
        <v>0</v>
      </c>
      <c r="N52" s="536" t="s">
        <v>13</v>
      </c>
      <c r="O52" s="804" t="s">
        <v>1164</v>
      </c>
      <c r="P52" s="468" t="s">
        <v>233</v>
      </c>
      <c r="Q52" s="536" t="s">
        <v>1133</v>
      </c>
    </row>
    <row r="53" spans="1:17" ht="66" customHeight="1" x14ac:dyDescent="0.35">
      <c r="A53" s="298" t="s">
        <v>743</v>
      </c>
      <c r="B53" s="183" t="s">
        <v>27</v>
      </c>
      <c r="C53" s="68" t="s">
        <v>28</v>
      </c>
      <c r="D53" s="68" t="s">
        <v>29</v>
      </c>
      <c r="E53" s="65" t="s">
        <v>760</v>
      </c>
      <c r="F53" s="240">
        <v>0</v>
      </c>
      <c r="G53" s="347">
        <v>0</v>
      </c>
      <c r="H53" s="347">
        <v>0</v>
      </c>
      <c r="I53" s="3">
        <v>0</v>
      </c>
      <c r="J53" s="30">
        <v>0</v>
      </c>
      <c r="K53" s="30">
        <v>399368</v>
      </c>
      <c r="L53" s="3">
        <v>0</v>
      </c>
      <c r="M53" s="3">
        <v>0</v>
      </c>
      <c r="N53" s="531" t="s">
        <v>11</v>
      </c>
      <c r="O53" s="1" t="s">
        <v>30</v>
      </c>
      <c r="P53" s="3" t="s">
        <v>202</v>
      </c>
      <c r="Q53" s="531" t="s">
        <v>26</v>
      </c>
    </row>
    <row r="54" spans="1:17" ht="66" customHeight="1" x14ac:dyDescent="0.35">
      <c r="A54" s="298" t="s">
        <v>744</v>
      </c>
      <c r="B54" s="65" t="s">
        <v>31</v>
      </c>
      <c r="C54" s="479" t="s">
        <v>917</v>
      </c>
      <c r="D54" s="479" t="s">
        <v>701</v>
      </c>
      <c r="E54" s="65" t="s">
        <v>698</v>
      </c>
      <c r="F54" s="71">
        <v>0</v>
      </c>
      <c r="G54" s="115">
        <v>0</v>
      </c>
      <c r="H54" s="115">
        <v>0</v>
      </c>
      <c r="I54" s="30">
        <v>0</v>
      </c>
      <c r="J54" s="30">
        <v>0</v>
      </c>
      <c r="K54" s="30">
        <v>45000</v>
      </c>
      <c r="L54" s="30">
        <v>0</v>
      </c>
      <c r="M54" s="30">
        <v>0</v>
      </c>
      <c r="N54" s="534" t="s">
        <v>704</v>
      </c>
      <c r="O54" s="182" t="s">
        <v>1165</v>
      </c>
      <c r="P54" s="3" t="s">
        <v>482</v>
      </c>
      <c r="Q54" s="531" t="s">
        <v>26</v>
      </c>
    </row>
    <row r="55" spans="1:17" s="181" customFormat="1" ht="136" customHeight="1" x14ac:dyDescent="0.35">
      <c r="A55" s="805" t="s">
        <v>745</v>
      </c>
      <c r="B55" s="684" t="s">
        <v>1212</v>
      </c>
      <c r="C55" s="469" t="s">
        <v>1131</v>
      </c>
      <c r="D55" s="469" t="s">
        <v>1132</v>
      </c>
      <c r="E55" s="684"/>
      <c r="F55" s="71">
        <v>0</v>
      </c>
      <c r="G55" s="115">
        <v>0</v>
      </c>
      <c r="H55" s="115">
        <v>0</v>
      </c>
      <c r="I55" s="138">
        <v>0</v>
      </c>
      <c r="J55" s="138">
        <v>0</v>
      </c>
      <c r="K55" s="138">
        <v>0</v>
      </c>
      <c r="L55" s="138">
        <v>0</v>
      </c>
      <c r="M55" s="138">
        <v>0</v>
      </c>
      <c r="N55" s="534" t="s">
        <v>74</v>
      </c>
      <c r="O55" s="182" t="s">
        <v>1140</v>
      </c>
      <c r="P55" s="468" t="s">
        <v>233</v>
      </c>
      <c r="Q55" s="476" t="s">
        <v>1133</v>
      </c>
    </row>
    <row r="56" spans="1:17" ht="101.5" customHeight="1" x14ac:dyDescent="0.35">
      <c r="A56" s="968" t="s">
        <v>746</v>
      </c>
      <c r="B56" s="896" t="s">
        <v>915</v>
      </c>
      <c r="C56" s="479" t="s">
        <v>1185</v>
      </c>
      <c r="D56" s="479" t="s">
        <v>916</v>
      </c>
      <c r="E56" s="684" t="s">
        <v>764</v>
      </c>
      <c r="F56" s="71">
        <v>6778813</v>
      </c>
      <c r="G56" s="71">
        <v>6778813</v>
      </c>
      <c r="H56" s="71">
        <v>6778813</v>
      </c>
      <c r="I56" s="3">
        <v>0</v>
      </c>
      <c r="J56" s="3">
        <v>0</v>
      </c>
      <c r="K56" s="3">
        <v>0</v>
      </c>
      <c r="L56" s="3">
        <v>0</v>
      </c>
      <c r="M56" s="3">
        <v>0</v>
      </c>
      <c r="N56" s="476" t="s">
        <v>14</v>
      </c>
      <c r="O56" s="454" t="s">
        <v>1141</v>
      </c>
      <c r="P56" s="17" t="s">
        <v>233</v>
      </c>
      <c r="Q56" s="531" t="s">
        <v>172</v>
      </c>
    </row>
    <row r="57" spans="1:17" ht="50.25" customHeight="1" x14ac:dyDescent="0.35">
      <c r="A57" s="969"/>
      <c r="B57" s="897"/>
      <c r="C57" s="487" t="s">
        <v>1186</v>
      </c>
      <c r="D57" s="487" t="s">
        <v>771</v>
      </c>
      <c r="E57" s="66" t="s">
        <v>764</v>
      </c>
      <c r="F57" s="71">
        <v>4491410</v>
      </c>
      <c r="G57" s="71">
        <v>4491410</v>
      </c>
      <c r="H57" s="71">
        <v>4491410</v>
      </c>
      <c r="I57" s="163"/>
      <c r="J57" s="69">
        <v>0</v>
      </c>
      <c r="K57" s="69">
        <v>38938</v>
      </c>
      <c r="L57" s="69">
        <v>0</v>
      </c>
      <c r="M57" s="69">
        <v>38938</v>
      </c>
      <c r="N57" s="374" t="s">
        <v>14</v>
      </c>
      <c r="O57" s="751" t="s">
        <v>841</v>
      </c>
      <c r="P57" s="163" t="s">
        <v>202</v>
      </c>
      <c r="Q57" s="752" t="s">
        <v>215</v>
      </c>
    </row>
    <row r="58" spans="1:17" ht="54.75" customHeight="1" x14ac:dyDescent="0.35">
      <c r="A58" s="851" t="s">
        <v>32</v>
      </c>
      <c r="B58" s="852"/>
      <c r="C58" s="852"/>
      <c r="D58" s="852"/>
      <c r="E58" s="853"/>
      <c r="F58" s="101">
        <f t="shared" ref="F58:M58" si="25">SUM(F59:F59)</f>
        <v>0</v>
      </c>
      <c r="G58" s="101">
        <f t="shared" si="25"/>
        <v>0</v>
      </c>
      <c r="H58" s="101">
        <f t="shared" si="25"/>
        <v>0</v>
      </c>
      <c r="I58" s="101">
        <f t="shared" si="25"/>
        <v>0</v>
      </c>
      <c r="J58" s="101">
        <f t="shared" si="25"/>
        <v>0</v>
      </c>
      <c r="K58" s="101">
        <f t="shared" si="25"/>
        <v>140200</v>
      </c>
      <c r="L58" s="101">
        <f t="shared" si="25"/>
        <v>0</v>
      </c>
      <c r="M58" s="101">
        <f t="shared" si="25"/>
        <v>142200</v>
      </c>
      <c r="N58" s="13"/>
      <c r="O58" s="13"/>
      <c r="P58" s="13"/>
      <c r="Q58" s="13"/>
    </row>
    <row r="59" spans="1:17" ht="48.75" customHeight="1" x14ac:dyDescent="0.35">
      <c r="A59" s="191" t="s">
        <v>747</v>
      </c>
      <c r="B59" s="67" t="s">
        <v>912</v>
      </c>
      <c r="C59" s="67" t="s">
        <v>913</v>
      </c>
      <c r="D59" s="67" t="s">
        <v>914</v>
      </c>
      <c r="E59" s="67" t="s">
        <v>760</v>
      </c>
      <c r="F59" s="70">
        <v>0</v>
      </c>
      <c r="G59" s="70">
        <v>0</v>
      </c>
      <c r="H59" s="70">
        <v>0</v>
      </c>
      <c r="I59" s="88">
        <v>0</v>
      </c>
      <c r="J59" s="88">
        <v>0</v>
      </c>
      <c r="K59" s="88">
        <v>140200</v>
      </c>
      <c r="L59" s="88">
        <v>0</v>
      </c>
      <c r="M59" s="88">
        <v>142200</v>
      </c>
      <c r="N59" s="2" t="s">
        <v>11</v>
      </c>
      <c r="O59" s="2" t="s">
        <v>34</v>
      </c>
      <c r="P59" s="4" t="s">
        <v>202</v>
      </c>
      <c r="Q59" s="2" t="s">
        <v>833</v>
      </c>
    </row>
    <row r="60" spans="1:17" ht="56.25" customHeight="1" x14ac:dyDescent="0.35">
      <c r="A60" s="915" t="s">
        <v>35</v>
      </c>
      <c r="B60" s="916"/>
      <c r="C60" s="916"/>
      <c r="D60" s="916"/>
      <c r="E60" s="917"/>
      <c r="F60" s="31">
        <f>SUM(F61:F63)</f>
        <v>0</v>
      </c>
      <c r="G60" s="31">
        <f t="shared" ref="G60:M60" si="26">SUM(G61:G63)</f>
        <v>0</v>
      </c>
      <c r="H60" s="31">
        <f t="shared" si="26"/>
        <v>0</v>
      </c>
      <c r="I60" s="31">
        <f t="shared" si="26"/>
        <v>18058</v>
      </c>
      <c r="J60" s="31">
        <f t="shared" si="26"/>
        <v>78558</v>
      </c>
      <c r="K60" s="31">
        <f t="shared" si="26"/>
        <v>0</v>
      </c>
      <c r="L60" s="31">
        <f t="shared" si="26"/>
        <v>0</v>
      </c>
      <c r="M60" s="31">
        <f t="shared" si="26"/>
        <v>0</v>
      </c>
      <c r="N60" s="12"/>
      <c r="O60" s="12"/>
      <c r="P60" s="12"/>
      <c r="Q60" s="12"/>
    </row>
    <row r="61" spans="1:17" ht="65.5" customHeight="1" x14ac:dyDescent="0.35">
      <c r="A61" s="880" t="s">
        <v>748</v>
      </c>
      <c r="B61" s="888" t="s">
        <v>36</v>
      </c>
      <c r="C61" s="420" t="s">
        <v>1187</v>
      </c>
      <c r="D61" s="469" t="s">
        <v>910</v>
      </c>
      <c r="E61" s="420"/>
      <c r="F61" s="191">
        <v>0</v>
      </c>
      <c r="G61" s="191">
        <v>0</v>
      </c>
      <c r="H61" s="191">
        <v>0</v>
      </c>
      <c r="I61" s="29">
        <v>0</v>
      </c>
      <c r="J61" s="29">
        <v>0</v>
      </c>
      <c r="K61" s="29">
        <v>0</v>
      </c>
      <c r="L61" s="29">
        <v>0</v>
      </c>
      <c r="M61" s="29">
        <v>0</v>
      </c>
      <c r="N61" s="522" t="s">
        <v>11</v>
      </c>
      <c r="O61" s="522" t="s">
        <v>1142</v>
      </c>
      <c r="P61" s="4" t="s">
        <v>233</v>
      </c>
      <c r="Q61" s="2" t="s">
        <v>832</v>
      </c>
    </row>
    <row r="62" spans="1:17" ht="45" customHeight="1" x14ac:dyDescent="0.35">
      <c r="A62" s="964"/>
      <c r="B62" s="965"/>
      <c r="C62" s="470" t="s">
        <v>1188</v>
      </c>
      <c r="D62" s="470" t="s">
        <v>731</v>
      </c>
      <c r="E62" s="420" t="s">
        <v>698</v>
      </c>
      <c r="F62" s="191">
        <v>0</v>
      </c>
      <c r="G62" s="191">
        <v>0</v>
      </c>
      <c r="H62" s="191">
        <v>0</v>
      </c>
      <c r="I62" s="29">
        <v>18058</v>
      </c>
      <c r="J62" s="29">
        <v>18058</v>
      </c>
      <c r="K62" s="191">
        <v>0</v>
      </c>
      <c r="L62" s="191">
        <v>0</v>
      </c>
      <c r="M62" s="191">
        <v>0</v>
      </c>
      <c r="N62" s="522" t="s">
        <v>704</v>
      </c>
      <c r="O62" s="506" t="s">
        <v>37</v>
      </c>
      <c r="P62" s="4" t="s">
        <v>482</v>
      </c>
      <c r="Q62" s="5" t="s">
        <v>832</v>
      </c>
    </row>
    <row r="63" spans="1:17" ht="46.5" customHeight="1" x14ac:dyDescent="0.35">
      <c r="A63" s="881"/>
      <c r="B63" s="889"/>
      <c r="C63" s="469" t="s">
        <v>1189</v>
      </c>
      <c r="D63" s="469" t="s">
        <v>911</v>
      </c>
      <c r="E63" s="420" t="s">
        <v>698</v>
      </c>
      <c r="F63" s="191">
        <v>0</v>
      </c>
      <c r="G63" s="191">
        <v>0</v>
      </c>
      <c r="H63" s="191">
        <v>0</v>
      </c>
      <c r="I63" s="191">
        <v>0</v>
      </c>
      <c r="J63" s="29">
        <v>60500</v>
      </c>
      <c r="K63" s="191">
        <v>0</v>
      </c>
      <c r="L63" s="191">
        <v>0</v>
      </c>
      <c r="M63" s="191">
        <v>0</v>
      </c>
      <c r="N63" s="522" t="s">
        <v>11</v>
      </c>
      <c r="O63" s="506" t="s">
        <v>1166</v>
      </c>
      <c r="P63" s="4" t="s">
        <v>482</v>
      </c>
      <c r="Q63" s="2" t="s">
        <v>832</v>
      </c>
    </row>
    <row r="64" spans="1:17" ht="54.75" customHeight="1" x14ac:dyDescent="0.35">
      <c r="A64" s="915" t="s">
        <v>38</v>
      </c>
      <c r="B64" s="916"/>
      <c r="C64" s="916"/>
      <c r="D64" s="916"/>
      <c r="E64" s="917"/>
      <c r="F64" s="31">
        <f>SUM(F65:F74)</f>
        <v>297451</v>
      </c>
      <c r="G64" s="31">
        <f t="shared" ref="G64:M64" si="27">SUM(G65:G74)</f>
        <v>297451</v>
      </c>
      <c r="H64" s="31">
        <f t="shared" si="27"/>
        <v>297451</v>
      </c>
      <c r="I64" s="31">
        <f t="shared" si="27"/>
        <v>0</v>
      </c>
      <c r="J64" s="31">
        <f t="shared" si="27"/>
        <v>90000</v>
      </c>
      <c r="K64" s="31">
        <f t="shared" si="27"/>
        <v>76705</v>
      </c>
      <c r="L64" s="31">
        <f t="shared" si="27"/>
        <v>0</v>
      </c>
      <c r="M64" s="31">
        <f t="shared" si="27"/>
        <v>153409</v>
      </c>
      <c r="N64" s="12"/>
      <c r="O64" s="12"/>
      <c r="P64" s="12"/>
      <c r="Q64" s="12"/>
    </row>
    <row r="65" spans="1:17" ht="66" customHeight="1" x14ac:dyDescent="0.35">
      <c r="A65" s="806" t="s">
        <v>749</v>
      </c>
      <c r="B65" s="67" t="s">
        <v>907</v>
      </c>
      <c r="C65" s="67" t="s">
        <v>908</v>
      </c>
      <c r="D65" s="67" t="s">
        <v>909</v>
      </c>
      <c r="E65" s="67"/>
      <c r="F65" s="70">
        <v>0</v>
      </c>
      <c r="G65" s="70">
        <v>0</v>
      </c>
      <c r="H65" s="70">
        <v>0</v>
      </c>
      <c r="I65" s="88">
        <v>0</v>
      </c>
      <c r="J65" s="88">
        <v>0</v>
      </c>
      <c r="K65" s="88">
        <v>0</v>
      </c>
      <c r="L65" s="88">
        <v>0</v>
      </c>
      <c r="M65" s="88">
        <v>0</v>
      </c>
      <c r="N65" s="533" t="s">
        <v>11</v>
      </c>
      <c r="O65" s="535" t="s">
        <v>842</v>
      </c>
      <c r="P65" s="456" t="s">
        <v>233</v>
      </c>
      <c r="Q65" s="2" t="s">
        <v>833</v>
      </c>
    </row>
    <row r="66" spans="1:17" ht="48" customHeight="1" x14ac:dyDescent="0.35">
      <c r="A66" s="920" t="s">
        <v>750</v>
      </c>
      <c r="B66" s="918" t="s">
        <v>904</v>
      </c>
      <c r="C66" s="918" t="s">
        <v>1190</v>
      </c>
      <c r="D66" s="67" t="s">
        <v>905</v>
      </c>
      <c r="E66" s="65" t="s">
        <v>698</v>
      </c>
      <c r="F66" s="70">
        <v>0</v>
      </c>
      <c r="G66" s="70">
        <v>0</v>
      </c>
      <c r="H66" s="70">
        <v>0</v>
      </c>
      <c r="I66" s="88">
        <v>0</v>
      </c>
      <c r="J66" s="88">
        <v>45000</v>
      </c>
      <c r="K66" s="88">
        <v>0</v>
      </c>
      <c r="L66" s="88">
        <v>0</v>
      </c>
      <c r="M66" s="88">
        <v>0</v>
      </c>
      <c r="N66" s="533" t="s">
        <v>704</v>
      </c>
      <c r="O66" s="535" t="s">
        <v>40</v>
      </c>
      <c r="P66" s="457" t="s">
        <v>482</v>
      </c>
      <c r="Q66" s="2" t="s">
        <v>45</v>
      </c>
    </row>
    <row r="67" spans="1:17" s="489" customFormat="1" ht="46.5" customHeight="1" x14ac:dyDescent="0.35">
      <c r="A67" s="921"/>
      <c r="B67" s="942"/>
      <c r="C67" s="919"/>
      <c r="D67" s="469" t="s">
        <v>792</v>
      </c>
      <c r="E67" s="469"/>
      <c r="F67" s="498">
        <v>0</v>
      </c>
      <c r="G67" s="498">
        <v>0</v>
      </c>
      <c r="H67" s="498">
        <v>0</v>
      </c>
      <c r="I67" s="455">
        <v>0</v>
      </c>
      <c r="J67" s="455">
        <v>0</v>
      </c>
      <c r="K67" s="455">
        <v>0</v>
      </c>
      <c r="L67" s="455">
        <v>0</v>
      </c>
      <c r="M67" s="455">
        <v>0</v>
      </c>
      <c r="N67" s="534" t="s">
        <v>39</v>
      </c>
      <c r="O67" s="534" t="s">
        <v>13</v>
      </c>
      <c r="P67" s="298" t="s">
        <v>483</v>
      </c>
      <c r="Q67" s="454" t="s">
        <v>1135</v>
      </c>
    </row>
    <row r="68" spans="1:17" ht="51.75" customHeight="1" x14ac:dyDescent="0.35">
      <c r="A68" s="922"/>
      <c r="B68" s="919"/>
      <c r="C68" s="67" t="s">
        <v>1191</v>
      </c>
      <c r="D68" s="67" t="s">
        <v>906</v>
      </c>
      <c r="E68" s="65" t="s">
        <v>698</v>
      </c>
      <c r="F68" s="70">
        <v>0</v>
      </c>
      <c r="G68" s="70">
        <v>0</v>
      </c>
      <c r="H68" s="70">
        <v>0</v>
      </c>
      <c r="I68" s="88">
        <v>0</v>
      </c>
      <c r="J68" s="88">
        <v>45000</v>
      </c>
      <c r="K68" s="88">
        <v>0</v>
      </c>
      <c r="L68" s="88">
        <v>0</v>
      </c>
      <c r="M68" s="88">
        <v>0</v>
      </c>
      <c r="N68" s="533" t="s">
        <v>704</v>
      </c>
      <c r="O68" s="535" t="s">
        <v>40</v>
      </c>
      <c r="P68" s="457" t="s">
        <v>482</v>
      </c>
      <c r="Q68" s="2" t="s">
        <v>26</v>
      </c>
    </row>
    <row r="69" spans="1:17" ht="77.25" customHeight="1" x14ac:dyDescent="0.35">
      <c r="A69" s="807" t="s">
        <v>751</v>
      </c>
      <c r="B69" s="222" t="s">
        <v>901</v>
      </c>
      <c r="C69" s="222" t="s">
        <v>902</v>
      </c>
      <c r="D69" s="222" t="s">
        <v>903</v>
      </c>
      <c r="E69" s="67"/>
      <c r="F69" s="70">
        <v>0</v>
      </c>
      <c r="G69" s="70">
        <v>0</v>
      </c>
      <c r="H69" s="70">
        <v>0</v>
      </c>
      <c r="I69" s="88">
        <v>0</v>
      </c>
      <c r="J69" s="88">
        <v>0</v>
      </c>
      <c r="K69" s="88">
        <v>0</v>
      </c>
      <c r="L69" s="88">
        <v>0</v>
      </c>
      <c r="M69" s="88">
        <v>0</v>
      </c>
      <c r="N69" s="533" t="s">
        <v>11</v>
      </c>
      <c r="O69" s="535" t="s">
        <v>14</v>
      </c>
      <c r="P69" s="457" t="s">
        <v>233</v>
      </c>
      <c r="Q69" s="2" t="s">
        <v>834</v>
      </c>
    </row>
    <row r="70" spans="1:17" s="181" customFormat="1" ht="48.75" customHeight="1" x14ac:dyDescent="0.35">
      <c r="A70" s="806" t="s">
        <v>752</v>
      </c>
      <c r="B70" s="469" t="s">
        <v>898</v>
      </c>
      <c r="C70" s="469" t="s">
        <v>899</v>
      </c>
      <c r="D70" s="469" t="s">
        <v>900</v>
      </c>
      <c r="E70" s="420"/>
      <c r="F70" s="70">
        <v>0</v>
      </c>
      <c r="G70" s="70">
        <v>0</v>
      </c>
      <c r="H70" s="70">
        <v>0</v>
      </c>
      <c r="I70" s="29">
        <v>0</v>
      </c>
      <c r="J70" s="29">
        <v>0</v>
      </c>
      <c r="K70" s="29">
        <v>0</v>
      </c>
      <c r="L70" s="29">
        <v>0</v>
      </c>
      <c r="M70" s="29">
        <v>0</v>
      </c>
      <c r="N70" s="522" t="s">
        <v>1223</v>
      </c>
      <c r="O70" s="534" t="s">
        <v>1224</v>
      </c>
      <c r="P70" s="298" t="s">
        <v>483</v>
      </c>
      <c r="Q70" s="454" t="s">
        <v>26</v>
      </c>
    </row>
    <row r="71" spans="1:17" s="181" customFormat="1" ht="66" customHeight="1" x14ac:dyDescent="0.35">
      <c r="A71" s="920" t="s">
        <v>753</v>
      </c>
      <c r="B71" s="977" t="s">
        <v>895</v>
      </c>
      <c r="C71" s="469" t="s">
        <v>1192</v>
      </c>
      <c r="D71" s="469" t="s">
        <v>896</v>
      </c>
      <c r="E71" s="420"/>
      <c r="F71" s="70">
        <v>0</v>
      </c>
      <c r="G71" s="70">
        <v>0</v>
      </c>
      <c r="H71" s="70">
        <v>0</v>
      </c>
      <c r="I71" s="29">
        <v>0</v>
      </c>
      <c r="J71" s="29">
        <v>0</v>
      </c>
      <c r="K71" s="29">
        <v>0</v>
      </c>
      <c r="L71" s="29">
        <v>0</v>
      </c>
      <c r="M71" s="29">
        <v>0</v>
      </c>
      <c r="N71" s="522" t="s">
        <v>11</v>
      </c>
      <c r="O71" s="534" t="s">
        <v>206</v>
      </c>
      <c r="P71" s="298" t="s">
        <v>483</v>
      </c>
      <c r="Q71" s="28" t="s">
        <v>26</v>
      </c>
    </row>
    <row r="72" spans="1:17" s="181" customFormat="1" ht="48" customHeight="1" x14ac:dyDescent="0.35">
      <c r="A72" s="921"/>
      <c r="B72" s="978"/>
      <c r="C72" s="469" t="s">
        <v>1193</v>
      </c>
      <c r="D72" s="469" t="s">
        <v>770</v>
      </c>
      <c r="E72" s="420"/>
      <c r="F72" s="70">
        <v>0</v>
      </c>
      <c r="G72" s="70">
        <v>0</v>
      </c>
      <c r="H72" s="70">
        <v>0</v>
      </c>
      <c r="I72" s="29">
        <v>0</v>
      </c>
      <c r="J72" s="29">
        <v>0</v>
      </c>
      <c r="K72" s="29">
        <v>0</v>
      </c>
      <c r="L72" s="29">
        <v>0</v>
      </c>
      <c r="M72" s="29">
        <v>0</v>
      </c>
      <c r="N72" s="534" t="s">
        <v>13</v>
      </c>
      <c r="O72" s="522" t="s">
        <v>42</v>
      </c>
      <c r="P72" s="17" t="s">
        <v>483</v>
      </c>
      <c r="Q72" s="28" t="s">
        <v>26</v>
      </c>
    </row>
    <row r="73" spans="1:17" ht="66" customHeight="1" x14ac:dyDescent="0.35">
      <c r="A73" s="922"/>
      <c r="B73" s="979"/>
      <c r="C73" s="222" t="s">
        <v>1194</v>
      </c>
      <c r="D73" s="222" t="s">
        <v>897</v>
      </c>
      <c r="E73" s="67" t="s">
        <v>764</v>
      </c>
      <c r="F73" s="70">
        <v>297451</v>
      </c>
      <c r="G73" s="70">
        <v>297451</v>
      </c>
      <c r="H73" s="70">
        <v>297451</v>
      </c>
      <c r="I73" s="88">
        <v>0</v>
      </c>
      <c r="J73" s="88">
        <v>0</v>
      </c>
      <c r="K73" s="88">
        <v>76705</v>
      </c>
      <c r="L73" s="88">
        <v>0</v>
      </c>
      <c r="M73" s="88">
        <v>153409</v>
      </c>
      <c r="N73" s="522" t="s">
        <v>14</v>
      </c>
      <c r="O73" s="522" t="s">
        <v>43</v>
      </c>
      <c r="P73" s="4" t="s">
        <v>202</v>
      </c>
      <c r="Q73" s="2" t="s">
        <v>26</v>
      </c>
    </row>
    <row r="74" spans="1:17" ht="49.5" customHeight="1" x14ac:dyDescent="0.35">
      <c r="A74" s="806" t="s">
        <v>754</v>
      </c>
      <c r="B74" s="222" t="s">
        <v>212</v>
      </c>
      <c r="C74" s="222" t="s">
        <v>44</v>
      </c>
      <c r="D74" s="222" t="s">
        <v>894</v>
      </c>
      <c r="E74" s="67"/>
      <c r="F74" s="70">
        <v>0</v>
      </c>
      <c r="G74" s="70">
        <v>0</v>
      </c>
      <c r="H74" s="70">
        <v>0</v>
      </c>
      <c r="I74" s="88">
        <v>0</v>
      </c>
      <c r="J74" s="88">
        <v>0</v>
      </c>
      <c r="K74" s="88">
        <v>0</v>
      </c>
      <c r="L74" s="88">
        <v>0</v>
      </c>
      <c r="M74" s="88">
        <v>0</v>
      </c>
      <c r="N74" s="534" t="s">
        <v>11</v>
      </c>
      <c r="O74" s="522" t="s">
        <v>1167</v>
      </c>
      <c r="P74" s="17" t="s">
        <v>483</v>
      </c>
      <c r="Q74" s="1" t="s">
        <v>45</v>
      </c>
    </row>
    <row r="75" spans="1:17" ht="66" customHeight="1" x14ac:dyDescent="0.35">
      <c r="A75" s="851" t="s">
        <v>46</v>
      </c>
      <c r="B75" s="852"/>
      <c r="C75" s="852"/>
      <c r="D75" s="852"/>
      <c r="E75" s="853"/>
      <c r="F75" s="31">
        <f>SUM(F76:F81)</f>
        <v>17265549</v>
      </c>
      <c r="G75" s="31">
        <f t="shared" ref="G75:M75" si="28">SUM(G76:G81)</f>
        <v>17265549</v>
      </c>
      <c r="H75" s="31">
        <f t="shared" si="28"/>
        <v>17265549</v>
      </c>
      <c r="I75" s="31">
        <f t="shared" si="28"/>
        <v>0</v>
      </c>
      <c r="J75" s="31">
        <f t="shared" si="28"/>
        <v>0</v>
      </c>
      <c r="K75" s="31">
        <f t="shared" si="28"/>
        <v>26005</v>
      </c>
      <c r="L75" s="31">
        <f t="shared" si="28"/>
        <v>0</v>
      </c>
      <c r="M75" s="31">
        <f t="shared" si="28"/>
        <v>26005</v>
      </c>
      <c r="N75" s="12"/>
      <c r="O75" s="12"/>
      <c r="P75" s="12"/>
      <c r="Q75" s="12"/>
    </row>
    <row r="76" spans="1:17" ht="49.5" customHeight="1" x14ac:dyDescent="0.35">
      <c r="A76" s="913" t="s">
        <v>755</v>
      </c>
      <c r="B76" s="896" t="s">
        <v>47</v>
      </c>
      <c r="C76" s="65" t="s">
        <v>1195</v>
      </c>
      <c r="D76" s="469" t="s">
        <v>863</v>
      </c>
      <c r="E76" s="455"/>
      <c r="F76" s="498">
        <v>0</v>
      </c>
      <c r="G76" s="498">
        <v>0</v>
      </c>
      <c r="H76" s="498">
        <v>0</v>
      </c>
      <c r="I76" s="455">
        <v>0</v>
      </c>
      <c r="J76" s="455">
        <v>0</v>
      </c>
      <c r="K76" s="455">
        <v>0</v>
      </c>
      <c r="L76" s="455">
        <v>0</v>
      </c>
      <c r="M76" s="455">
        <v>0</v>
      </c>
      <c r="N76" s="534" t="s">
        <v>13</v>
      </c>
      <c r="O76" s="534" t="s">
        <v>14</v>
      </c>
      <c r="P76" s="17" t="s">
        <v>483</v>
      </c>
      <c r="Q76" s="182" t="s">
        <v>835</v>
      </c>
    </row>
    <row r="77" spans="1:17" ht="110.15" customHeight="1" x14ac:dyDescent="0.35">
      <c r="A77" s="914"/>
      <c r="B77" s="897"/>
      <c r="C77" s="479" t="s">
        <v>1196</v>
      </c>
      <c r="D77" s="469" t="s">
        <v>520</v>
      </c>
      <c r="E77" s="455"/>
      <c r="F77" s="498">
        <v>0</v>
      </c>
      <c r="G77" s="498">
        <v>0</v>
      </c>
      <c r="H77" s="498">
        <v>0</v>
      </c>
      <c r="I77" s="455">
        <v>0</v>
      </c>
      <c r="J77" s="455">
        <v>0</v>
      </c>
      <c r="K77" s="455">
        <v>0</v>
      </c>
      <c r="L77" s="455">
        <v>0</v>
      </c>
      <c r="M77" s="455">
        <v>0</v>
      </c>
      <c r="N77" s="534" t="s">
        <v>13</v>
      </c>
      <c r="O77" s="534" t="s">
        <v>787</v>
      </c>
      <c r="P77" s="17" t="s">
        <v>483</v>
      </c>
      <c r="Q77" s="182" t="s">
        <v>48</v>
      </c>
    </row>
    <row r="78" spans="1:17" ht="75.650000000000006" customHeight="1" x14ac:dyDescent="0.35">
      <c r="A78" s="298" t="s">
        <v>756</v>
      </c>
      <c r="B78" s="65" t="s">
        <v>891</v>
      </c>
      <c r="C78" s="479" t="s">
        <v>892</v>
      </c>
      <c r="D78" s="469" t="s">
        <v>893</v>
      </c>
      <c r="E78" s="67" t="s">
        <v>764</v>
      </c>
      <c r="F78" s="498">
        <v>12532576</v>
      </c>
      <c r="G78" s="498">
        <v>12532576</v>
      </c>
      <c r="H78" s="498">
        <v>12532576</v>
      </c>
      <c r="I78" s="455">
        <v>0</v>
      </c>
      <c r="J78" s="455">
        <v>0</v>
      </c>
      <c r="K78" s="455">
        <v>0</v>
      </c>
      <c r="L78" s="455">
        <v>0</v>
      </c>
      <c r="M78" s="455">
        <v>0</v>
      </c>
      <c r="N78" s="534" t="s">
        <v>14</v>
      </c>
      <c r="O78" s="534" t="s">
        <v>1143</v>
      </c>
      <c r="P78" s="17" t="s">
        <v>483</v>
      </c>
      <c r="Q78" s="182" t="s">
        <v>49</v>
      </c>
    </row>
    <row r="79" spans="1:17" ht="193.5" customHeight="1" x14ac:dyDescent="0.35">
      <c r="A79" s="298" t="s">
        <v>1197</v>
      </c>
      <c r="B79" s="65" t="s">
        <v>889</v>
      </c>
      <c r="C79" s="479" t="s">
        <v>1144</v>
      </c>
      <c r="D79" s="469" t="s">
        <v>890</v>
      </c>
      <c r="E79" s="455"/>
      <c r="F79" s="498">
        <v>0</v>
      </c>
      <c r="G79" s="498">
        <v>0</v>
      </c>
      <c r="H79" s="498">
        <v>0</v>
      </c>
      <c r="I79" s="455">
        <v>0</v>
      </c>
      <c r="J79" s="455">
        <v>0</v>
      </c>
      <c r="K79" s="455">
        <v>0</v>
      </c>
      <c r="L79" s="455">
        <v>0</v>
      </c>
      <c r="M79" s="455">
        <v>0</v>
      </c>
      <c r="N79" s="534" t="s">
        <v>1145</v>
      </c>
      <c r="O79" s="534" t="s">
        <v>1146</v>
      </c>
      <c r="P79" s="17" t="s">
        <v>483</v>
      </c>
      <c r="Q79" s="182" t="s">
        <v>49</v>
      </c>
    </row>
    <row r="80" spans="1:17" ht="49.5" customHeight="1" x14ac:dyDescent="0.35">
      <c r="A80" s="913" t="s">
        <v>1198</v>
      </c>
      <c r="B80" s="896" t="s">
        <v>886</v>
      </c>
      <c r="C80" s="896" t="s">
        <v>887</v>
      </c>
      <c r="D80" s="910" t="s">
        <v>888</v>
      </c>
      <c r="E80" s="711" t="s">
        <v>765</v>
      </c>
      <c r="F80" s="71">
        <v>169897</v>
      </c>
      <c r="G80" s="71">
        <v>169897</v>
      </c>
      <c r="H80" s="71">
        <v>169897</v>
      </c>
      <c r="I80" s="30">
        <v>0</v>
      </c>
      <c r="J80" s="138">
        <v>0</v>
      </c>
      <c r="K80" s="138">
        <v>26005</v>
      </c>
      <c r="L80" s="138">
        <v>0</v>
      </c>
      <c r="M80" s="138">
        <v>26005</v>
      </c>
      <c r="N80" s="885" t="s">
        <v>14</v>
      </c>
      <c r="O80" s="885" t="s">
        <v>1147</v>
      </c>
      <c r="P80" s="880" t="s">
        <v>202</v>
      </c>
      <c r="Q80" s="859" t="s">
        <v>215</v>
      </c>
    </row>
    <row r="81" spans="1:17" ht="48.75" customHeight="1" x14ac:dyDescent="0.35">
      <c r="A81" s="914"/>
      <c r="B81" s="897"/>
      <c r="C81" s="897"/>
      <c r="D81" s="911"/>
      <c r="E81" s="755" t="s">
        <v>764</v>
      </c>
      <c r="F81" s="71">
        <v>4563076</v>
      </c>
      <c r="G81" s="71">
        <v>4563076</v>
      </c>
      <c r="H81" s="71">
        <v>4563076</v>
      </c>
      <c r="I81" s="30">
        <v>0</v>
      </c>
      <c r="J81" s="138">
        <v>0</v>
      </c>
      <c r="K81" s="138">
        <v>0</v>
      </c>
      <c r="L81" s="138">
        <v>0</v>
      </c>
      <c r="M81" s="138">
        <v>0</v>
      </c>
      <c r="N81" s="886"/>
      <c r="O81" s="886"/>
      <c r="P81" s="881"/>
      <c r="Q81" s="860"/>
    </row>
    <row r="82" spans="1:17" ht="53.25" customHeight="1" x14ac:dyDescent="0.35">
      <c r="A82" s="857" t="s">
        <v>51</v>
      </c>
      <c r="B82" s="858"/>
      <c r="C82" s="854" t="s">
        <v>1226</v>
      </c>
      <c r="D82" s="855"/>
      <c r="E82" s="856"/>
      <c r="F82" s="503">
        <f>SUM(F83:F92)</f>
        <v>0</v>
      </c>
      <c r="G82" s="503">
        <f t="shared" ref="G82:M82" si="29">SUM(G83:G92)</f>
        <v>0</v>
      </c>
      <c r="H82" s="503">
        <f t="shared" si="29"/>
        <v>0</v>
      </c>
      <c r="I82" s="503">
        <f t="shared" si="29"/>
        <v>0</v>
      </c>
      <c r="J82" s="503">
        <f t="shared" si="29"/>
        <v>0</v>
      </c>
      <c r="K82" s="503">
        <f t="shared" si="29"/>
        <v>0</v>
      </c>
      <c r="L82" s="503">
        <f t="shared" si="29"/>
        <v>0</v>
      </c>
      <c r="M82" s="503">
        <f t="shared" si="29"/>
        <v>0</v>
      </c>
      <c r="N82" s="14"/>
      <c r="O82" s="14"/>
      <c r="P82" s="14"/>
      <c r="Q82" s="14"/>
    </row>
    <row r="83" spans="1:17" ht="66" customHeight="1" x14ac:dyDescent="0.35">
      <c r="A83" s="882" t="s">
        <v>52</v>
      </c>
      <c r="B83" s="896" t="s">
        <v>53</v>
      </c>
      <c r="C83" s="896" t="s">
        <v>54</v>
      </c>
      <c r="D83" s="23" t="s">
        <v>775</v>
      </c>
      <c r="E83" s="23"/>
      <c r="F83" s="348">
        <v>0</v>
      </c>
      <c r="G83" s="348">
        <v>0</v>
      </c>
      <c r="H83" s="348">
        <v>0</v>
      </c>
      <c r="I83" s="422">
        <v>0</v>
      </c>
      <c r="J83" s="422">
        <v>0</v>
      </c>
      <c r="K83" s="422">
        <v>0</v>
      </c>
      <c r="L83" s="422">
        <v>0</v>
      </c>
      <c r="M83" s="422">
        <v>0</v>
      </c>
      <c r="N83" s="861" t="s">
        <v>11</v>
      </c>
      <c r="O83" s="861" t="s">
        <v>55</v>
      </c>
      <c r="P83" s="880" t="s">
        <v>483</v>
      </c>
      <c r="Q83" s="894" t="s">
        <v>213</v>
      </c>
    </row>
    <row r="84" spans="1:17" ht="37.5" customHeight="1" x14ac:dyDescent="0.35">
      <c r="A84" s="883"/>
      <c r="B84" s="902"/>
      <c r="C84" s="902"/>
      <c r="D84" s="23" t="s">
        <v>885</v>
      </c>
      <c r="E84" s="23"/>
      <c r="F84" s="348">
        <v>0</v>
      </c>
      <c r="G84" s="348">
        <v>0</v>
      </c>
      <c r="H84" s="348">
        <v>0</v>
      </c>
      <c r="I84" s="422">
        <v>0</v>
      </c>
      <c r="J84" s="422">
        <v>0</v>
      </c>
      <c r="K84" s="422">
        <v>0</v>
      </c>
      <c r="L84" s="422">
        <v>0</v>
      </c>
      <c r="M84" s="422">
        <v>0</v>
      </c>
      <c r="N84" s="887"/>
      <c r="O84" s="887"/>
      <c r="P84" s="881"/>
      <c r="Q84" s="895"/>
    </row>
    <row r="85" spans="1:17" ht="36" customHeight="1" x14ac:dyDescent="0.35">
      <c r="A85" s="884"/>
      <c r="B85" s="897"/>
      <c r="C85" s="897"/>
      <c r="D85" s="479" t="s">
        <v>884</v>
      </c>
      <c r="E85" s="23"/>
      <c r="F85" s="348">
        <v>0</v>
      </c>
      <c r="G85" s="348">
        <v>0</v>
      </c>
      <c r="H85" s="348">
        <v>0</v>
      </c>
      <c r="I85" s="422">
        <v>0</v>
      </c>
      <c r="J85" s="422">
        <v>0</v>
      </c>
      <c r="K85" s="422">
        <v>0</v>
      </c>
      <c r="L85" s="422">
        <v>0</v>
      </c>
      <c r="M85" s="422">
        <v>0</v>
      </c>
      <c r="N85" s="862"/>
      <c r="O85" s="862"/>
      <c r="P85" s="298" t="s">
        <v>483</v>
      </c>
      <c r="Q85" s="1" t="s">
        <v>215</v>
      </c>
    </row>
    <row r="86" spans="1:17" ht="51.75" customHeight="1" x14ac:dyDescent="0.35">
      <c r="A86" s="882" t="s">
        <v>56</v>
      </c>
      <c r="B86" s="903" t="s">
        <v>57</v>
      </c>
      <c r="C86" s="903" t="s">
        <v>58</v>
      </c>
      <c r="D86" s="23" t="s">
        <v>883</v>
      </c>
      <c r="E86" s="419"/>
      <c r="F86" s="348">
        <v>0</v>
      </c>
      <c r="G86" s="348">
        <v>0</v>
      </c>
      <c r="H86" s="348">
        <v>0</v>
      </c>
      <c r="I86" s="422">
        <v>0</v>
      </c>
      <c r="J86" s="422">
        <v>0</v>
      </c>
      <c r="K86" s="422">
        <v>0</v>
      </c>
      <c r="L86" s="422">
        <v>0</v>
      </c>
      <c r="M86" s="422">
        <v>0</v>
      </c>
      <c r="N86" s="885" t="s">
        <v>11</v>
      </c>
      <c r="O86" s="885" t="s">
        <v>1168</v>
      </c>
      <c r="P86" s="882" t="s">
        <v>483</v>
      </c>
      <c r="Q86" s="894" t="s">
        <v>836</v>
      </c>
    </row>
    <row r="87" spans="1:17" ht="108.65" customHeight="1" x14ac:dyDescent="0.35">
      <c r="A87" s="884"/>
      <c r="B87" s="904"/>
      <c r="C87" s="904"/>
      <c r="D87" s="15" t="s">
        <v>59</v>
      </c>
      <c r="E87" s="65"/>
      <c r="F87" s="348">
        <v>0</v>
      </c>
      <c r="G87" s="348">
        <v>0</v>
      </c>
      <c r="H87" s="348">
        <v>0</v>
      </c>
      <c r="I87" s="422">
        <v>0</v>
      </c>
      <c r="J87" s="422">
        <v>0</v>
      </c>
      <c r="K87" s="422">
        <v>0</v>
      </c>
      <c r="L87" s="422">
        <v>0</v>
      </c>
      <c r="M87" s="422">
        <v>0</v>
      </c>
      <c r="N87" s="886"/>
      <c r="O87" s="886"/>
      <c r="P87" s="884"/>
      <c r="Q87" s="895"/>
    </row>
    <row r="88" spans="1:17" ht="66" customHeight="1" x14ac:dyDescent="0.35">
      <c r="A88" s="882" t="s">
        <v>60</v>
      </c>
      <c r="B88" s="903" t="s">
        <v>61</v>
      </c>
      <c r="C88" s="903" t="s">
        <v>62</v>
      </c>
      <c r="D88" s="419" t="s">
        <v>881</v>
      </c>
      <c r="E88" s="419"/>
      <c r="F88" s="348">
        <v>0</v>
      </c>
      <c r="G88" s="348">
        <v>0</v>
      </c>
      <c r="H88" s="348">
        <v>0</v>
      </c>
      <c r="I88" s="422">
        <v>0</v>
      </c>
      <c r="J88" s="422">
        <v>0</v>
      </c>
      <c r="K88" s="422">
        <v>0</v>
      </c>
      <c r="L88" s="422">
        <v>0</v>
      </c>
      <c r="M88" s="422">
        <v>0</v>
      </c>
      <c r="N88" s="885" t="s">
        <v>11</v>
      </c>
      <c r="O88" s="885" t="s">
        <v>1169</v>
      </c>
      <c r="P88" s="882" t="s">
        <v>483</v>
      </c>
      <c r="Q88" s="894" t="s">
        <v>1270</v>
      </c>
    </row>
    <row r="89" spans="1:17" ht="66" customHeight="1" x14ac:dyDescent="0.35">
      <c r="A89" s="883"/>
      <c r="B89" s="912"/>
      <c r="C89" s="912"/>
      <c r="D89" s="419" t="s">
        <v>882</v>
      </c>
      <c r="E89" s="419"/>
      <c r="F89" s="348">
        <v>0</v>
      </c>
      <c r="G89" s="348">
        <v>0</v>
      </c>
      <c r="H89" s="348">
        <v>0</v>
      </c>
      <c r="I89" s="422">
        <v>0</v>
      </c>
      <c r="J89" s="422">
        <v>0</v>
      </c>
      <c r="K89" s="422">
        <v>0</v>
      </c>
      <c r="L89" s="422">
        <v>0</v>
      </c>
      <c r="M89" s="422">
        <v>0</v>
      </c>
      <c r="N89" s="906"/>
      <c r="O89" s="906"/>
      <c r="P89" s="883"/>
      <c r="Q89" s="907"/>
    </row>
    <row r="90" spans="1:17" ht="53.25" customHeight="1" x14ac:dyDescent="0.35">
      <c r="A90" s="884"/>
      <c r="B90" s="904"/>
      <c r="C90" s="904"/>
      <c r="D90" s="65" t="s">
        <v>63</v>
      </c>
      <c r="E90" s="65"/>
      <c r="F90" s="348">
        <v>0</v>
      </c>
      <c r="G90" s="348">
        <v>0</v>
      </c>
      <c r="H90" s="348">
        <v>0</v>
      </c>
      <c r="I90" s="422">
        <v>0</v>
      </c>
      <c r="J90" s="422">
        <v>0</v>
      </c>
      <c r="K90" s="422">
        <v>0</v>
      </c>
      <c r="L90" s="422">
        <v>0</v>
      </c>
      <c r="M90" s="422">
        <v>0</v>
      </c>
      <c r="N90" s="886"/>
      <c r="O90" s="886"/>
      <c r="P90" s="884"/>
      <c r="Q90" s="895"/>
    </row>
    <row r="91" spans="1:17" s="181" customFormat="1" ht="48" customHeight="1" x14ac:dyDescent="0.35">
      <c r="A91" s="880" t="s">
        <v>64</v>
      </c>
      <c r="B91" s="910" t="s">
        <v>769</v>
      </c>
      <c r="C91" s="469" t="s">
        <v>951</v>
      </c>
      <c r="D91" s="469" t="s">
        <v>854</v>
      </c>
      <c r="E91" s="420"/>
      <c r="F91" s="70">
        <v>0</v>
      </c>
      <c r="G91" s="70">
        <v>0</v>
      </c>
      <c r="H91" s="70">
        <v>0</v>
      </c>
      <c r="I91" s="191">
        <v>0</v>
      </c>
      <c r="J91" s="191">
        <v>0</v>
      </c>
      <c r="K91" s="191">
        <v>0</v>
      </c>
      <c r="L91" s="191">
        <v>0</v>
      </c>
      <c r="M91" s="191">
        <v>0</v>
      </c>
      <c r="N91" s="28" t="s">
        <v>14</v>
      </c>
      <c r="O91" s="522" t="s">
        <v>1142</v>
      </c>
      <c r="P91" s="191" t="s">
        <v>483</v>
      </c>
      <c r="Q91" s="522" t="s">
        <v>213</v>
      </c>
    </row>
    <row r="92" spans="1:17" s="181" customFormat="1" ht="81.75" customHeight="1" x14ac:dyDescent="0.35">
      <c r="A92" s="881"/>
      <c r="B92" s="911"/>
      <c r="C92" s="469" t="s">
        <v>853</v>
      </c>
      <c r="D92" s="469" t="s">
        <v>855</v>
      </c>
      <c r="E92" s="685"/>
      <c r="F92" s="526">
        <v>0</v>
      </c>
      <c r="G92" s="526">
        <v>0</v>
      </c>
      <c r="H92" s="526">
        <v>0</v>
      </c>
      <c r="I92" s="524">
        <v>0</v>
      </c>
      <c r="J92" s="524">
        <v>0</v>
      </c>
      <c r="K92" s="524">
        <v>0</v>
      </c>
      <c r="L92" s="524">
        <v>0</v>
      </c>
      <c r="M92" s="524">
        <v>0</v>
      </c>
      <c r="N92" s="686" t="s">
        <v>14</v>
      </c>
      <c r="O92" s="522" t="s">
        <v>1148</v>
      </c>
      <c r="P92" s="524" t="s">
        <v>483</v>
      </c>
      <c r="Q92" s="753" t="s">
        <v>214</v>
      </c>
    </row>
    <row r="93" spans="1:17" ht="66" customHeight="1" x14ac:dyDescent="0.35">
      <c r="A93" s="905" t="s">
        <v>65</v>
      </c>
      <c r="B93" s="858"/>
      <c r="C93" s="854" t="s">
        <v>66</v>
      </c>
      <c r="D93" s="855"/>
      <c r="E93" s="856"/>
      <c r="F93" s="466">
        <f t="shared" ref="F93:M93" si="30">F96+F101+F105+F109+F94+F95+F133</f>
        <v>99633125</v>
      </c>
      <c r="G93" s="466">
        <f t="shared" si="30"/>
        <v>101915996</v>
      </c>
      <c r="H93" s="466">
        <f t="shared" si="30"/>
        <v>99418371</v>
      </c>
      <c r="I93" s="466">
        <f t="shared" si="30"/>
        <v>0</v>
      </c>
      <c r="J93" s="466">
        <f t="shared" si="30"/>
        <v>42350</v>
      </c>
      <c r="K93" s="466">
        <f t="shared" si="30"/>
        <v>60503346</v>
      </c>
      <c r="L93" s="466">
        <f t="shared" si="30"/>
        <v>0</v>
      </c>
      <c r="M93" s="466">
        <f t="shared" si="30"/>
        <v>61797912</v>
      </c>
      <c r="N93" s="22"/>
      <c r="O93" s="22"/>
      <c r="P93" s="22"/>
      <c r="Q93" s="22"/>
    </row>
    <row r="94" spans="1:17" ht="96.65" customHeight="1" x14ac:dyDescent="0.35">
      <c r="A94" s="3" t="s">
        <v>67</v>
      </c>
      <c r="B94" s="65" t="s">
        <v>877</v>
      </c>
      <c r="C94" s="183" t="s">
        <v>1126</v>
      </c>
      <c r="D94" s="183" t="s">
        <v>879</v>
      </c>
      <c r="E94" s="1"/>
      <c r="F94" s="240">
        <v>0</v>
      </c>
      <c r="G94" s="240">
        <v>0</v>
      </c>
      <c r="H94" s="240">
        <v>0</v>
      </c>
      <c r="I94" s="3">
        <v>0</v>
      </c>
      <c r="J94" s="3">
        <v>0</v>
      </c>
      <c r="K94" s="3">
        <v>0</v>
      </c>
      <c r="L94" s="3">
        <v>0</v>
      </c>
      <c r="M94" s="3">
        <v>0</v>
      </c>
      <c r="N94" s="534" t="s">
        <v>13</v>
      </c>
      <c r="O94" s="534" t="s">
        <v>1127</v>
      </c>
      <c r="P94" s="17" t="s">
        <v>233</v>
      </c>
      <c r="Q94" s="1" t="s">
        <v>213</v>
      </c>
    </row>
    <row r="95" spans="1:17" ht="46.5" customHeight="1" x14ac:dyDescent="0.35">
      <c r="A95" s="3" t="s">
        <v>68</v>
      </c>
      <c r="B95" s="65" t="s">
        <v>69</v>
      </c>
      <c r="C95" s="65" t="s">
        <v>878</v>
      </c>
      <c r="D95" s="65" t="s">
        <v>880</v>
      </c>
      <c r="E95" s="183" t="s">
        <v>764</v>
      </c>
      <c r="F95" s="71">
        <v>656671</v>
      </c>
      <c r="G95" s="71">
        <v>656671</v>
      </c>
      <c r="H95" s="71">
        <v>656671</v>
      </c>
      <c r="I95" s="3">
        <v>0</v>
      </c>
      <c r="J95" s="3">
        <v>0</v>
      </c>
      <c r="K95" s="3">
        <v>0</v>
      </c>
      <c r="L95" s="3">
        <v>0</v>
      </c>
      <c r="M95" s="3">
        <v>0</v>
      </c>
      <c r="N95" s="537" t="s">
        <v>14</v>
      </c>
      <c r="O95" s="537" t="s">
        <v>70</v>
      </c>
      <c r="P95" s="3" t="s">
        <v>233</v>
      </c>
      <c r="Q95" s="1" t="s">
        <v>49</v>
      </c>
    </row>
    <row r="96" spans="1:17" ht="66" customHeight="1" x14ac:dyDescent="0.35">
      <c r="A96" s="851" t="s">
        <v>71</v>
      </c>
      <c r="B96" s="852"/>
      <c r="C96" s="852"/>
      <c r="D96" s="852"/>
      <c r="E96" s="853"/>
      <c r="F96" s="101">
        <f t="shared" ref="F96:M96" si="31">SUM(F97:F100)</f>
        <v>53391892</v>
      </c>
      <c r="G96" s="101">
        <f t="shared" si="31"/>
        <v>53391892</v>
      </c>
      <c r="H96" s="101">
        <f t="shared" si="31"/>
        <v>53391892</v>
      </c>
      <c r="I96" s="101">
        <f t="shared" si="31"/>
        <v>0</v>
      </c>
      <c r="J96" s="101">
        <f t="shared" si="31"/>
        <v>0</v>
      </c>
      <c r="K96" s="101">
        <f t="shared" si="31"/>
        <v>53034086</v>
      </c>
      <c r="L96" s="101">
        <f t="shared" si="31"/>
        <v>0</v>
      </c>
      <c r="M96" s="101">
        <f t="shared" si="31"/>
        <v>53867233</v>
      </c>
      <c r="N96" s="7"/>
      <c r="O96" s="7"/>
      <c r="P96" s="7"/>
      <c r="Q96" s="7"/>
    </row>
    <row r="97" spans="1:17" ht="66" customHeight="1" x14ac:dyDescent="0.35">
      <c r="A97" s="882" t="s">
        <v>72</v>
      </c>
      <c r="B97" s="896" t="s">
        <v>73</v>
      </c>
      <c r="C97" s="480" t="s">
        <v>952</v>
      </c>
      <c r="D97" s="495" t="s">
        <v>953</v>
      </c>
      <c r="E97" s="15" t="s">
        <v>766</v>
      </c>
      <c r="F97" s="71">
        <v>53244894</v>
      </c>
      <c r="G97" s="71">
        <v>53244894</v>
      </c>
      <c r="H97" s="71">
        <v>53244894</v>
      </c>
      <c r="I97" s="30"/>
      <c r="J97" s="30">
        <v>0</v>
      </c>
      <c r="K97" s="30">
        <v>52228986</v>
      </c>
      <c r="L97" s="30">
        <v>0</v>
      </c>
      <c r="M97" s="30">
        <v>53062133</v>
      </c>
      <c r="N97" s="476" t="s">
        <v>74</v>
      </c>
      <c r="O97" s="504" t="s">
        <v>75</v>
      </c>
      <c r="P97" s="458" t="s">
        <v>202</v>
      </c>
      <c r="Q97" s="1" t="s">
        <v>833</v>
      </c>
    </row>
    <row r="98" spans="1:17" ht="57" customHeight="1" x14ac:dyDescent="0.35">
      <c r="A98" s="883"/>
      <c r="B98" s="902"/>
      <c r="C98" s="961" t="s">
        <v>757</v>
      </c>
      <c r="D98" s="495" t="s">
        <v>954</v>
      </c>
      <c r="E98" s="421" t="s">
        <v>765</v>
      </c>
      <c r="F98" s="71">
        <v>146998</v>
      </c>
      <c r="G98" s="71">
        <v>146998</v>
      </c>
      <c r="H98" s="71">
        <v>146998</v>
      </c>
      <c r="I98" s="30">
        <v>0</v>
      </c>
      <c r="J98" s="30">
        <v>0</v>
      </c>
      <c r="K98" s="30">
        <v>805100</v>
      </c>
      <c r="L98" s="30">
        <v>0</v>
      </c>
      <c r="M98" s="30">
        <v>805100</v>
      </c>
      <c r="N98" s="954" t="s">
        <v>74</v>
      </c>
      <c r="O98" s="956" t="s">
        <v>76</v>
      </c>
      <c r="P98" s="837" t="s">
        <v>202</v>
      </c>
      <c r="Q98" s="1" t="s">
        <v>833</v>
      </c>
    </row>
    <row r="99" spans="1:17" ht="38.25" customHeight="1" x14ac:dyDescent="0.35">
      <c r="A99" s="883"/>
      <c r="B99" s="902"/>
      <c r="C99" s="962"/>
      <c r="D99" s="421" t="s">
        <v>955</v>
      </c>
      <c r="E99" s="421"/>
      <c r="F99" s="71">
        <v>0</v>
      </c>
      <c r="G99" s="71">
        <v>0</v>
      </c>
      <c r="H99" s="71">
        <v>0</v>
      </c>
      <c r="I99" s="138">
        <v>0</v>
      </c>
      <c r="J99" s="30">
        <v>0</v>
      </c>
      <c r="K99" s="30">
        <v>0</v>
      </c>
      <c r="L99" s="30">
        <v>0</v>
      </c>
      <c r="M99" s="30">
        <v>0</v>
      </c>
      <c r="N99" s="955"/>
      <c r="O99" s="956"/>
      <c r="P99" s="837" t="s">
        <v>233</v>
      </c>
      <c r="Q99" s="836" t="s">
        <v>45</v>
      </c>
    </row>
    <row r="100" spans="1:17" ht="51" customHeight="1" x14ac:dyDescent="0.35">
      <c r="A100" s="3"/>
      <c r="B100" s="3"/>
      <c r="C100" s="3" t="s">
        <v>1083</v>
      </c>
      <c r="D100" s="531" t="s">
        <v>1084</v>
      </c>
      <c r="E100" s="3"/>
      <c r="F100" s="71">
        <v>0</v>
      </c>
      <c r="G100" s="71">
        <v>0</v>
      </c>
      <c r="H100" s="71">
        <v>0</v>
      </c>
      <c r="I100" s="30">
        <v>0</v>
      </c>
      <c r="J100" s="30">
        <v>0</v>
      </c>
      <c r="K100" s="30">
        <v>0</v>
      </c>
      <c r="L100" s="30">
        <v>0</v>
      </c>
      <c r="M100" s="30">
        <v>0</v>
      </c>
      <c r="N100" s="798" t="s">
        <v>14</v>
      </c>
      <c r="O100" s="21" t="s">
        <v>13</v>
      </c>
      <c r="P100" s="3" t="s">
        <v>233</v>
      </c>
      <c r="Q100" s="239" t="s">
        <v>833</v>
      </c>
    </row>
    <row r="101" spans="1:17" ht="66" customHeight="1" x14ac:dyDescent="0.35">
      <c r="A101" s="901" t="s">
        <v>77</v>
      </c>
      <c r="B101" s="901"/>
      <c r="C101" s="901"/>
      <c r="D101" s="901"/>
      <c r="E101" s="901"/>
      <c r="F101" s="31">
        <f>SUM(F102:F104)</f>
        <v>0</v>
      </c>
      <c r="G101" s="31">
        <f t="shared" ref="G101:M101" si="32">SUM(G102:G104)</f>
        <v>11897</v>
      </c>
      <c r="H101" s="31">
        <f t="shared" si="32"/>
        <v>0</v>
      </c>
      <c r="I101" s="31">
        <f t="shared" si="32"/>
        <v>0</v>
      </c>
      <c r="J101" s="31">
        <f t="shared" si="32"/>
        <v>0</v>
      </c>
      <c r="K101" s="31">
        <f t="shared" si="32"/>
        <v>45000</v>
      </c>
      <c r="L101" s="31">
        <f t="shared" si="32"/>
        <v>0</v>
      </c>
      <c r="M101" s="31">
        <f t="shared" si="32"/>
        <v>0</v>
      </c>
      <c r="N101" s="12"/>
      <c r="O101" s="12"/>
      <c r="P101" s="12"/>
      <c r="Q101" s="12"/>
    </row>
    <row r="102" spans="1:17" ht="45.75" customHeight="1" x14ac:dyDescent="0.35">
      <c r="A102" s="3" t="s">
        <v>78</v>
      </c>
      <c r="B102" s="65" t="s">
        <v>79</v>
      </c>
      <c r="C102" s="65" t="s">
        <v>80</v>
      </c>
      <c r="D102" s="65" t="s">
        <v>956</v>
      </c>
      <c r="E102" s="65" t="s">
        <v>763</v>
      </c>
      <c r="F102" s="240">
        <v>0</v>
      </c>
      <c r="G102" s="71">
        <v>11897</v>
      </c>
      <c r="H102" s="240">
        <v>0</v>
      </c>
      <c r="I102" s="3">
        <v>0</v>
      </c>
      <c r="J102" s="138">
        <v>0</v>
      </c>
      <c r="K102" s="17">
        <v>0</v>
      </c>
      <c r="L102" s="17">
        <v>0</v>
      </c>
      <c r="M102" s="17">
        <v>0</v>
      </c>
      <c r="N102" s="476" t="s">
        <v>13</v>
      </c>
      <c r="O102" s="476" t="s">
        <v>1170</v>
      </c>
      <c r="P102" s="182" t="s">
        <v>233</v>
      </c>
      <c r="Q102" s="1" t="s">
        <v>213</v>
      </c>
    </row>
    <row r="103" spans="1:17" ht="119.5" customHeight="1" x14ac:dyDescent="0.35">
      <c r="A103" s="163" t="s">
        <v>82</v>
      </c>
      <c r="B103" s="480" t="s">
        <v>83</v>
      </c>
      <c r="C103" s="479" t="s">
        <v>1121</v>
      </c>
      <c r="D103" s="479" t="s">
        <v>957</v>
      </c>
      <c r="E103" s="65" t="s">
        <v>698</v>
      </c>
      <c r="F103" s="240">
        <v>0</v>
      </c>
      <c r="G103" s="240">
        <v>0</v>
      </c>
      <c r="H103" s="240">
        <v>0</v>
      </c>
      <c r="I103" s="3">
        <v>0</v>
      </c>
      <c r="J103" s="3">
        <v>0</v>
      </c>
      <c r="K103" s="30">
        <v>45000</v>
      </c>
      <c r="L103" s="3">
        <v>0</v>
      </c>
      <c r="M103" s="3">
        <v>0</v>
      </c>
      <c r="N103" s="534" t="s">
        <v>13</v>
      </c>
      <c r="O103" s="534" t="s">
        <v>216</v>
      </c>
      <c r="P103" s="17" t="s">
        <v>482</v>
      </c>
      <c r="Q103" s="1" t="s">
        <v>172</v>
      </c>
    </row>
    <row r="104" spans="1:17" s="181" customFormat="1" ht="153.65" customHeight="1" x14ac:dyDescent="0.35">
      <c r="A104" s="182"/>
      <c r="B104" s="182"/>
      <c r="C104" s="182" t="s">
        <v>1122</v>
      </c>
      <c r="D104" s="183" t="s">
        <v>1123</v>
      </c>
      <c r="E104" s="182"/>
      <c r="F104" s="240">
        <v>0</v>
      </c>
      <c r="G104" s="240">
        <v>0</v>
      </c>
      <c r="H104" s="240">
        <v>0</v>
      </c>
      <c r="I104" s="17">
        <v>0</v>
      </c>
      <c r="J104" s="17">
        <v>0</v>
      </c>
      <c r="K104" s="138">
        <v>0</v>
      </c>
      <c r="L104" s="17">
        <v>0</v>
      </c>
      <c r="M104" s="17">
        <v>0</v>
      </c>
      <c r="N104" s="534" t="s">
        <v>13</v>
      </c>
      <c r="O104" s="808" t="s">
        <v>1124</v>
      </c>
      <c r="P104" s="17" t="s">
        <v>233</v>
      </c>
      <c r="Q104" s="182" t="s">
        <v>1125</v>
      </c>
    </row>
    <row r="105" spans="1:17" ht="66" customHeight="1" x14ac:dyDescent="0.35">
      <c r="A105" s="851" t="s">
        <v>217</v>
      </c>
      <c r="B105" s="852"/>
      <c r="C105" s="852"/>
      <c r="D105" s="852"/>
      <c r="E105" s="853"/>
      <c r="F105" s="101">
        <f>F106+F107+F108</f>
        <v>114271</v>
      </c>
      <c r="G105" s="101">
        <f t="shared" ref="G105:M105" si="33">G106+G107+G108</f>
        <v>114271</v>
      </c>
      <c r="H105" s="101">
        <f t="shared" si="33"/>
        <v>114271</v>
      </c>
      <c r="I105" s="101">
        <f t="shared" si="33"/>
        <v>0</v>
      </c>
      <c r="J105" s="101">
        <f t="shared" si="33"/>
        <v>42350</v>
      </c>
      <c r="K105" s="101">
        <f t="shared" si="33"/>
        <v>39738</v>
      </c>
      <c r="L105" s="101">
        <f t="shared" si="33"/>
        <v>0</v>
      </c>
      <c r="M105" s="101">
        <f t="shared" si="33"/>
        <v>0</v>
      </c>
      <c r="N105" s="7"/>
      <c r="O105" s="7"/>
      <c r="P105" s="7"/>
      <c r="Q105" s="7"/>
    </row>
    <row r="106" spans="1:17" ht="66" customHeight="1" x14ac:dyDescent="0.35">
      <c r="A106" s="882" t="s">
        <v>84</v>
      </c>
      <c r="B106" s="888" t="s">
        <v>1152</v>
      </c>
      <c r="C106" s="420" t="s">
        <v>1117</v>
      </c>
      <c r="D106" s="469" t="s">
        <v>1153</v>
      </c>
      <c r="E106" s="65" t="s">
        <v>698</v>
      </c>
      <c r="F106" s="70">
        <v>0</v>
      </c>
      <c r="G106" s="70">
        <v>0</v>
      </c>
      <c r="H106" s="70">
        <v>0</v>
      </c>
      <c r="I106" s="88">
        <v>0</v>
      </c>
      <c r="J106" s="88">
        <v>42350</v>
      </c>
      <c r="K106" s="88">
        <v>0</v>
      </c>
      <c r="L106" s="88">
        <v>0</v>
      </c>
      <c r="M106" s="88">
        <v>0</v>
      </c>
      <c r="N106" s="908" t="s">
        <v>13</v>
      </c>
      <c r="O106" s="892" t="s">
        <v>1154</v>
      </c>
      <c r="P106" s="17" t="s">
        <v>482</v>
      </c>
      <c r="Q106" s="890" t="s">
        <v>833</v>
      </c>
    </row>
    <row r="107" spans="1:17" ht="66" customHeight="1" x14ac:dyDescent="0.35">
      <c r="A107" s="884"/>
      <c r="B107" s="889"/>
      <c r="C107" s="420" t="s">
        <v>1118</v>
      </c>
      <c r="D107" s="469" t="s">
        <v>958</v>
      </c>
      <c r="E107" s="67" t="s">
        <v>698</v>
      </c>
      <c r="F107" s="70">
        <v>0</v>
      </c>
      <c r="G107" s="70">
        <v>0</v>
      </c>
      <c r="H107" s="70">
        <v>0</v>
      </c>
      <c r="I107" s="88">
        <v>0</v>
      </c>
      <c r="J107" s="88">
        <v>0</v>
      </c>
      <c r="K107" s="88">
        <v>39738</v>
      </c>
      <c r="L107" s="88">
        <v>0</v>
      </c>
      <c r="M107" s="88">
        <v>0</v>
      </c>
      <c r="N107" s="909"/>
      <c r="O107" s="893"/>
      <c r="P107" s="17" t="s">
        <v>482</v>
      </c>
      <c r="Q107" s="891"/>
    </row>
    <row r="108" spans="1:17" s="181" customFormat="1" ht="86.5" customHeight="1" x14ac:dyDescent="0.35">
      <c r="A108" s="17" t="s">
        <v>85</v>
      </c>
      <c r="B108" s="420" t="s">
        <v>959</v>
      </c>
      <c r="C108" s="420" t="s">
        <v>960</v>
      </c>
      <c r="D108" s="420" t="s">
        <v>1029</v>
      </c>
      <c r="E108" s="420" t="s">
        <v>767</v>
      </c>
      <c r="F108" s="70">
        <v>114271</v>
      </c>
      <c r="G108" s="70">
        <v>114271</v>
      </c>
      <c r="H108" s="70">
        <v>114271</v>
      </c>
      <c r="I108" s="29">
        <v>0</v>
      </c>
      <c r="J108" s="29">
        <v>0</v>
      </c>
      <c r="K108" s="29">
        <v>0</v>
      </c>
      <c r="L108" s="29">
        <v>0</v>
      </c>
      <c r="M108" s="29">
        <v>0</v>
      </c>
      <c r="N108" s="28" t="s">
        <v>14</v>
      </c>
      <c r="O108" s="522" t="s">
        <v>1151</v>
      </c>
      <c r="P108" s="191" t="s">
        <v>233</v>
      </c>
      <c r="Q108" s="28" t="s">
        <v>833</v>
      </c>
    </row>
    <row r="109" spans="1:17" ht="66" customHeight="1" x14ac:dyDescent="0.35">
      <c r="A109" s="851" t="s">
        <v>218</v>
      </c>
      <c r="B109" s="852"/>
      <c r="C109" s="852"/>
      <c r="D109" s="852"/>
      <c r="E109" s="853"/>
      <c r="F109" s="31">
        <f>SUM(F110:F132)</f>
        <v>45470291</v>
      </c>
      <c r="G109" s="31">
        <f t="shared" ref="G109:M109" si="34">SUM(G110:G132)</f>
        <v>47741265</v>
      </c>
      <c r="H109" s="31">
        <f t="shared" si="34"/>
        <v>45255537</v>
      </c>
      <c r="I109" s="31">
        <f t="shared" si="34"/>
        <v>0</v>
      </c>
      <c r="J109" s="31">
        <f t="shared" si="34"/>
        <v>0</v>
      </c>
      <c r="K109" s="31">
        <f t="shared" si="34"/>
        <v>7004362</v>
      </c>
      <c r="L109" s="31">
        <f t="shared" si="34"/>
        <v>0</v>
      </c>
      <c r="M109" s="31">
        <f t="shared" si="34"/>
        <v>7550519</v>
      </c>
      <c r="N109" s="12"/>
      <c r="O109" s="12"/>
      <c r="P109" s="12"/>
      <c r="Q109" s="12"/>
    </row>
    <row r="110" spans="1:17" ht="52.5" customHeight="1" x14ac:dyDescent="0.35">
      <c r="A110" s="882" t="s">
        <v>86</v>
      </c>
      <c r="B110" s="928" t="s">
        <v>1149</v>
      </c>
      <c r="C110" s="918" t="s">
        <v>961</v>
      </c>
      <c r="D110" s="910" t="s">
        <v>962</v>
      </c>
      <c r="E110" s="420" t="s">
        <v>766</v>
      </c>
      <c r="F110" s="70">
        <v>180000</v>
      </c>
      <c r="G110" s="70">
        <v>180000</v>
      </c>
      <c r="H110" s="70">
        <v>180000</v>
      </c>
      <c r="I110" s="29">
        <v>0</v>
      </c>
      <c r="J110" s="29">
        <v>0</v>
      </c>
      <c r="K110" s="29">
        <v>125250</v>
      </c>
      <c r="L110" s="29">
        <v>0</v>
      </c>
      <c r="M110" s="29">
        <v>250500</v>
      </c>
      <c r="N110" s="892" t="s">
        <v>14</v>
      </c>
      <c r="O110" s="908" t="s">
        <v>1150</v>
      </c>
      <c r="P110" s="898" t="s">
        <v>202</v>
      </c>
      <c r="Q110" s="934" t="s">
        <v>214</v>
      </c>
    </row>
    <row r="111" spans="1:17" ht="54.75" customHeight="1" x14ac:dyDescent="0.35">
      <c r="A111" s="883"/>
      <c r="B111" s="929"/>
      <c r="C111" s="942"/>
      <c r="D111" s="941"/>
      <c r="E111" s="420" t="s">
        <v>765</v>
      </c>
      <c r="F111" s="70">
        <v>9188</v>
      </c>
      <c r="G111" s="70">
        <v>9188</v>
      </c>
      <c r="H111" s="70">
        <v>9188</v>
      </c>
      <c r="I111" s="29">
        <v>0</v>
      </c>
      <c r="J111" s="29">
        <v>0</v>
      </c>
      <c r="K111" s="29">
        <v>5549</v>
      </c>
      <c r="L111" s="29">
        <v>0</v>
      </c>
      <c r="M111" s="29">
        <v>11097</v>
      </c>
      <c r="N111" s="926"/>
      <c r="O111" s="927"/>
      <c r="P111" s="899"/>
      <c r="Q111" s="935"/>
    </row>
    <row r="112" spans="1:17" ht="53.25" customHeight="1" x14ac:dyDescent="0.35">
      <c r="A112" s="883"/>
      <c r="B112" s="929"/>
      <c r="C112" s="942"/>
      <c r="D112" s="941"/>
      <c r="E112" s="420" t="s">
        <v>764</v>
      </c>
      <c r="F112" s="70">
        <v>225878</v>
      </c>
      <c r="G112" s="70">
        <v>225878</v>
      </c>
      <c r="H112" s="70">
        <v>225878</v>
      </c>
      <c r="I112" s="29">
        <v>0</v>
      </c>
      <c r="J112" s="29">
        <v>0</v>
      </c>
      <c r="K112" s="29">
        <v>302185</v>
      </c>
      <c r="L112" s="29">
        <v>0</v>
      </c>
      <c r="M112" s="29">
        <v>604370</v>
      </c>
      <c r="N112" s="926"/>
      <c r="O112" s="927"/>
      <c r="P112" s="899"/>
      <c r="Q112" s="935"/>
    </row>
    <row r="113" spans="1:52" ht="53.25" customHeight="1" x14ac:dyDescent="0.35">
      <c r="A113" s="884"/>
      <c r="B113" s="930"/>
      <c r="C113" s="919"/>
      <c r="D113" s="911"/>
      <c r="E113" s="67" t="s">
        <v>768</v>
      </c>
      <c r="F113" s="70">
        <v>7091</v>
      </c>
      <c r="G113" s="70">
        <v>7091</v>
      </c>
      <c r="H113" s="70">
        <v>7091</v>
      </c>
      <c r="I113" s="88">
        <v>0</v>
      </c>
      <c r="J113" s="88">
        <v>0</v>
      </c>
      <c r="K113" s="88">
        <v>8743</v>
      </c>
      <c r="L113" s="88">
        <v>0</v>
      </c>
      <c r="M113" s="88">
        <v>17486</v>
      </c>
      <c r="N113" s="893"/>
      <c r="O113" s="909"/>
      <c r="P113" s="900"/>
      <c r="Q113" s="936"/>
    </row>
    <row r="114" spans="1:52" ht="133" customHeight="1" x14ac:dyDescent="0.35">
      <c r="A114" s="882" t="s">
        <v>88</v>
      </c>
      <c r="B114" s="918" t="s">
        <v>963</v>
      </c>
      <c r="C114" s="67" t="s">
        <v>1130</v>
      </c>
      <c r="D114" s="67" t="s">
        <v>92</v>
      </c>
      <c r="E114" s="67"/>
      <c r="F114" s="70">
        <v>0</v>
      </c>
      <c r="G114" s="70">
        <v>0</v>
      </c>
      <c r="H114" s="70">
        <v>0</v>
      </c>
      <c r="I114" s="88">
        <v>0</v>
      </c>
      <c r="J114" s="88">
        <v>0</v>
      </c>
      <c r="K114" s="88">
        <v>0</v>
      </c>
      <c r="L114" s="88">
        <v>0</v>
      </c>
      <c r="M114" s="88">
        <v>0</v>
      </c>
      <c r="N114" s="533" t="s">
        <v>13</v>
      </c>
      <c r="O114" s="2" t="s">
        <v>93</v>
      </c>
      <c r="P114" s="191" t="s">
        <v>233</v>
      </c>
      <c r="Q114" s="533" t="s">
        <v>213</v>
      </c>
    </row>
    <row r="115" spans="1:52" ht="47.25" customHeight="1" x14ac:dyDescent="0.35">
      <c r="A115" s="884"/>
      <c r="B115" s="919"/>
      <c r="C115" s="67" t="s">
        <v>1088</v>
      </c>
      <c r="D115" s="67" t="s">
        <v>94</v>
      </c>
      <c r="E115" s="420" t="s">
        <v>759</v>
      </c>
      <c r="F115" s="70">
        <v>214754</v>
      </c>
      <c r="G115" s="70">
        <v>65906</v>
      </c>
      <c r="H115" s="70">
        <v>0</v>
      </c>
      <c r="I115" s="88">
        <v>0</v>
      </c>
      <c r="J115" s="88">
        <v>0</v>
      </c>
      <c r="K115" s="88">
        <v>0</v>
      </c>
      <c r="L115" s="88">
        <v>0</v>
      </c>
      <c r="M115" s="88">
        <v>0</v>
      </c>
      <c r="N115" s="522" t="s">
        <v>13</v>
      </c>
      <c r="O115" s="28" t="s">
        <v>81</v>
      </c>
      <c r="P115" s="191" t="s">
        <v>647</v>
      </c>
      <c r="Q115" s="533" t="s">
        <v>49</v>
      </c>
    </row>
    <row r="116" spans="1:52" ht="50.25" customHeight="1" x14ac:dyDescent="0.35">
      <c r="A116" s="882" t="s">
        <v>89</v>
      </c>
      <c r="B116" s="918" t="s">
        <v>964</v>
      </c>
      <c r="C116" s="918" t="s">
        <v>1089</v>
      </c>
      <c r="D116" s="918" t="s">
        <v>965</v>
      </c>
      <c r="E116" s="67" t="s">
        <v>765</v>
      </c>
      <c r="F116" s="70">
        <v>3501010</v>
      </c>
      <c r="G116" s="70">
        <v>3501010</v>
      </c>
      <c r="H116" s="70">
        <v>3501010</v>
      </c>
      <c r="I116" s="29">
        <v>0</v>
      </c>
      <c r="J116" s="88">
        <v>0</v>
      </c>
      <c r="K116" s="88">
        <v>16920</v>
      </c>
      <c r="L116" s="88">
        <v>0</v>
      </c>
      <c r="M116" s="88">
        <v>16920</v>
      </c>
      <c r="N116" s="892" t="s">
        <v>13</v>
      </c>
      <c r="O116" s="908" t="s">
        <v>1171</v>
      </c>
      <c r="P116" s="898" t="s">
        <v>202</v>
      </c>
      <c r="Q116" s="943" t="s">
        <v>833</v>
      </c>
    </row>
    <row r="117" spans="1:52" ht="66" customHeight="1" x14ac:dyDescent="0.35">
      <c r="A117" s="883"/>
      <c r="B117" s="942"/>
      <c r="C117" s="919"/>
      <c r="D117" s="919"/>
      <c r="E117" s="67" t="s">
        <v>764</v>
      </c>
      <c r="F117" s="70">
        <v>28195452</v>
      </c>
      <c r="G117" s="70">
        <v>28195452</v>
      </c>
      <c r="H117" s="70">
        <v>28195452</v>
      </c>
      <c r="I117" s="29">
        <v>0</v>
      </c>
      <c r="J117" s="88">
        <v>0</v>
      </c>
      <c r="K117" s="88">
        <v>132414</v>
      </c>
      <c r="L117" s="88">
        <v>0</v>
      </c>
      <c r="M117" s="88">
        <v>132414</v>
      </c>
      <c r="N117" s="893"/>
      <c r="O117" s="909"/>
      <c r="P117" s="900"/>
      <c r="Q117" s="944"/>
    </row>
    <row r="118" spans="1:52" ht="43.5" customHeight="1" x14ac:dyDescent="0.35">
      <c r="A118" s="884"/>
      <c r="B118" s="919"/>
      <c r="C118" s="375" t="s">
        <v>1090</v>
      </c>
      <c r="D118" s="460" t="s">
        <v>966</v>
      </c>
      <c r="E118" s="67"/>
      <c r="F118" s="70">
        <v>0</v>
      </c>
      <c r="G118" s="70">
        <v>0</v>
      </c>
      <c r="H118" s="70">
        <v>0</v>
      </c>
      <c r="I118" s="88">
        <v>0</v>
      </c>
      <c r="J118" s="88">
        <v>0</v>
      </c>
      <c r="K118" s="88">
        <v>0</v>
      </c>
      <c r="L118" s="88">
        <v>0</v>
      </c>
      <c r="M118" s="88">
        <v>0</v>
      </c>
      <c r="N118" s="522" t="s">
        <v>13</v>
      </c>
      <c r="O118" s="28" t="s">
        <v>96</v>
      </c>
      <c r="P118" s="191" t="s">
        <v>233</v>
      </c>
      <c r="Q118" s="945"/>
    </row>
    <row r="119" spans="1:52" s="181" customFormat="1" ht="180" customHeight="1" x14ac:dyDescent="0.35">
      <c r="A119" s="982" t="s">
        <v>90</v>
      </c>
      <c r="B119" s="983" t="s">
        <v>865</v>
      </c>
      <c r="C119" s="420" t="s">
        <v>1092</v>
      </c>
      <c r="D119" s="469" t="s">
        <v>1274</v>
      </c>
      <c r="E119" s="420" t="s">
        <v>768</v>
      </c>
      <c r="F119" s="70">
        <v>428241</v>
      </c>
      <c r="G119" s="70">
        <v>428241</v>
      </c>
      <c r="H119" s="70">
        <v>428241</v>
      </c>
      <c r="I119" s="29">
        <v>0</v>
      </c>
      <c r="J119" s="29">
        <v>0</v>
      </c>
      <c r="K119" s="29">
        <v>2698644</v>
      </c>
      <c r="L119" s="29">
        <v>0</v>
      </c>
      <c r="M119" s="29">
        <v>2698644</v>
      </c>
      <c r="N119" s="940" t="s">
        <v>14</v>
      </c>
      <c r="O119" s="932" t="s">
        <v>866</v>
      </c>
      <c r="P119" s="899" t="s">
        <v>202</v>
      </c>
      <c r="Q119" s="932" t="s">
        <v>833</v>
      </c>
    </row>
    <row r="120" spans="1:52" s="181" customFormat="1" ht="79" customHeight="1" x14ac:dyDescent="0.35">
      <c r="A120" s="982"/>
      <c r="B120" s="983"/>
      <c r="C120" s="420" t="s">
        <v>1093</v>
      </c>
      <c r="D120" s="469" t="s">
        <v>1275</v>
      </c>
      <c r="E120" s="420" t="s">
        <v>766</v>
      </c>
      <c r="F120" s="70">
        <v>0</v>
      </c>
      <c r="G120" s="70">
        <v>0</v>
      </c>
      <c r="H120" s="70">
        <v>0</v>
      </c>
      <c r="I120" s="29">
        <v>0</v>
      </c>
      <c r="J120" s="29">
        <v>0</v>
      </c>
      <c r="K120" s="29">
        <v>1054210</v>
      </c>
      <c r="L120" s="29">
        <v>0</v>
      </c>
      <c r="M120" s="29">
        <v>1054210</v>
      </c>
      <c r="N120" s="940"/>
      <c r="O120" s="932"/>
      <c r="P120" s="899"/>
      <c r="Q120" s="932"/>
    </row>
    <row r="121" spans="1:52" ht="99.65" customHeight="1" x14ac:dyDescent="0.35">
      <c r="A121" s="17" t="s">
        <v>91</v>
      </c>
      <c r="B121" s="67" t="s">
        <v>967</v>
      </c>
      <c r="C121" s="420" t="s">
        <v>1030</v>
      </c>
      <c r="D121" s="183" t="s">
        <v>1064</v>
      </c>
      <c r="E121" s="65" t="s">
        <v>768</v>
      </c>
      <c r="F121" s="71">
        <v>1440523</v>
      </c>
      <c r="G121" s="71">
        <v>1440523</v>
      </c>
      <c r="H121" s="71">
        <v>1440523</v>
      </c>
      <c r="I121" s="30">
        <v>0</v>
      </c>
      <c r="J121" s="30">
        <v>0</v>
      </c>
      <c r="K121" s="30">
        <v>630918</v>
      </c>
      <c r="L121" s="30">
        <v>0</v>
      </c>
      <c r="M121" s="30">
        <v>630918</v>
      </c>
      <c r="N121" s="531" t="s">
        <v>14</v>
      </c>
      <c r="O121" s="1" t="s">
        <v>100</v>
      </c>
      <c r="P121" s="3" t="s">
        <v>202</v>
      </c>
      <c r="Q121" s="456" t="s">
        <v>833</v>
      </c>
    </row>
    <row r="122" spans="1:52" ht="63" customHeight="1" x14ac:dyDescent="0.35">
      <c r="A122" s="882" t="s">
        <v>95</v>
      </c>
      <c r="B122" s="918" t="s">
        <v>968</v>
      </c>
      <c r="C122" s="420" t="s">
        <v>1095</v>
      </c>
      <c r="D122" s="420" t="s">
        <v>1276</v>
      </c>
      <c r="E122" s="67" t="s">
        <v>764</v>
      </c>
      <c r="F122" s="70">
        <v>4957021</v>
      </c>
      <c r="G122" s="70">
        <v>4957021</v>
      </c>
      <c r="H122" s="70">
        <v>4957021</v>
      </c>
      <c r="I122" s="88">
        <v>0</v>
      </c>
      <c r="J122" s="88">
        <v>0</v>
      </c>
      <c r="K122" s="88">
        <v>134508</v>
      </c>
      <c r="L122" s="88">
        <v>0</v>
      </c>
      <c r="M122" s="88">
        <v>134508</v>
      </c>
      <c r="N122" s="522" t="s">
        <v>14</v>
      </c>
      <c r="O122" s="2" t="s">
        <v>102</v>
      </c>
      <c r="P122" s="4" t="s">
        <v>202</v>
      </c>
      <c r="Q122" s="2" t="s">
        <v>833</v>
      </c>
    </row>
    <row r="123" spans="1:52" ht="101.5" customHeight="1" x14ac:dyDescent="0.35">
      <c r="A123" s="883"/>
      <c r="B123" s="942"/>
      <c r="C123" s="486" t="s">
        <v>1096</v>
      </c>
      <c r="D123" s="470" t="s">
        <v>1277</v>
      </c>
      <c r="E123" s="65" t="s">
        <v>768</v>
      </c>
      <c r="F123" s="70">
        <v>139586</v>
      </c>
      <c r="G123" s="70">
        <v>139586</v>
      </c>
      <c r="H123" s="70">
        <v>139586</v>
      </c>
      <c r="I123" s="88">
        <v>0</v>
      </c>
      <c r="J123" s="29">
        <v>0</v>
      </c>
      <c r="K123" s="29">
        <v>42767</v>
      </c>
      <c r="L123" s="29">
        <v>0</v>
      </c>
      <c r="M123" s="29">
        <v>42767</v>
      </c>
      <c r="N123" s="522" t="s">
        <v>14</v>
      </c>
      <c r="O123" s="533" t="s">
        <v>102</v>
      </c>
      <c r="P123" s="191" t="s">
        <v>202</v>
      </c>
      <c r="Q123" s="2" t="s">
        <v>833</v>
      </c>
    </row>
    <row r="124" spans="1:52" ht="35.25" customHeight="1" x14ac:dyDescent="0.35">
      <c r="A124" s="883"/>
      <c r="B124" s="942"/>
      <c r="C124" s="947" t="s">
        <v>1097</v>
      </c>
      <c r="D124" s="713" t="s">
        <v>864</v>
      </c>
      <c r="E124" s="67" t="s">
        <v>764</v>
      </c>
      <c r="F124" s="115">
        <v>6105029</v>
      </c>
      <c r="G124" s="115">
        <v>6105029</v>
      </c>
      <c r="H124" s="115">
        <v>6105029</v>
      </c>
      <c r="I124" s="116">
        <v>0</v>
      </c>
      <c r="J124" s="417">
        <v>0</v>
      </c>
      <c r="K124" s="417">
        <v>2762</v>
      </c>
      <c r="L124" s="417">
        <v>0</v>
      </c>
      <c r="M124" s="417">
        <v>2762</v>
      </c>
      <c r="N124" s="522" t="s">
        <v>14</v>
      </c>
      <c r="O124" s="506" t="s">
        <v>13</v>
      </c>
      <c r="P124" s="191" t="s">
        <v>202</v>
      </c>
      <c r="Q124" s="565" t="s">
        <v>833</v>
      </c>
    </row>
    <row r="125" spans="1:52" ht="38.25" customHeight="1" x14ac:dyDescent="0.35">
      <c r="A125" s="884"/>
      <c r="B125" s="919"/>
      <c r="C125" s="948"/>
      <c r="D125" s="714" t="s">
        <v>1013</v>
      </c>
      <c r="E125" s="65" t="s">
        <v>768</v>
      </c>
      <c r="F125" s="115">
        <v>52708</v>
      </c>
      <c r="G125" s="115">
        <v>52708</v>
      </c>
      <c r="H125" s="115">
        <v>52708</v>
      </c>
      <c r="I125" s="116">
        <v>0</v>
      </c>
      <c r="J125" s="417">
        <v>0</v>
      </c>
      <c r="K125" s="417">
        <v>6130</v>
      </c>
      <c r="L125" s="417">
        <v>0</v>
      </c>
      <c r="M125" s="417">
        <v>6130</v>
      </c>
      <c r="N125" s="522" t="s">
        <v>14</v>
      </c>
      <c r="O125" s="506" t="s">
        <v>13</v>
      </c>
      <c r="P125" s="191" t="s">
        <v>202</v>
      </c>
      <c r="Q125" s="565" t="s">
        <v>833</v>
      </c>
    </row>
    <row r="126" spans="1:52" ht="72.650000000000006" customHeight="1" x14ac:dyDescent="0.35">
      <c r="A126" s="988" t="s">
        <v>97</v>
      </c>
      <c r="B126" s="946" t="s">
        <v>1011</v>
      </c>
      <c r="C126" s="222" t="s">
        <v>1098</v>
      </c>
      <c r="D126" s="469" t="s">
        <v>1278</v>
      </c>
      <c r="E126" s="67" t="s">
        <v>764</v>
      </c>
      <c r="F126" s="115">
        <v>13810</v>
      </c>
      <c r="G126" s="115">
        <v>13810</v>
      </c>
      <c r="H126" s="115">
        <v>13810</v>
      </c>
      <c r="I126" s="116">
        <v>0</v>
      </c>
      <c r="J126" s="116">
        <v>0</v>
      </c>
      <c r="K126" s="116">
        <v>115898</v>
      </c>
      <c r="L126" s="116">
        <v>0</v>
      </c>
      <c r="M126" s="116">
        <v>115898</v>
      </c>
      <c r="N126" s="506" t="s">
        <v>14</v>
      </c>
      <c r="O126" s="532" t="s">
        <v>13</v>
      </c>
      <c r="P126" s="191" t="s">
        <v>202</v>
      </c>
      <c r="Q126" s="565" t="s">
        <v>833</v>
      </c>
    </row>
    <row r="127" spans="1:52" ht="66" customHeight="1" x14ac:dyDescent="0.35">
      <c r="A127" s="989"/>
      <c r="B127" s="946"/>
      <c r="C127" s="242" t="s">
        <v>1099</v>
      </c>
      <c r="D127" s="242" t="s">
        <v>1012</v>
      </c>
      <c r="E127" s="67" t="s">
        <v>764</v>
      </c>
      <c r="F127" s="115">
        <v>0</v>
      </c>
      <c r="G127" s="115">
        <v>0</v>
      </c>
      <c r="H127" s="115">
        <v>0</v>
      </c>
      <c r="I127" s="116">
        <v>0</v>
      </c>
      <c r="J127" s="116">
        <v>0</v>
      </c>
      <c r="K127" s="116">
        <v>174052</v>
      </c>
      <c r="L127" s="116">
        <v>0</v>
      </c>
      <c r="M127" s="116">
        <v>278483</v>
      </c>
      <c r="N127" s="506" t="s">
        <v>14</v>
      </c>
      <c r="O127" s="532" t="s">
        <v>13</v>
      </c>
      <c r="P127" s="241" t="s">
        <v>202</v>
      </c>
      <c r="Q127" s="566" t="s">
        <v>833</v>
      </c>
    </row>
    <row r="128" spans="1:52" s="490" customFormat="1" ht="48" customHeight="1" x14ac:dyDescent="0.35">
      <c r="A128" s="298" t="s">
        <v>98</v>
      </c>
      <c r="B128" s="420" t="s">
        <v>1008</v>
      </c>
      <c r="C128" s="420" t="s">
        <v>1009</v>
      </c>
      <c r="D128" s="420" t="s">
        <v>1010</v>
      </c>
      <c r="E128" s="459" t="s">
        <v>1068</v>
      </c>
      <c r="F128" s="70">
        <v>0</v>
      </c>
      <c r="G128" s="70">
        <v>0</v>
      </c>
      <c r="H128" s="70">
        <v>0</v>
      </c>
      <c r="I128" s="29">
        <v>0</v>
      </c>
      <c r="J128" s="29">
        <v>0</v>
      </c>
      <c r="K128" s="29">
        <v>373292</v>
      </c>
      <c r="L128" s="29">
        <v>0</v>
      </c>
      <c r="M128" s="29">
        <v>373292</v>
      </c>
      <c r="N128" s="522" t="s">
        <v>525</v>
      </c>
      <c r="O128" s="522" t="s">
        <v>13</v>
      </c>
      <c r="P128" s="191" t="s">
        <v>202</v>
      </c>
      <c r="Q128" s="28" t="s">
        <v>837</v>
      </c>
      <c r="R128" s="181"/>
      <c r="S128" s="181"/>
      <c r="T128" s="181"/>
      <c r="U128" s="181"/>
      <c r="V128" s="181"/>
      <c r="W128" s="181"/>
      <c r="X128" s="181"/>
      <c r="Y128" s="181"/>
      <c r="Z128" s="181"/>
      <c r="AA128" s="181"/>
      <c r="AB128" s="181"/>
      <c r="AC128" s="181"/>
      <c r="AD128" s="181"/>
      <c r="AE128" s="181"/>
      <c r="AF128" s="181"/>
      <c r="AG128" s="181"/>
      <c r="AH128" s="181"/>
      <c r="AI128" s="181"/>
      <c r="AJ128" s="181"/>
      <c r="AK128" s="181"/>
      <c r="AL128" s="181"/>
      <c r="AM128" s="181"/>
      <c r="AN128" s="181"/>
      <c r="AO128" s="181"/>
      <c r="AP128" s="181"/>
      <c r="AQ128" s="181"/>
      <c r="AR128" s="181"/>
      <c r="AS128" s="181"/>
      <c r="AT128" s="181"/>
      <c r="AU128" s="181"/>
      <c r="AV128" s="181"/>
      <c r="AW128" s="181"/>
      <c r="AX128" s="181"/>
      <c r="AY128" s="181"/>
      <c r="AZ128" s="181"/>
    </row>
    <row r="129" spans="1:23" ht="146.15" customHeight="1" x14ac:dyDescent="0.35">
      <c r="A129" s="468" t="s">
        <v>101</v>
      </c>
      <c r="B129" s="771" t="s">
        <v>1071</v>
      </c>
      <c r="C129" s="459" t="s">
        <v>1267</v>
      </c>
      <c r="D129" s="459" t="s">
        <v>1268</v>
      </c>
      <c r="E129" s="469" t="s">
        <v>646</v>
      </c>
      <c r="F129" s="70">
        <v>0</v>
      </c>
      <c r="G129" s="491">
        <v>853725</v>
      </c>
      <c r="H129" s="70">
        <v>0</v>
      </c>
      <c r="I129" s="29">
        <v>0</v>
      </c>
      <c r="J129" s="492">
        <v>0</v>
      </c>
      <c r="K129" s="492">
        <v>0</v>
      </c>
      <c r="L129" s="29">
        <v>0</v>
      </c>
      <c r="M129" s="29">
        <v>0</v>
      </c>
      <c r="N129" s="522" t="s">
        <v>13</v>
      </c>
      <c r="O129" s="522" t="s">
        <v>14</v>
      </c>
      <c r="P129" s="298" t="s">
        <v>647</v>
      </c>
      <c r="Q129" s="28" t="s">
        <v>648</v>
      </c>
    </row>
    <row r="130" spans="1:23" ht="100" customHeight="1" x14ac:dyDescent="0.35">
      <c r="A130" s="770"/>
      <c r="B130" s="777"/>
      <c r="C130" s="777" t="s">
        <v>1100</v>
      </c>
      <c r="D130" s="459" t="s">
        <v>1264</v>
      </c>
      <c r="E130" s="496" t="s">
        <v>765</v>
      </c>
      <c r="F130" s="115">
        <v>0</v>
      </c>
      <c r="G130" s="716">
        <v>0</v>
      </c>
      <c r="H130" s="115">
        <v>0</v>
      </c>
      <c r="I130" s="417">
        <v>0</v>
      </c>
      <c r="J130" s="717">
        <v>0</v>
      </c>
      <c r="K130" s="717">
        <v>600000</v>
      </c>
      <c r="L130" s="717">
        <v>0</v>
      </c>
      <c r="M130" s="717">
        <v>600000</v>
      </c>
      <c r="N130" s="768" t="s">
        <v>14</v>
      </c>
      <c r="O130" s="768" t="s">
        <v>81</v>
      </c>
      <c r="P130" s="468" t="s">
        <v>202</v>
      </c>
      <c r="Q130" s="223" t="s">
        <v>833</v>
      </c>
    </row>
    <row r="131" spans="1:23" ht="113.25" customHeight="1" x14ac:dyDescent="0.35">
      <c r="A131" s="913" t="s">
        <v>219</v>
      </c>
      <c r="B131" s="928" t="s">
        <v>1069</v>
      </c>
      <c r="C131" s="771" t="s">
        <v>1101</v>
      </c>
      <c r="D131" s="771" t="s">
        <v>1070</v>
      </c>
      <c r="E131" s="774" t="s">
        <v>646</v>
      </c>
      <c r="F131" s="115">
        <v>0</v>
      </c>
      <c r="G131" s="716">
        <v>1566097</v>
      </c>
      <c r="H131" s="115">
        <v>0</v>
      </c>
      <c r="I131" s="417">
        <v>0</v>
      </c>
      <c r="J131" s="717">
        <v>0</v>
      </c>
      <c r="K131" s="717">
        <v>0</v>
      </c>
      <c r="L131" s="417">
        <v>0</v>
      </c>
      <c r="M131" s="417">
        <v>0</v>
      </c>
      <c r="N131" s="522" t="s">
        <v>13</v>
      </c>
      <c r="O131" s="522" t="s">
        <v>14</v>
      </c>
      <c r="P131" s="468" t="s">
        <v>647</v>
      </c>
      <c r="Q131" s="223" t="s">
        <v>648</v>
      </c>
    </row>
    <row r="132" spans="1:23" ht="100" customHeight="1" x14ac:dyDescent="0.35">
      <c r="A132" s="914"/>
      <c r="B132" s="930"/>
      <c r="C132" s="459" t="s">
        <v>1102</v>
      </c>
      <c r="D132" s="459" t="s">
        <v>1266</v>
      </c>
      <c r="E132" s="460" t="s">
        <v>768</v>
      </c>
      <c r="F132" s="115">
        <v>0</v>
      </c>
      <c r="G132" s="716">
        <v>0</v>
      </c>
      <c r="H132" s="115">
        <v>0</v>
      </c>
      <c r="I132" s="417">
        <v>0</v>
      </c>
      <c r="J132" s="717">
        <v>0</v>
      </c>
      <c r="K132" s="717">
        <v>580120</v>
      </c>
      <c r="L132" s="717">
        <v>0</v>
      </c>
      <c r="M132" s="717">
        <v>580120</v>
      </c>
      <c r="N132" s="769" t="s">
        <v>14</v>
      </c>
      <c r="O132" s="769" t="s">
        <v>81</v>
      </c>
      <c r="P132" s="468" t="s">
        <v>202</v>
      </c>
      <c r="Q132" s="223" t="s">
        <v>833</v>
      </c>
    </row>
    <row r="133" spans="1:23" ht="66" customHeight="1" x14ac:dyDescent="0.35">
      <c r="A133" s="951" t="s">
        <v>1018</v>
      </c>
      <c r="B133" s="952"/>
      <c r="C133" s="952"/>
      <c r="D133" s="952"/>
      <c r="E133" s="953"/>
      <c r="F133" s="744">
        <f>SUM(F134:F136)</f>
        <v>0</v>
      </c>
      <c r="G133" s="744">
        <f t="shared" ref="G133:M133" si="35">SUM(G134:G136)</f>
        <v>0</v>
      </c>
      <c r="H133" s="744">
        <f t="shared" si="35"/>
        <v>0</v>
      </c>
      <c r="I133" s="744">
        <f t="shared" si="35"/>
        <v>0</v>
      </c>
      <c r="J133" s="744">
        <f t="shared" si="35"/>
        <v>0</v>
      </c>
      <c r="K133" s="744">
        <f t="shared" si="35"/>
        <v>380160</v>
      </c>
      <c r="L133" s="744">
        <f t="shared" si="35"/>
        <v>0</v>
      </c>
      <c r="M133" s="744">
        <f t="shared" si="35"/>
        <v>380160</v>
      </c>
      <c r="N133" s="718"/>
      <c r="O133" s="718"/>
      <c r="P133" s="718"/>
      <c r="Q133" s="718"/>
    </row>
    <row r="134" spans="1:23" ht="54" customHeight="1" x14ac:dyDescent="0.35">
      <c r="A134" s="298" t="s">
        <v>523</v>
      </c>
      <c r="B134" s="420" t="s">
        <v>1022</v>
      </c>
      <c r="C134" s="420" t="s">
        <v>1031</v>
      </c>
      <c r="D134" s="420" t="s">
        <v>1023</v>
      </c>
      <c r="E134" s="460" t="s">
        <v>765</v>
      </c>
      <c r="F134" s="70">
        <v>0</v>
      </c>
      <c r="G134" s="491">
        <v>0</v>
      </c>
      <c r="H134" s="70">
        <v>0</v>
      </c>
      <c r="I134" s="29">
        <v>0</v>
      </c>
      <c r="J134" s="492">
        <v>0</v>
      </c>
      <c r="K134" s="492">
        <v>359575</v>
      </c>
      <c r="L134" s="492">
        <v>0</v>
      </c>
      <c r="M134" s="492">
        <v>359575</v>
      </c>
      <c r="N134" s="522" t="s">
        <v>14</v>
      </c>
      <c r="O134" s="28" t="s">
        <v>1172</v>
      </c>
      <c r="P134" s="298" t="s">
        <v>202</v>
      </c>
      <c r="Q134" s="2" t="s">
        <v>833</v>
      </c>
      <c r="R134" s="715"/>
      <c r="S134" s="715"/>
      <c r="T134" s="715"/>
      <c r="U134" s="715"/>
      <c r="V134" s="715"/>
      <c r="W134" s="715"/>
    </row>
    <row r="135" spans="1:23" ht="120" customHeight="1" x14ac:dyDescent="0.35">
      <c r="A135" s="298" t="s">
        <v>1017</v>
      </c>
      <c r="B135" s="420" t="s">
        <v>1020</v>
      </c>
      <c r="C135" s="420" t="s">
        <v>1021</v>
      </c>
      <c r="D135" s="420" t="s">
        <v>1024</v>
      </c>
      <c r="E135" s="460"/>
      <c r="F135" s="70">
        <v>0</v>
      </c>
      <c r="G135" s="491">
        <v>0</v>
      </c>
      <c r="H135" s="70">
        <v>0</v>
      </c>
      <c r="I135" s="29">
        <v>0</v>
      </c>
      <c r="J135" s="492">
        <v>0</v>
      </c>
      <c r="K135" s="492">
        <v>0</v>
      </c>
      <c r="L135" s="29">
        <v>0</v>
      </c>
      <c r="M135" s="29">
        <v>0</v>
      </c>
      <c r="N135" s="522" t="s">
        <v>14</v>
      </c>
      <c r="O135" s="28" t="s">
        <v>1173</v>
      </c>
      <c r="P135" s="191" t="s">
        <v>233</v>
      </c>
      <c r="Q135" s="2" t="s">
        <v>45</v>
      </c>
    </row>
    <row r="136" spans="1:23" ht="64.5" customHeight="1" x14ac:dyDescent="0.35">
      <c r="A136" s="298" t="s">
        <v>1019</v>
      </c>
      <c r="B136" s="459" t="s">
        <v>1025</v>
      </c>
      <c r="C136" s="420" t="s">
        <v>1027</v>
      </c>
      <c r="D136" s="420" t="s">
        <v>1028</v>
      </c>
      <c r="E136" s="183" t="s">
        <v>768</v>
      </c>
      <c r="F136" s="70">
        <v>0</v>
      </c>
      <c r="G136" s="491">
        <v>0</v>
      </c>
      <c r="H136" s="70">
        <v>0</v>
      </c>
      <c r="I136" s="29">
        <v>0</v>
      </c>
      <c r="J136" s="492">
        <v>0</v>
      </c>
      <c r="K136" s="492">
        <v>20585</v>
      </c>
      <c r="L136" s="492">
        <v>0</v>
      </c>
      <c r="M136" s="492">
        <v>20585</v>
      </c>
      <c r="N136" s="522" t="s">
        <v>13</v>
      </c>
      <c r="O136" s="809" t="s">
        <v>1174</v>
      </c>
      <c r="P136" s="191" t="s">
        <v>202</v>
      </c>
      <c r="Q136" s="2" t="s">
        <v>833</v>
      </c>
    </row>
    <row r="137" spans="1:23" ht="66" customHeight="1" x14ac:dyDescent="0.35">
      <c r="A137" s="949" t="s">
        <v>103</v>
      </c>
      <c r="B137" s="950"/>
      <c r="C137" s="937" t="s">
        <v>104</v>
      </c>
      <c r="D137" s="938"/>
      <c r="E137" s="939"/>
      <c r="F137" s="465">
        <f>F138+F152+F167+F172+F177</f>
        <v>274500</v>
      </c>
      <c r="G137" s="465">
        <f t="shared" ref="G137:M137" si="36">G138+G152+G167+G172+G177</f>
        <v>345000</v>
      </c>
      <c r="H137" s="465">
        <f t="shared" si="36"/>
        <v>354000</v>
      </c>
      <c r="I137" s="465">
        <f t="shared" si="36"/>
        <v>812683</v>
      </c>
      <c r="J137" s="465">
        <f t="shared" si="36"/>
        <v>5787830</v>
      </c>
      <c r="K137" s="465">
        <f t="shared" si="36"/>
        <v>8595596</v>
      </c>
      <c r="L137" s="465">
        <f t="shared" si="36"/>
        <v>1647608</v>
      </c>
      <c r="M137" s="465">
        <f t="shared" si="36"/>
        <v>4859088</v>
      </c>
      <c r="N137" s="243"/>
      <c r="O137" s="821"/>
      <c r="P137" s="243"/>
      <c r="Q137" s="243"/>
    </row>
    <row r="138" spans="1:23" ht="66" customHeight="1" x14ac:dyDescent="0.35">
      <c r="A138" s="915" t="s">
        <v>105</v>
      </c>
      <c r="B138" s="916"/>
      <c r="C138" s="916"/>
      <c r="D138" s="916"/>
      <c r="E138" s="917"/>
      <c r="F138" s="31">
        <f t="shared" ref="F138:M138" si="37">SUM(F139:F151)</f>
        <v>4500</v>
      </c>
      <c r="G138" s="31">
        <f t="shared" si="37"/>
        <v>75000</v>
      </c>
      <c r="H138" s="31">
        <f t="shared" si="37"/>
        <v>84000</v>
      </c>
      <c r="I138" s="31">
        <f t="shared" si="37"/>
        <v>812683</v>
      </c>
      <c r="J138" s="31">
        <f t="shared" si="37"/>
        <v>2813882</v>
      </c>
      <c r="K138" s="31">
        <f t="shared" si="37"/>
        <v>5484318</v>
      </c>
      <c r="L138" s="31">
        <f t="shared" si="37"/>
        <v>1647608</v>
      </c>
      <c r="M138" s="31">
        <f t="shared" si="37"/>
        <v>1853227</v>
      </c>
      <c r="N138" s="11"/>
      <c r="O138" s="11"/>
      <c r="P138" s="11"/>
      <c r="Q138" s="11"/>
    </row>
    <row r="139" spans="1:23" ht="50.25" customHeight="1" x14ac:dyDescent="0.35">
      <c r="A139" s="882" t="s">
        <v>106</v>
      </c>
      <c r="B139" s="928" t="s">
        <v>107</v>
      </c>
      <c r="C139" s="469" t="s">
        <v>1005</v>
      </c>
      <c r="D139" s="469" t="s">
        <v>108</v>
      </c>
      <c r="E139" s="420" t="s">
        <v>764</v>
      </c>
      <c r="F139" s="70">
        <v>0</v>
      </c>
      <c r="G139" s="70">
        <v>0</v>
      </c>
      <c r="H139" s="70">
        <v>0</v>
      </c>
      <c r="I139" s="88">
        <v>0</v>
      </c>
      <c r="J139" s="88">
        <v>0</v>
      </c>
      <c r="K139" s="88">
        <v>33692</v>
      </c>
      <c r="L139" s="88">
        <v>0</v>
      </c>
      <c r="M139" s="88">
        <v>19108</v>
      </c>
      <c r="N139" s="811" t="s">
        <v>1199</v>
      </c>
      <c r="O139" s="522" t="s">
        <v>1157</v>
      </c>
      <c r="P139" s="191" t="s">
        <v>202</v>
      </c>
      <c r="Q139" s="2" t="s">
        <v>833</v>
      </c>
    </row>
    <row r="140" spans="1:23" ht="48.75" customHeight="1" x14ac:dyDescent="0.35">
      <c r="A140" s="884"/>
      <c r="B140" s="930"/>
      <c r="C140" s="469" t="s">
        <v>1006</v>
      </c>
      <c r="D140" s="469" t="s">
        <v>1007</v>
      </c>
      <c r="E140" s="420" t="s">
        <v>698</v>
      </c>
      <c r="F140" s="70">
        <v>0</v>
      </c>
      <c r="G140" s="70">
        <v>0</v>
      </c>
      <c r="H140" s="70">
        <v>0</v>
      </c>
      <c r="I140" s="88">
        <v>0</v>
      </c>
      <c r="J140" s="88">
        <v>0</v>
      </c>
      <c r="K140" s="88">
        <v>7865</v>
      </c>
      <c r="L140" s="88">
        <v>0</v>
      </c>
      <c r="M140" s="88">
        <v>0</v>
      </c>
      <c r="N140" s="28" t="s">
        <v>13</v>
      </c>
      <c r="O140" s="522" t="s">
        <v>109</v>
      </c>
      <c r="P140" s="191" t="s">
        <v>482</v>
      </c>
      <c r="Q140" s="2" t="s">
        <v>833</v>
      </c>
    </row>
    <row r="141" spans="1:23" ht="81.75" customHeight="1" x14ac:dyDescent="0.35">
      <c r="A141" s="3" t="s">
        <v>110</v>
      </c>
      <c r="B141" s="67" t="s">
        <v>111</v>
      </c>
      <c r="C141" s="67" t="s">
        <v>112</v>
      </c>
      <c r="D141" s="67" t="s">
        <v>113</v>
      </c>
      <c r="E141" s="420" t="s">
        <v>764</v>
      </c>
      <c r="F141" s="70">
        <v>0</v>
      </c>
      <c r="G141" s="70">
        <v>0</v>
      </c>
      <c r="H141" s="70">
        <v>0</v>
      </c>
      <c r="I141" s="88">
        <v>0</v>
      </c>
      <c r="J141" s="88">
        <v>0</v>
      </c>
      <c r="K141" s="88">
        <v>27265</v>
      </c>
      <c r="L141" s="88">
        <v>0</v>
      </c>
      <c r="M141" s="88">
        <v>16637</v>
      </c>
      <c r="N141" s="811" t="s">
        <v>1199</v>
      </c>
      <c r="O141" s="522" t="s">
        <v>11</v>
      </c>
      <c r="P141" s="191" t="s">
        <v>202</v>
      </c>
      <c r="Q141" s="2" t="s">
        <v>833</v>
      </c>
    </row>
    <row r="142" spans="1:23" ht="48.75" customHeight="1" x14ac:dyDescent="0.35">
      <c r="A142" s="3" t="s">
        <v>114</v>
      </c>
      <c r="B142" s="420" t="s">
        <v>1004</v>
      </c>
      <c r="C142" s="67" t="s">
        <v>116</v>
      </c>
      <c r="D142" s="67" t="s">
        <v>117</v>
      </c>
      <c r="E142" s="469" t="s">
        <v>710</v>
      </c>
      <c r="F142" s="70">
        <v>0</v>
      </c>
      <c r="G142" s="70">
        <v>0</v>
      </c>
      <c r="H142" s="70">
        <v>0</v>
      </c>
      <c r="I142" s="455">
        <v>812683</v>
      </c>
      <c r="J142" s="455">
        <v>2595882</v>
      </c>
      <c r="K142" s="455">
        <v>3598014</v>
      </c>
      <c r="L142" s="455">
        <v>1647608</v>
      </c>
      <c r="M142" s="473">
        <v>0</v>
      </c>
      <c r="N142" s="811" t="s">
        <v>1199</v>
      </c>
      <c r="O142" s="522" t="s">
        <v>13</v>
      </c>
      <c r="P142" s="456" t="s">
        <v>711</v>
      </c>
      <c r="Q142" s="28" t="s">
        <v>172</v>
      </c>
    </row>
    <row r="143" spans="1:23" ht="48.75" customHeight="1" x14ac:dyDescent="0.35">
      <c r="A143" s="880" t="s">
        <v>115</v>
      </c>
      <c r="B143" s="918" t="s">
        <v>119</v>
      </c>
      <c r="C143" s="222" t="s">
        <v>994</v>
      </c>
      <c r="D143" s="222" t="s">
        <v>999</v>
      </c>
      <c r="E143" s="222"/>
      <c r="F143" s="354">
        <v>0</v>
      </c>
      <c r="G143" s="354">
        <v>0</v>
      </c>
      <c r="H143" s="354">
        <v>0</v>
      </c>
      <c r="I143" s="457">
        <v>0</v>
      </c>
      <c r="J143" s="457">
        <v>0</v>
      </c>
      <c r="K143" s="457">
        <v>0</v>
      </c>
      <c r="L143" s="457">
        <v>0</v>
      </c>
      <c r="M143" s="457">
        <v>0</v>
      </c>
      <c r="N143" s="454" t="s">
        <v>14</v>
      </c>
      <c r="O143" s="534" t="s">
        <v>120</v>
      </c>
      <c r="P143" s="298" t="s">
        <v>233</v>
      </c>
      <c r="Q143" s="456" t="s">
        <v>797</v>
      </c>
    </row>
    <row r="144" spans="1:23" ht="32.25" customHeight="1" x14ac:dyDescent="0.35">
      <c r="A144" s="964"/>
      <c r="B144" s="942"/>
      <c r="C144" s="469" t="s">
        <v>995</v>
      </c>
      <c r="D144" s="420" t="s">
        <v>1000</v>
      </c>
      <c r="E144" s="460" t="s">
        <v>730</v>
      </c>
      <c r="F144" s="498">
        <v>0</v>
      </c>
      <c r="G144" s="498">
        <v>0</v>
      </c>
      <c r="H144" s="498">
        <v>0</v>
      </c>
      <c r="I144" s="473">
        <v>0</v>
      </c>
      <c r="J144" s="473">
        <v>218000</v>
      </c>
      <c r="K144" s="473">
        <v>0</v>
      </c>
      <c r="L144" s="473">
        <v>0</v>
      </c>
      <c r="M144" s="473">
        <v>0</v>
      </c>
      <c r="N144" s="811" t="s">
        <v>1199</v>
      </c>
      <c r="O144" s="522" t="s">
        <v>14</v>
      </c>
      <c r="P144" s="454" t="s">
        <v>717</v>
      </c>
      <c r="Q144" s="2" t="s">
        <v>798</v>
      </c>
    </row>
    <row r="145" spans="1:17" ht="48.75" customHeight="1" x14ac:dyDescent="0.35">
      <c r="A145" s="964"/>
      <c r="B145" s="942"/>
      <c r="C145" s="469" t="s">
        <v>996</v>
      </c>
      <c r="D145" s="420" t="s">
        <v>1001</v>
      </c>
      <c r="E145" s="420" t="s">
        <v>764</v>
      </c>
      <c r="F145" s="348">
        <v>0</v>
      </c>
      <c r="G145" s="348">
        <v>0</v>
      </c>
      <c r="H145" s="348">
        <v>0</v>
      </c>
      <c r="I145" s="191">
        <v>0</v>
      </c>
      <c r="J145" s="191">
        <v>0</v>
      </c>
      <c r="K145" s="29">
        <v>150000</v>
      </c>
      <c r="L145" s="29">
        <v>0</v>
      </c>
      <c r="M145" s="29">
        <v>150000</v>
      </c>
      <c r="N145" s="811" t="s">
        <v>1199</v>
      </c>
      <c r="O145" s="534" t="s">
        <v>14</v>
      </c>
      <c r="P145" s="457" t="s">
        <v>202</v>
      </c>
      <c r="Q145" s="456" t="s">
        <v>838</v>
      </c>
    </row>
    <row r="146" spans="1:17" ht="57.75" customHeight="1" x14ac:dyDescent="0.35">
      <c r="A146" s="964"/>
      <c r="B146" s="942"/>
      <c r="C146" s="420" t="s">
        <v>997</v>
      </c>
      <c r="D146" s="420" t="s">
        <v>1002</v>
      </c>
      <c r="E146" s="469" t="s">
        <v>710</v>
      </c>
      <c r="F146" s="348">
        <v>0</v>
      </c>
      <c r="G146" s="348">
        <v>0</v>
      </c>
      <c r="H146" s="348">
        <v>0</v>
      </c>
      <c r="I146" s="191" t="s">
        <v>1116</v>
      </c>
      <c r="J146" s="191" t="s">
        <v>1116</v>
      </c>
      <c r="K146" s="191" t="s">
        <v>1116</v>
      </c>
      <c r="L146" s="191" t="s">
        <v>1116</v>
      </c>
      <c r="M146" s="191">
        <v>0</v>
      </c>
      <c r="N146" s="811" t="s">
        <v>1199</v>
      </c>
      <c r="O146" s="522" t="s">
        <v>14</v>
      </c>
      <c r="P146" s="456" t="s">
        <v>711</v>
      </c>
      <c r="Q146" s="28" t="s">
        <v>172</v>
      </c>
    </row>
    <row r="147" spans="1:17" ht="54.75" customHeight="1" x14ac:dyDescent="0.35">
      <c r="A147" s="964"/>
      <c r="B147" s="942"/>
      <c r="C147" s="469" t="s">
        <v>1119</v>
      </c>
      <c r="D147" s="67" t="s">
        <v>1001</v>
      </c>
      <c r="E147" s="420" t="s">
        <v>764</v>
      </c>
      <c r="F147" s="348">
        <v>0</v>
      </c>
      <c r="G147" s="348">
        <v>0</v>
      </c>
      <c r="H147" s="348">
        <v>0</v>
      </c>
      <c r="I147" s="191">
        <v>0</v>
      </c>
      <c r="J147" s="191">
        <v>0</v>
      </c>
      <c r="K147" s="455">
        <v>1667482</v>
      </c>
      <c r="L147" s="191">
        <v>0</v>
      </c>
      <c r="M147" s="455">
        <v>1667482</v>
      </c>
      <c r="N147" s="811" t="s">
        <v>1199</v>
      </c>
      <c r="O147" s="534" t="s">
        <v>14</v>
      </c>
      <c r="P147" s="298" t="s">
        <v>202</v>
      </c>
      <c r="Q147" s="456" t="s">
        <v>833</v>
      </c>
    </row>
    <row r="148" spans="1:17" ht="48" customHeight="1" x14ac:dyDescent="0.35">
      <c r="A148" s="964"/>
      <c r="B148" s="942"/>
      <c r="C148" s="984" t="s">
        <v>998</v>
      </c>
      <c r="D148" s="183" t="s">
        <v>1003</v>
      </c>
      <c r="E148" s="65"/>
      <c r="F148" s="240">
        <v>0</v>
      </c>
      <c r="G148" s="240">
        <v>0</v>
      </c>
      <c r="H148" s="240">
        <v>0</v>
      </c>
      <c r="I148" s="3">
        <v>0</v>
      </c>
      <c r="J148" s="3">
        <v>0</v>
      </c>
      <c r="K148" s="3">
        <v>0</v>
      </c>
      <c r="L148" s="3">
        <v>0</v>
      </c>
      <c r="M148" s="3">
        <v>0</v>
      </c>
      <c r="N148" s="182" t="s">
        <v>14</v>
      </c>
      <c r="O148" s="931" t="s">
        <v>122</v>
      </c>
      <c r="P148" s="1" t="s">
        <v>233</v>
      </c>
      <c r="Q148" s="925" t="s">
        <v>839</v>
      </c>
    </row>
    <row r="149" spans="1:17" ht="51" customHeight="1" x14ac:dyDescent="0.35">
      <c r="A149" s="881"/>
      <c r="B149" s="919"/>
      <c r="C149" s="984"/>
      <c r="D149" s="183" t="s">
        <v>121</v>
      </c>
      <c r="E149" s="65"/>
      <c r="F149" s="240">
        <v>0</v>
      </c>
      <c r="G149" s="240">
        <v>0</v>
      </c>
      <c r="H149" s="240">
        <v>0</v>
      </c>
      <c r="I149" s="3">
        <v>0</v>
      </c>
      <c r="J149" s="3">
        <v>0</v>
      </c>
      <c r="K149" s="3">
        <v>0</v>
      </c>
      <c r="L149" s="3">
        <v>0</v>
      </c>
      <c r="M149" s="3">
        <v>0</v>
      </c>
      <c r="N149" s="182" t="s">
        <v>14</v>
      </c>
      <c r="O149" s="931"/>
      <c r="P149" s="1" t="s">
        <v>233</v>
      </c>
      <c r="Q149" s="925"/>
    </row>
    <row r="150" spans="1:17" ht="52.5" customHeight="1" x14ac:dyDescent="0.35">
      <c r="A150" s="3" t="s">
        <v>118</v>
      </c>
      <c r="B150" s="420" t="s">
        <v>124</v>
      </c>
      <c r="C150" s="420" t="s">
        <v>125</v>
      </c>
      <c r="D150" s="683" t="s">
        <v>708</v>
      </c>
      <c r="E150" s="469" t="s">
        <v>730</v>
      </c>
      <c r="F150" s="70">
        <v>4500</v>
      </c>
      <c r="G150" s="70">
        <v>75000</v>
      </c>
      <c r="H150" s="70">
        <v>84000</v>
      </c>
      <c r="I150" s="29">
        <v>0</v>
      </c>
      <c r="J150" s="29">
        <v>0</v>
      </c>
      <c r="K150" s="29">
        <v>0</v>
      </c>
      <c r="L150" s="29">
        <v>0</v>
      </c>
      <c r="M150" s="88">
        <v>0</v>
      </c>
      <c r="N150" s="811" t="s">
        <v>1199</v>
      </c>
      <c r="O150" s="522" t="s">
        <v>14</v>
      </c>
      <c r="P150" s="456" t="s">
        <v>717</v>
      </c>
      <c r="Q150" s="2" t="s">
        <v>172</v>
      </c>
    </row>
    <row r="151" spans="1:17" ht="49.5" customHeight="1" x14ac:dyDescent="0.35">
      <c r="A151" s="3" t="s">
        <v>123</v>
      </c>
      <c r="B151" s="67" t="s">
        <v>127</v>
      </c>
      <c r="C151" s="67" t="s">
        <v>128</v>
      </c>
      <c r="D151" s="67" t="s">
        <v>712</v>
      </c>
      <c r="E151" s="469" t="s">
        <v>710</v>
      </c>
      <c r="F151" s="348">
        <v>0</v>
      </c>
      <c r="G151" s="348">
        <v>0</v>
      </c>
      <c r="H151" s="348">
        <v>0</v>
      </c>
      <c r="I151" s="191" t="s">
        <v>1116</v>
      </c>
      <c r="J151" s="191" t="s">
        <v>1116</v>
      </c>
      <c r="K151" s="191" t="s">
        <v>1116</v>
      </c>
      <c r="L151" s="191" t="s">
        <v>1116</v>
      </c>
      <c r="M151" s="191">
        <v>0</v>
      </c>
      <c r="N151" s="811" t="s">
        <v>1199</v>
      </c>
      <c r="O151" s="522" t="s">
        <v>37</v>
      </c>
      <c r="P151" s="456" t="s">
        <v>713</v>
      </c>
      <c r="Q151" s="28" t="s">
        <v>172</v>
      </c>
    </row>
    <row r="152" spans="1:17" ht="66" customHeight="1" x14ac:dyDescent="0.35">
      <c r="A152" s="915" t="s">
        <v>129</v>
      </c>
      <c r="B152" s="916"/>
      <c r="C152" s="916"/>
      <c r="D152" s="916"/>
      <c r="E152" s="917"/>
      <c r="F152" s="31">
        <f t="shared" ref="F152:M152" si="38">SUM(F153:F166)</f>
        <v>270000</v>
      </c>
      <c r="G152" s="31">
        <f t="shared" si="38"/>
        <v>270000</v>
      </c>
      <c r="H152" s="31">
        <f t="shared" si="38"/>
        <v>270000</v>
      </c>
      <c r="I152" s="31">
        <f t="shared" si="38"/>
        <v>0</v>
      </c>
      <c r="J152" s="31">
        <f t="shared" si="38"/>
        <v>2973948</v>
      </c>
      <c r="K152" s="31">
        <f t="shared" si="38"/>
        <v>3035299</v>
      </c>
      <c r="L152" s="31">
        <f t="shared" si="38"/>
        <v>0</v>
      </c>
      <c r="M152" s="31">
        <f t="shared" si="38"/>
        <v>2992793</v>
      </c>
      <c r="N152" s="12"/>
      <c r="O152" s="12"/>
      <c r="P152" s="12"/>
      <c r="Q152" s="12"/>
    </row>
    <row r="153" spans="1:17" ht="66" customHeight="1" x14ac:dyDescent="0.35">
      <c r="A153" s="973" t="s">
        <v>126</v>
      </c>
      <c r="B153" s="933" t="s">
        <v>992</v>
      </c>
      <c r="C153" s="67" t="s">
        <v>993</v>
      </c>
      <c r="D153" s="67" t="s">
        <v>131</v>
      </c>
      <c r="E153" s="420" t="s">
        <v>764</v>
      </c>
      <c r="F153" s="70">
        <v>0</v>
      </c>
      <c r="G153" s="70">
        <v>0</v>
      </c>
      <c r="H153" s="70">
        <v>0</v>
      </c>
      <c r="I153" s="88">
        <v>0</v>
      </c>
      <c r="J153" s="88">
        <v>0</v>
      </c>
      <c r="K153" s="88">
        <v>22246</v>
      </c>
      <c r="L153" s="88">
        <v>0</v>
      </c>
      <c r="M153" s="88">
        <v>3800</v>
      </c>
      <c r="N153" s="811" t="s">
        <v>1199</v>
      </c>
      <c r="O153" s="522" t="s">
        <v>1202</v>
      </c>
      <c r="P153" s="191" t="s">
        <v>202</v>
      </c>
      <c r="Q153" s="28" t="s">
        <v>172</v>
      </c>
    </row>
    <row r="154" spans="1:17" ht="120" customHeight="1" x14ac:dyDescent="0.35">
      <c r="A154" s="973"/>
      <c r="B154" s="933"/>
      <c r="C154" s="67" t="s">
        <v>1284</v>
      </c>
      <c r="D154" s="67" t="s">
        <v>1263</v>
      </c>
      <c r="E154" s="65" t="s">
        <v>766</v>
      </c>
      <c r="F154" s="71">
        <v>270000</v>
      </c>
      <c r="G154" s="71">
        <v>270000</v>
      </c>
      <c r="H154" s="71">
        <v>270000</v>
      </c>
      <c r="I154" s="3">
        <v>0</v>
      </c>
      <c r="J154" s="138">
        <v>2493948</v>
      </c>
      <c r="K154" s="138">
        <v>2493948</v>
      </c>
      <c r="L154" s="138">
        <v>0</v>
      </c>
      <c r="M154" s="138">
        <v>2493948</v>
      </c>
      <c r="N154" s="28" t="s">
        <v>1200</v>
      </c>
      <c r="O154" s="522" t="s">
        <v>1201</v>
      </c>
      <c r="P154" s="191" t="s">
        <v>202</v>
      </c>
      <c r="Q154" s="28" t="s">
        <v>833</v>
      </c>
    </row>
    <row r="155" spans="1:17" ht="52.5" customHeight="1" x14ac:dyDescent="0.35">
      <c r="A155" s="973"/>
      <c r="B155" s="933"/>
      <c r="C155" s="976" t="s">
        <v>1285</v>
      </c>
      <c r="D155" s="67" t="s">
        <v>1287</v>
      </c>
      <c r="E155" s="67"/>
      <c r="F155" s="348">
        <v>0</v>
      </c>
      <c r="G155" s="348">
        <v>0</v>
      </c>
      <c r="H155" s="348">
        <v>0</v>
      </c>
      <c r="I155" s="4">
        <v>0</v>
      </c>
      <c r="J155" s="4">
        <v>0</v>
      </c>
      <c r="K155" s="4">
        <v>0</v>
      </c>
      <c r="L155" s="4">
        <v>0</v>
      </c>
      <c r="M155" s="4">
        <v>0</v>
      </c>
      <c r="N155" s="28" t="s">
        <v>1199</v>
      </c>
      <c r="O155" s="522" t="s">
        <v>74</v>
      </c>
      <c r="P155" s="28" t="s">
        <v>233</v>
      </c>
      <c r="Q155" s="28" t="s">
        <v>1288</v>
      </c>
    </row>
    <row r="156" spans="1:17" ht="68.5" customHeight="1" x14ac:dyDescent="0.35">
      <c r="A156" s="973"/>
      <c r="B156" s="933"/>
      <c r="C156" s="976"/>
      <c r="D156" s="67" t="s">
        <v>1289</v>
      </c>
      <c r="E156" s="420" t="s">
        <v>768</v>
      </c>
      <c r="F156" s="70">
        <v>0</v>
      </c>
      <c r="G156" s="70">
        <v>0</v>
      </c>
      <c r="H156" s="70">
        <v>0</v>
      </c>
      <c r="I156" s="88">
        <v>0</v>
      </c>
      <c r="J156" s="29">
        <v>180000</v>
      </c>
      <c r="K156" s="29">
        <v>184500</v>
      </c>
      <c r="L156" s="29">
        <v>0</v>
      </c>
      <c r="M156" s="29">
        <v>189113</v>
      </c>
      <c r="N156" s="28" t="s">
        <v>14</v>
      </c>
      <c r="O156" s="522" t="s">
        <v>109</v>
      </c>
      <c r="P156" s="191" t="s">
        <v>202</v>
      </c>
      <c r="Q156" s="28" t="s">
        <v>833</v>
      </c>
    </row>
    <row r="157" spans="1:17" ht="70" customHeight="1" x14ac:dyDescent="0.35">
      <c r="A157" s="973"/>
      <c r="B157" s="933"/>
      <c r="C157" s="67" t="s">
        <v>1286</v>
      </c>
      <c r="D157" s="67" t="s">
        <v>1290</v>
      </c>
      <c r="E157" s="420" t="s">
        <v>768</v>
      </c>
      <c r="F157" s="240">
        <v>0</v>
      </c>
      <c r="G157" s="240">
        <v>0</v>
      </c>
      <c r="H157" s="240">
        <v>0</v>
      </c>
      <c r="I157" s="3">
        <v>0</v>
      </c>
      <c r="J157" s="138">
        <v>300000</v>
      </c>
      <c r="K157" s="138">
        <v>300000</v>
      </c>
      <c r="L157" s="138">
        <v>0</v>
      </c>
      <c r="M157" s="138">
        <v>300000</v>
      </c>
      <c r="N157" s="850" t="s">
        <v>14</v>
      </c>
      <c r="O157" s="522" t="s">
        <v>109</v>
      </c>
      <c r="P157" s="191" t="s">
        <v>202</v>
      </c>
      <c r="Q157" s="28" t="s">
        <v>833</v>
      </c>
    </row>
    <row r="158" spans="1:17" ht="66" customHeight="1" x14ac:dyDescent="0.35">
      <c r="A158" s="3" t="s">
        <v>130</v>
      </c>
      <c r="B158" s="467" t="s">
        <v>990</v>
      </c>
      <c r="C158" s="67" t="s">
        <v>991</v>
      </c>
      <c r="D158" s="67" t="s">
        <v>133</v>
      </c>
      <c r="E158" s="65"/>
      <c r="F158" s="240">
        <v>0</v>
      </c>
      <c r="G158" s="240">
        <v>0</v>
      </c>
      <c r="H158" s="240">
        <v>0</v>
      </c>
      <c r="I158" s="3">
        <v>0</v>
      </c>
      <c r="J158" s="3">
        <v>0</v>
      </c>
      <c r="K158" s="3">
        <v>0</v>
      </c>
      <c r="L158" s="3">
        <v>0</v>
      </c>
      <c r="M158" s="3">
        <v>0</v>
      </c>
      <c r="N158" s="811" t="s">
        <v>1199</v>
      </c>
      <c r="O158" s="522" t="s">
        <v>1203</v>
      </c>
      <c r="P158" s="28" t="s">
        <v>233</v>
      </c>
      <c r="Q158" s="28" t="s">
        <v>172</v>
      </c>
    </row>
    <row r="159" spans="1:17" ht="66" customHeight="1" x14ac:dyDescent="0.35">
      <c r="A159" s="973" t="s">
        <v>132</v>
      </c>
      <c r="B159" s="974" t="s">
        <v>135</v>
      </c>
      <c r="C159" s="67" t="s">
        <v>989</v>
      </c>
      <c r="D159" s="67" t="s">
        <v>714</v>
      </c>
      <c r="E159" s="469" t="s">
        <v>710</v>
      </c>
      <c r="F159" s="348">
        <v>0</v>
      </c>
      <c r="G159" s="348">
        <v>0</v>
      </c>
      <c r="H159" s="348">
        <v>0</v>
      </c>
      <c r="I159" s="191" t="s">
        <v>1116</v>
      </c>
      <c r="J159" s="191" t="s">
        <v>1116</v>
      </c>
      <c r="K159" s="191" t="s">
        <v>1116</v>
      </c>
      <c r="L159" s="191" t="s">
        <v>1116</v>
      </c>
      <c r="M159" s="191">
        <v>0</v>
      </c>
      <c r="N159" s="811" t="s">
        <v>1199</v>
      </c>
      <c r="O159" s="522" t="s">
        <v>14</v>
      </c>
      <c r="P159" s="454" t="s">
        <v>713</v>
      </c>
      <c r="Q159" s="28" t="s">
        <v>136</v>
      </c>
    </row>
    <row r="160" spans="1:17" ht="66" customHeight="1" x14ac:dyDescent="0.35">
      <c r="A160" s="882"/>
      <c r="B160" s="975"/>
      <c r="C160" s="418" t="s">
        <v>800</v>
      </c>
      <c r="D160" s="418" t="s">
        <v>137</v>
      </c>
      <c r="E160" s="469" t="s">
        <v>710</v>
      </c>
      <c r="F160" s="348">
        <v>0</v>
      </c>
      <c r="G160" s="348">
        <v>0</v>
      </c>
      <c r="H160" s="348">
        <v>0</v>
      </c>
      <c r="I160" s="191" t="s">
        <v>1116</v>
      </c>
      <c r="J160" s="191" t="s">
        <v>1116</v>
      </c>
      <c r="K160" s="191" t="s">
        <v>1116</v>
      </c>
      <c r="L160" s="191" t="s">
        <v>1116</v>
      </c>
      <c r="M160" s="191">
        <v>0</v>
      </c>
      <c r="N160" s="811" t="s">
        <v>1199</v>
      </c>
      <c r="O160" s="522" t="s">
        <v>1175</v>
      </c>
      <c r="P160" s="454" t="s">
        <v>713</v>
      </c>
      <c r="Q160" s="28" t="s">
        <v>840</v>
      </c>
    </row>
    <row r="161" spans="1:17" ht="66" customHeight="1" x14ac:dyDescent="0.35">
      <c r="A161" s="973" t="s">
        <v>134</v>
      </c>
      <c r="B161" s="933" t="s">
        <v>139</v>
      </c>
      <c r="C161" s="67" t="s">
        <v>987</v>
      </c>
      <c r="D161" s="67" t="s">
        <v>140</v>
      </c>
      <c r="E161" s="420" t="s">
        <v>764</v>
      </c>
      <c r="F161" s="70">
        <v>0</v>
      </c>
      <c r="G161" s="70">
        <v>0</v>
      </c>
      <c r="H161" s="70">
        <v>0</v>
      </c>
      <c r="I161" s="88">
        <v>0</v>
      </c>
      <c r="J161" s="88">
        <v>0</v>
      </c>
      <c r="K161" s="88">
        <v>14831</v>
      </c>
      <c r="L161" s="88">
        <v>0</v>
      </c>
      <c r="M161" s="88">
        <v>5932</v>
      </c>
      <c r="N161" s="811" t="s">
        <v>1199</v>
      </c>
      <c r="O161" s="522" t="s">
        <v>14</v>
      </c>
      <c r="P161" s="191" t="s">
        <v>202</v>
      </c>
      <c r="Q161" s="28" t="s">
        <v>136</v>
      </c>
    </row>
    <row r="162" spans="1:17" ht="66" customHeight="1" x14ac:dyDescent="0.35">
      <c r="A162" s="973"/>
      <c r="B162" s="933"/>
      <c r="C162" s="65" t="s">
        <v>799</v>
      </c>
      <c r="D162" s="65" t="s">
        <v>988</v>
      </c>
      <c r="E162" s="65"/>
      <c r="F162" s="240">
        <v>0</v>
      </c>
      <c r="G162" s="240">
        <v>0</v>
      </c>
      <c r="H162" s="240">
        <v>0</v>
      </c>
      <c r="I162" s="3">
        <v>0</v>
      </c>
      <c r="J162" s="3">
        <v>0</v>
      </c>
      <c r="K162" s="3">
        <v>0</v>
      </c>
      <c r="L162" s="3">
        <v>0</v>
      </c>
      <c r="M162" s="3">
        <v>0</v>
      </c>
      <c r="N162" s="811" t="s">
        <v>1199</v>
      </c>
      <c r="O162" s="476" t="s">
        <v>1204</v>
      </c>
      <c r="P162" s="182" t="s">
        <v>233</v>
      </c>
      <c r="Q162" s="28" t="s">
        <v>833</v>
      </c>
    </row>
    <row r="163" spans="1:17" ht="66" customHeight="1" x14ac:dyDescent="0.35">
      <c r="A163" s="3" t="s">
        <v>138</v>
      </c>
      <c r="B163" s="1" t="s">
        <v>986</v>
      </c>
      <c r="C163" s="65" t="s">
        <v>142</v>
      </c>
      <c r="D163" s="65" t="s">
        <v>143</v>
      </c>
      <c r="E163" s="420" t="s">
        <v>764</v>
      </c>
      <c r="F163" s="71">
        <v>0</v>
      </c>
      <c r="G163" s="71">
        <v>0</v>
      </c>
      <c r="H163" s="71">
        <v>0</v>
      </c>
      <c r="I163" s="30">
        <v>0</v>
      </c>
      <c r="J163" s="30">
        <v>0</v>
      </c>
      <c r="K163" s="30">
        <v>19774</v>
      </c>
      <c r="L163" s="30">
        <v>0</v>
      </c>
      <c r="M163" s="30">
        <v>0</v>
      </c>
      <c r="N163" s="811" t="s">
        <v>1199</v>
      </c>
      <c r="O163" s="476" t="s">
        <v>37</v>
      </c>
      <c r="P163" s="17" t="s">
        <v>202</v>
      </c>
      <c r="Q163" s="845" t="s">
        <v>1269</v>
      </c>
    </row>
    <row r="164" spans="1:17" s="181" customFormat="1" ht="87" customHeight="1" x14ac:dyDescent="0.35">
      <c r="A164" s="17" t="s">
        <v>141</v>
      </c>
      <c r="B164" s="183" t="s">
        <v>985</v>
      </c>
      <c r="C164" s="183" t="s">
        <v>145</v>
      </c>
      <c r="D164" s="183" t="s">
        <v>861</v>
      </c>
      <c r="E164" s="183"/>
      <c r="F164" s="240">
        <v>0</v>
      </c>
      <c r="G164" s="240">
        <v>0</v>
      </c>
      <c r="H164" s="240">
        <v>0</v>
      </c>
      <c r="I164" s="17">
        <v>0</v>
      </c>
      <c r="J164" s="17">
        <v>0</v>
      </c>
      <c r="K164" s="17">
        <v>0</v>
      </c>
      <c r="L164" s="17">
        <v>0</v>
      </c>
      <c r="M164" s="17">
        <v>0</v>
      </c>
      <c r="N164" s="811" t="s">
        <v>1199</v>
      </c>
      <c r="O164" s="476" t="s">
        <v>146</v>
      </c>
      <c r="P164" s="182" t="s">
        <v>233</v>
      </c>
      <c r="Q164" s="182" t="s">
        <v>49</v>
      </c>
    </row>
    <row r="165" spans="1:17" s="181" customFormat="1" ht="66" customHeight="1" x14ac:dyDescent="0.35">
      <c r="A165" s="17" t="s">
        <v>144</v>
      </c>
      <c r="B165" s="183" t="s">
        <v>148</v>
      </c>
      <c r="C165" s="183" t="s">
        <v>773</v>
      </c>
      <c r="D165" s="183" t="s">
        <v>715</v>
      </c>
      <c r="E165" s="469" t="s">
        <v>710</v>
      </c>
      <c r="F165" s="348">
        <v>0</v>
      </c>
      <c r="G165" s="348">
        <v>0</v>
      </c>
      <c r="H165" s="348">
        <v>0</v>
      </c>
      <c r="I165" s="191" t="s">
        <v>1116</v>
      </c>
      <c r="J165" s="191" t="s">
        <v>1116</v>
      </c>
      <c r="K165" s="191" t="s">
        <v>1116</v>
      </c>
      <c r="L165" s="191" t="s">
        <v>1116</v>
      </c>
      <c r="M165" s="191">
        <v>0</v>
      </c>
      <c r="N165" s="811" t="s">
        <v>1199</v>
      </c>
      <c r="O165" s="476" t="s">
        <v>1205</v>
      </c>
      <c r="P165" s="454" t="s">
        <v>713</v>
      </c>
      <c r="Q165" s="182" t="s">
        <v>136</v>
      </c>
    </row>
    <row r="166" spans="1:17" s="181" customFormat="1" ht="48.75" customHeight="1" x14ac:dyDescent="0.35">
      <c r="A166" s="17" t="s">
        <v>147</v>
      </c>
      <c r="B166" s="183" t="s">
        <v>150</v>
      </c>
      <c r="C166" s="183" t="s">
        <v>860</v>
      </c>
      <c r="D166" s="420" t="s">
        <v>862</v>
      </c>
      <c r="E166" s="183"/>
      <c r="F166" s="240">
        <v>0</v>
      </c>
      <c r="G166" s="240">
        <v>0</v>
      </c>
      <c r="H166" s="240">
        <v>0</v>
      </c>
      <c r="I166" s="17">
        <v>0</v>
      </c>
      <c r="J166" s="17">
        <v>0</v>
      </c>
      <c r="K166" s="17">
        <v>0</v>
      </c>
      <c r="L166" s="17">
        <v>0</v>
      </c>
      <c r="M166" s="17">
        <v>0</v>
      </c>
      <c r="N166" s="811" t="s">
        <v>1199</v>
      </c>
      <c r="O166" s="476" t="s">
        <v>1206</v>
      </c>
      <c r="P166" s="182" t="s">
        <v>233</v>
      </c>
      <c r="Q166" s="182" t="s">
        <v>213</v>
      </c>
    </row>
    <row r="167" spans="1:17" ht="66" customHeight="1" x14ac:dyDescent="0.35">
      <c r="A167" s="851" t="s">
        <v>151</v>
      </c>
      <c r="B167" s="852"/>
      <c r="C167" s="852"/>
      <c r="D167" s="852"/>
      <c r="E167" s="853"/>
      <c r="F167" s="31">
        <f>F168+F169+F170+F171</f>
        <v>0</v>
      </c>
      <c r="G167" s="31">
        <f t="shared" ref="G167:M167" si="39">G168+G169+G170+G171</f>
        <v>0</v>
      </c>
      <c r="H167" s="31">
        <f t="shared" si="39"/>
        <v>0</v>
      </c>
      <c r="I167" s="31">
        <f t="shared" si="39"/>
        <v>0</v>
      </c>
      <c r="J167" s="31">
        <f t="shared" si="39"/>
        <v>0</v>
      </c>
      <c r="K167" s="31">
        <f t="shared" si="39"/>
        <v>12359</v>
      </c>
      <c r="L167" s="31">
        <f t="shared" si="39"/>
        <v>0</v>
      </c>
      <c r="M167" s="31">
        <f t="shared" si="39"/>
        <v>0</v>
      </c>
      <c r="N167" s="12"/>
      <c r="O167" s="12"/>
      <c r="P167" s="12"/>
      <c r="Q167" s="12"/>
    </row>
    <row r="168" spans="1:17" ht="51.75" customHeight="1" x14ac:dyDescent="0.35">
      <c r="A168" s="882" t="s">
        <v>149</v>
      </c>
      <c r="B168" s="903" t="s">
        <v>1213</v>
      </c>
      <c r="C168" s="65" t="s">
        <v>984</v>
      </c>
      <c r="D168" s="65" t="s">
        <v>153</v>
      </c>
      <c r="E168" s="1"/>
      <c r="F168" s="240">
        <v>0</v>
      </c>
      <c r="G168" s="240">
        <v>0</v>
      </c>
      <c r="H168" s="240">
        <v>0</v>
      </c>
      <c r="I168" s="3">
        <v>0</v>
      </c>
      <c r="J168" s="3">
        <v>0</v>
      </c>
      <c r="K168" s="3">
        <v>0</v>
      </c>
      <c r="L168" s="3">
        <v>0</v>
      </c>
      <c r="M168" s="3">
        <v>0</v>
      </c>
      <c r="N168" s="182" t="s">
        <v>13</v>
      </c>
      <c r="O168" s="182" t="s">
        <v>1176</v>
      </c>
      <c r="P168" s="182" t="s">
        <v>233</v>
      </c>
      <c r="Q168" s="1" t="s">
        <v>214</v>
      </c>
    </row>
    <row r="169" spans="1:17" ht="66" customHeight="1" x14ac:dyDescent="0.35">
      <c r="A169" s="883"/>
      <c r="B169" s="912"/>
      <c r="C169" s="65" t="s">
        <v>1216</v>
      </c>
      <c r="D169" s="65" t="s">
        <v>155</v>
      </c>
      <c r="E169" s="1"/>
      <c r="F169" s="240">
        <v>0</v>
      </c>
      <c r="G169" s="240">
        <v>0</v>
      </c>
      <c r="H169" s="240">
        <v>0</v>
      </c>
      <c r="I169" s="3">
        <v>0</v>
      </c>
      <c r="J169" s="3">
        <v>0</v>
      </c>
      <c r="K169" s="3">
        <v>0</v>
      </c>
      <c r="L169" s="3">
        <v>0</v>
      </c>
      <c r="M169" s="3">
        <v>0</v>
      </c>
      <c r="N169" s="182" t="s">
        <v>13</v>
      </c>
      <c r="O169" s="182" t="s">
        <v>1177</v>
      </c>
      <c r="P169" s="182" t="s">
        <v>233</v>
      </c>
      <c r="Q169" s="1" t="s">
        <v>172</v>
      </c>
    </row>
    <row r="170" spans="1:17" ht="66" customHeight="1" x14ac:dyDescent="0.35">
      <c r="A170" s="884"/>
      <c r="B170" s="904"/>
      <c r="C170" s="65" t="s">
        <v>207</v>
      </c>
      <c r="D170" s="65" t="s">
        <v>156</v>
      </c>
      <c r="E170" s="1"/>
      <c r="F170" s="240">
        <v>0</v>
      </c>
      <c r="G170" s="240">
        <v>0</v>
      </c>
      <c r="H170" s="240">
        <v>0</v>
      </c>
      <c r="I170" s="3">
        <v>0</v>
      </c>
      <c r="J170" s="3">
        <v>0</v>
      </c>
      <c r="K170" s="3">
        <v>0</v>
      </c>
      <c r="L170" s="3">
        <v>0</v>
      </c>
      <c r="M170" s="3">
        <v>0</v>
      </c>
      <c r="N170" s="182" t="s">
        <v>13</v>
      </c>
      <c r="O170" s="182" t="s">
        <v>120</v>
      </c>
      <c r="P170" s="182" t="s">
        <v>233</v>
      </c>
      <c r="Q170" s="1" t="s">
        <v>172</v>
      </c>
    </row>
    <row r="171" spans="1:17" ht="66" customHeight="1" x14ac:dyDescent="0.35">
      <c r="A171" s="3" t="s">
        <v>152</v>
      </c>
      <c r="B171" s="65" t="s">
        <v>1214</v>
      </c>
      <c r="C171" s="65" t="s">
        <v>1215</v>
      </c>
      <c r="D171" s="65" t="s">
        <v>157</v>
      </c>
      <c r="E171" s="420" t="s">
        <v>764</v>
      </c>
      <c r="F171" s="71">
        <v>0</v>
      </c>
      <c r="G171" s="71">
        <v>0</v>
      </c>
      <c r="H171" s="71">
        <v>0</v>
      </c>
      <c r="I171" s="30">
        <v>0</v>
      </c>
      <c r="J171" s="30">
        <v>0</v>
      </c>
      <c r="K171" s="30">
        <v>12359</v>
      </c>
      <c r="L171" s="30">
        <v>0</v>
      </c>
      <c r="M171" s="30">
        <v>0</v>
      </c>
      <c r="N171" s="810" t="s">
        <v>1199</v>
      </c>
      <c r="O171" s="182" t="s">
        <v>41</v>
      </c>
      <c r="P171" s="3" t="s">
        <v>202</v>
      </c>
      <c r="Q171" s="845" t="s">
        <v>172</v>
      </c>
    </row>
    <row r="172" spans="1:17" ht="66" customHeight="1" x14ac:dyDescent="0.35">
      <c r="A172" s="851" t="s">
        <v>158</v>
      </c>
      <c r="B172" s="852"/>
      <c r="C172" s="852"/>
      <c r="D172" s="852"/>
      <c r="E172" s="853"/>
      <c r="F172" s="31">
        <f>SUM(F173:F176)</f>
        <v>0</v>
      </c>
      <c r="G172" s="31">
        <f t="shared" ref="G172:H172" si="40">SUM(G173:G176)</f>
        <v>0</v>
      </c>
      <c r="H172" s="31">
        <f t="shared" si="40"/>
        <v>0</v>
      </c>
      <c r="I172" s="31">
        <f>SUM(I173:I176)</f>
        <v>0</v>
      </c>
      <c r="J172" s="31">
        <f t="shared" ref="J172:M172" si="41">SUM(J173:J176)</f>
        <v>0</v>
      </c>
      <c r="K172" s="31">
        <f t="shared" si="41"/>
        <v>63620</v>
      </c>
      <c r="L172" s="31">
        <f t="shared" si="41"/>
        <v>0</v>
      </c>
      <c r="M172" s="31">
        <f t="shared" si="41"/>
        <v>13068</v>
      </c>
      <c r="N172" s="12"/>
      <c r="O172" s="12"/>
      <c r="P172" s="12"/>
      <c r="Q172" s="12"/>
    </row>
    <row r="173" spans="1:17" ht="52.5" customHeight="1" x14ac:dyDescent="0.35">
      <c r="A173" s="3" t="s">
        <v>154</v>
      </c>
      <c r="B173" s="65" t="s">
        <v>159</v>
      </c>
      <c r="C173" s="65" t="s">
        <v>160</v>
      </c>
      <c r="D173" s="65" t="s">
        <v>161</v>
      </c>
      <c r="E173" s="420" t="s">
        <v>764</v>
      </c>
      <c r="F173" s="71">
        <v>0</v>
      </c>
      <c r="G173" s="71">
        <v>0</v>
      </c>
      <c r="H173" s="71">
        <v>0</v>
      </c>
      <c r="I173" s="30">
        <v>0</v>
      </c>
      <c r="J173" s="30">
        <v>0</v>
      </c>
      <c r="K173" s="30">
        <v>45081</v>
      </c>
      <c r="L173" s="30">
        <v>0</v>
      </c>
      <c r="M173" s="30">
        <v>7260</v>
      </c>
      <c r="N173" s="810" t="s">
        <v>1199</v>
      </c>
      <c r="O173" s="28" t="s">
        <v>11</v>
      </c>
      <c r="P173" s="191" t="s">
        <v>202</v>
      </c>
      <c r="Q173" s="1" t="s">
        <v>162</v>
      </c>
    </row>
    <row r="174" spans="1:17" ht="52.5" customHeight="1" x14ac:dyDescent="0.35">
      <c r="A174" s="3" t="s">
        <v>163</v>
      </c>
      <c r="B174" s="479" t="s">
        <v>718</v>
      </c>
      <c r="C174" s="65" t="s">
        <v>719</v>
      </c>
      <c r="D174" s="65" t="s">
        <v>720</v>
      </c>
      <c r="E174" s="469" t="s">
        <v>710</v>
      </c>
      <c r="F174" s="348">
        <v>0</v>
      </c>
      <c r="G174" s="348">
        <v>0</v>
      </c>
      <c r="H174" s="348">
        <v>0</v>
      </c>
      <c r="I174" s="191" t="s">
        <v>1116</v>
      </c>
      <c r="J174" s="191" t="s">
        <v>1116</v>
      </c>
      <c r="K174" s="191" t="s">
        <v>1116</v>
      </c>
      <c r="L174" s="191" t="s">
        <v>1116</v>
      </c>
      <c r="M174" s="191">
        <v>0</v>
      </c>
      <c r="N174" s="182" t="s">
        <v>1199</v>
      </c>
      <c r="O174" s="182" t="s">
        <v>11</v>
      </c>
      <c r="P174" s="474" t="s">
        <v>713</v>
      </c>
      <c r="Q174" s="182" t="s">
        <v>172</v>
      </c>
    </row>
    <row r="175" spans="1:17" ht="52.5" customHeight="1" x14ac:dyDescent="0.35">
      <c r="A175" s="3" t="s">
        <v>168</v>
      </c>
      <c r="B175" s="65" t="s">
        <v>721</v>
      </c>
      <c r="C175" s="65" t="s">
        <v>983</v>
      </c>
      <c r="D175" s="65" t="s">
        <v>722</v>
      </c>
      <c r="E175" s="469" t="s">
        <v>710</v>
      </c>
      <c r="F175" s="348">
        <v>0</v>
      </c>
      <c r="G175" s="348">
        <v>0</v>
      </c>
      <c r="H175" s="348">
        <v>0</v>
      </c>
      <c r="I175" s="191" t="s">
        <v>1116</v>
      </c>
      <c r="J175" s="191" t="s">
        <v>1116</v>
      </c>
      <c r="K175" s="191" t="s">
        <v>1116</v>
      </c>
      <c r="L175" s="191" t="s">
        <v>1116</v>
      </c>
      <c r="M175" s="191">
        <v>0</v>
      </c>
      <c r="N175" s="182" t="s">
        <v>1199</v>
      </c>
      <c r="O175" s="182" t="s">
        <v>793</v>
      </c>
      <c r="P175" s="474" t="s">
        <v>713</v>
      </c>
      <c r="Q175" s="182" t="s">
        <v>172</v>
      </c>
    </row>
    <row r="176" spans="1:17" ht="54" customHeight="1" x14ac:dyDescent="0.35">
      <c r="A176" s="3" t="s">
        <v>170</v>
      </c>
      <c r="B176" s="65" t="s">
        <v>164</v>
      </c>
      <c r="C176" s="65" t="s">
        <v>165</v>
      </c>
      <c r="D176" s="65" t="s">
        <v>166</v>
      </c>
      <c r="E176" s="420" t="s">
        <v>764</v>
      </c>
      <c r="F176" s="71">
        <v>0</v>
      </c>
      <c r="G176" s="71">
        <v>0</v>
      </c>
      <c r="H176" s="71">
        <v>0</v>
      </c>
      <c r="I176" s="30">
        <v>0</v>
      </c>
      <c r="J176" s="30">
        <v>0</v>
      </c>
      <c r="K176" s="30">
        <v>18539</v>
      </c>
      <c r="L176" s="30">
        <v>0</v>
      </c>
      <c r="M176" s="30">
        <v>5808</v>
      </c>
      <c r="N176" s="182" t="s">
        <v>1199</v>
      </c>
      <c r="O176" s="182" t="s">
        <v>167</v>
      </c>
      <c r="P176" s="191" t="s">
        <v>202</v>
      </c>
      <c r="Q176" s="1" t="s">
        <v>172</v>
      </c>
    </row>
    <row r="177" spans="1:17" ht="66" customHeight="1" x14ac:dyDescent="0.35">
      <c r="A177" s="851" t="s">
        <v>169</v>
      </c>
      <c r="B177" s="852"/>
      <c r="C177" s="852"/>
      <c r="D177" s="852"/>
      <c r="E177" s="853"/>
      <c r="F177" s="463">
        <f>SUM(F178:F179)</f>
        <v>0</v>
      </c>
      <c r="G177" s="463">
        <f t="shared" ref="G177:H177" si="42">SUM(G178:G179)</f>
        <v>0</v>
      </c>
      <c r="H177" s="463">
        <f t="shared" si="42"/>
        <v>0</v>
      </c>
      <c r="I177" s="463">
        <f>SUM(I178:I179)</f>
        <v>0</v>
      </c>
      <c r="J177" s="463">
        <f t="shared" ref="J177:M177" si="43">SUM(J178:J179)</f>
        <v>0</v>
      </c>
      <c r="K177" s="463">
        <f t="shared" si="43"/>
        <v>0</v>
      </c>
      <c r="L177" s="463">
        <f t="shared" si="43"/>
        <v>0</v>
      </c>
      <c r="M177" s="463">
        <f t="shared" si="43"/>
        <v>0</v>
      </c>
      <c r="N177" s="12"/>
      <c r="O177" s="12"/>
      <c r="P177" s="12"/>
      <c r="Q177" s="12"/>
    </row>
    <row r="178" spans="1:17" ht="53.25" customHeight="1" x14ac:dyDescent="0.35">
      <c r="A178" s="3" t="s">
        <v>173</v>
      </c>
      <c r="B178" s="479" t="s">
        <v>171</v>
      </c>
      <c r="C178" s="479" t="s">
        <v>723</v>
      </c>
      <c r="D178" s="479" t="s">
        <v>643</v>
      </c>
      <c r="E178" s="469" t="s">
        <v>710</v>
      </c>
      <c r="F178" s="348">
        <v>0</v>
      </c>
      <c r="G178" s="348">
        <v>0</v>
      </c>
      <c r="H178" s="348">
        <v>0</v>
      </c>
      <c r="I178" s="348" t="s">
        <v>1116</v>
      </c>
      <c r="J178" s="348" t="s">
        <v>1116</v>
      </c>
      <c r="K178" s="348" t="s">
        <v>1116</v>
      </c>
      <c r="L178" s="348" t="s">
        <v>1116</v>
      </c>
      <c r="M178" s="191">
        <v>0</v>
      </c>
      <c r="N178" s="476" t="s">
        <v>1199</v>
      </c>
      <c r="O178" s="531" t="s">
        <v>11</v>
      </c>
      <c r="P178" s="474" t="s">
        <v>713</v>
      </c>
      <c r="Q178" s="182" t="s">
        <v>172</v>
      </c>
    </row>
    <row r="179" spans="1:17" s="181" customFormat="1" ht="44.25" customHeight="1" x14ac:dyDescent="0.35">
      <c r="A179" s="17" t="s">
        <v>208</v>
      </c>
      <c r="B179" s="183" t="s">
        <v>174</v>
      </c>
      <c r="C179" s="493" t="s">
        <v>981</v>
      </c>
      <c r="D179" s="183" t="s">
        <v>982</v>
      </c>
      <c r="E179" s="420"/>
      <c r="F179" s="348">
        <v>0</v>
      </c>
      <c r="G179" s="348">
        <v>0</v>
      </c>
      <c r="H179" s="348">
        <v>0</v>
      </c>
      <c r="I179" s="191">
        <v>0</v>
      </c>
      <c r="J179" s="191">
        <v>0</v>
      </c>
      <c r="K179" s="191">
        <v>0</v>
      </c>
      <c r="L179" s="191">
        <v>0</v>
      </c>
      <c r="M179" s="191">
        <v>0</v>
      </c>
      <c r="N179" s="476" t="s">
        <v>1199</v>
      </c>
      <c r="O179" s="476" t="s">
        <v>11</v>
      </c>
      <c r="P179" s="182" t="s">
        <v>716</v>
      </c>
      <c r="Q179" s="182" t="s">
        <v>172</v>
      </c>
    </row>
    <row r="180" spans="1:17" ht="53.25" customHeight="1" x14ac:dyDescent="0.35">
      <c r="A180" s="985" t="s">
        <v>175</v>
      </c>
      <c r="B180" s="985"/>
      <c r="C180" s="854" t="s">
        <v>876</v>
      </c>
      <c r="D180" s="855"/>
      <c r="E180" s="856"/>
      <c r="F180" s="464">
        <f>F181+F186+F191</f>
        <v>2164692</v>
      </c>
      <c r="G180" s="464">
        <f t="shared" ref="G180:M180" si="44">G181+G186+G191</f>
        <v>1915390</v>
      </c>
      <c r="H180" s="464">
        <f t="shared" si="44"/>
        <v>0</v>
      </c>
      <c r="I180" s="464">
        <f t="shared" si="44"/>
        <v>35000</v>
      </c>
      <c r="J180" s="464">
        <f t="shared" si="44"/>
        <v>725000</v>
      </c>
      <c r="K180" s="464">
        <f t="shared" si="44"/>
        <v>1390000</v>
      </c>
      <c r="L180" s="464">
        <f t="shared" si="44"/>
        <v>0</v>
      </c>
      <c r="M180" s="464">
        <f t="shared" si="44"/>
        <v>314400</v>
      </c>
      <c r="N180" s="14"/>
      <c r="O180" s="14"/>
      <c r="P180" s="14"/>
      <c r="Q180" s="14"/>
    </row>
    <row r="181" spans="1:17" ht="50.25" customHeight="1" x14ac:dyDescent="0.35">
      <c r="A181" s="970" t="s">
        <v>16</v>
      </c>
      <c r="B181" s="971"/>
      <c r="C181" s="971"/>
      <c r="D181" s="971"/>
      <c r="E181" s="972"/>
      <c r="F181" s="31">
        <f>F182+F183+F184+F185</f>
        <v>0</v>
      </c>
      <c r="G181" s="31">
        <f t="shared" ref="G181:M181" si="45">G182+G183+G184+G185</f>
        <v>0</v>
      </c>
      <c r="H181" s="31">
        <f t="shared" si="45"/>
        <v>0</v>
      </c>
      <c r="I181" s="31">
        <f t="shared" si="45"/>
        <v>35000</v>
      </c>
      <c r="J181" s="31">
        <f t="shared" si="45"/>
        <v>400000</v>
      </c>
      <c r="K181" s="31">
        <f t="shared" si="45"/>
        <v>765000</v>
      </c>
      <c r="L181" s="31">
        <f t="shared" si="45"/>
        <v>0</v>
      </c>
      <c r="M181" s="31">
        <f t="shared" si="45"/>
        <v>162400</v>
      </c>
      <c r="N181" s="16"/>
      <c r="O181" s="16"/>
      <c r="P181" s="16"/>
      <c r="Q181" s="16"/>
    </row>
    <row r="182" spans="1:17" ht="71.150000000000006" customHeight="1" x14ac:dyDescent="0.35">
      <c r="A182" s="17" t="s">
        <v>176</v>
      </c>
      <c r="B182" s="65" t="s">
        <v>978</v>
      </c>
      <c r="C182" s="65" t="s">
        <v>979</v>
      </c>
      <c r="D182" s="65" t="s">
        <v>980</v>
      </c>
      <c r="E182" s="479" t="s">
        <v>606</v>
      </c>
      <c r="F182" s="71">
        <v>0</v>
      </c>
      <c r="G182" s="71">
        <v>0</v>
      </c>
      <c r="H182" s="71">
        <v>0</v>
      </c>
      <c r="I182" s="138">
        <v>35000</v>
      </c>
      <c r="J182" s="30">
        <v>0</v>
      </c>
      <c r="K182" s="30">
        <v>0</v>
      </c>
      <c r="L182" s="30">
        <v>0</v>
      </c>
      <c r="M182" s="30">
        <v>0</v>
      </c>
      <c r="N182" s="474" t="s">
        <v>11</v>
      </c>
      <c r="O182" s="474" t="s">
        <v>846</v>
      </c>
      <c r="P182" s="3" t="s">
        <v>707</v>
      </c>
      <c r="Q182" s="1" t="s">
        <v>794</v>
      </c>
    </row>
    <row r="183" spans="1:17" ht="78.650000000000006" customHeight="1" x14ac:dyDescent="0.35">
      <c r="A183" s="17" t="s">
        <v>178</v>
      </c>
      <c r="B183" s="67" t="s">
        <v>1227</v>
      </c>
      <c r="C183" s="67" t="s">
        <v>1218</v>
      </c>
      <c r="D183" s="67" t="s">
        <v>977</v>
      </c>
      <c r="E183" s="479" t="s">
        <v>606</v>
      </c>
      <c r="F183" s="70">
        <v>0</v>
      </c>
      <c r="G183" s="70">
        <v>0</v>
      </c>
      <c r="H183" s="70">
        <v>0</v>
      </c>
      <c r="I183" s="88">
        <v>0</v>
      </c>
      <c r="J183" s="88">
        <v>400000</v>
      </c>
      <c r="K183" s="88">
        <v>450000</v>
      </c>
      <c r="L183" s="88">
        <v>0</v>
      </c>
      <c r="M183" s="88">
        <v>136000</v>
      </c>
      <c r="N183" s="474" t="s">
        <v>11</v>
      </c>
      <c r="O183" s="474" t="s">
        <v>846</v>
      </c>
      <c r="P183" s="3" t="s">
        <v>707</v>
      </c>
      <c r="Q183" s="456" t="s">
        <v>833</v>
      </c>
    </row>
    <row r="184" spans="1:17" ht="49.5" customHeight="1" x14ac:dyDescent="0.35">
      <c r="A184" s="17" t="s">
        <v>180</v>
      </c>
      <c r="B184" s="65" t="s">
        <v>974</v>
      </c>
      <c r="C184" s="65" t="s">
        <v>975</v>
      </c>
      <c r="D184" s="65" t="s">
        <v>976</v>
      </c>
      <c r="E184" s="479" t="s">
        <v>606</v>
      </c>
      <c r="F184" s="71">
        <v>0</v>
      </c>
      <c r="G184" s="71">
        <v>0</v>
      </c>
      <c r="H184" s="71">
        <v>0</v>
      </c>
      <c r="I184" s="30">
        <v>0</v>
      </c>
      <c r="J184" s="30">
        <v>0</v>
      </c>
      <c r="K184" s="30">
        <v>150000</v>
      </c>
      <c r="L184" s="30">
        <v>0</v>
      </c>
      <c r="M184" s="30">
        <v>0</v>
      </c>
      <c r="N184" s="474" t="s">
        <v>11</v>
      </c>
      <c r="O184" s="474" t="s">
        <v>793</v>
      </c>
      <c r="P184" s="3" t="s">
        <v>707</v>
      </c>
      <c r="Q184" s="1" t="s">
        <v>214</v>
      </c>
    </row>
    <row r="185" spans="1:17" ht="48.75" customHeight="1" x14ac:dyDescent="0.35">
      <c r="A185" s="17" t="s">
        <v>182</v>
      </c>
      <c r="B185" s="65" t="s">
        <v>971</v>
      </c>
      <c r="C185" s="65" t="s">
        <v>972</v>
      </c>
      <c r="D185" s="65" t="s">
        <v>973</v>
      </c>
      <c r="E185" s="479" t="s">
        <v>606</v>
      </c>
      <c r="F185" s="71">
        <v>0</v>
      </c>
      <c r="G185" s="71">
        <v>0</v>
      </c>
      <c r="H185" s="71">
        <v>0</v>
      </c>
      <c r="I185" s="30">
        <v>0</v>
      </c>
      <c r="J185" s="30">
        <v>0</v>
      </c>
      <c r="K185" s="30">
        <v>165000</v>
      </c>
      <c r="L185" s="30">
        <v>0</v>
      </c>
      <c r="M185" s="30">
        <v>26400</v>
      </c>
      <c r="N185" s="474" t="s">
        <v>11</v>
      </c>
      <c r="O185" s="474" t="s">
        <v>846</v>
      </c>
      <c r="P185" s="3" t="s">
        <v>707</v>
      </c>
      <c r="Q185" s="1" t="s">
        <v>833</v>
      </c>
    </row>
    <row r="186" spans="1:17" ht="51.75" customHeight="1" x14ac:dyDescent="0.35">
      <c r="A186" s="851" t="s">
        <v>184</v>
      </c>
      <c r="B186" s="852"/>
      <c r="C186" s="852"/>
      <c r="D186" s="852"/>
      <c r="E186" s="853"/>
      <c r="F186" s="6">
        <f>F187+F188+F189+F190</f>
        <v>0</v>
      </c>
      <c r="G186" s="6">
        <f t="shared" ref="G186:M186" si="46">G187+G188+G189+G190</f>
        <v>0</v>
      </c>
      <c r="H186" s="6">
        <f t="shared" si="46"/>
        <v>0</v>
      </c>
      <c r="I186" s="6">
        <f t="shared" si="46"/>
        <v>0</v>
      </c>
      <c r="J186" s="6">
        <f t="shared" si="46"/>
        <v>0</v>
      </c>
      <c r="K186" s="6">
        <f t="shared" si="46"/>
        <v>0</v>
      </c>
      <c r="L186" s="6">
        <f t="shared" si="46"/>
        <v>0</v>
      </c>
      <c r="M186" s="6">
        <f t="shared" si="46"/>
        <v>0</v>
      </c>
      <c r="N186" s="7"/>
      <c r="O186" s="7"/>
      <c r="P186" s="7"/>
      <c r="Q186" s="7"/>
    </row>
    <row r="187" spans="1:17" s="181" customFormat="1" ht="49.5" customHeight="1" x14ac:dyDescent="0.35">
      <c r="A187" s="17" t="s">
        <v>185</v>
      </c>
      <c r="B187" s="183" t="s">
        <v>1219</v>
      </c>
      <c r="C187" s="183" t="s">
        <v>1220</v>
      </c>
      <c r="D187" s="420" t="s">
        <v>1221</v>
      </c>
      <c r="E187" s="28"/>
      <c r="F187" s="240">
        <v>0</v>
      </c>
      <c r="G187" s="240">
        <v>0</v>
      </c>
      <c r="H187" s="240">
        <v>0</v>
      </c>
      <c r="I187" s="17">
        <v>0</v>
      </c>
      <c r="J187" s="17">
        <v>0</v>
      </c>
      <c r="K187" s="17">
        <v>0</v>
      </c>
      <c r="L187" s="17">
        <v>0</v>
      </c>
      <c r="M187" s="17">
        <v>0</v>
      </c>
      <c r="N187" s="182" t="s">
        <v>13</v>
      </c>
      <c r="O187" s="28" t="s">
        <v>1178</v>
      </c>
      <c r="P187" s="28" t="s">
        <v>233</v>
      </c>
      <c r="Q187" s="527" t="s">
        <v>856</v>
      </c>
    </row>
    <row r="188" spans="1:17" s="181" customFormat="1" ht="47.25" customHeight="1" x14ac:dyDescent="0.35">
      <c r="A188" s="880" t="s">
        <v>186</v>
      </c>
      <c r="B188" s="910" t="s">
        <v>1222</v>
      </c>
      <c r="C188" s="183" t="s">
        <v>1086</v>
      </c>
      <c r="D188" s="183" t="s">
        <v>857</v>
      </c>
      <c r="E188" s="182"/>
      <c r="F188" s="240">
        <v>0</v>
      </c>
      <c r="G188" s="240">
        <v>0</v>
      </c>
      <c r="H188" s="240">
        <v>0</v>
      </c>
      <c r="I188" s="17">
        <v>0</v>
      </c>
      <c r="J188" s="17">
        <v>0</v>
      </c>
      <c r="K188" s="17">
        <v>0</v>
      </c>
      <c r="L188" s="17">
        <v>0</v>
      </c>
      <c r="M188" s="17">
        <v>0</v>
      </c>
      <c r="N188" s="182" t="s">
        <v>13</v>
      </c>
      <c r="O188" s="182" t="s">
        <v>11</v>
      </c>
      <c r="P188" s="182" t="s">
        <v>233</v>
      </c>
      <c r="Q188" s="182" t="s">
        <v>833</v>
      </c>
    </row>
    <row r="189" spans="1:17" s="181" customFormat="1" ht="51" customHeight="1" x14ac:dyDescent="0.35">
      <c r="A189" s="881"/>
      <c r="B189" s="911"/>
      <c r="C189" s="183" t="s">
        <v>1087</v>
      </c>
      <c r="D189" s="420" t="s">
        <v>858</v>
      </c>
      <c r="E189" s="28"/>
      <c r="F189" s="240">
        <v>0</v>
      </c>
      <c r="G189" s="240">
        <v>0</v>
      </c>
      <c r="H189" s="240">
        <v>0</v>
      </c>
      <c r="I189" s="17">
        <v>0</v>
      </c>
      <c r="J189" s="17">
        <v>0</v>
      </c>
      <c r="K189" s="17">
        <v>0</v>
      </c>
      <c r="L189" s="17">
        <v>0</v>
      </c>
      <c r="M189" s="17">
        <v>0</v>
      </c>
      <c r="N189" s="182" t="s">
        <v>11</v>
      </c>
      <c r="O189" s="28" t="s">
        <v>859</v>
      </c>
      <c r="P189" s="28" t="s">
        <v>233</v>
      </c>
      <c r="Q189" s="182" t="s">
        <v>833</v>
      </c>
    </row>
    <row r="190" spans="1:17" ht="53.25" customHeight="1" x14ac:dyDescent="0.35">
      <c r="A190" s="3" t="s">
        <v>187</v>
      </c>
      <c r="B190" s="421" t="s">
        <v>970</v>
      </c>
      <c r="C190" s="65" t="s">
        <v>189</v>
      </c>
      <c r="D190" s="65" t="s">
        <v>190</v>
      </c>
      <c r="E190" s="1"/>
      <c r="F190" s="240">
        <v>0</v>
      </c>
      <c r="G190" s="240">
        <v>0</v>
      </c>
      <c r="H190" s="240">
        <v>0</v>
      </c>
      <c r="I190" s="3">
        <v>0</v>
      </c>
      <c r="J190" s="3">
        <v>0</v>
      </c>
      <c r="K190" s="3">
        <v>0</v>
      </c>
      <c r="L190" s="3">
        <v>0</v>
      </c>
      <c r="M190" s="3">
        <v>0</v>
      </c>
      <c r="N190" s="182" t="s">
        <v>74</v>
      </c>
      <c r="O190" s="1" t="s">
        <v>191</v>
      </c>
      <c r="P190" s="182" t="s">
        <v>233</v>
      </c>
      <c r="Q190" s="1" t="s">
        <v>833</v>
      </c>
    </row>
    <row r="191" spans="1:17" ht="47.25" customHeight="1" x14ac:dyDescent="0.35">
      <c r="A191" s="851" t="s">
        <v>192</v>
      </c>
      <c r="B191" s="852"/>
      <c r="C191" s="852"/>
      <c r="D191" s="852"/>
      <c r="E191" s="853"/>
      <c r="F191" s="31">
        <f>SUM(F192:F195)</f>
        <v>2164692</v>
      </c>
      <c r="G191" s="31">
        <f t="shared" ref="G191:M191" si="47">SUM(G192:G195)</f>
        <v>1915390</v>
      </c>
      <c r="H191" s="31">
        <f t="shared" si="47"/>
        <v>0</v>
      </c>
      <c r="I191" s="31">
        <f t="shared" si="47"/>
        <v>0</v>
      </c>
      <c r="J191" s="31">
        <f t="shared" si="47"/>
        <v>325000</v>
      </c>
      <c r="K191" s="31">
        <f t="shared" si="47"/>
        <v>625000</v>
      </c>
      <c r="L191" s="31">
        <f t="shared" si="47"/>
        <v>0</v>
      </c>
      <c r="M191" s="31">
        <f t="shared" si="47"/>
        <v>152000</v>
      </c>
      <c r="N191" s="12"/>
      <c r="O191" s="12"/>
      <c r="P191" s="12"/>
      <c r="Q191" s="12"/>
    </row>
    <row r="192" spans="1:17" ht="50.25" customHeight="1" x14ac:dyDescent="0.35">
      <c r="A192" s="3" t="s">
        <v>188</v>
      </c>
      <c r="B192" s="15" t="s">
        <v>795</v>
      </c>
      <c r="C192" s="23" t="s">
        <v>969</v>
      </c>
      <c r="D192" s="15" t="s">
        <v>796</v>
      </c>
      <c r="E192" s="479" t="s">
        <v>606</v>
      </c>
      <c r="F192" s="240">
        <v>0</v>
      </c>
      <c r="G192" s="240">
        <v>0</v>
      </c>
      <c r="H192" s="240">
        <v>0</v>
      </c>
      <c r="I192" s="30">
        <v>0</v>
      </c>
      <c r="J192" s="30">
        <v>325000</v>
      </c>
      <c r="K192" s="30">
        <v>625000</v>
      </c>
      <c r="L192" s="30">
        <v>0</v>
      </c>
      <c r="M192" s="30">
        <v>152000</v>
      </c>
      <c r="N192" s="1" t="s">
        <v>13</v>
      </c>
      <c r="O192" s="1" t="s">
        <v>793</v>
      </c>
      <c r="P192" s="3" t="s">
        <v>707</v>
      </c>
      <c r="Q192" s="1" t="s">
        <v>839</v>
      </c>
    </row>
    <row r="193" spans="1:17" ht="51.75" customHeight="1" x14ac:dyDescent="0.35">
      <c r="A193" s="3" t="s">
        <v>193</v>
      </c>
      <c r="B193" s="15" t="s">
        <v>1217</v>
      </c>
      <c r="C193" s="15" t="s">
        <v>1179</v>
      </c>
      <c r="D193" s="15" t="s">
        <v>1180</v>
      </c>
      <c r="E193" s="1"/>
      <c r="F193" s="240">
        <v>0</v>
      </c>
      <c r="G193" s="240">
        <v>0</v>
      </c>
      <c r="H193" s="240">
        <v>0</v>
      </c>
      <c r="I193" s="3">
        <v>0</v>
      </c>
      <c r="J193" s="3">
        <v>0</v>
      </c>
      <c r="K193" s="3">
        <v>0</v>
      </c>
      <c r="L193" s="3">
        <v>0</v>
      </c>
      <c r="M193" s="3">
        <v>0</v>
      </c>
      <c r="N193" s="182" t="s">
        <v>13</v>
      </c>
      <c r="O193" s="182" t="s">
        <v>216</v>
      </c>
      <c r="P193" s="182" t="s">
        <v>233</v>
      </c>
      <c r="Q193" s="182" t="s">
        <v>1183</v>
      </c>
    </row>
    <row r="194" spans="1:17" ht="51.75" customHeight="1" x14ac:dyDescent="0.35">
      <c r="A194" s="3"/>
      <c r="B194" s="15"/>
      <c r="C194" s="834" t="s">
        <v>1181</v>
      </c>
      <c r="D194" s="834" t="s">
        <v>1182</v>
      </c>
      <c r="E194" s="1"/>
      <c r="F194" s="240">
        <v>0</v>
      </c>
      <c r="G194" s="240">
        <v>0</v>
      </c>
      <c r="H194" s="240">
        <v>0</v>
      </c>
      <c r="I194" s="3">
        <v>0</v>
      </c>
      <c r="J194" s="3">
        <v>0</v>
      </c>
      <c r="K194" s="3">
        <v>0</v>
      </c>
      <c r="L194" s="3">
        <v>0</v>
      </c>
      <c r="M194" s="3">
        <v>0</v>
      </c>
      <c r="N194" s="182" t="s">
        <v>13</v>
      </c>
      <c r="O194" s="182" t="s">
        <v>216</v>
      </c>
      <c r="P194" s="182" t="s">
        <v>233</v>
      </c>
      <c r="Q194" s="182" t="s">
        <v>1183</v>
      </c>
    </row>
    <row r="195" spans="1:17" s="181" customFormat="1" ht="50.25" customHeight="1" x14ac:dyDescent="0.35">
      <c r="A195" s="524" t="s">
        <v>813</v>
      </c>
      <c r="B195" s="687" t="s">
        <v>1184</v>
      </c>
      <c r="C195" s="183" t="s">
        <v>789</v>
      </c>
      <c r="D195" s="183" t="s">
        <v>790</v>
      </c>
      <c r="E195" s="460" t="s">
        <v>646</v>
      </c>
      <c r="F195" s="525">
        <v>2164692</v>
      </c>
      <c r="G195" s="525">
        <v>1915390</v>
      </c>
      <c r="H195" s="526">
        <v>0</v>
      </c>
      <c r="I195" s="524">
        <v>0</v>
      </c>
      <c r="J195" s="524">
        <v>0</v>
      </c>
      <c r="K195" s="524">
        <v>0</v>
      </c>
      <c r="L195" s="524">
        <v>0</v>
      </c>
      <c r="M195" s="524">
        <v>0</v>
      </c>
      <c r="N195" s="812" t="s">
        <v>1207</v>
      </c>
      <c r="O195" s="812" t="s">
        <v>1208</v>
      </c>
      <c r="P195" s="528" t="s">
        <v>647</v>
      </c>
      <c r="Q195" s="527" t="s">
        <v>791</v>
      </c>
    </row>
    <row r="196" spans="1:17" ht="79.5" customHeight="1" x14ac:dyDescent="0.35">
      <c r="A196" s="986" t="s">
        <v>848</v>
      </c>
      <c r="B196" s="987"/>
      <c r="C196" s="987"/>
      <c r="D196" s="987"/>
      <c r="E196" s="987"/>
      <c r="F196" s="987"/>
      <c r="G196" s="987"/>
      <c r="H196" s="987"/>
      <c r="I196" s="987"/>
    </row>
    <row r="197" spans="1:17" ht="19.5" customHeight="1" x14ac:dyDescent="0.35">
      <c r="A197" s="981" t="s">
        <v>875</v>
      </c>
      <c r="B197" s="981"/>
      <c r="C197" s="981"/>
      <c r="D197" s="981"/>
      <c r="E197" s="981"/>
      <c r="F197" s="981"/>
      <c r="G197" s="981"/>
      <c r="H197" s="981"/>
      <c r="I197" s="981"/>
      <c r="J197" s="981"/>
    </row>
    <row r="198" spans="1:17" ht="34.5" customHeight="1" x14ac:dyDescent="0.35">
      <c r="A198" s="981" t="s">
        <v>1016</v>
      </c>
      <c r="B198" s="981"/>
      <c r="C198" s="981"/>
      <c r="D198" s="981"/>
      <c r="E198" s="981"/>
      <c r="F198" s="981"/>
      <c r="G198" s="981"/>
      <c r="H198" s="981"/>
      <c r="I198" s="981"/>
    </row>
    <row r="199" spans="1:17" ht="66" customHeight="1" x14ac:dyDescent="0.35">
      <c r="A199" s="980" t="s">
        <v>1258</v>
      </c>
      <c r="B199" s="980"/>
      <c r="C199" s="980"/>
      <c r="D199" s="980"/>
      <c r="E199" s="980"/>
      <c r="F199" s="980"/>
      <c r="G199" s="980"/>
      <c r="H199" s="980"/>
      <c r="I199" s="980"/>
      <c r="J199" s="980"/>
      <c r="K199" s="801"/>
      <c r="L199" s="801"/>
      <c r="M199" s="801"/>
    </row>
    <row r="200" spans="1:17" ht="50.25" customHeight="1" x14ac:dyDescent="0.35">
      <c r="A200" s="980" t="s">
        <v>1291</v>
      </c>
      <c r="B200" s="980"/>
      <c r="C200" s="980"/>
      <c r="D200" s="980"/>
      <c r="E200" s="980"/>
      <c r="F200" s="980"/>
      <c r="G200" s="980"/>
      <c r="H200" s="980"/>
      <c r="I200" s="980"/>
      <c r="J200" s="980"/>
    </row>
  </sheetData>
  <mergeCells count="172">
    <mergeCell ref="A200:J200"/>
    <mergeCell ref="A199:J199"/>
    <mergeCell ref="A198:I198"/>
    <mergeCell ref="B188:B189"/>
    <mergeCell ref="P119:P120"/>
    <mergeCell ref="B161:B162"/>
    <mergeCell ref="B168:B170"/>
    <mergeCell ref="A168:A170"/>
    <mergeCell ref="B122:B125"/>
    <mergeCell ref="A119:A120"/>
    <mergeCell ref="B119:B120"/>
    <mergeCell ref="A122:A125"/>
    <mergeCell ref="C148:C149"/>
    <mergeCell ref="A186:E186"/>
    <mergeCell ref="A197:J197"/>
    <mergeCell ref="A191:E191"/>
    <mergeCell ref="A180:B180"/>
    <mergeCell ref="A196:I196"/>
    <mergeCell ref="A126:A127"/>
    <mergeCell ref="A139:A140"/>
    <mergeCell ref="B131:B132"/>
    <mergeCell ref="B42:B43"/>
    <mergeCell ref="A42:A43"/>
    <mergeCell ref="A71:A73"/>
    <mergeCell ref="A188:A189"/>
    <mergeCell ref="C180:E180"/>
    <mergeCell ref="A181:E181"/>
    <mergeCell ref="A131:A132"/>
    <mergeCell ref="A138:E138"/>
    <mergeCell ref="A167:E167"/>
    <mergeCell ref="A172:E172"/>
    <mergeCell ref="A177:E177"/>
    <mergeCell ref="A161:A162"/>
    <mergeCell ref="A153:A157"/>
    <mergeCell ref="A143:A149"/>
    <mergeCell ref="A159:A160"/>
    <mergeCell ref="B159:B160"/>
    <mergeCell ref="B143:B149"/>
    <mergeCell ref="C155:C156"/>
    <mergeCell ref="B71:B73"/>
    <mergeCell ref="C83:C85"/>
    <mergeCell ref="B56:B57"/>
    <mergeCell ref="A76:A77"/>
    <mergeCell ref="C98:C99"/>
    <mergeCell ref="N1:Q1"/>
    <mergeCell ref="A4:D4"/>
    <mergeCell ref="B6:D6"/>
    <mergeCell ref="B66:B68"/>
    <mergeCell ref="A37:A40"/>
    <mergeCell ref="B37:B40"/>
    <mergeCell ref="C37:C38"/>
    <mergeCell ref="D37:D38"/>
    <mergeCell ref="N37:N38"/>
    <mergeCell ref="D2:D3"/>
    <mergeCell ref="E2:E3"/>
    <mergeCell ref="N2:N3"/>
    <mergeCell ref="O2:O3"/>
    <mergeCell ref="P2:P3"/>
    <mergeCell ref="Q46:Q47"/>
    <mergeCell ref="B49:B51"/>
    <mergeCell ref="A49:A51"/>
    <mergeCell ref="O46:O47"/>
    <mergeCell ref="A61:A63"/>
    <mergeCell ref="B61:B63"/>
    <mergeCell ref="P37:P38"/>
    <mergeCell ref="A41:E41"/>
    <mergeCell ref="A58:E58"/>
    <mergeCell ref="A56:A57"/>
    <mergeCell ref="O116:O117"/>
    <mergeCell ref="B116:B118"/>
    <mergeCell ref="D116:D117"/>
    <mergeCell ref="A137:B137"/>
    <mergeCell ref="A133:E133"/>
    <mergeCell ref="A116:A118"/>
    <mergeCell ref="C93:E93"/>
    <mergeCell ref="A106:A107"/>
    <mergeCell ref="A109:E109"/>
    <mergeCell ref="N98:N99"/>
    <mergeCell ref="O98:O99"/>
    <mergeCell ref="Q148:Q149"/>
    <mergeCell ref="N110:N113"/>
    <mergeCell ref="O110:O113"/>
    <mergeCell ref="B110:B113"/>
    <mergeCell ref="O148:O149"/>
    <mergeCell ref="O119:O120"/>
    <mergeCell ref="Q119:Q120"/>
    <mergeCell ref="B139:B140"/>
    <mergeCell ref="B153:B157"/>
    <mergeCell ref="A152:E152"/>
    <mergeCell ref="A114:A115"/>
    <mergeCell ref="A110:A113"/>
    <mergeCell ref="B114:B115"/>
    <mergeCell ref="Q110:Q113"/>
    <mergeCell ref="C137:E137"/>
    <mergeCell ref="N119:N120"/>
    <mergeCell ref="C116:C117"/>
    <mergeCell ref="D110:D113"/>
    <mergeCell ref="C110:C113"/>
    <mergeCell ref="Q116:Q118"/>
    <mergeCell ref="P116:P117"/>
    <mergeCell ref="B126:B127"/>
    <mergeCell ref="C124:C125"/>
    <mergeCell ref="N116:N117"/>
    <mergeCell ref="N46:N47"/>
    <mergeCell ref="C80:C81"/>
    <mergeCell ref="D80:D81"/>
    <mergeCell ref="N80:N81"/>
    <mergeCell ref="N83:N85"/>
    <mergeCell ref="A83:A85"/>
    <mergeCell ref="N86:N87"/>
    <mergeCell ref="C82:E82"/>
    <mergeCell ref="B76:B77"/>
    <mergeCell ref="B83:B85"/>
    <mergeCell ref="A80:A81"/>
    <mergeCell ref="A44:A48"/>
    <mergeCell ref="B44:B48"/>
    <mergeCell ref="A82:B82"/>
    <mergeCell ref="A60:E60"/>
    <mergeCell ref="A64:E64"/>
    <mergeCell ref="A75:E75"/>
    <mergeCell ref="C66:C67"/>
    <mergeCell ref="A66:A68"/>
    <mergeCell ref="C46:C47"/>
    <mergeCell ref="P110:P113"/>
    <mergeCell ref="A101:E101"/>
    <mergeCell ref="B97:B99"/>
    <mergeCell ref="A97:A99"/>
    <mergeCell ref="Q86:Q87"/>
    <mergeCell ref="A88:A90"/>
    <mergeCell ref="A86:A87"/>
    <mergeCell ref="B86:B87"/>
    <mergeCell ref="C86:C87"/>
    <mergeCell ref="A93:B93"/>
    <mergeCell ref="O88:O90"/>
    <mergeCell ref="Q88:Q90"/>
    <mergeCell ref="N106:N107"/>
    <mergeCell ref="A96:E96"/>
    <mergeCell ref="A91:A92"/>
    <mergeCell ref="B91:B92"/>
    <mergeCell ref="B88:B90"/>
    <mergeCell ref="C88:C90"/>
    <mergeCell ref="N88:N90"/>
    <mergeCell ref="P80:P81"/>
    <mergeCell ref="P88:P90"/>
    <mergeCell ref="P86:P87"/>
    <mergeCell ref="O80:O81"/>
    <mergeCell ref="O83:O85"/>
    <mergeCell ref="O86:O87"/>
    <mergeCell ref="Q80:Q81"/>
    <mergeCell ref="A105:E105"/>
    <mergeCell ref="B106:B107"/>
    <mergeCell ref="Q106:Q107"/>
    <mergeCell ref="O106:O107"/>
    <mergeCell ref="Q83:Q84"/>
    <mergeCell ref="P83:P84"/>
    <mergeCell ref="B80:B81"/>
    <mergeCell ref="A36:E36"/>
    <mergeCell ref="A28:E28"/>
    <mergeCell ref="C27:E27"/>
    <mergeCell ref="A27:B27"/>
    <mergeCell ref="Q37:Q38"/>
    <mergeCell ref="O37:O38"/>
    <mergeCell ref="A2:A3"/>
    <mergeCell ref="B26:D26"/>
    <mergeCell ref="B25:D25"/>
    <mergeCell ref="B24:D24"/>
    <mergeCell ref="B5:D5"/>
    <mergeCell ref="Q2:Q3"/>
    <mergeCell ref="I2:M2"/>
    <mergeCell ref="F2:H2"/>
    <mergeCell ref="C2:C3"/>
    <mergeCell ref="B2:B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DF784-B9D3-4E3B-BC6A-0CC262330908}">
  <sheetPr>
    <tabColor theme="9" tint="0.79998168889431442"/>
  </sheetPr>
  <dimension ref="A1:E8"/>
  <sheetViews>
    <sheetView zoomScale="95" zoomScaleNormal="95" workbookViewId="0">
      <selection activeCell="E1" sqref="E1"/>
    </sheetView>
  </sheetViews>
  <sheetFormatPr defaultColWidth="9.1796875" defaultRowHeight="13" x14ac:dyDescent="0.3"/>
  <cols>
    <col min="1" max="1" width="9.1796875" style="32"/>
    <col min="2" max="2" width="53" style="32" customWidth="1"/>
    <col min="3" max="3" width="21.7265625" style="32" customWidth="1"/>
    <col min="4" max="4" width="26.453125" style="32" customWidth="1"/>
    <col min="5" max="5" width="18.81640625" style="32" customWidth="1"/>
    <col min="6" max="16384" width="9.1796875" style="32"/>
  </cols>
  <sheetData>
    <row r="1" spans="1:5" x14ac:dyDescent="0.3">
      <c r="E1" s="754" t="s">
        <v>1292</v>
      </c>
    </row>
    <row r="2" spans="1:5" ht="35.25" customHeight="1" x14ac:dyDescent="0.3">
      <c r="A2" s="996" t="s">
        <v>493</v>
      </c>
      <c r="B2" s="996"/>
      <c r="C2" s="996"/>
      <c r="D2" s="996"/>
      <c r="E2" s="996"/>
    </row>
    <row r="3" spans="1:5" ht="52" x14ac:dyDescent="0.3">
      <c r="A3" s="353" t="s">
        <v>257</v>
      </c>
      <c r="B3" s="344" t="s">
        <v>494</v>
      </c>
      <c r="C3" s="344" t="s">
        <v>1082</v>
      </c>
      <c r="D3" s="344" t="s">
        <v>514</v>
      </c>
      <c r="E3" s="226" t="s">
        <v>194</v>
      </c>
    </row>
    <row r="4" spans="1:5" ht="26" x14ac:dyDescent="0.3">
      <c r="A4" s="224">
        <v>1</v>
      </c>
      <c r="B4" s="225" t="s">
        <v>499</v>
      </c>
      <c r="C4" s="228">
        <v>18300</v>
      </c>
      <c r="D4" s="228">
        <v>18300</v>
      </c>
      <c r="E4" s="990" t="s">
        <v>495</v>
      </c>
    </row>
    <row r="5" spans="1:5" ht="26" x14ac:dyDescent="0.3">
      <c r="A5" s="224">
        <v>2</v>
      </c>
      <c r="B5" s="225" t="s">
        <v>496</v>
      </c>
      <c r="C5" s="228">
        <v>36000</v>
      </c>
      <c r="D5" s="228">
        <v>36000</v>
      </c>
      <c r="E5" s="991"/>
    </row>
    <row r="6" spans="1:5" x14ac:dyDescent="0.3">
      <c r="A6" s="992" t="s">
        <v>500</v>
      </c>
      <c r="B6" s="993"/>
      <c r="C6" s="229">
        <f>C4+C5</f>
        <v>54300</v>
      </c>
      <c r="D6" s="229">
        <f>D4+D5</f>
        <v>54300</v>
      </c>
      <c r="E6" s="991"/>
    </row>
    <row r="7" spans="1:5" x14ac:dyDescent="0.3">
      <c r="A7" s="994" t="s">
        <v>497</v>
      </c>
      <c r="B7" s="994"/>
      <c r="C7" s="227"/>
      <c r="D7" s="227"/>
      <c r="E7" s="227"/>
    </row>
    <row r="8" spans="1:5" ht="33.75" customHeight="1" x14ac:dyDescent="0.3">
      <c r="A8" s="995" t="s">
        <v>498</v>
      </c>
      <c r="B8" s="995"/>
      <c r="C8" s="995"/>
      <c r="D8" s="995"/>
      <c r="E8" s="995"/>
    </row>
  </sheetData>
  <mergeCells count="5">
    <mergeCell ref="E4:E6"/>
    <mergeCell ref="A6:B6"/>
    <mergeCell ref="A7:B7"/>
    <mergeCell ref="A8:E8"/>
    <mergeCell ref="A2: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74449-6C5F-4516-B8CC-30B2577C0083}">
  <sheetPr>
    <tabColor theme="2" tint="-0.249977111117893"/>
  </sheetPr>
  <dimension ref="A1:B7"/>
  <sheetViews>
    <sheetView workbookViewId="0">
      <selection activeCell="A6" sqref="A6:B6"/>
    </sheetView>
  </sheetViews>
  <sheetFormatPr defaultRowHeight="14.5" x14ac:dyDescent="0.35"/>
  <cols>
    <col min="1" max="1" width="70.54296875" customWidth="1"/>
    <col min="2" max="2" width="33.453125" customWidth="1"/>
  </cols>
  <sheetData>
    <row r="1" spans="1:2" x14ac:dyDescent="0.35">
      <c r="A1" s="32"/>
      <c r="B1" s="349" t="s">
        <v>1293</v>
      </c>
    </row>
    <row r="2" spans="1:2" ht="31.5" customHeight="1" x14ac:dyDescent="0.35">
      <c r="A2" s="996" t="s">
        <v>725</v>
      </c>
      <c r="B2" s="996"/>
    </row>
    <row r="3" spans="1:2" ht="26" x14ac:dyDescent="0.35">
      <c r="A3" s="344" t="s">
        <v>494</v>
      </c>
      <c r="B3" s="344" t="s">
        <v>1103</v>
      </c>
    </row>
    <row r="4" spans="1:2" ht="26.5" x14ac:dyDescent="0.35">
      <c r="A4" s="475" t="s">
        <v>725</v>
      </c>
      <c r="B4" s="228" t="s">
        <v>724</v>
      </c>
    </row>
    <row r="5" spans="1:2" x14ac:dyDescent="0.35">
      <c r="A5" s="472" t="s">
        <v>311</v>
      </c>
      <c r="B5" s="229">
        <v>60500</v>
      </c>
    </row>
    <row r="6" spans="1:2" ht="124.5" customHeight="1" x14ac:dyDescent="0.35">
      <c r="A6" s="997" t="s">
        <v>1294</v>
      </c>
      <c r="B6" s="997"/>
    </row>
    <row r="7" spans="1:2" ht="18.5" customHeight="1" x14ac:dyDescent="0.35">
      <c r="A7" s="995"/>
      <c r="B7" s="995"/>
    </row>
  </sheetData>
  <mergeCells count="3">
    <mergeCell ref="A2:B2"/>
    <mergeCell ref="A7:B7"/>
    <mergeCell ref="A6:B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6CF59-4CC4-4AED-92C1-7E586EEA35B0}">
  <sheetPr>
    <tabColor theme="2" tint="-0.249977111117893"/>
  </sheetPr>
  <dimension ref="A1:B7"/>
  <sheetViews>
    <sheetView workbookViewId="0">
      <selection activeCell="A6" sqref="A6:B6"/>
    </sheetView>
  </sheetViews>
  <sheetFormatPr defaultRowHeight="14.5" x14ac:dyDescent="0.35"/>
  <cols>
    <col min="1" max="1" width="70.54296875" customWidth="1"/>
    <col min="2" max="2" width="33.453125" customWidth="1"/>
  </cols>
  <sheetData>
    <row r="1" spans="1:2" x14ac:dyDescent="0.35">
      <c r="A1" s="32"/>
      <c r="B1" s="349" t="s">
        <v>513</v>
      </c>
    </row>
    <row r="2" spans="1:2" ht="31.5" customHeight="1" x14ac:dyDescent="0.35">
      <c r="A2" s="996" t="s">
        <v>650</v>
      </c>
      <c r="B2" s="996"/>
    </row>
    <row r="3" spans="1:2" ht="26" x14ac:dyDescent="0.35">
      <c r="A3" s="344" t="s">
        <v>494</v>
      </c>
      <c r="B3" s="344" t="s">
        <v>1104</v>
      </c>
    </row>
    <row r="4" spans="1:2" x14ac:dyDescent="0.35">
      <c r="A4" s="475" t="s">
        <v>650</v>
      </c>
      <c r="B4" s="228" t="s">
        <v>726</v>
      </c>
    </row>
    <row r="5" spans="1:2" x14ac:dyDescent="0.35">
      <c r="A5" s="472" t="s">
        <v>311</v>
      </c>
      <c r="B5" s="229">
        <v>181500</v>
      </c>
    </row>
    <row r="6" spans="1:2" ht="113" customHeight="1" x14ac:dyDescent="0.35">
      <c r="A6" s="998" t="s">
        <v>1294</v>
      </c>
      <c r="B6" s="998"/>
    </row>
    <row r="7" spans="1:2" x14ac:dyDescent="0.35">
      <c r="A7" s="995"/>
      <c r="B7" s="995"/>
    </row>
  </sheetData>
  <mergeCells count="3">
    <mergeCell ref="A7:B7"/>
    <mergeCell ref="A6:B6"/>
    <mergeCell ref="A2:B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10CC2-685A-4077-9EBD-EF48F408592B}">
  <sheetPr>
    <tabColor theme="2" tint="-0.249977111117893"/>
  </sheetPr>
  <dimension ref="A1:B7"/>
  <sheetViews>
    <sheetView workbookViewId="0">
      <selection activeCell="A6" sqref="A6:B6"/>
    </sheetView>
  </sheetViews>
  <sheetFormatPr defaultRowHeight="14.5" x14ac:dyDescent="0.35"/>
  <cols>
    <col min="1" max="1" width="70.54296875" customWidth="1"/>
    <col min="2" max="2" width="33.453125" customWidth="1"/>
  </cols>
  <sheetData>
    <row r="1" spans="1:2" x14ac:dyDescent="0.35">
      <c r="A1" s="32"/>
      <c r="B1" s="349" t="s">
        <v>1295</v>
      </c>
    </row>
    <row r="2" spans="1:2" ht="31.5" customHeight="1" x14ac:dyDescent="0.35">
      <c r="A2" s="996" t="s">
        <v>1211</v>
      </c>
      <c r="B2" s="996"/>
    </row>
    <row r="3" spans="1:2" ht="26" x14ac:dyDescent="0.35">
      <c r="A3" s="344" t="s">
        <v>494</v>
      </c>
      <c r="B3" s="344" t="s">
        <v>1103</v>
      </c>
    </row>
    <row r="4" spans="1:2" ht="26.5" x14ac:dyDescent="0.35">
      <c r="A4" s="475" t="s">
        <v>727</v>
      </c>
      <c r="B4" s="228" t="s">
        <v>728</v>
      </c>
    </row>
    <row r="5" spans="1:2" x14ac:dyDescent="0.35">
      <c r="A5" s="472" t="s">
        <v>311</v>
      </c>
      <c r="B5" s="229">
        <v>38000</v>
      </c>
    </row>
    <row r="6" spans="1:2" ht="92.5" customHeight="1" x14ac:dyDescent="0.35">
      <c r="A6" s="998" t="s">
        <v>1294</v>
      </c>
      <c r="B6" s="998"/>
    </row>
    <row r="7" spans="1:2" x14ac:dyDescent="0.35">
      <c r="A7" s="995"/>
      <c r="B7" s="995"/>
    </row>
  </sheetData>
  <mergeCells count="3">
    <mergeCell ref="A2:B2"/>
    <mergeCell ref="A6:B6"/>
    <mergeCell ref="A7:B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5530C-6EFB-438B-BAB0-746EC3AA36F7}">
  <sheetPr>
    <tabColor theme="2"/>
  </sheetPr>
  <dimension ref="A1:C6"/>
  <sheetViews>
    <sheetView workbookViewId="0">
      <selection activeCell="A6" sqref="A6:C6"/>
    </sheetView>
  </sheetViews>
  <sheetFormatPr defaultColWidth="9.1796875" defaultRowHeight="13" x14ac:dyDescent="0.3"/>
  <cols>
    <col min="1" max="1" width="48.453125" style="32" customWidth="1"/>
    <col min="2" max="2" width="18.1796875" style="32" customWidth="1"/>
    <col min="3" max="3" width="17" style="32" customWidth="1"/>
    <col min="4" max="16384" width="9.1796875" style="32"/>
  </cols>
  <sheetData>
    <row r="1" spans="1:3" x14ac:dyDescent="0.3">
      <c r="C1" s="349" t="s">
        <v>1296</v>
      </c>
    </row>
    <row r="2" spans="1:3" ht="29.25" customHeight="1" x14ac:dyDescent="0.3">
      <c r="A2" s="999" t="s">
        <v>655</v>
      </c>
      <c r="B2" s="999"/>
      <c r="C2" s="999"/>
    </row>
    <row r="3" spans="1:3" ht="12.75" customHeight="1" x14ac:dyDescent="0.3">
      <c r="A3" s="1000" t="s">
        <v>2</v>
      </c>
      <c r="B3" s="1001" t="s">
        <v>605</v>
      </c>
      <c r="C3" s="1002"/>
    </row>
    <row r="4" spans="1:3" x14ac:dyDescent="0.3">
      <c r="A4" s="1000"/>
      <c r="B4" s="461" t="s">
        <v>195</v>
      </c>
      <c r="C4" s="462" t="s">
        <v>196</v>
      </c>
    </row>
    <row r="5" spans="1:3" ht="39" x14ac:dyDescent="0.3">
      <c r="A5" s="350" t="s">
        <v>655</v>
      </c>
      <c r="B5" s="767">
        <v>13866</v>
      </c>
      <c r="C5" s="423">
        <v>13866</v>
      </c>
    </row>
    <row r="6" spans="1:3" ht="27" customHeight="1" x14ac:dyDescent="0.3">
      <c r="A6" s="995" t="s">
        <v>1297</v>
      </c>
      <c r="B6" s="995"/>
      <c r="C6" s="995"/>
    </row>
  </sheetData>
  <mergeCells count="4">
    <mergeCell ref="A2:C2"/>
    <mergeCell ref="A3:A4"/>
    <mergeCell ref="B3:C3"/>
    <mergeCell ref="A6:C6"/>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EEDC3-B7D4-4214-9669-592BD45626F8}">
  <sheetPr>
    <tabColor theme="9" tint="0.79998168889431442"/>
  </sheetPr>
  <dimension ref="B1:F8"/>
  <sheetViews>
    <sheetView zoomScale="91" zoomScaleNormal="91" workbookViewId="0">
      <selection activeCell="F1" sqref="F1"/>
    </sheetView>
  </sheetViews>
  <sheetFormatPr defaultColWidth="9.1796875" defaultRowHeight="13" x14ac:dyDescent="0.3"/>
  <cols>
    <col min="1" max="2" width="9.1796875" style="32"/>
    <col min="3" max="3" width="55.453125" style="32" customWidth="1"/>
    <col min="4" max="4" width="19.26953125" style="32" customWidth="1"/>
    <col min="5" max="5" width="21.453125" style="32" customWidth="1"/>
    <col min="6" max="6" width="14.54296875" style="32" customWidth="1"/>
    <col min="7" max="16384" width="9.1796875" style="32"/>
  </cols>
  <sheetData>
    <row r="1" spans="2:6" x14ac:dyDescent="0.3">
      <c r="F1" s="32" t="s">
        <v>1298</v>
      </c>
    </row>
    <row r="2" spans="2:6" ht="39.75" customHeight="1" x14ac:dyDescent="0.3">
      <c r="B2" s="996" t="s">
        <v>502</v>
      </c>
      <c r="C2" s="996"/>
      <c r="D2" s="996"/>
      <c r="E2" s="996"/>
      <c r="F2" s="996"/>
    </row>
    <row r="3" spans="2:6" ht="63.75" customHeight="1" x14ac:dyDescent="0.3">
      <c r="B3" s="353" t="s">
        <v>257</v>
      </c>
      <c r="C3" s="344" t="s">
        <v>494</v>
      </c>
      <c r="D3" s="344" t="s">
        <v>1082</v>
      </c>
      <c r="E3" s="344" t="s">
        <v>514</v>
      </c>
      <c r="F3" s="226" t="s">
        <v>194</v>
      </c>
    </row>
    <row r="4" spans="2:6" ht="35.25" customHeight="1" x14ac:dyDescent="0.3">
      <c r="B4" s="224">
        <v>1</v>
      </c>
      <c r="C4" s="225" t="s">
        <v>499</v>
      </c>
      <c r="D4" s="228">
        <v>18300</v>
      </c>
      <c r="E4" s="228">
        <v>18300</v>
      </c>
      <c r="F4" s="990" t="s">
        <v>495</v>
      </c>
    </row>
    <row r="5" spans="2:6" ht="26" x14ac:dyDescent="0.3">
      <c r="B5" s="224">
        <v>2</v>
      </c>
      <c r="C5" s="225" t="s">
        <v>496</v>
      </c>
      <c r="D5" s="228">
        <v>36000</v>
      </c>
      <c r="E5" s="228">
        <v>36000</v>
      </c>
      <c r="F5" s="991"/>
    </row>
    <row r="6" spans="2:6" x14ac:dyDescent="0.3">
      <c r="B6" s="992" t="s">
        <v>500</v>
      </c>
      <c r="C6" s="993"/>
      <c r="D6" s="229">
        <f>D4+D5</f>
        <v>54300</v>
      </c>
      <c r="E6" s="229">
        <f>E4+E5</f>
        <v>54300</v>
      </c>
      <c r="F6" s="991"/>
    </row>
    <row r="7" spans="2:6" x14ac:dyDescent="0.3">
      <c r="B7" s="994" t="s">
        <v>497</v>
      </c>
      <c r="C7" s="994"/>
      <c r="D7" s="994"/>
      <c r="E7" s="994"/>
      <c r="F7" s="994"/>
    </row>
    <row r="8" spans="2:6" ht="35.25" customHeight="1" x14ac:dyDescent="0.3">
      <c r="B8" s="995" t="s">
        <v>498</v>
      </c>
      <c r="C8" s="995"/>
      <c r="D8" s="995"/>
      <c r="E8" s="995"/>
      <c r="F8" s="995"/>
    </row>
  </sheetData>
  <mergeCells count="5">
    <mergeCell ref="F4:F6"/>
    <mergeCell ref="B6:C6"/>
    <mergeCell ref="B2:F2"/>
    <mergeCell ref="B7:F7"/>
    <mergeCell ref="B8:F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DBA73-E928-441C-BEE5-F21418376C65}">
  <sheetPr>
    <tabColor theme="9" tint="0.79998168889431442"/>
  </sheetPr>
  <dimension ref="A1:E15"/>
  <sheetViews>
    <sheetView zoomScale="68" zoomScaleNormal="68" workbookViewId="0">
      <selection activeCell="E1" sqref="E1"/>
    </sheetView>
  </sheetViews>
  <sheetFormatPr defaultColWidth="9.1796875" defaultRowHeight="13" x14ac:dyDescent="0.3"/>
  <cols>
    <col min="1" max="1" width="4.81640625" style="32" customWidth="1"/>
    <col min="2" max="2" width="47.453125" style="32" customWidth="1"/>
    <col min="3" max="3" width="19" style="32" customWidth="1"/>
    <col min="4" max="4" width="24.1796875" style="32" customWidth="1"/>
    <col min="5" max="5" width="22.453125" style="32" customWidth="1"/>
    <col min="6" max="16384" width="9.1796875" style="32"/>
  </cols>
  <sheetData>
    <row r="1" spans="1:5" x14ac:dyDescent="0.3">
      <c r="E1" s="32" t="s">
        <v>1299</v>
      </c>
    </row>
    <row r="2" spans="1:5" x14ac:dyDescent="0.3">
      <c r="D2" s="227"/>
      <c r="E2" s="227"/>
    </row>
    <row r="3" spans="1:5" ht="15" customHeight="1" x14ac:dyDescent="0.3">
      <c r="A3" s="1006" t="s">
        <v>503</v>
      </c>
      <c r="B3" s="1006"/>
      <c r="C3" s="1006"/>
      <c r="D3" s="1006"/>
      <c r="E3" s="1006"/>
    </row>
    <row r="4" spans="1:5" ht="90" customHeight="1" x14ac:dyDescent="0.3">
      <c r="A4" s="353" t="s">
        <v>257</v>
      </c>
      <c r="B4" s="344" t="s">
        <v>494</v>
      </c>
      <c r="C4" s="344" t="s">
        <v>1082</v>
      </c>
      <c r="D4" s="344" t="s">
        <v>514</v>
      </c>
      <c r="E4" s="190" t="s">
        <v>194</v>
      </c>
    </row>
    <row r="5" spans="1:5" ht="39" x14ac:dyDescent="0.3">
      <c r="A5" s="224">
        <v>1</v>
      </c>
      <c r="B5" s="225" t="s">
        <v>504</v>
      </c>
      <c r="C5" s="102">
        <f>C6+C7</f>
        <v>22000</v>
      </c>
      <c r="D5" s="102">
        <f>D6+D7</f>
        <v>24000</v>
      </c>
      <c r="E5" s="1003" t="s">
        <v>495</v>
      </c>
    </row>
    <row r="6" spans="1:5" ht="39" x14ac:dyDescent="0.3">
      <c r="A6" s="224" t="s">
        <v>9</v>
      </c>
      <c r="B6" s="225" t="s">
        <v>505</v>
      </c>
      <c r="C6" s="187">
        <v>3000</v>
      </c>
      <c r="D6" s="187">
        <v>3000</v>
      </c>
      <c r="E6" s="1004"/>
    </row>
    <row r="7" spans="1:5" ht="26" x14ac:dyDescent="0.3">
      <c r="A7" s="51" t="s">
        <v>12</v>
      </c>
      <c r="B7" s="230" t="s">
        <v>506</v>
      </c>
      <c r="C7" s="187">
        <v>19000</v>
      </c>
      <c r="D7" s="187">
        <v>21000</v>
      </c>
      <c r="E7" s="1004"/>
    </row>
    <row r="8" spans="1:5" ht="39" x14ac:dyDescent="0.3">
      <c r="A8" s="224">
        <v>2</v>
      </c>
      <c r="B8" s="225" t="s">
        <v>507</v>
      </c>
      <c r="C8" s="102">
        <f>C9+C10+C11</f>
        <v>52200</v>
      </c>
      <c r="D8" s="102">
        <f t="shared" ref="D8" si="0">D9+D10+D11</f>
        <v>55200</v>
      </c>
      <c r="E8" s="1004"/>
    </row>
    <row r="9" spans="1:5" ht="39" x14ac:dyDescent="0.3">
      <c r="A9" s="224" t="s">
        <v>52</v>
      </c>
      <c r="B9" s="225" t="s">
        <v>508</v>
      </c>
      <c r="C9" s="187">
        <v>2000</v>
      </c>
      <c r="D9" s="187">
        <v>2000</v>
      </c>
      <c r="E9" s="1004"/>
    </row>
    <row r="10" spans="1:5" ht="26" x14ac:dyDescent="0.3">
      <c r="A10" s="51" t="s">
        <v>56</v>
      </c>
      <c r="B10" s="230" t="s">
        <v>509</v>
      </c>
      <c r="C10" s="187">
        <v>39500</v>
      </c>
      <c r="D10" s="187">
        <v>42500</v>
      </c>
      <c r="E10" s="1004"/>
    </row>
    <row r="11" spans="1:5" ht="78" x14ac:dyDescent="0.3">
      <c r="A11" s="224" t="s">
        <v>60</v>
      </c>
      <c r="B11" s="225" t="s">
        <v>510</v>
      </c>
      <c r="C11" s="187">
        <v>10700</v>
      </c>
      <c r="D11" s="187">
        <v>10700</v>
      </c>
      <c r="E11" s="1004"/>
    </row>
    <row r="12" spans="1:5" ht="26" x14ac:dyDescent="0.3">
      <c r="A12" s="224">
        <v>3</v>
      </c>
      <c r="B12" s="225" t="s">
        <v>511</v>
      </c>
      <c r="C12" s="235">
        <v>1000</v>
      </c>
      <c r="D12" s="235">
        <v>1000</v>
      </c>
      <c r="E12" s="1004"/>
    </row>
    <row r="13" spans="1:5" x14ac:dyDescent="0.3">
      <c r="A13" s="992" t="s">
        <v>500</v>
      </c>
      <c r="B13" s="993"/>
      <c r="C13" s="236">
        <f>C5+C8+C12</f>
        <v>75200</v>
      </c>
      <c r="D13" s="236">
        <f t="shared" ref="D13" si="1">D5+D8+D12</f>
        <v>80200</v>
      </c>
      <c r="E13" s="1005"/>
    </row>
    <row r="14" spans="1:5" x14ac:dyDescent="0.3">
      <c r="A14" s="994" t="s">
        <v>497</v>
      </c>
      <c r="B14" s="994"/>
      <c r="C14" s="994"/>
      <c r="D14" s="994"/>
      <c r="E14" s="994"/>
    </row>
    <row r="15" spans="1:5" ht="29.25" customHeight="1" x14ac:dyDescent="0.3">
      <c r="A15" s="995" t="s">
        <v>512</v>
      </c>
      <c r="B15" s="995"/>
      <c r="C15" s="995"/>
      <c r="D15" s="995"/>
      <c r="E15" s="995"/>
    </row>
  </sheetData>
  <mergeCells count="5">
    <mergeCell ref="E5:E13"/>
    <mergeCell ref="A13:B13"/>
    <mergeCell ref="A14:E14"/>
    <mergeCell ref="A15:E15"/>
    <mergeCell ref="A3:E3"/>
  </mergeCells>
  <dataValidations count="1">
    <dataValidation type="whole" errorStyle="information" allowBlank="1" showInputMessage="1" showErrorMessage="1" error="Jāievada skaitlis" sqref="E5" xr:uid="{7B095D9F-026C-4909-A8F2-0A8DA9A40BE8}">
      <formula1>-1000000000000</formula1>
      <formula2>1000000000000</formula2>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AE333-6962-4F07-ABCD-9289F24BD8CE}">
  <sheetPr>
    <tabColor theme="9" tint="0.79998168889431442"/>
  </sheetPr>
  <dimension ref="A1:I19"/>
  <sheetViews>
    <sheetView zoomScale="82" zoomScaleNormal="82" workbookViewId="0">
      <selection activeCell="H1" sqref="H1"/>
    </sheetView>
  </sheetViews>
  <sheetFormatPr defaultColWidth="8.81640625" defaultRowHeight="13" x14ac:dyDescent="0.3"/>
  <cols>
    <col min="1" max="1" width="6.1796875" style="569" customWidth="1"/>
    <col min="2" max="2" width="48" style="569" customWidth="1"/>
    <col min="3" max="3" width="9.453125" style="569" bestFit="1" customWidth="1"/>
    <col min="4" max="4" width="8.81640625" style="569"/>
    <col min="5" max="5" width="20.26953125" style="569" customWidth="1"/>
    <col min="6" max="6" width="16.81640625" style="569" customWidth="1"/>
    <col min="7" max="7" width="20.453125" style="569" customWidth="1"/>
    <col min="8" max="8" width="17.54296875" style="569" customWidth="1"/>
    <col min="9" max="9" width="12" style="569" customWidth="1"/>
    <col min="10" max="16384" width="8.81640625" style="569"/>
  </cols>
  <sheetData>
    <row r="1" spans="1:9" x14ac:dyDescent="0.3">
      <c r="H1" s="569" t="s">
        <v>1300</v>
      </c>
    </row>
    <row r="2" spans="1:9" x14ac:dyDescent="0.3">
      <c r="A2" s="1010" t="s">
        <v>518</v>
      </c>
      <c r="B2" s="1010"/>
      <c r="C2" s="1010"/>
      <c r="D2" s="1010"/>
      <c r="E2" s="1010"/>
      <c r="F2" s="1010"/>
      <c r="G2" s="1010"/>
      <c r="H2" s="1010"/>
    </row>
    <row r="3" spans="1:9" ht="65" x14ac:dyDescent="0.3">
      <c r="B3" s="1017" t="s">
        <v>194</v>
      </c>
      <c r="C3" s="1018"/>
      <c r="D3" s="1019"/>
      <c r="E3" s="35" t="s">
        <v>1241</v>
      </c>
      <c r="F3" s="36"/>
    </row>
    <row r="4" spans="1:9" ht="25.5" customHeight="1" x14ac:dyDescent="0.3">
      <c r="B4" s="1020" t="s">
        <v>807</v>
      </c>
      <c r="C4" s="1021"/>
      <c r="D4" s="1022"/>
      <c r="E4" s="92">
        <f>SUM(D9+D10+D12+D13)*E9</f>
        <v>3272662.65</v>
      </c>
      <c r="F4" s="42"/>
    </row>
    <row r="5" spans="1:9" ht="25.5" customHeight="1" x14ac:dyDescent="0.3">
      <c r="B5" s="1020" t="s">
        <v>806</v>
      </c>
      <c r="C5" s="1021"/>
      <c r="D5" s="1022"/>
      <c r="E5" s="92">
        <f>SUM(D9+D10+D12+D13)*(F9+G9)</f>
        <v>265919.49</v>
      </c>
      <c r="F5" s="42"/>
    </row>
    <row r="6" spans="1:9" x14ac:dyDescent="0.3">
      <c r="B6" s="1023" t="s">
        <v>224</v>
      </c>
      <c r="C6" s="1024"/>
      <c r="D6" s="1025"/>
      <c r="E6" s="571">
        <f>E4+E5</f>
        <v>3538582.1399999997</v>
      </c>
      <c r="F6" s="800"/>
    </row>
    <row r="8" spans="1:9" ht="39" x14ac:dyDescent="0.3">
      <c r="A8" s="572" t="s">
        <v>257</v>
      </c>
      <c r="B8" s="572" t="s">
        <v>517</v>
      </c>
      <c r="C8" s="572" t="s">
        <v>222</v>
      </c>
      <c r="D8" s="573" t="s">
        <v>223</v>
      </c>
      <c r="E8" s="573" t="s">
        <v>225</v>
      </c>
      <c r="F8" s="573" t="s">
        <v>231</v>
      </c>
      <c r="G8" s="573" t="s">
        <v>232</v>
      </c>
      <c r="H8" s="573" t="s">
        <v>224</v>
      </c>
    </row>
    <row r="9" spans="1:9" x14ac:dyDescent="0.3">
      <c r="A9" s="574">
        <v>1</v>
      </c>
      <c r="B9" s="575" t="s">
        <v>226</v>
      </c>
      <c r="C9" s="576">
        <v>0.3</v>
      </c>
      <c r="D9" s="577">
        <f>43273-D12</f>
        <v>37847</v>
      </c>
      <c r="E9" s="1013">
        <v>65.349999999999994</v>
      </c>
      <c r="F9" s="1015">
        <v>4.0599999999999996</v>
      </c>
      <c r="G9" s="1011">
        <v>1.25</v>
      </c>
      <c r="H9" s="578">
        <f>(E9+F9+G9)*D9</f>
        <v>2674269.02</v>
      </c>
    </row>
    <row r="10" spans="1:9" x14ac:dyDescent="0.3">
      <c r="A10" s="574">
        <v>2</v>
      </c>
      <c r="B10" s="575" t="s">
        <v>227</v>
      </c>
      <c r="C10" s="576">
        <v>0.05</v>
      </c>
      <c r="D10" s="577">
        <f>6806-D13</f>
        <v>5944</v>
      </c>
      <c r="E10" s="1014"/>
      <c r="F10" s="1016"/>
      <c r="G10" s="1012"/>
      <c r="H10" s="578">
        <f>(E9+F9+G9)*D10</f>
        <v>420003.04</v>
      </c>
    </row>
    <row r="11" spans="1:9" x14ac:dyDescent="0.3">
      <c r="A11" s="579"/>
      <c r="B11" s="580"/>
      <c r="C11" s="580"/>
      <c r="D11" s="581"/>
      <c r="E11" s="582"/>
      <c r="F11" s="583"/>
      <c r="G11" s="584"/>
      <c r="H11" s="26">
        <f>SUM(H9:H10)</f>
        <v>3094272.06</v>
      </c>
    </row>
    <row r="12" spans="1:9" x14ac:dyDescent="0.3">
      <c r="A12" s="574">
        <v>3</v>
      </c>
      <c r="B12" s="575" t="s">
        <v>228</v>
      </c>
      <c r="C12" s="576">
        <v>0.3</v>
      </c>
      <c r="D12" s="577">
        <v>5426</v>
      </c>
      <c r="E12" s="1013">
        <v>65.349999999999994</v>
      </c>
      <c r="F12" s="1015">
        <v>4.0599999999999996</v>
      </c>
      <c r="G12" s="1011">
        <v>1.25</v>
      </c>
      <c r="H12" s="578">
        <f>(E12+F12+G12)*D12</f>
        <v>383401.16</v>
      </c>
    </row>
    <row r="13" spans="1:9" x14ac:dyDescent="0.3">
      <c r="A13" s="574">
        <v>4</v>
      </c>
      <c r="B13" s="575" t="s">
        <v>229</v>
      </c>
      <c r="C13" s="576">
        <v>0.05</v>
      </c>
      <c r="D13" s="577">
        <v>862</v>
      </c>
      <c r="E13" s="1014"/>
      <c r="F13" s="1016"/>
      <c r="G13" s="1012"/>
      <c r="H13" s="578">
        <f>(E12+F12+G12)*D13</f>
        <v>60908.92</v>
      </c>
    </row>
    <row r="14" spans="1:9" x14ac:dyDescent="0.3">
      <c r="A14" s="1008"/>
      <c r="B14" s="1008"/>
      <c r="C14" s="1008"/>
      <c r="D14" s="1008"/>
      <c r="E14" s="1008"/>
      <c r="F14" s="1008"/>
      <c r="G14" s="1009"/>
      <c r="H14" s="26">
        <f>SUM(H12:H13)</f>
        <v>444310.07999999996</v>
      </c>
    </row>
    <row r="15" spans="1:9" x14ac:dyDescent="0.3">
      <c r="A15" s="580"/>
      <c r="B15" s="580"/>
      <c r="C15" s="585"/>
      <c r="D15" s="586"/>
      <c r="E15" s="588"/>
      <c r="F15" s="586"/>
      <c r="G15" s="587"/>
      <c r="H15" s="27">
        <f>H11+H14</f>
        <v>3538582.14</v>
      </c>
    </row>
    <row r="16" spans="1:9" x14ac:dyDescent="0.3">
      <c r="A16" s="1007" t="s">
        <v>230</v>
      </c>
      <c r="B16" s="1007"/>
      <c r="C16" s="1007"/>
      <c r="D16" s="1007"/>
      <c r="E16" s="1007"/>
      <c r="F16" s="1007"/>
      <c r="G16" s="1007"/>
      <c r="H16" s="1007"/>
      <c r="I16" s="589"/>
    </row>
    <row r="18" spans="4:4" x14ac:dyDescent="0.3">
      <c r="D18" s="590"/>
    </row>
    <row r="19" spans="4:4" x14ac:dyDescent="0.3">
      <c r="D19" s="590"/>
    </row>
  </sheetData>
  <mergeCells count="13">
    <mergeCell ref="A16:H16"/>
    <mergeCell ref="A14:G14"/>
    <mergeCell ref="A2:H2"/>
    <mergeCell ref="G9:G10"/>
    <mergeCell ref="E12:E13"/>
    <mergeCell ref="F12:F13"/>
    <mergeCell ref="G12:G13"/>
    <mergeCell ref="E9:E10"/>
    <mergeCell ref="F9:F10"/>
    <mergeCell ref="B3:D3"/>
    <mergeCell ref="B4:D4"/>
    <mergeCell ref="B5:D5"/>
    <mergeCell ref="B6:D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AC040-841C-4A63-A663-B8A2857866DC}">
  <sheetPr>
    <tabColor theme="2" tint="-0.249977111117893"/>
  </sheetPr>
  <dimension ref="A1:C6"/>
  <sheetViews>
    <sheetView workbookViewId="0">
      <selection activeCell="A6" sqref="A6:C6"/>
    </sheetView>
  </sheetViews>
  <sheetFormatPr defaultColWidth="9.1796875" defaultRowHeight="13" x14ac:dyDescent="0.3"/>
  <cols>
    <col min="1" max="1" width="38.453125" style="32" customWidth="1"/>
    <col min="2" max="2" width="18.1796875" style="32" customWidth="1"/>
    <col min="3" max="3" width="17" style="32" customWidth="1"/>
    <col min="4" max="16384" width="9.1796875" style="32"/>
  </cols>
  <sheetData>
    <row r="1" spans="1:3" x14ac:dyDescent="0.3">
      <c r="C1" s="349" t="s">
        <v>1301</v>
      </c>
    </row>
    <row r="2" spans="1:3" ht="27.75" customHeight="1" x14ac:dyDescent="0.3">
      <c r="A2" s="999" t="s">
        <v>699</v>
      </c>
      <c r="B2" s="999"/>
      <c r="C2" s="999"/>
    </row>
    <row r="3" spans="1:3" ht="12.75" customHeight="1" x14ac:dyDescent="0.3">
      <c r="A3" s="1000" t="s">
        <v>2</v>
      </c>
      <c r="B3" s="1001" t="s">
        <v>1105</v>
      </c>
      <c r="C3" s="1002"/>
    </row>
    <row r="4" spans="1:3" x14ac:dyDescent="0.3">
      <c r="A4" s="1000"/>
      <c r="B4" s="461" t="s">
        <v>196</v>
      </c>
      <c r="C4" s="462" t="s">
        <v>197</v>
      </c>
    </row>
    <row r="5" spans="1:3" ht="39" x14ac:dyDescent="0.3">
      <c r="A5" s="350" t="s">
        <v>699</v>
      </c>
      <c r="B5" s="767">
        <v>65000</v>
      </c>
      <c r="C5" s="423">
        <v>65000</v>
      </c>
    </row>
    <row r="6" spans="1:3" ht="27" customHeight="1" x14ac:dyDescent="0.3">
      <c r="A6" s="995" t="s">
        <v>1302</v>
      </c>
      <c r="B6" s="995"/>
      <c r="C6" s="995"/>
    </row>
  </sheetData>
  <mergeCells count="4">
    <mergeCell ref="A2:C2"/>
    <mergeCell ref="A3:A4"/>
    <mergeCell ref="A6:C6"/>
    <mergeCell ref="B3:C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947E0-C25E-40B9-85DE-4FEA553AC6C0}">
  <sheetPr>
    <tabColor theme="0" tint="-0.14999847407452621"/>
  </sheetPr>
  <dimension ref="A1:K10"/>
  <sheetViews>
    <sheetView zoomScale="60" zoomScaleNormal="60" workbookViewId="0">
      <selection activeCell="K1" sqref="K1"/>
    </sheetView>
  </sheetViews>
  <sheetFormatPr defaultColWidth="9.1796875" defaultRowHeight="14" x14ac:dyDescent="0.3"/>
  <cols>
    <col min="1" max="1" width="21.54296875" style="134" customWidth="1"/>
    <col min="2" max="2" width="10.1796875" style="134" customWidth="1"/>
    <col min="3" max="3" width="18.26953125" style="134" customWidth="1"/>
    <col min="4" max="4" width="11.81640625" style="134" customWidth="1"/>
    <col min="5" max="5" width="15" style="134" customWidth="1"/>
    <col min="6" max="6" width="11.1796875" style="134" customWidth="1"/>
    <col min="7" max="7" width="14.81640625" style="134" customWidth="1"/>
    <col min="8" max="8" width="11.7265625" style="134" customWidth="1"/>
    <col min="9" max="9" width="17.453125" style="134" customWidth="1"/>
    <col min="10" max="10" width="17.7265625" style="134" customWidth="1"/>
    <col min="11" max="11" width="18.7265625" style="134" customWidth="1"/>
    <col min="12" max="16384" width="9.1796875" style="134"/>
  </cols>
  <sheetData>
    <row r="1" spans="1:11" x14ac:dyDescent="0.3">
      <c r="K1" s="134" t="s">
        <v>1303</v>
      </c>
    </row>
    <row r="2" spans="1:11" x14ac:dyDescent="0.3">
      <c r="A2" s="1028" t="s">
        <v>463</v>
      </c>
      <c r="B2" s="1028"/>
      <c r="C2" s="1028"/>
      <c r="D2" s="1028"/>
      <c r="E2" s="1028"/>
      <c r="F2" s="1028"/>
      <c r="G2" s="1028"/>
      <c r="H2" s="1028"/>
      <c r="I2" s="1028"/>
      <c r="J2" s="1028"/>
      <c r="K2" s="1028"/>
    </row>
    <row r="3" spans="1:11" ht="12" customHeight="1" x14ac:dyDescent="0.3">
      <c r="J3" s="1026" t="s">
        <v>480</v>
      </c>
      <c r="K3" s="1026"/>
    </row>
    <row r="4" spans="1:11" x14ac:dyDescent="0.3">
      <c r="J4" s="1026"/>
      <c r="K4" s="1026"/>
    </row>
    <row r="5" spans="1:11" ht="42" x14ac:dyDescent="0.3">
      <c r="A5" s="154" t="s">
        <v>446</v>
      </c>
      <c r="B5" s="153" t="s">
        <v>447</v>
      </c>
      <c r="C5" s="153" t="s">
        <v>448</v>
      </c>
      <c r="D5" s="153" t="s">
        <v>449</v>
      </c>
      <c r="E5" s="153" t="s">
        <v>450</v>
      </c>
      <c r="F5" s="153" t="s">
        <v>451</v>
      </c>
      <c r="G5" s="153" t="s">
        <v>452</v>
      </c>
      <c r="H5" s="153" t="s">
        <v>453</v>
      </c>
      <c r="I5" s="155" t="s">
        <v>464</v>
      </c>
      <c r="J5" s="153" t="s">
        <v>455</v>
      </c>
      <c r="K5" s="153" t="s">
        <v>456</v>
      </c>
    </row>
    <row r="6" spans="1:11" x14ac:dyDescent="0.3">
      <c r="A6" s="152" t="s">
        <v>457</v>
      </c>
      <c r="B6" s="156">
        <v>1</v>
      </c>
      <c r="C6" s="157" t="s">
        <v>458</v>
      </c>
      <c r="D6" s="156" t="s">
        <v>459</v>
      </c>
      <c r="E6" s="156">
        <v>9</v>
      </c>
      <c r="F6" s="156">
        <v>1736</v>
      </c>
      <c r="G6" s="158">
        <f>F6*0.3</f>
        <v>520.79999999999995</v>
      </c>
      <c r="H6" s="158">
        <f>G6*0.2359</f>
        <v>122.85671999999998</v>
      </c>
      <c r="I6" s="159">
        <f>G6+H6</f>
        <v>643.65671999999995</v>
      </c>
      <c r="J6" s="160">
        <f>I6*12</f>
        <v>7723.8806399999994</v>
      </c>
      <c r="K6" s="160">
        <f>I6*12</f>
        <v>7723.8806399999994</v>
      </c>
    </row>
    <row r="7" spans="1:11" x14ac:dyDescent="0.3">
      <c r="A7" s="152" t="s">
        <v>460</v>
      </c>
      <c r="B7" s="156">
        <v>0.5</v>
      </c>
      <c r="C7" s="157" t="s">
        <v>461</v>
      </c>
      <c r="D7" s="156" t="s">
        <v>462</v>
      </c>
      <c r="E7" s="156">
        <v>9</v>
      </c>
      <c r="F7" s="156">
        <v>1098</v>
      </c>
      <c r="G7" s="158">
        <f>F7*0.3</f>
        <v>329.4</v>
      </c>
      <c r="H7" s="158">
        <f>G7*0.2359</f>
        <v>77.705459999999988</v>
      </c>
      <c r="I7" s="159">
        <f>G7+H7</f>
        <v>407.10545999999999</v>
      </c>
      <c r="J7" s="160">
        <f>I7*12</f>
        <v>4885.2655199999999</v>
      </c>
      <c r="K7" s="160">
        <f>I7*12</f>
        <v>4885.2655199999999</v>
      </c>
    </row>
    <row r="8" spans="1:11" x14ac:dyDescent="0.3">
      <c r="G8" s="1027" t="s">
        <v>465</v>
      </c>
      <c r="H8" s="1027"/>
      <c r="I8" s="1027"/>
      <c r="J8" s="161">
        <f>ROUND(SUM(J6:J7),0)</f>
        <v>12609</v>
      </c>
      <c r="K8" s="161">
        <f>ROUND(SUM(K6:K7),0)</f>
        <v>12609</v>
      </c>
    </row>
    <row r="9" spans="1:11" x14ac:dyDescent="0.3">
      <c r="A9" s="162" t="s">
        <v>519</v>
      </c>
    </row>
    <row r="10" spans="1:11" s="162" customFormat="1" x14ac:dyDescent="0.3">
      <c r="A10" s="1029" t="s">
        <v>818</v>
      </c>
      <c r="B10" s="1029"/>
      <c r="C10" s="1029"/>
      <c r="D10" s="1029"/>
      <c r="E10" s="1029"/>
      <c r="F10" s="1029"/>
      <c r="G10" s="1029"/>
      <c r="H10" s="1029"/>
      <c r="I10" s="1029"/>
      <c r="J10" s="1029"/>
      <c r="K10" s="1029"/>
    </row>
  </sheetData>
  <mergeCells count="4">
    <mergeCell ref="J3:K4"/>
    <mergeCell ref="G8:I8"/>
    <mergeCell ref="A2:K2"/>
    <mergeCell ref="A10:K1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25682-AF43-4463-A5F6-1CB96E4A9969}">
  <sheetPr>
    <tabColor theme="9" tint="0.79998168889431442"/>
  </sheetPr>
  <dimension ref="A1:P43"/>
  <sheetViews>
    <sheetView topLeftCell="A9" zoomScale="64" zoomScaleNormal="64" workbookViewId="0">
      <selection activeCell="F1" sqref="F1"/>
    </sheetView>
  </sheetViews>
  <sheetFormatPr defaultColWidth="9.1796875" defaultRowHeight="13" x14ac:dyDescent="0.35"/>
  <cols>
    <col min="1" max="1" width="9.1796875" style="45"/>
    <col min="2" max="2" width="46.81640625" style="45" customWidth="1"/>
    <col min="3" max="3" width="19.54296875" style="45" customWidth="1"/>
    <col min="4" max="4" width="9.1796875" style="45"/>
    <col min="5" max="5" width="13.1796875" style="45" customWidth="1"/>
    <col min="6" max="6" width="42.7265625" style="45" customWidth="1"/>
    <col min="7" max="7" width="20.26953125" style="45" customWidth="1"/>
    <col min="8" max="8" width="18.54296875" style="45" customWidth="1"/>
    <col min="9" max="9" width="12.54296875" style="45" customWidth="1"/>
    <col min="10" max="10" width="18.26953125" style="45" customWidth="1"/>
    <col min="11" max="12" width="9.1796875" style="45"/>
    <col min="13" max="13" width="18.1796875" style="45" customWidth="1"/>
    <col min="14" max="15" width="9.1796875" style="45"/>
    <col min="16" max="16" width="9.81640625" style="45" bestFit="1" customWidth="1"/>
    <col min="17" max="16384" width="9.1796875" style="45"/>
  </cols>
  <sheetData>
    <row r="1" spans="1:16" x14ac:dyDescent="0.35">
      <c r="F1" s="334" t="s">
        <v>1304</v>
      </c>
      <c r="O1" s="1034"/>
      <c r="P1" s="1034"/>
    </row>
    <row r="2" spans="1:16" x14ac:dyDescent="0.35">
      <c r="A2" s="1035" t="s">
        <v>591</v>
      </c>
      <c r="B2" s="1035"/>
      <c r="C2" s="1035"/>
      <c r="D2" s="1035"/>
      <c r="E2" s="1035"/>
      <c r="F2" s="1035"/>
      <c r="O2" s="333"/>
      <c r="P2" s="333"/>
    </row>
    <row r="3" spans="1:16" ht="39" x14ac:dyDescent="0.35">
      <c r="B3" s="538" t="s">
        <v>194</v>
      </c>
      <c r="C3" s="538" t="s">
        <v>1109</v>
      </c>
      <c r="G3" s="1036"/>
      <c r="H3" s="1036"/>
      <c r="I3" s="1036"/>
      <c r="J3" s="1036"/>
      <c r="O3" s="333"/>
      <c r="P3" s="333"/>
    </row>
    <row r="4" spans="1:16" x14ac:dyDescent="0.35">
      <c r="B4" s="39" t="s">
        <v>495</v>
      </c>
      <c r="C4" s="539">
        <f>E15+E25+J35+C38</f>
        <v>399368</v>
      </c>
      <c r="O4" s="333"/>
      <c r="P4" s="333"/>
    </row>
    <row r="5" spans="1:16" ht="54.75" customHeight="1" x14ac:dyDescent="0.35">
      <c r="B5" s="1037" t="s">
        <v>592</v>
      </c>
      <c r="C5" s="1037"/>
      <c r="D5" s="1037"/>
      <c r="E5" s="1037"/>
      <c r="F5" s="1037"/>
      <c r="G5" s="1031"/>
      <c r="H5" s="1031"/>
      <c r="I5" s="1031"/>
      <c r="J5" s="1031"/>
      <c r="O5" s="333"/>
      <c r="P5" s="333"/>
    </row>
    <row r="6" spans="1:16" x14ac:dyDescent="0.35">
      <c r="G6" s="507"/>
      <c r="H6" s="507"/>
      <c r="I6" s="507"/>
      <c r="J6" s="507"/>
      <c r="O6" s="333"/>
      <c r="P6" s="333"/>
    </row>
    <row r="7" spans="1:16" x14ac:dyDescent="0.35">
      <c r="A7" s="326"/>
      <c r="B7" s="1032" t="s">
        <v>1060</v>
      </c>
      <c r="C7" s="1032"/>
      <c r="D7" s="1032"/>
      <c r="E7" s="1032"/>
      <c r="F7" s="326"/>
      <c r="G7" s="507"/>
      <c r="H7" s="507"/>
      <c r="I7" s="507"/>
      <c r="J7" s="507"/>
    </row>
    <row r="8" spans="1:16" ht="26" x14ac:dyDescent="0.35">
      <c r="A8" s="343" t="s">
        <v>257</v>
      </c>
      <c r="B8" s="344" t="s">
        <v>2</v>
      </c>
      <c r="C8" s="345" t="s">
        <v>578</v>
      </c>
      <c r="D8" s="344" t="s">
        <v>595</v>
      </c>
      <c r="E8" s="344" t="s">
        <v>596</v>
      </c>
      <c r="F8" s="344" t="s">
        <v>583</v>
      </c>
      <c r="G8" s="540"/>
      <c r="H8" s="507"/>
      <c r="I8" s="507"/>
      <c r="J8" s="507"/>
    </row>
    <row r="9" spans="1:16" ht="26" x14ac:dyDescent="0.35">
      <c r="A9" s="340">
        <v>1</v>
      </c>
      <c r="B9" s="331" t="s">
        <v>584</v>
      </c>
      <c r="C9" s="342">
        <v>25000</v>
      </c>
      <c r="D9" s="335">
        <v>1.5</v>
      </c>
      <c r="E9" s="335">
        <f>C9*D9</f>
        <v>37500</v>
      </c>
      <c r="F9" s="331" t="s">
        <v>819</v>
      </c>
      <c r="G9" s="1030"/>
      <c r="H9" s="1031"/>
      <c r="I9" s="1031"/>
      <c r="J9" s="1031"/>
      <c r="K9" s="44"/>
      <c r="L9" s="44"/>
      <c r="M9" s="44"/>
    </row>
    <row r="10" spans="1:16" ht="26" x14ac:dyDescent="0.35">
      <c r="A10" s="340">
        <v>2</v>
      </c>
      <c r="B10" s="331" t="s">
        <v>585</v>
      </c>
      <c r="C10" s="342">
        <v>7500</v>
      </c>
      <c r="D10" s="335">
        <v>0.4</v>
      </c>
      <c r="E10" s="335">
        <f t="shared" ref="E10:E13" si="0">C10*D10</f>
        <v>3000</v>
      </c>
      <c r="F10" s="331" t="s">
        <v>598</v>
      </c>
      <c r="G10" s="98"/>
    </row>
    <row r="11" spans="1:16" ht="39" x14ac:dyDescent="0.35">
      <c r="A11" s="340">
        <v>3</v>
      </c>
      <c r="B11" s="556" t="s">
        <v>826</v>
      </c>
      <c r="C11" s="342">
        <v>8125</v>
      </c>
      <c r="D11" s="335">
        <v>3</v>
      </c>
      <c r="E11" s="335">
        <f t="shared" si="0"/>
        <v>24375</v>
      </c>
      <c r="F11" s="331" t="s">
        <v>599</v>
      </c>
      <c r="G11" s="98"/>
    </row>
    <row r="12" spans="1:16" ht="39" x14ac:dyDescent="0.35">
      <c r="A12" s="340">
        <v>4</v>
      </c>
      <c r="B12" s="749" t="s">
        <v>1054</v>
      </c>
      <c r="C12" s="746">
        <f>C9*65%*30%</f>
        <v>4875</v>
      </c>
      <c r="D12" s="747">
        <v>2</v>
      </c>
      <c r="E12" s="335">
        <f t="shared" si="0"/>
        <v>9750</v>
      </c>
      <c r="F12" s="331" t="s">
        <v>1055</v>
      </c>
      <c r="G12" s="98"/>
    </row>
    <row r="13" spans="1:16" ht="26" x14ac:dyDescent="0.35">
      <c r="A13" s="340">
        <v>5</v>
      </c>
      <c r="B13" s="749" t="s">
        <v>1056</v>
      </c>
      <c r="C13" s="746">
        <f>C11*95%</f>
        <v>7718.75</v>
      </c>
      <c r="D13" s="747">
        <v>0.4</v>
      </c>
      <c r="E13" s="335">
        <f t="shared" si="0"/>
        <v>3087.5</v>
      </c>
      <c r="F13" s="556" t="s">
        <v>1057</v>
      </c>
      <c r="G13" s="98"/>
    </row>
    <row r="14" spans="1:16" ht="52" x14ac:dyDescent="0.35">
      <c r="A14" s="340" t="s">
        <v>1062</v>
      </c>
      <c r="B14" s="749" t="s">
        <v>1058</v>
      </c>
      <c r="C14" s="746">
        <f>C9*65%*95%*6%*90%</f>
        <v>833.625</v>
      </c>
      <c r="D14" s="747">
        <v>5</v>
      </c>
      <c r="E14" s="335">
        <f>C14*D14</f>
        <v>4168.125</v>
      </c>
      <c r="F14" s="331" t="s">
        <v>1059</v>
      </c>
      <c r="G14" s="98"/>
    </row>
    <row r="15" spans="1:16" x14ac:dyDescent="0.35">
      <c r="A15" s="340" t="s">
        <v>360</v>
      </c>
      <c r="B15" s="331" t="s">
        <v>530</v>
      </c>
      <c r="C15" s="335" t="s">
        <v>360</v>
      </c>
      <c r="D15" s="335" t="s">
        <v>360</v>
      </c>
      <c r="E15" s="337">
        <f>ROUND(SUM(E9:E14),0)</f>
        <v>81881</v>
      </c>
      <c r="F15" s="332" t="s">
        <v>360</v>
      </c>
      <c r="G15" s="98"/>
    </row>
    <row r="16" spans="1:16" ht="41.25" customHeight="1" x14ac:dyDescent="0.35">
      <c r="A16" s="1038" t="s">
        <v>1061</v>
      </c>
      <c r="B16" s="1038"/>
      <c r="C16" s="1038"/>
      <c r="D16" s="1038"/>
      <c r="E16" s="1038"/>
      <c r="F16" s="1038"/>
      <c r="G16" s="98"/>
    </row>
    <row r="17" spans="1:10" x14ac:dyDescent="0.35">
      <c r="A17" s="341"/>
      <c r="B17" s="91"/>
      <c r="C17" s="326"/>
      <c r="D17" s="326"/>
      <c r="E17" s="326"/>
      <c r="F17" s="326"/>
      <c r="G17" s="98"/>
    </row>
    <row r="18" spans="1:10" x14ac:dyDescent="0.35">
      <c r="A18" s="341"/>
      <c r="B18" s="1032" t="s">
        <v>586</v>
      </c>
      <c r="C18" s="1032"/>
      <c r="D18" s="1032"/>
      <c r="E18" s="1032"/>
      <c r="F18" s="326"/>
      <c r="G18" s="98"/>
    </row>
    <row r="19" spans="1:10" ht="26" x14ac:dyDescent="0.35">
      <c r="A19" s="343" t="s">
        <v>257</v>
      </c>
      <c r="B19" s="344" t="s">
        <v>597</v>
      </c>
      <c r="C19" s="345" t="s">
        <v>578</v>
      </c>
      <c r="D19" s="344" t="s">
        <v>595</v>
      </c>
      <c r="E19" s="344" t="s">
        <v>596</v>
      </c>
      <c r="F19" s="344" t="s">
        <v>583</v>
      </c>
      <c r="G19" s="98"/>
    </row>
    <row r="20" spans="1:10" ht="39" x14ac:dyDescent="0.35">
      <c r="A20" s="340">
        <v>1</v>
      </c>
      <c r="B20" s="556" t="s">
        <v>587</v>
      </c>
      <c r="C20" s="557">
        <v>25000</v>
      </c>
      <c r="D20" s="558">
        <v>2.5499999999999998</v>
      </c>
      <c r="E20" s="558">
        <f>C20*D20</f>
        <v>63749.999999999993</v>
      </c>
      <c r="F20" s="556" t="s">
        <v>588</v>
      </c>
      <c r="G20" s="98"/>
    </row>
    <row r="21" spans="1:10" ht="26" x14ac:dyDescent="0.35">
      <c r="A21" s="340">
        <v>2</v>
      </c>
      <c r="B21" s="748" t="s">
        <v>589</v>
      </c>
      <c r="C21" s="557">
        <v>7500</v>
      </c>
      <c r="D21" s="558">
        <v>2.2999999999999998</v>
      </c>
      <c r="E21" s="558">
        <f t="shared" ref="E21:E24" si="1">C21*D21</f>
        <v>17250</v>
      </c>
      <c r="F21" s="556" t="s">
        <v>598</v>
      </c>
      <c r="G21" s="98"/>
    </row>
    <row r="22" spans="1:10" ht="26" x14ac:dyDescent="0.35">
      <c r="A22" s="340">
        <v>3</v>
      </c>
      <c r="B22" s="556" t="s">
        <v>590</v>
      </c>
      <c r="C22" s="557">
        <v>8125</v>
      </c>
      <c r="D22" s="558">
        <v>3.3</v>
      </c>
      <c r="E22" s="558">
        <f t="shared" si="1"/>
        <v>26812.5</v>
      </c>
      <c r="F22" s="556" t="s">
        <v>600</v>
      </c>
      <c r="G22" s="98"/>
    </row>
    <row r="23" spans="1:10" ht="26" x14ac:dyDescent="0.35">
      <c r="A23" s="340">
        <v>4</v>
      </c>
      <c r="B23" s="556" t="s">
        <v>820</v>
      </c>
      <c r="C23" s="557">
        <v>7719</v>
      </c>
      <c r="D23" s="558">
        <v>3.3</v>
      </c>
      <c r="E23" s="558">
        <f t="shared" si="1"/>
        <v>25472.699999999997</v>
      </c>
      <c r="F23" s="556" t="s">
        <v>821</v>
      </c>
      <c r="G23" s="98"/>
    </row>
    <row r="24" spans="1:10" ht="26" x14ac:dyDescent="0.35">
      <c r="A24" s="340">
        <v>5</v>
      </c>
      <c r="B24" s="556" t="s">
        <v>822</v>
      </c>
      <c r="C24" s="557">
        <v>7719</v>
      </c>
      <c r="D24" s="558">
        <v>2.2999999999999998</v>
      </c>
      <c r="E24" s="558">
        <f t="shared" si="1"/>
        <v>17753.699999999997</v>
      </c>
      <c r="F24" s="556" t="s">
        <v>827</v>
      </c>
      <c r="G24" s="98"/>
    </row>
    <row r="25" spans="1:10" x14ac:dyDescent="0.35">
      <c r="A25" s="330" t="s">
        <v>360</v>
      </c>
      <c r="B25" s="328" t="s">
        <v>530</v>
      </c>
      <c r="C25" s="336" t="s">
        <v>360</v>
      </c>
      <c r="D25" s="336" t="s">
        <v>360</v>
      </c>
      <c r="E25" s="338">
        <f>ROUND(SUM(E20:E24),0)</f>
        <v>151039</v>
      </c>
      <c r="F25" s="329" t="s">
        <v>360</v>
      </c>
      <c r="G25" s="98"/>
    </row>
    <row r="26" spans="1:10" x14ac:dyDescent="0.35">
      <c r="A26" s="326"/>
      <c r="B26" s="91"/>
      <c r="C26" s="326"/>
      <c r="D26" s="326"/>
      <c r="E26" s="326"/>
      <c r="F26" s="326"/>
    </row>
    <row r="27" spans="1:10" x14ac:dyDescent="0.35">
      <c r="A27" s="326"/>
      <c r="C27" s="326"/>
      <c r="D27" s="326"/>
      <c r="E27" s="326"/>
      <c r="F27" s="326"/>
    </row>
    <row r="28" spans="1:10" x14ac:dyDescent="0.3">
      <c r="A28" s="326"/>
      <c r="B28" s="327" t="s">
        <v>577</v>
      </c>
    </row>
    <row r="29" spans="1:10" ht="39" x14ac:dyDescent="0.35">
      <c r="A29" s="48" t="s">
        <v>257</v>
      </c>
      <c r="B29" s="541" t="s">
        <v>593</v>
      </c>
      <c r="C29" s="541" t="s">
        <v>594</v>
      </c>
      <c r="D29" s="541" t="s">
        <v>449</v>
      </c>
      <c r="E29" s="541" t="s">
        <v>450</v>
      </c>
      <c r="F29" s="541" t="s">
        <v>604</v>
      </c>
      <c r="G29" s="542" t="s">
        <v>603</v>
      </c>
      <c r="H29" s="541" t="s">
        <v>828</v>
      </c>
      <c r="I29" s="541" t="s">
        <v>601</v>
      </c>
      <c r="J29" s="541" t="s">
        <v>602</v>
      </c>
    </row>
    <row r="30" spans="1:10" x14ac:dyDescent="0.35">
      <c r="A30" s="346">
        <v>1</v>
      </c>
      <c r="B30" s="543" t="s">
        <v>460</v>
      </c>
      <c r="C30" s="544">
        <v>20.6</v>
      </c>
      <c r="D30" s="545" t="s">
        <v>462</v>
      </c>
      <c r="E30" s="546">
        <v>10</v>
      </c>
      <c r="F30" s="547">
        <v>0.3</v>
      </c>
      <c r="G30" s="546">
        <v>2344</v>
      </c>
      <c r="H30" s="548">
        <f>G30*0.2359</f>
        <v>552.94960000000003</v>
      </c>
      <c r="I30" s="548">
        <f>(G30+H30)*F30</f>
        <v>869.08488</v>
      </c>
      <c r="J30" s="549">
        <f>I30*12</f>
        <v>10429.01856</v>
      </c>
    </row>
    <row r="31" spans="1:10" x14ac:dyDescent="0.35">
      <c r="A31" s="346">
        <v>2</v>
      </c>
      <c r="B31" s="550" t="s">
        <v>579</v>
      </c>
      <c r="C31" s="544">
        <v>20.6</v>
      </c>
      <c r="D31" s="545" t="s">
        <v>580</v>
      </c>
      <c r="E31" s="546">
        <v>10</v>
      </c>
      <c r="F31" s="547">
        <v>1</v>
      </c>
      <c r="G31" s="546">
        <v>2344</v>
      </c>
      <c r="H31" s="548">
        <f t="shared" ref="H31:H32" si="2">G31*0.2359</f>
        <v>552.94960000000003</v>
      </c>
      <c r="I31" s="548">
        <f>(G31+H31)*F31</f>
        <v>2896.9495999999999</v>
      </c>
      <c r="J31" s="549">
        <f t="shared" ref="J31:J32" si="3">I31*12</f>
        <v>34763.395199999999</v>
      </c>
    </row>
    <row r="32" spans="1:10" x14ac:dyDescent="0.35">
      <c r="A32" s="346">
        <v>3</v>
      </c>
      <c r="B32" s="550" t="s">
        <v>579</v>
      </c>
      <c r="C32" s="544">
        <v>20.6</v>
      </c>
      <c r="D32" s="545" t="s">
        <v>581</v>
      </c>
      <c r="E32" s="546">
        <v>10</v>
      </c>
      <c r="F32" s="547">
        <v>1</v>
      </c>
      <c r="G32" s="546">
        <v>2344</v>
      </c>
      <c r="H32" s="548">
        <f t="shared" si="2"/>
        <v>552.94960000000003</v>
      </c>
      <c r="I32" s="548">
        <f>(G32+H32)*F32</f>
        <v>2896.9495999999999</v>
      </c>
      <c r="J32" s="549">
        <f t="shared" si="3"/>
        <v>34763.395199999999</v>
      </c>
    </row>
    <row r="33" spans="1:11" x14ac:dyDescent="0.35">
      <c r="A33" s="346">
        <v>4</v>
      </c>
      <c r="B33" s="543" t="s">
        <v>823</v>
      </c>
      <c r="C33" s="544">
        <v>20.6</v>
      </c>
      <c r="D33" s="545" t="s">
        <v>459</v>
      </c>
      <c r="E33" s="546">
        <v>11</v>
      </c>
      <c r="F33" s="547">
        <v>0.2</v>
      </c>
      <c r="G33" s="546">
        <v>2927</v>
      </c>
      <c r="H33" s="548">
        <f>G33*0.2359</f>
        <v>690.47929999999997</v>
      </c>
      <c r="I33" s="548">
        <f>(G33+H33)*F33</f>
        <v>723.49585999999999</v>
      </c>
      <c r="J33" s="549">
        <f>I33*12</f>
        <v>8681.9503199999999</v>
      </c>
    </row>
    <row r="34" spans="1:11" x14ac:dyDescent="0.35">
      <c r="A34" s="559">
        <v>5</v>
      </c>
      <c r="B34" s="560" t="s">
        <v>824</v>
      </c>
      <c r="C34" s="561">
        <v>20.6</v>
      </c>
      <c r="D34" s="547" t="s">
        <v>462</v>
      </c>
      <c r="E34" s="546">
        <v>10</v>
      </c>
      <c r="F34" s="547">
        <v>0.8</v>
      </c>
      <c r="G34" s="546">
        <v>2344</v>
      </c>
      <c r="H34" s="546">
        <f>G34*0.2359</f>
        <v>552.94960000000003</v>
      </c>
      <c r="I34" s="546">
        <f>(G34+H34)*F34</f>
        <v>2317.5596799999998</v>
      </c>
      <c r="J34" s="562">
        <f>I34*12</f>
        <v>27810.716159999996</v>
      </c>
      <c r="K34" s="98"/>
    </row>
    <row r="35" spans="1:11" x14ac:dyDescent="0.3">
      <c r="B35" s="551"/>
      <c r="C35" s="551"/>
      <c r="D35" s="551"/>
      <c r="E35" s="552" t="s">
        <v>582</v>
      </c>
      <c r="F35" s="553">
        <f>SUM(F30:F34)</f>
        <v>3.3</v>
      </c>
      <c r="G35" s="554">
        <f>SUM(G30:G34)</f>
        <v>12303</v>
      </c>
      <c r="H35" s="554">
        <f>SUM(H30:H34)</f>
        <v>2902.2777000000001</v>
      </c>
      <c r="I35" s="554">
        <f>SUM(I30:I34)</f>
        <v>9704.0396199999996</v>
      </c>
      <c r="J35" s="339">
        <f>ROUND(SUM(J30:J34),0)</f>
        <v>116448</v>
      </c>
    </row>
    <row r="36" spans="1:11" x14ac:dyDescent="0.35">
      <c r="B36" s="563" t="s">
        <v>829</v>
      </c>
    </row>
    <row r="37" spans="1:11" x14ac:dyDescent="0.35">
      <c r="A37" s="541" t="s">
        <v>257</v>
      </c>
      <c r="B37" s="541" t="s">
        <v>2</v>
      </c>
      <c r="C37" s="541" t="s">
        <v>605</v>
      </c>
    </row>
    <row r="38" spans="1:11" x14ac:dyDescent="0.35">
      <c r="A38" s="346">
        <v>1</v>
      </c>
      <c r="B38" s="564" t="s">
        <v>825</v>
      </c>
      <c r="C38" s="688">
        <v>50000</v>
      </c>
      <c r="E38" s="98"/>
    </row>
    <row r="39" spans="1:11" x14ac:dyDescent="0.35">
      <c r="A39" s="1033" t="s">
        <v>1063</v>
      </c>
      <c r="B39" s="1033"/>
      <c r="C39" s="1033"/>
    </row>
    <row r="40" spans="1:11" ht="14.5" x14ac:dyDescent="0.35">
      <c r="B40" s="555"/>
      <c r="C40" s="555"/>
      <c r="D40" s="555"/>
      <c r="E40" s="555"/>
      <c r="F40" s="555"/>
    </row>
    <row r="41" spans="1:11" ht="14.5" x14ac:dyDescent="0.35">
      <c r="B41" s="555"/>
      <c r="C41" s="555"/>
      <c r="D41" s="555"/>
      <c r="E41" s="555"/>
      <c r="F41" s="555"/>
    </row>
    <row r="42" spans="1:11" ht="14.5" x14ac:dyDescent="0.35">
      <c r="B42" s="555"/>
      <c r="C42" s="555"/>
      <c r="D42" s="555"/>
      <c r="E42" s="555"/>
      <c r="F42" s="555"/>
    </row>
    <row r="43" spans="1:11" ht="14.5" x14ac:dyDescent="0.35">
      <c r="B43" s="555"/>
      <c r="C43" s="555"/>
      <c r="D43" s="555"/>
      <c r="E43" s="555"/>
      <c r="F43" s="555"/>
    </row>
  </sheetData>
  <mergeCells count="10">
    <mergeCell ref="G9:J9"/>
    <mergeCell ref="B18:E18"/>
    <mergeCell ref="A39:C39"/>
    <mergeCell ref="O1:P1"/>
    <mergeCell ref="A2:F2"/>
    <mergeCell ref="G3:J3"/>
    <mergeCell ref="B5:F5"/>
    <mergeCell ref="G5:J5"/>
    <mergeCell ref="B7:E7"/>
    <mergeCell ref="A16:F16"/>
  </mergeCells>
  <pageMargins left="0.7" right="0.7" top="0.75" bottom="0.75"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1FBC8-5C7F-4E11-8481-E1E48D9AC468}">
  <sheetPr>
    <tabColor theme="2" tint="-0.249977111117893"/>
  </sheetPr>
  <dimension ref="A1:B6"/>
  <sheetViews>
    <sheetView zoomScale="86" zoomScaleNormal="86" workbookViewId="0">
      <selection activeCell="A6" sqref="A6:B6"/>
    </sheetView>
  </sheetViews>
  <sheetFormatPr defaultColWidth="9.1796875" defaultRowHeight="13" x14ac:dyDescent="0.3"/>
  <cols>
    <col min="1" max="1" width="42.54296875" style="32" customWidth="1"/>
    <col min="2" max="2" width="55.7265625" style="32" customWidth="1"/>
    <col min="3" max="16384" width="9.1796875" style="32"/>
  </cols>
  <sheetData>
    <row r="1" spans="1:2" x14ac:dyDescent="0.3">
      <c r="B1" s="349" t="s">
        <v>1305</v>
      </c>
    </row>
    <row r="2" spans="1:2" x14ac:dyDescent="0.3">
      <c r="A2" s="999" t="s">
        <v>702</v>
      </c>
      <c r="B2" s="999"/>
    </row>
    <row r="3" spans="1:2" ht="12.75" customHeight="1" x14ac:dyDescent="0.3">
      <c r="A3" s="1000" t="s">
        <v>2</v>
      </c>
      <c r="B3" s="353" t="s">
        <v>1105</v>
      </c>
    </row>
    <row r="4" spans="1:2" x14ac:dyDescent="0.3">
      <c r="A4" s="1000"/>
      <c r="B4" s="462" t="s">
        <v>197</v>
      </c>
    </row>
    <row r="5" spans="1:2" ht="32.25" customHeight="1" x14ac:dyDescent="0.3">
      <c r="A5" s="350" t="s">
        <v>702</v>
      </c>
      <c r="B5" s="423">
        <v>45000</v>
      </c>
    </row>
    <row r="6" spans="1:2" ht="27" customHeight="1" x14ac:dyDescent="0.3">
      <c r="A6" s="995" t="s">
        <v>1302</v>
      </c>
      <c r="B6" s="995"/>
    </row>
  </sheetData>
  <mergeCells count="3">
    <mergeCell ref="A2:B2"/>
    <mergeCell ref="A3:A4"/>
    <mergeCell ref="A6:B6"/>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8174A-DDAD-4B37-8899-4B875FB6A7C1}">
  <sheetPr>
    <tabColor theme="9" tint="0.79998168889431442"/>
  </sheetPr>
  <dimension ref="A1:P24"/>
  <sheetViews>
    <sheetView zoomScale="66" zoomScaleNormal="66" workbookViewId="0">
      <selection activeCell="H1" sqref="H1"/>
    </sheetView>
  </sheetViews>
  <sheetFormatPr defaultColWidth="9.1796875" defaultRowHeight="13" x14ac:dyDescent="0.3"/>
  <cols>
    <col min="1" max="1" width="26.1796875" style="32" customWidth="1"/>
    <col min="2" max="2" width="43.7265625" style="32" customWidth="1"/>
    <col min="3" max="3" width="31" style="32" customWidth="1"/>
    <col min="4" max="4" width="27.54296875" style="32" customWidth="1"/>
    <col min="5" max="5" width="15.81640625" style="32" customWidth="1"/>
    <col min="6" max="6" width="20.453125" style="32" customWidth="1"/>
    <col min="7" max="7" width="10.453125" style="32" customWidth="1"/>
    <col min="8" max="8" width="20.1796875" style="32" customWidth="1"/>
    <col min="9" max="9" width="9.1796875" style="32"/>
    <col min="10" max="10" width="90.453125" style="32" customWidth="1"/>
    <col min="11" max="11" width="52.81640625" style="32" customWidth="1"/>
    <col min="12" max="12" width="13.453125" style="32" customWidth="1"/>
    <col min="13" max="13" width="11" style="32" customWidth="1"/>
    <col min="14" max="14" width="15.54296875" style="32" customWidth="1"/>
    <col min="15" max="15" width="37" style="32" customWidth="1"/>
    <col min="16" max="16" width="13.81640625" style="32" customWidth="1"/>
    <col min="17" max="17" width="65.453125" style="32" customWidth="1"/>
    <col min="18" max="21" width="12.54296875" style="32" customWidth="1"/>
    <col min="22" max="22" width="13.1796875" style="32" customWidth="1"/>
    <col min="23" max="16384" width="9.1796875" style="32"/>
  </cols>
  <sheetData>
    <row r="1" spans="1:10" x14ac:dyDescent="0.3">
      <c r="H1" s="33" t="s">
        <v>1306</v>
      </c>
    </row>
    <row r="2" spans="1:10" ht="39" customHeight="1" x14ac:dyDescent="0.3">
      <c r="A2" s="1047" t="s">
        <v>868</v>
      </c>
      <c r="B2" s="1047"/>
      <c r="C2" s="1047"/>
      <c r="D2" s="1047"/>
      <c r="E2" s="1047"/>
      <c r="F2" s="1047"/>
      <c r="G2" s="1047"/>
      <c r="H2" s="1047"/>
    </row>
    <row r="3" spans="1:10" ht="55.5" customHeight="1" x14ac:dyDescent="0.3">
      <c r="A3" s="570" t="s">
        <v>221</v>
      </c>
      <c r="B3" s="35" t="s">
        <v>1228</v>
      </c>
      <c r="C3" s="1054"/>
      <c r="D3" s="36"/>
      <c r="E3" s="36"/>
      <c r="F3" s="37"/>
      <c r="G3" s="37"/>
      <c r="H3" s="38"/>
    </row>
    <row r="4" spans="1:10" ht="39" x14ac:dyDescent="0.3">
      <c r="A4" s="523" t="s">
        <v>234</v>
      </c>
      <c r="B4" s="40">
        <f>(H9+H10+H11)-C15</f>
        <v>38937.872000000003</v>
      </c>
      <c r="C4" s="1054"/>
      <c r="D4" s="42"/>
      <c r="E4" s="43"/>
      <c r="F4" s="44"/>
      <c r="G4" s="37"/>
      <c r="H4" s="38"/>
    </row>
    <row r="5" spans="1:10" x14ac:dyDescent="0.3">
      <c r="A5" s="45"/>
      <c r="B5" s="37"/>
      <c r="C5" s="46"/>
      <c r="D5" s="46"/>
      <c r="E5" s="37"/>
      <c r="F5" s="37"/>
      <c r="G5" s="37"/>
      <c r="H5" s="38"/>
    </row>
    <row r="6" spans="1:10" x14ac:dyDescent="0.3">
      <c r="A6" s="45"/>
      <c r="B6" s="37"/>
      <c r="C6" s="46"/>
      <c r="D6" s="46"/>
      <c r="E6" s="37"/>
      <c r="F6" s="37"/>
      <c r="G6" s="37"/>
      <c r="H6" s="38"/>
    </row>
    <row r="7" spans="1:10" x14ac:dyDescent="0.3">
      <c r="A7" s="1048" t="s">
        <v>235</v>
      </c>
      <c r="B7" s="1050" t="s">
        <v>236</v>
      </c>
      <c r="C7" s="1048" t="s">
        <v>237</v>
      </c>
      <c r="D7" s="1048" t="s">
        <v>238</v>
      </c>
      <c r="E7" s="1052" t="s">
        <v>239</v>
      </c>
      <c r="F7" s="1052"/>
      <c r="G7" s="1052"/>
      <c r="H7" s="1053" t="s">
        <v>240</v>
      </c>
    </row>
    <row r="8" spans="1:10" x14ac:dyDescent="0.3">
      <c r="A8" s="1049"/>
      <c r="B8" s="1051"/>
      <c r="C8" s="1049"/>
      <c r="D8" s="1049"/>
      <c r="E8" s="47" t="s">
        <v>241</v>
      </c>
      <c r="F8" s="47" t="s">
        <v>242</v>
      </c>
      <c r="G8" s="47" t="s">
        <v>243</v>
      </c>
      <c r="H8" s="1053"/>
    </row>
    <row r="9" spans="1:10" ht="39" x14ac:dyDescent="0.3">
      <c r="A9" s="48" t="s">
        <v>244</v>
      </c>
      <c r="B9" s="49" t="s">
        <v>245</v>
      </c>
      <c r="C9" s="50">
        <v>3.1820800000000005</v>
      </c>
      <c r="D9" s="51">
        <v>2</v>
      </c>
      <c r="E9" s="52">
        <v>1248</v>
      </c>
      <c r="F9" s="52">
        <v>0</v>
      </c>
      <c r="G9" s="52">
        <v>0</v>
      </c>
      <c r="H9" s="53">
        <f>ROUND(C9*D9*E9,0)</f>
        <v>7942</v>
      </c>
      <c r="J9" s="591" t="s">
        <v>246</v>
      </c>
    </row>
    <row r="10" spans="1:10" ht="54.75" customHeight="1" x14ac:dyDescent="0.3">
      <c r="A10" s="48" t="s">
        <v>247</v>
      </c>
      <c r="B10" s="49" t="s">
        <v>248</v>
      </c>
      <c r="C10" s="50">
        <v>22.636429999999997</v>
      </c>
      <c r="D10" s="51">
        <v>2</v>
      </c>
      <c r="E10" s="54">
        <f>E9*0.4</f>
        <v>499.20000000000005</v>
      </c>
      <c r="F10" s="52">
        <v>0</v>
      </c>
      <c r="G10" s="52">
        <v>0</v>
      </c>
      <c r="H10" s="53">
        <f>ROUND(C10*D10*E10,0)</f>
        <v>22600</v>
      </c>
      <c r="J10" s="1039" t="s">
        <v>844</v>
      </c>
    </row>
    <row r="11" spans="1:10" ht="26" x14ac:dyDescent="0.3">
      <c r="A11" s="48" t="s">
        <v>249</v>
      </c>
      <c r="B11" s="49" t="s">
        <v>250</v>
      </c>
      <c r="C11" s="50">
        <v>22.636429999999997</v>
      </c>
      <c r="D11" s="51">
        <v>2</v>
      </c>
      <c r="E11" s="54">
        <f>E9*0.6</f>
        <v>748.8</v>
      </c>
      <c r="F11" s="52">
        <v>0</v>
      </c>
      <c r="G11" s="52">
        <v>0</v>
      </c>
      <c r="H11" s="53">
        <f>ROUND(C11*D11*E11,0)</f>
        <v>33900</v>
      </c>
      <c r="J11" s="1040"/>
    </row>
    <row r="12" spans="1:10" x14ac:dyDescent="0.3">
      <c r="A12" s="592"/>
      <c r="B12" s="592"/>
      <c r="C12" s="592"/>
      <c r="D12" s="55"/>
      <c r="E12" s="56"/>
      <c r="F12" s="56"/>
      <c r="G12" s="56"/>
      <c r="H12" s="57"/>
    </row>
    <row r="13" spans="1:10" x14ac:dyDescent="0.3">
      <c r="A13" s="592"/>
      <c r="B13" s="592"/>
      <c r="C13" s="592"/>
      <c r="D13" s="58"/>
      <c r="E13" s="56"/>
      <c r="F13" s="56"/>
      <c r="G13" s="56"/>
      <c r="H13" s="59"/>
    </row>
    <row r="14" spans="1:10" x14ac:dyDescent="0.3">
      <c r="A14" s="60">
        <v>16011</v>
      </c>
      <c r="B14" s="61" t="s">
        <v>251</v>
      </c>
      <c r="C14" s="62">
        <v>17.03</v>
      </c>
    </row>
    <row r="15" spans="1:10" ht="65.25" customHeight="1" x14ac:dyDescent="0.3">
      <c r="B15" s="603" t="s">
        <v>252</v>
      </c>
      <c r="C15" s="63">
        <f>C14*E11*2</f>
        <v>25504.128000000001</v>
      </c>
      <c r="D15" s="94"/>
      <c r="E15" s="593"/>
    </row>
    <row r="16" spans="1:10" x14ac:dyDescent="0.3">
      <c r="D16" s="364"/>
    </row>
    <row r="17" spans="2:16" hidden="1" x14ac:dyDescent="0.3">
      <c r="D17" s="364"/>
      <c r="J17" s="594" t="s">
        <v>253</v>
      </c>
    </row>
    <row r="18" spans="2:16" hidden="1" x14ac:dyDescent="0.3">
      <c r="D18" s="364"/>
      <c r="J18" s="595" t="e">
        <f>#REF!*H23*2</f>
        <v>#REF!</v>
      </c>
    </row>
    <row r="19" spans="2:16" hidden="1" x14ac:dyDescent="0.3">
      <c r="D19" s="364"/>
    </row>
    <row r="20" spans="2:16" hidden="1" x14ac:dyDescent="0.3">
      <c r="B20" s="596"/>
      <c r="C20" s="597"/>
      <c r="D20" s="598"/>
      <c r="E20" s="599"/>
      <c r="F20" s="599"/>
      <c r="G20" s="599"/>
      <c r="H20" s="599"/>
      <c r="I20" s="1041" t="s">
        <v>254</v>
      </c>
      <c r="J20" s="1042"/>
      <c r="K20" s="1043"/>
      <c r="L20" s="600"/>
      <c r="M20" s="600"/>
      <c r="N20" s="597"/>
      <c r="O20" s="600"/>
      <c r="P20" s="1044" t="s">
        <v>255</v>
      </c>
    </row>
    <row r="21" spans="2:16" ht="78" hidden="1" x14ac:dyDescent="0.3">
      <c r="B21" s="596" t="s">
        <v>256</v>
      </c>
      <c r="C21" s="597" t="s">
        <v>257</v>
      </c>
      <c r="D21" s="598" t="s">
        <v>258</v>
      </c>
      <c r="E21" s="598" t="s">
        <v>235</v>
      </c>
      <c r="F21" s="598" t="s">
        <v>259</v>
      </c>
      <c r="G21" s="598" t="s">
        <v>236</v>
      </c>
      <c r="H21" s="598" t="s">
        <v>260</v>
      </c>
      <c r="I21" s="598" t="s">
        <v>261</v>
      </c>
      <c r="J21" s="598" t="s">
        <v>262</v>
      </c>
      <c r="K21" s="598" t="s">
        <v>263</v>
      </c>
      <c r="L21" s="597" t="s">
        <v>264</v>
      </c>
      <c r="M21" s="597" t="s">
        <v>265</v>
      </c>
      <c r="N21" s="597" t="s">
        <v>266</v>
      </c>
      <c r="O21" s="597" t="s">
        <v>267</v>
      </c>
      <c r="P21" s="1045"/>
    </row>
    <row r="22" spans="2:16" hidden="1" x14ac:dyDescent="0.3">
      <c r="B22" s="597">
        <v>1</v>
      </c>
      <c r="C22" s="597">
        <v>2</v>
      </c>
      <c r="D22" s="598">
        <v>3</v>
      </c>
      <c r="E22" s="598">
        <v>4</v>
      </c>
      <c r="F22" s="598">
        <v>5</v>
      </c>
      <c r="G22" s="598">
        <v>6</v>
      </c>
      <c r="H22" s="598">
        <v>7</v>
      </c>
      <c r="I22" s="598">
        <v>8</v>
      </c>
      <c r="J22" s="598">
        <v>9</v>
      </c>
      <c r="K22" s="598">
        <v>10</v>
      </c>
      <c r="L22" s="597">
        <v>11</v>
      </c>
      <c r="M22" s="597">
        <v>12</v>
      </c>
      <c r="N22" s="597">
        <v>13</v>
      </c>
      <c r="O22" s="597">
        <v>14</v>
      </c>
      <c r="P22" s="1046"/>
    </row>
    <row r="23" spans="2:16" ht="52" hidden="1" x14ac:dyDescent="0.3">
      <c r="B23" s="235" t="s">
        <v>268</v>
      </c>
      <c r="C23" s="388">
        <v>677</v>
      </c>
      <c r="D23" s="567" t="s">
        <v>269</v>
      </c>
      <c r="E23" s="388" t="s">
        <v>270</v>
      </c>
      <c r="F23" s="388" t="s">
        <v>271</v>
      </c>
      <c r="G23" s="107" t="s">
        <v>251</v>
      </c>
      <c r="H23" s="601">
        <v>17.03</v>
      </c>
      <c r="I23" s="601" t="s">
        <v>272</v>
      </c>
      <c r="J23" s="601" t="s">
        <v>272</v>
      </c>
      <c r="K23" s="601" t="s">
        <v>273</v>
      </c>
      <c r="L23" s="601" t="s">
        <v>273</v>
      </c>
      <c r="M23" s="601" t="s">
        <v>273</v>
      </c>
      <c r="N23" s="601" t="s">
        <v>273</v>
      </c>
      <c r="O23" s="602" t="s">
        <v>273</v>
      </c>
      <c r="P23" s="388"/>
    </row>
    <row r="24" spans="2:16" ht="156" hidden="1" x14ac:dyDescent="0.3">
      <c r="B24" s="235" t="s">
        <v>274</v>
      </c>
      <c r="C24" s="388">
        <v>2627</v>
      </c>
      <c r="D24" s="567" t="s">
        <v>275</v>
      </c>
      <c r="E24" s="388">
        <v>42038</v>
      </c>
      <c r="F24" s="388" t="s">
        <v>273</v>
      </c>
      <c r="G24" s="107" t="s">
        <v>276</v>
      </c>
      <c r="H24" s="601">
        <v>14.45</v>
      </c>
      <c r="I24" s="601" t="s">
        <v>273</v>
      </c>
      <c r="J24" s="601" t="s">
        <v>273</v>
      </c>
      <c r="K24" s="601" t="s">
        <v>273</v>
      </c>
      <c r="L24" s="601" t="s">
        <v>273</v>
      </c>
      <c r="M24" s="601" t="s">
        <v>273</v>
      </c>
      <c r="N24" s="601" t="s">
        <v>273</v>
      </c>
      <c r="O24" s="602" t="s">
        <v>277</v>
      </c>
      <c r="P24" s="448">
        <v>1248</v>
      </c>
    </row>
  </sheetData>
  <mergeCells count="11">
    <mergeCell ref="J10:J11"/>
    <mergeCell ref="I20:K20"/>
    <mergeCell ref="P20:P22"/>
    <mergeCell ref="A2:H2"/>
    <mergeCell ref="A7:A8"/>
    <mergeCell ref="B7:B8"/>
    <mergeCell ref="C7:C8"/>
    <mergeCell ref="D7:D8"/>
    <mergeCell ref="E7:G7"/>
    <mergeCell ref="H7:H8"/>
    <mergeCell ref="C3:C4"/>
  </mergeCells>
  <conditionalFormatting sqref="B23:B24">
    <cfRule type="expression" dxfId="0" priority="1">
      <formula>B23=OFFSET(B23,-1,0)</formula>
    </cfRule>
  </conditionalFormatting>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11569-CE37-47D5-83DE-4C991D38296E}">
  <sheetPr>
    <tabColor theme="9" tint="0.79998168889431442"/>
  </sheetPr>
  <dimension ref="A1:E14"/>
  <sheetViews>
    <sheetView zoomScale="86" zoomScaleNormal="86" workbookViewId="0">
      <selection activeCell="E1" sqref="E1"/>
    </sheetView>
  </sheetViews>
  <sheetFormatPr defaultColWidth="9.1796875" defaultRowHeight="13" x14ac:dyDescent="0.3"/>
  <cols>
    <col min="1" max="1" width="4.81640625" style="32" customWidth="1"/>
    <col min="2" max="2" width="47.453125" style="32" customWidth="1"/>
    <col min="3" max="3" width="24.7265625" style="32" customWidth="1"/>
    <col min="4" max="4" width="28.1796875" style="32" customWidth="1"/>
    <col min="5" max="5" width="17.81640625" style="32" customWidth="1"/>
    <col min="6" max="16384" width="9.1796875" style="32"/>
  </cols>
  <sheetData>
    <row r="1" spans="1:5" x14ac:dyDescent="0.3">
      <c r="E1" s="32" t="s">
        <v>1307</v>
      </c>
    </row>
    <row r="2" spans="1:5" ht="15" customHeight="1" x14ac:dyDescent="0.3">
      <c r="A2" s="996" t="s">
        <v>33</v>
      </c>
      <c r="B2" s="996"/>
      <c r="C2" s="996"/>
      <c r="D2" s="996"/>
      <c r="E2" s="996"/>
    </row>
    <row r="3" spans="1:5" ht="39" x14ac:dyDescent="0.3">
      <c r="A3" s="353" t="s">
        <v>257</v>
      </c>
      <c r="B3" s="344" t="s">
        <v>494</v>
      </c>
      <c r="C3" s="344" t="s">
        <v>1082</v>
      </c>
      <c r="D3" s="344" t="s">
        <v>514</v>
      </c>
      <c r="E3" s="190" t="s">
        <v>194</v>
      </c>
    </row>
    <row r="4" spans="1:5" ht="39" x14ac:dyDescent="0.3">
      <c r="A4" s="231">
        <v>1</v>
      </c>
      <c r="B4" s="232" t="s">
        <v>504</v>
      </c>
      <c r="C4" s="233">
        <f t="shared" ref="C4:D4" si="0">C5+C6</f>
        <v>30000</v>
      </c>
      <c r="D4" s="233">
        <f t="shared" si="0"/>
        <v>30000</v>
      </c>
      <c r="E4" s="1003" t="s">
        <v>495</v>
      </c>
    </row>
    <row r="5" spans="1:5" ht="39" x14ac:dyDescent="0.3">
      <c r="A5" s="231" t="s">
        <v>9</v>
      </c>
      <c r="B5" s="232" t="s">
        <v>505</v>
      </c>
      <c r="C5" s="234">
        <v>3000</v>
      </c>
      <c r="D5" s="234">
        <v>3000</v>
      </c>
      <c r="E5" s="1004"/>
    </row>
    <row r="6" spans="1:5" ht="26" x14ac:dyDescent="0.3">
      <c r="A6" s="231" t="s">
        <v>12</v>
      </c>
      <c r="B6" s="232" t="s">
        <v>506</v>
      </c>
      <c r="C6" s="234">
        <v>27000</v>
      </c>
      <c r="D6" s="234">
        <v>27000</v>
      </c>
      <c r="E6" s="1004"/>
    </row>
    <row r="7" spans="1:5" ht="39" x14ac:dyDescent="0.3">
      <c r="A7" s="231">
        <v>2</v>
      </c>
      <c r="B7" s="232" t="s">
        <v>507</v>
      </c>
      <c r="C7" s="233">
        <f t="shared" ref="C7" si="1">C8+C9+C10</f>
        <v>107700</v>
      </c>
      <c r="D7" s="233">
        <f>D8+D9+D10</f>
        <v>109700</v>
      </c>
      <c r="E7" s="1004"/>
    </row>
    <row r="8" spans="1:5" ht="39" x14ac:dyDescent="0.3">
      <c r="A8" s="231" t="s">
        <v>52</v>
      </c>
      <c r="B8" s="232" t="s">
        <v>508</v>
      </c>
      <c r="C8" s="234">
        <v>2000</v>
      </c>
      <c r="D8" s="234">
        <v>2000</v>
      </c>
      <c r="E8" s="1004"/>
    </row>
    <row r="9" spans="1:5" ht="26" x14ac:dyDescent="0.3">
      <c r="A9" s="231" t="s">
        <v>56</v>
      </c>
      <c r="B9" s="232" t="s">
        <v>509</v>
      </c>
      <c r="C9" s="234">
        <v>95000</v>
      </c>
      <c r="D9" s="234">
        <v>97000</v>
      </c>
      <c r="E9" s="1004"/>
    </row>
    <row r="10" spans="1:5" ht="78" x14ac:dyDescent="0.3">
      <c r="A10" s="231" t="s">
        <v>60</v>
      </c>
      <c r="B10" s="232" t="s">
        <v>510</v>
      </c>
      <c r="C10" s="234">
        <v>10700</v>
      </c>
      <c r="D10" s="234">
        <v>10700</v>
      </c>
      <c r="E10" s="1004"/>
    </row>
    <row r="11" spans="1:5" ht="39" x14ac:dyDescent="0.3">
      <c r="A11" s="231">
        <v>3</v>
      </c>
      <c r="B11" s="232" t="s">
        <v>515</v>
      </c>
      <c r="C11" s="238">
        <v>2500</v>
      </c>
      <c r="D11" s="238">
        <v>2500</v>
      </c>
      <c r="E11" s="1004"/>
    </row>
    <row r="12" spans="1:5" x14ac:dyDescent="0.3">
      <c r="A12" s="1055" t="s">
        <v>500</v>
      </c>
      <c r="B12" s="1056"/>
      <c r="C12" s="237">
        <f t="shared" ref="C12:D12" si="2">C4+C7+C11</f>
        <v>140200</v>
      </c>
      <c r="D12" s="237">
        <f t="shared" si="2"/>
        <v>142200</v>
      </c>
      <c r="E12" s="1005"/>
    </row>
    <row r="13" spans="1:5" x14ac:dyDescent="0.3">
      <c r="A13" s="1033" t="s">
        <v>497</v>
      </c>
      <c r="B13" s="1033"/>
      <c r="C13" s="1033"/>
      <c r="D13" s="1033"/>
      <c r="E13" s="1033"/>
    </row>
    <row r="14" spans="1:5" ht="38.25" customHeight="1" x14ac:dyDescent="0.3">
      <c r="A14" s="995" t="s">
        <v>512</v>
      </c>
      <c r="B14" s="995"/>
      <c r="C14" s="995"/>
      <c r="D14" s="995"/>
      <c r="E14" s="995"/>
    </row>
  </sheetData>
  <mergeCells count="5">
    <mergeCell ref="E4:E12"/>
    <mergeCell ref="A12:B12"/>
    <mergeCell ref="A2:E2"/>
    <mergeCell ref="A13:E13"/>
    <mergeCell ref="A14:E14"/>
  </mergeCells>
  <dataValidations count="1">
    <dataValidation type="whole" errorStyle="information" allowBlank="1" showInputMessage="1" showErrorMessage="1" error="Jāievada skaitlis" sqref="E4" xr:uid="{9DF94099-7628-4721-A9D4-3E124D13F08C}">
      <formula1>-1000000000000</formula1>
      <formula2>1000000000000</formula2>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CB40D-A43F-452C-8A40-9315994BC4FD}">
  <sheetPr>
    <tabColor theme="2" tint="-0.249977111117893"/>
  </sheetPr>
  <dimension ref="A1:C17"/>
  <sheetViews>
    <sheetView workbookViewId="0">
      <selection activeCell="A6" sqref="A6:C6"/>
    </sheetView>
  </sheetViews>
  <sheetFormatPr defaultColWidth="9.1796875" defaultRowHeight="13" x14ac:dyDescent="0.3"/>
  <cols>
    <col min="1" max="1" width="50.7265625" style="32" customWidth="1"/>
    <col min="2" max="2" width="22.453125" style="32" customWidth="1"/>
    <col min="3" max="3" width="30.26953125" style="32" customWidth="1"/>
    <col min="4" max="16384" width="9.1796875" style="32"/>
  </cols>
  <sheetData>
    <row r="1" spans="1:3" x14ac:dyDescent="0.3">
      <c r="C1" s="349" t="s">
        <v>1308</v>
      </c>
    </row>
    <row r="2" spans="1:3" ht="39" customHeight="1" x14ac:dyDescent="0.3">
      <c r="A2" s="999" t="s">
        <v>732</v>
      </c>
      <c r="B2" s="999"/>
      <c r="C2" s="999"/>
    </row>
    <row r="3" spans="1:3" ht="12.75" customHeight="1" x14ac:dyDescent="0.3">
      <c r="A3" s="1057" t="s">
        <v>2</v>
      </c>
      <c r="B3" s="1001" t="s">
        <v>1105</v>
      </c>
      <c r="C3" s="1002"/>
    </row>
    <row r="4" spans="1:3" x14ac:dyDescent="0.3">
      <c r="A4" s="1057"/>
      <c r="B4" s="343" t="s">
        <v>195</v>
      </c>
      <c r="C4" s="353" t="s">
        <v>196</v>
      </c>
    </row>
    <row r="5" spans="1:3" ht="51" customHeight="1" x14ac:dyDescent="0.3">
      <c r="A5" s="350" t="s">
        <v>732</v>
      </c>
      <c r="B5" s="767">
        <v>18058</v>
      </c>
      <c r="C5" s="423">
        <v>18058</v>
      </c>
    </row>
    <row r="6" spans="1:3" ht="28.5" customHeight="1" x14ac:dyDescent="0.3">
      <c r="A6" s="1037" t="s">
        <v>1309</v>
      </c>
      <c r="B6" s="1058"/>
      <c r="C6" s="1058"/>
    </row>
    <row r="17" ht="9.75" customHeight="1" x14ac:dyDescent="0.3"/>
  </sheetData>
  <mergeCells count="4">
    <mergeCell ref="A2:C2"/>
    <mergeCell ref="A3:A4"/>
    <mergeCell ref="B3:C3"/>
    <mergeCell ref="A6:C6"/>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DAFB9-5F1C-42FE-B13E-1AC5EEDB988F}">
  <sheetPr>
    <tabColor theme="2" tint="-0.249977111117893"/>
  </sheetPr>
  <dimension ref="A1:B17"/>
  <sheetViews>
    <sheetView workbookViewId="0">
      <selection activeCell="A6" sqref="A6:B6"/>
    </sheetView>
  </sheetViews>
  <sheetFormatPr defaultColWidth="9.1796875" defaultRowHeight="13" x14ac:dyDescent="0.3"/>
  <cols>
    <col min="1" max="1" width="50.7265625" style="32" customWidth="1"/>
    <col min="2" max="2" width="30.26953125" style="32" customWidth="1"/>
    <col min="3" max="16384" width="9.1796875" style="32"/>
  </cols>
  <sheetData>
    <row r="1" spans="1:2" x14ac:dyDescent="0.3">
      <c r="B1" s="349" t="s">
        <v>1310</v>
      </c>
    </row>
    <row r="2" spans="1:2" ht="39" customHeight="1" x14ac:dyDescent="0.3">
      <c r="A2" s="999" t="s">
        <v>733</v>
      </c>
      <c r="B2" s="999"/>
    </row>
    <row r="3" spans="1:2" ht="24.75" customHeight="1" x14ac:dyDescent="0.3">
      <c r="A3" s="1057" t="s">
        <v>2</v>
      </c>
      <c r="B3" s="353" t="s">
        <v>1105</v>
      </c>
    </row>
    <row r="4" spans="1:2" x14ac:dyDescent="0.3">
      <c r="A4" s="1057"/>
      <c r="B4" s="353" t="s">
        <v>196</v>
      </c>
    </row>
    <row r="5" spans="1:2" ht="51" customHeight="1" x14ac:dyDescent="0.3">
      <c r="A5" s="350" t="s">
        <v>733</v>
      </c>
      <c r="B5" s="423">
        <v>60500</v>
      </c>
    </row>
    <row r="6" spans="1:2" ht="51" customHeight="1" x14ac:dyDescent="0.3">
      <c r="A6" s="1037" t="s">
        <v>1309</v>
      </c>
      <c r="B6" s="1058"/>
    </row>
    <row r="17" ht="9.75" customHeight="1" x14ac:dyDescent="0.3"/>
  </sheetData>
  <mergeCells count="3">
    <mergeCell ref="A2:B2"/>
    <mergeCell ref="A3:A4"/>
    <mergeCell ref="A6:B6"/>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0CEDF-A92B-41D4-B200-BE4EF209C404}">
  <sheetPr>
    <tabColor theme="2" tint="-0.249977111117893"/>
  </sheetPr>
  <dimension ref="A1:B6"/>
  <sheetViews>
    <sheetView workbookViewId="0">
      <selection activeCell="A6" sqref="A6:B6"/>
    </sheetView>
  </sheetViews>
  <sheetFormatPr defaultColWidth="9.1796875" defaultRowHeight="13" x14ac:dyDescent="0.3"/>
  <cols>
    <col min="1" max="1" width="38.453125" style="32" customWidth="1"/>
    <col min="2" max="2" width="55.7265625" style="32" customWidth="1"/>
    <col min="3" max="16384" width="9.1796875" style="32"/>
  </cols>
  <sheetData>
    <row r="1" spans="1:2" x14ac:dyDescent="0.3">
      <c r="B1" s="349" t="s">
        <v>1311</v>
      </c>
    </row>
    <row r="2" spans="1:2" x14ac:dyDescent="0.3">
      <c r="A2" s="999" t="s">
        <v>703</v>
      </c>
      <c r="B2" s="999"/>
    </row>
    <row r="3" spans="1:2" ht="12.75" customHeight="1" x14ac:dyDescent="0.3">
      <c r="A3" s="1000" t="s">
        <v>2</v>
      </c>
      <c r="B3" s="353" t="s">
        <v>1105</v>
      </c>
    </row>
    <row r="4" spans="1:2" x14ac:dyDescent="0.3">
      <c r="A4" s="1000"/>
      <c r="B4" s="462" t="s">
        <v>196</v>
      </c>
    </row>
    <row r="5" spans="1:2" ht="39" x14ac:dyDescent="0.3">
      <c r="A5" s="350" t="s">
        <v>703</v>
      </c>
      <c r="B5" s="423">
        <v>45000</v>
      </c>
    </row>
    <row r="6" spans="1:2" ht="27" customHeight="1" x14ac:dyDescent="0.3">
      <c r="A6" s="995" t="s">
        <v>1302</v>
      </c>
      <c r="B6" s="995"/>
    </row>
  </sheetData>
  <mergeCells count="3">
    <mergeCell ref="A2:B2"/>
    <mergeCell ref="A3:A4"/>
    <mergeCell ref="A6:B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D3311-09BD-4F79-A94E-9B1F478F228E}">
  <sheetPr>
    <tabColor theme="2" tint="-0.249977111117893"/>
  </sheetPr>
  <dimension ref="A1:B6"/>
  <sheetViews>
    <sheetView workbookViewId="0">
      <selection activeCell="A6" sqref="A6:B6"/>
    </sheetView>
  </sheetViews>
  <sheetFormatPr defaultColWidth="9.1796875" defaultRowHeight="13" x14ac:dyDescent="0.3"/>
  <cols>
    <col min="1" max="1" width="38.453125" style="32" customWidth="1"/>
    <col min="2" max="2" width="55.7265625" style="32" customWidth="1"/>
    <col min="3" max="16384" width="9.1796875" style="32"/>
  </cols>
  <sheetData>
    <row r="1" spans="1:2" x14ac:dyDescent="0.3">
      <c r="B1" s="349" t="s">
        <v>1312</v>
      </c>
    </row>
    <row r="2" spans="1:2" x14ac:dyDescent="0.3">
      <c r="A2" s="999" t="s">
        <v>705</v>
      </c>
      <c r="B2" s="999"/>
    </row>
    <row r="3" spans="1:2" ht="12.75" customHeight="1" x14ac:dyDescent="0.3">
      <c r="A3" s="1000" t="s">
        <v>2</v>
      </c>
      <c r="B3" s="353" t="s">
        <v>1105</v>
      </c>
    </row>
    <row r="4" spans="1:2" x14ac:dyDescent="0.3">
      <c r="A4" s="1000"/>
      <c r="B4" s="462" t="s">
        <v>196</v>
      </c>
    </row>
    <row r="5" spans="1:2" ht="39" x14ac:dyDescent="0.3">
      <c r="A5" s="350" t="s">
        <v>705</v>
      </c>
      <c r="B5" s="423">
        <v>45000</v>
      </c>
    </row>
    <row r="6" spans="1:2" ht="27" customHeight="1" x14ac:dyDescent="0.3">
      <c r="A6" s="995" t="s">
        <v>1302</v>
      </c>
      <c r="B6" s="995"/>
    </row>
  </sheetData>
  <mergeCells count="3">
    <mergeCell ref="A2:B2"/>
    <mergeCell ref="A3:A4"/>
    <mergeCell ref="A6:B6"/>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51EED-2406-4056-B962-2C753ED350D7}">
  <sheetPr>
    <tabColor theme="9" tint="0.79998168889431442"/>
  </sheetPr>
  <dimension ref="A1:J10"/>
  <sheetViews>
    <sheetView zoomScale="71" zoomScaleNormal="71" workbookViewId="0">
      <selection activeCell="H1" sqref="H1"/>
    </sheetView>
  </sheetViews>
  <sheetFormatPr defaultColWidth="8.7265625" defaultRowHeight="13" x14ac:dyDescent="0.3"/>
  <cols>
    <col min="1" max="1" width="40.81640625" style="72" customWidth="1"/>
    <col min="2" max="2" width="35.1796875" style="72" customWidth="1"/>
    <col min="3" max="3" width="22" style="72" customWidth="1"/>
    <col min="4" max="4" width="32.453125" style="72" customWidth="1"/>
    <col min="5" max="5" width="19.54296875" style="72" customWidth="1"/>
    <col min="6" max="6" width="16" style="72" customWidth="1"/>
    <col min="7" max="7" width="12.26953125" style="72" customWidth="1"/>
    <col min="8" max="8" width="25.453125" style="72" customWidth="1"/>
    <col min="9" max="9" width="21.453125" style="72" customWidth="1"/>
    <col min="10" max="10" width="15.1796875" style="72" customWidth="1"/>
    <col min="11" max="14" width="8.7265625" style="72"/>
    <col min="15" max="15" width="9.81640625" style="72" bestFit="1" customWidth="1"/>
    <col min="16" max="19" width="8.7265625" style="72"/>
    <col min="20" max="20" width="12.1796875" style="72" customWidth="1"/>
    <col min="21" max="16384" width="8.7265625" style="72"/>
  </cols>
  <sheetData>
    <row r="1" spans="1:10" x14ac:dyDescent="0.3">
      <c r="H1" s="87" t="s">
        <v>1313</v>
      </c>
    </row>
    <row r="2" spans="1:10" x14ac:dyDescent="0.3">
      <c r="B2" s="73" t="s">
        <v>281</v>
      </c>
    </row>
    <row r="3" spans="1:10" ht="65" x14ac:dyDescent="0.3">
      <c r="A3" s="24" t="s">
        <v>194</v>
      </c>
      <c r="B3" s="25" t="s">
        <v>1107</v>
      </c>
      <c r="C3" s="24" t="s">
        <v>1108</v>
      </c>
      <c r="D3" s="477"/>
      <c r="E3" s="74"/>
      <c r="F3" s="74"/>
      <c r="G3" s="75"/>
      <c r="H3" s="75"/>
      <c r="I3" s="75"/>
      <c r="J3" s="74"/>
    </row>
    <row r="4" spans="1:10" ht="26" x14ac:dyDescent="0.3">
      <c r="A4" s="788" t="s">
        <v>804</v>
      </c>
      <c r="B4" s="712">
        <f>H9/2</f>
        <v>76704.5</v>
      </c>
      <c r="C4" s="92">
        <f>H9</f>
        <v>153409</v>
      </c>
      <c r="D4" s="478"/>
      <c r="E4" s="74"/>
      <c r="F4" s="74"/>
      <c r="G4" s="75"/>
      <c r="H4" s="75"/>
      <c r="I4" s="75"/>
      <c r="J4" s="74"/>
    </row>
    <row r="5" spans="1:10" x14ac:dyDescent="0.3">
      <c r="A5" s="76"/>
      <c r="B5" s="74"/>
      <c r="C5" s="77"/>
      <c r="D5" s="74"/>
      <c r="E5" s="74"/>
      <c r="F5" s="74"/>
      <c r="G5" s="75"/>
      <c r="H5" s="75"/>
      <c r="I5" s="75"/>
      <c r="J5" s="74"/>
    </row>
    <row r="7" spans="1:10" x14ac:dyDescent="0.3">
      <c r="A7" s="1060" t="s">
        <v>235</v>
      </c>
      <c r="B7" s="1062" t="s">
        <v>236</v>
      </c>
      <c r="C7" s="1064" t="s">
        <v>286</v>
      </c>
      <c r="D7" s="1064" t="s">
        <v>238</v>
      </c>
      <c r="E7" s="1066" t="s">
        <v>282</v>
      </c>
      <c r="F7" s="1067"/>
      <c r="G7" s="1067"/>
      <c r="H7" s="1059" t="s">
        <v>283</v>
      </c>
    </row>
    <row r="8" spans="1:10" x14ac:dyDescent="0.3">
      <c r="A8" s="1061"/>
      <c r="B8" s="1063"/>
      <c r="C8" s="1065"/>
      <c r="D8" s="1065"/>
      <c r="E8" s="79" t="s">
        <v>241</v>
      </c>
      <c r="F8" s="79" t="s">
        <v>242</v>
      </c>
      <c r="G8" s="78" t="s">
        <v>243</v>
      </c>
      <c r="H8" s="1059"/>
    </row>
    <row r="9" spans="1:10" ht="26" x14ac:dyDescent="0.3">
      <c r="A9" s="80">
        <v>49052</v>
      </c>
      <c r="B9" s="81" t="s">
        <v>284</v>
      </c>
      <c r="C9" s="82">
        <v>104.36</v>
      </c>
      <c r="D9" s="83">
        <v>1</v>
      </c>
      <c r="E9" s="84">
        <v>1470</v>
      </c>
      <c r="F9" s="84">
        <v>0</v>
      </c>
      <c r="G9" s="85">
        <v>0</v>
      </c>
      <c r="H9" s="86">
        <f>ROUND(C9*D9*E9,0)</f>
        <v>153409</v>
      </c>
    </row>
    <row r="10" spans="1:10" x14ac:dyDescent="0.3">
      <c r="A10" s="72" t="s">
        <v>285</v>
      </c>
    </row>
  </sheetData>
  <mergeCells count="6">
    <mergeCell ref="H7:H8"/>
    <mergeCell ref="A7:A8"/>
    <mergeCell ref="B7:B8"/>
    <mergeCell ref="C7:C8"/>
    <mergeCell ref="D7:D8"/>
    <mergeCell ref="E7:G7"/>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6A265-B1BF-42B1-AA67-879B1E00DA31}">
  <sheetPr>
    <tabColor theme="9" tint="0.79998168889431442"/>
  </sheetPr>
  <dimension ref="A1:N14"/>
  <sheetViews>
    <sheetView zoomScale="66" zoomScaleNormal="66" workbookViewId="0">
      <selection activeCell="H1" sqref="H1"/>
    </sheetView>
  </sheetViews>
  <sheetFormatPr defaultColWidth="9.1796875" defaultRowHeight="13" x14ac:dyDescent="0.3"/>
  <cols>
    <col min="1" max="1" width="40.54296875" style="32" customWidth="1"/>
    <col min="2" max="2" width="36.1796875" style="32" customWidth="1"/>
    <col min="3" max="3" width="26.1796875" style="32" customWidth="1"/>
    <col min="4" max="4" width="22" style="32" customWidth="1"/>
    <col min="5" max="6" width="22.453125" style="32" customWidth="1"/>
    <col min="7" max="7" width="13.81640625" style="32" customWidth="1"/>
    <col min="8" max="8" width="33.54296875" style="32" customWidth="1"/>
    <col min="9" max="9" width="25.453125" style="32" customWidth="1"/>
    <col min="10" max="10" width="21.453125" style="32" customWidth="1"/>
    <col min="11" max="11" width="15.1796875" style="32" customWidth="1"/>
    <col min="12" max="12" width="13.81640625" style="32" customWidth="1"/>
    <col min="13" max="16384" width="9.1796875" style="32"/>
  </cols>
  <sheetData>
    <row r="1" spans="1:14" x14ac:dyDescent="0.3">
      <c r="H1" s="32" t="s">
        <v>1314</v>
      </c>
    </row>
    <row r="2" spans="1:14" ht="23.25" customHeight="1" x14ac:dyDescent="0.3">
      <c r="A2" s="1069" t="s">
        <v>50</v>
      </c>
      <c r="B2" s="1069"/>
      <c r="C2" s="1069"/>
      <c r="D2" s="1069"/>
      <c r="E2" s="1069"/>
      <c r="F2" s="1069"/>
      <c r="G2" s="1069"/>
      <c r="H2" s="1069"/>
      <c r="I2" s="89"/>
      <c r="J2" s="89"/>
      <c r="K2" s="89"/>
      <c r="L2" s="89"/>
      <c r="M2" s="89"/>
      <c r="N2" s="89"/>
    </row>
    <row r="3" spans="1:14" ht="52" x14ac:dyDescent="0.3">
      <c r="A3" s="1074" t="s">
        <v>194</v>
      </c>
      <c r="B3" s="1075"/>
      <c r="C3" s="35" t="s">
        <v>1229</v>
      </c>
      <c r="D3" s="90"/>
      <c r="E3" s="90"/>
      <c r="F3" s="37"/>
      <c r="G3" s="37"/>
      <c r="H3" s="91"/>
      <c r="I3" s="91"/>
      <c r="J3" s="91"/>
      <c r="K3" s="37"/>
    </row>
    <row r="4" spans="1:14" ht="25.5" customHeight="1" x14ac:dyDescent="0.3">
      <c r="A4" s="1020" t="s">
        <v>287</v>
      </c>
      <c r="B4" s="1022"/>
      <c r="C4" s="92">
        <f>H9</f>
        <v>26005</v>
      </c>
      <c r="D4" s="93"/>
      <c r="E4" s="94"/>
      <c r="F4" s="37"/>
      <c r="G4" s="37"/>
      <c r="H4" s="91"/>
      <c r="I4" s="91"/>
      <c r="J4" s="91"/>
      <c r="K4" s="37"/>
    </row>
    <row r="5" spans="1:14" x14ac:dyDescent="0.3">
      <c r="A5" s="45"/>
      <c r="B5" s="37"/>
      <c r="C5" s="46"/>
      <c r="D5" s="95"/>
      <c r="E5" s="37"/>
      <c r="F5" s="37"/>
      <c r="G5" s="37"/>
      <c r="H5" s="91"/>
      <c r="I5" s="91"/>
      <c r="J5" s="91"/>
      <c r="K5" s="37"/>
    </row>
    <row r="6" spans="1:14" x14ac:dyDescent="0.3">
      <c r="A6" s="45"/>
      <c r="B6" s="37"/>
      <c r="C6" s="46"/>
      <c r="D6" s="95"/>
      <c r="E6" s="37"/>
      <c r="F6" s="37"/>
      <c r="G6" s="37"/>
      <c r="H6" s="91"/>
      <c r="I6" s="91"/>
      <c r="J6" s="91"/>
      <c r="K6" s="37"/>
    </row>
    <row r="7" spans="1:14" x14ac:dyDescent="0.3">
      <c r="A7" s="1070" t="s">
        <v>235</v>
      </c>
      <c r="B7" s="1072" t="s">
        <v>438</v>
      </c>
      <c r="C7" s="1070" t="s">
        <v>237</v>
      </c>
      <c r="D7" s="1070" t="s">
        <v>238</v>
      </c>
      <c r="E7" s="1052" t="s">
        <v>239</v>
      </c>
      <c r="F7" s="1052"/>
      <c r="G7" s="1052"/>
      <c r="H7" s="1053" t="s">
        <v>240</v>
      </c>
      <c r="I7" s="91"/>
      <c r="J7" s="91"/>
      <c r="K7" s="37"/>
    </row>
    <row r="8" spans="1:14" x14ac:dyDescent="0.3">
      <c r="A8" s="1071"/>
      <c r="B8" s="1073"/>
      <c r="C8" s="1071"/>
      <c r="D8" s="1071"/>
      <c r="E8" s="47" t="s">
        <v>241</v>
      </c>
      <c r="F8" s="47" t="s">
        <v>242</v>
      </c>
      <c r="G8" s="47" t="s">
        <v>243</v>
      </c>
      <c r="H8" s="1053"/>
      <c r="J8" s="91"/>
      <c r="K8" s="37"/>
    </row>
    <row r="9" spans="1:14" ht="39" x14ac:dyDescent="0.3">
      <c r="A9" s="96">
        <v>49073</v>
      </c>
      <c r="B9" s="139" t="s">
        <v>288</v>
      </c>
      <c r="C9" s="51">
        <v>288.94</v>
      </c>
      <c r="D9" s="51">
        <v>1</v>
      </c>
      <c r="E9" s="52">
        <v>90</v>
      </c>
      <c r="F9" s="52">
        <v>0</v>
      </c>
      <c r="G9" s="52">
        <v>0</v>
      </c>
      <c r="H9" s="97">
        <f>ROUND(C9*D9*E9,0)</f>
        <v>26005</v>
      </c>
      <c r="I9" s="91"/>
      <c r="J9" s="91"/>
      <c r="K9" s="37"/>
    </row>
    <row r="10" spans="1:14" x14ac:dyDescent="0.3">
      <c r="A10" s="45" t="s">
        <v>289</v>
      </c>
      <c r="B10" s="37"/>
      <c r="C10" s="95"/>
      <c r="D10" s="95"/>
      <c r="E10" s="37"/>
      <c r="F10" s="37"/>
      <c r="G10" s="37"/>
      <c r="H10" s="91"/>
      <c r="I10" s="91"/>
      <c r="J10" s="91"/>
      <c r="K10" s="37"/>
    </row>
    <row r="11" spans="1:14" ht="30.75" customHeight="1" x14ac:dyDescent="0.3">
      <c r="A11" s="1068" t="s">
        <v>869</v>
      </c>
      <c r="B11" s="1068"/>
      <c r="C11" s="1068"/>
      <c r="D11" s="1068"/>
      <c r="E11" s="1068"/>
      <c r="F11" s="1068"/>
      <c r="G11" s="1068"/>
      <c r="H11" s="1068"/>
      <c r="I11" s="91"/>
      <c r="J11" s="91"/>
      <c r="K11" s="37"/>
    </row>
    <row r="12" spans="1:14" x14ac:dyDescent="0.3">
      <c r="A12" s="98"/>
      <c r="B12" s="37"/>
      <c r="C12" s="95"/>
      <c r="D12" s="95"/>
      <c r="E12" s="37"/>
      <c r="F12" s="37"/>
      <c r="G12" s="37"/>
      <c r="H12" s="91"/>
      <c r="I12" s="91"/>
      <c r="J12" s="91"/>
      <c r="K12" s="37"/>
    </row>
    <row r="14" spans="1:14" x14ac:dyDescent="0.3">
      <c r="A14" s="99"/>
    </row>
  </sheetData>
  <mergeCells count="10">
    <mergeCell ref="A11:H11"/>
    <mergeCell ref="A2:H2"/>
    <mergeCell ref="A7:A8"/>
    <mergeCell ref="B7:B8"/>
    <mergeCell ref="C7:C8"/>
    <mergeCell ref="D7:D8"/>
    <mergeCell ref="E7:G7"/>
    <mergeCell ref="H7:H8"/>
    <mergeCell ref="A3:B3"/>
    <mergeCell ref="A4:B4"/>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430DD-84AB-48DD-8D1E-D213DC87BF7A}">
  <sheetPr>
    <tabColor theme="9" tint="0.79998168889431442"/>
  </sheetPr>
  <dimension ref="A1:I15"/>
  <sheetViews>
    <sheetView zoomScale="64" zoomScaleNormal="64" workbookViewId="0">
      <selection activeCell="G1" sqref="G1"/>
    </sheetView>
  </sheetViews>
  <sheetFormatPr defaultColWidth="10.26953125" defaultRowHeight="13" x14ac:dyDescent="0.3"/>
  <cols>
    <col min="1" max="1" width="37" style="32" customWidth="1"/>
    <col min="2" max="2" width="12.81640625" style="32" customWidth="1"/>
    <col min="3" max="3" width="17" style="32" customWidth="1"/>
    <col min="4" max="4" width="18.7265625" style="32" customWidth="1"/>
    <col min="5" max="5" width="12.81640625" style="32" customWidth="1"/>
    <col min="6" max="6" width="17.453125" style="32" customWidth="1"/>
    <col min="7" max="7" width="21" style="32" customWidth="1"/>
    <col min="8" max="16384" width="10.26953125" style="32"/>
  </cols>
  <sheetData>
    <row r="1" spans="1:9" x14ac:dyDescent="0.3">
      <c r="G1" s="32" t="s">
        <v>1315</v>
      </c>
    </row>
    <row r="2" spans="1:9" ht="39" customHeight="1" x14ac:dyDescent="0.3">
      <c r="A2" s="1076" t="s">
        <v>477</v>
      </c>
      <c r="B2" s="1076"/>
      <c r="C2" s="1076"/>
      <c r="D2" s="1076"/>
      <c r="E2" s="1076"/>
      <c r="F2" s="1076"/>
      <c r="G2" s="1076"/>
    </row>
    <row r="3" spans="1:9" ht="65" x14ac:dyDescent="0.3">
      <c r="A3" s="482"/>
      <c r="B3" s="483" t="s">
        <v>1230</v>
      </c>
      <c r="C3" s="483" t="s">
        <v>1231</v>
      </c>
      <c r="D3" s="483" t="s">
        <v>1232</v>
      </c>
      <c r="E3" s="483" t="s">
        <v>1233</v>
      </c>
      <c r="F3" s="483" t="s">
        <v>1234</v>
      </c>
      <c r="G3" s="483" t="s">
        <v>1235</v>
      </c>
    </row>
    <row r="4" spans="1:9" x14ac:dyDescent="0.3">
      <c r="A4" s="604" t="s">
        <v>478</v>
      </c>
      <c r="B4" s="606">
        <f>B5+B6</f>
        <v>1861</v>
      </c>
      <c r="C4" s="607"/>
      <c r="D4" s="484">
        <f>D5+D6+D7</f>
        <v>52228986.180000007</v>
      </c>
      <c r="E4" s="605">
        <f>E5+E6</f>
        <v>2029</v>
      </c>
      <c r="F4" s="605"/>
      <c r="G4" s="484">
        <f>G5+G6+G7</f>
        <v>53062132.780000001</v>
      </c>
    </row>
    <row r="5" spans="1:9" x14ac:dyDescent="0.3">
      <c r="A5" s="358" t="s">
        <v>472</v>
      </c>
      <c r="B5" s="608">
        <v>556</v>
      </c>
      <c r="C5" s="608">
        <v>22691.904999999999</v>
      </c>
      <c r="D5" s="608">
        <f>C5*B5</f>
        <v>12616699.18</v>
      </c>
      <c r="E5" s="608">
        <v>600</v>
      </c>
      <c r="F5" s="608">
        <v>23380.101999999999</v>
      </c>
      <c r="G5" s="608">
        <f>F5*E5</f>
        <v>14028061.199999999</v>
      </c>
    </row>
    <row r="6" spans="1:9" x14ac:dyDescent="0.3">
      <c r="A6" s="251" t="s">
        <v>473</v>
      </c>
      <c r="B6" s="608">
        <v>1305</v>
      </c>
      <c r="C6" s="608">
        <v>25373.4</v>
      </c>
      <c r="D6" s="608">
        <f>B6*C6</f>
        <v>33112287.000000004</v>
      </c>
      <c r="E6" s="608">
        <v>1429</v>
      </c>
      <c r="F6" s="608">
        <v>22767.02</v>
      </c>
      <c r="G6" s="608">
        <f>E6*F6</f>
        <v>32534071.580000002</v>
      </c>
    </row>
    <row r="7" spans="1:9" x14ac:dyDescent="0.3">
      <c r="A7" s="358" t="s">
        <v>474</v>
      </c>
      <c r="B7" s="608"/>
      <c r="C7" s="608"/>
      <c r="D7" s="608">
        <v>6500000</v>
      </c>
      <c r="E7" s="608"/>
      <c r="F7" s="608"/>
      <c r="G7" s="608">
        <v>6500000</v>
      </c>
    </row>
    <row r="8" spans="1:9" x14ac:dyDescent="0.3">
      <c r="A8" s="371" t="s">
        <v>475</v>
      </c>
      <c r="B8" s="608"/>
      <c r="C8" s="608"/>
      <c r="D8" s="608"/>
      <c r="E8" s="608"/>
      <c r="F8" s="608"/>
      <c r="G8" s="608"/>
    </row>
    <row r="9" spans="1:9" x14ac:dyDescent="0.3">
      <c r="A9" s="604" t="s">
        <v>476</v>
      </c>
      <c r="B9" s="610">
        <f>B10+B11</f>
        <v>461</v>
      </c>
      <c r="C9" s="606"/>
      <c r="D9" s="605">
        <f>D10+D11+D12</f>
        <v>22519463.190000001</v>
      </c>
      <c r="E9" s="605">
        <f>E10+E11</f>
        <v>545</v>
      </c>
      <c r="F9" s="605"/>
      <c r="G9" s="605">
        <f>G10+G11+G12</f>
        <v>25123777.787</v>
      </c>
    </row>
    <row r="10" spans="1:9" x14ac:dyDescent="0.3">
      <c r="A10" s="358" t="s">
        <v>472</v>
      </c>
      <c r="B10" s="608">
        <v>110</v>
      </c>
      <c r="C10" s="608">
        <v>64447.8</v>
      </c>
      <c r="D10" s="608">
        <f>C10*B10</f>
        <v>7089258</v>
      </c>
      <c r="E10" s="608">
        <v>134</v>
      </c>
      <c r="F10" s="608">
        <v>58795.783000000003</v>
      </c>
      <c r="G10" s="608">
        <f>E10*F10</f>
        <v>7878634.9220000003</v>
      </c>
    </row>
    <row r="11" spans="1:9" x14ac:dyDescent="0.3">
      <c r="A11" s="251" t="s">
        <v>473</v>
      </c>
      <c r="B11" s="608">
        <v>351</v>
      </c>
      <c r="C11" s="608">
        <v>35413.69</v>
      </c>
      <c r="D11" s="608">
        <f>B11*C11</f>
        <v>12430205.190000001</v>
      </c>
      <c r="E11" s="608">
        <v>411</v>
      </c>
      <c r="F11" s="608">
        <v>34659.714999999997</v>
      </c>
      <c r="G11" s="608">
        <f>E11*F11</f>
        <v>14245142.864999998</v>
      </c>
    </row>
    <row r="12" spans="1:9" x14ac:dyDescent="0.3">
      <c r="A12" s="358" t="s">
        <v>474</v>
      </c>
      <c r="B12" s="608"/>
      <c r="C12" s="608"/>
      <c r="D12" s="608">
        <v>3000000</v>
      </c>
      <c r="E12" s="608"/>
      <c r="F12" s="608"/>
      <c r="G12" s="608">
        <v>3000000</v>
      </c>
    </row>
    <row r="13" spans="1:9" ht="42.75" customHeight="1" x14ac:dyDescent="0.3">
      <c r="A13" s="52" t="s">
        <v>194</v>
      </c>
      <c r="B13" s="991" t="s">
        <v>348</v>
      </c>
      <c r="C13" s="991"/>
      <c r="D13" s="991"/>
      <c r="E13" s="991" t="s">
        <v>348</v>
      </c>
      <c r="F13" s="991"/>
      <c r="G13" s="991"/>
    </row>
    <row r="14" spans="1:9" x14ac:dyDescent="0.3">
      <c r="A14" s="32" t="s">
        <v>479</v>
      </c>
    </row>
    <row r="15" spans="1:9" x14ac:dyDescent="0.3">
      <c r="A15" s="364"/>
      <c r="G15" s="609"/>
      <c r="I15" s="249"/>
    </row>
  </sheetData>
  <mergeCells count="3">
    <mergeCell ref="A2:G2"/>
    <mergeCell ref="B13:D13"/>
    <mergeCell ref="E13:G13"/>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B7F29-C35E-43CD-A517-FB59922E0C4C}">
  <sheetPr>
    <tabColor theme="9" tint="0.79998168889431442"/>
  </sheetPr>
  <dimension ref="A1:E22"/>
  <sheetViews>
    <sheetView zoomScale="75" zoomScaleNormal="75" workbookViewId="0">
      <selection activeCell="D1" sqref="D1"/>
    </sheetView>
  </sheetViews>
  <sheetFormatPr defaultColWidth="8.81640625" defaultRowHeight="13" x14ac:dyDescent="0.3"/>
  <cols>
    <col min="1" max="1" width="51.1796875" style="611" customWidth="1"/>
    <col min="2" max="2" width="29" style="611" customWidth="1"/>
    <col min="3" max="3" width="31" style="611" customWidth="1"/>
    <col min="4" max="4" width="34.453125" style="611" customWidth="1"/>
    <col min="5" max="5" width="16.81640625" style="611" customWidth="1"/>
    <col min="6" max="16384" width="8.81640625" style="611"/>
  </cols>
  <sheetData>
    <row r="1" spans="1:4" x14ac:dyDescent="0.3">
      <c r="D1" s="612" t="s">
        <v>1316</v>
      </c>
    </row>
    <row r="2" spans="1:4" ht="45" customHeight="1" x14ac:dyDescent="0.3">
      <c r="A2" s="1078" t="s">
        <v>290</v>
      </c>
      <c r="B2" s="1078"/>
      <c r="C2" s="1078"/>
      <c r="D2" s="1078"/>
    </row>
    <row r="3" spans="1:4" ht="36" customHeight="1" x14ac:dyDescent="0.3">
      <c r="A3" s="34" t="s">
        <v>194</v>
      </c>
      <c r="B3" s="35" t="s">
        <v>1106</v>
      </c>
      <c r="C3" s="1054"/>
      <c r="D3" s="136"/>
    </row>
    <row r="4" spans="1:4" ht="36" customHeight="1" x14ac:dyDescent="0.3">
      <c r="A4" s="794" t="s">
        <v>803</v>
      </c>
      <c r="B4" s="137">
        <f>D21</f>
        <v>805100</v>
      </c>
      <c r="C4" s="1054"/>
      <c r="D4" s="136"/>
    </row>
    <row r="5" spans="1:4" ht="12.75" customHeight="1" x14ac:dyDescent="0.3">
      <c r="A5" s="100"/>
      <c r="B5" s="100"/>
      <c r="C5" s="100"/>
      <c r="D5" s="100"/>
    </row>
    <row r="6" spans="1:4" x14ac:dyDescent="0.3">
      <c r="A6" s="1077" t="s">
        <v>291</v>
      </c>
      <c r="B6" s="1077"/>
      <c r="C6" s="1077"/>
      <c r="D6" s="1077"/>
    </row>
    <row r="7" spans="1:4" x14ac:dyDescent="0.3">
      <c r="A7" s="613"/>
      <c r="B7" s="614" t="s">
        <v>239</v>
      </c>
      <c r="C7" s="614" t="s">
        <v>1081</v>
      </c>
      <c r="D7" s="614" t="s">
        <v>307</v>
      </c>
    </row>
    <row r="8" spans="1:4" x14ac:dyDescent="0.3">
      <c r="A8" s="613" t="s">
        <v>292</v>
      </c>
      <c r="B8" s="615">
        <v>60</v>
      </c>
      <c r="C8" s="615">
        <v>200</v>
      </c>
      <c r="D8" s="615">
        <f>B8*C8</f>
        <v>12000</v>
      </c>
    </row>
    <row r="9" spans="1:4" ht="26" x14ac:dyDescent="0.3">
      <c r="A9" s="616" t="s">
        <v>293</v>
      </c>
      <c r="B9" s="615">
        <v>50</v>
      </c>
      <c r="C9" s="615">
        <v>1000</v>
      </c>
      <c r="D9" s="615">
        <f t="shared" ref="D9:D20" si="0">B9*C9</f>
        <v>50000</v>
      </c>
    </row>
    <row r="10" spans="1:4" x14ac:dyDescent="0.3">
      <c r="A10" s="613" t="s">
        <v>294</v>
      </c>
      <c r="B10" s="615">
        <v>100</v>
      </c>
      <c r="C10" s="615">
        <v>200</v>
      </c>
      <c r="D10" s="615">
        <f t="shared" si="0"/>
        <v>20000</v>
      </c>
    </row>
    <row r="11" spans="1:4" x14ac:dyDescent="0.3">
      <c r="A11" s="613" t="s">
        <v>295</v>
      </c>
      <c r="B11" s="615">
        <v>200</v>
      </c>
      <c r="C11" s="615">
        <v>200</v>
      </c>
      <c r="D11" s="615">
        <f t="shared" si="0"/>
        <v>40000</v>
      </c>
    </row>
    <row r="12" spans="1:4" x14ac:dyDescent="0.3">
      <c r="A12" s="613" t="s">
        <v>296</v>
      </c>
      <c r="B12" s="615">
        <v>1100</v>
      </c>
      <c r="C12" s="615">
        <v>170</v>
      </c>
      <c r="D12" s="615">
        <f t="shared" si="0"/>
        <v>187000</v>
      </c>
    </row>
    <row r="13" spans="1:4" x14ac:dyDescent="0.3">
      <c r="A13" s="613" t="s">
        <v>297</v>
      </c>
      <c r="B13" s="615">
        <v>60</v>
      </c>
      <c r="C13" s="615">
        <v>160</v>
      </c>
      <c r="D13" s="615">
        <f t="shared" si="0"/>
        <v>9600</v>
      </c>
    </row>
    <row r="14" spans="1:4" x14ac:dyDescent="0.3">
      <c r="A14" s="613" t="s">
        <v>298</v>
      </c>
      <c r="B14" s="615">
        <v>300</v>
      </c>
      <c r="C14" s="615">
        <v>620</v>
      </c>
      <c r="D14" s="615">
        <f t="shared" si="0"/>
        <v>186000</v>
      </c>
    </row>
    <row r="15" spans="1:4" x14ac:dyDescent="0.3">
      <c r="A15" s="613" t="s">
        <v>299</v>
      </c>
      <c r="B15" s="615">
        <v>80</v>
      </c>
      <c r="C15" s="615">
        <v>200</v>
      </c>
      <c r="D15" s="615">
        <f t="shared" si="0"/>
        <v>16000</v>
      </c>
    </row>
    <row r="16" spans="1:4" x14ac:dyDescent="0.3">
      <c r="A16" s="613" t="s">
        <v>300</v>
      </c>
      <c r="B16" s="615">
        <v>80</v>
      </c>
      <c r="C16" s="615">
        <v>200</v>
      </c>
      <c r="D16" s="615">
        <f t="shared" si="0"/>
        <v>16000</v>
      </c>
    </row>
    <row r="17" spans="1:5" x14ac:dyDescent="0.3">
      <c r="A17" s="613" t="s">
        <v>301</v>
      </c>
      <c r="B17" s="615">
        <v>180</v>
      </c>
      <c r="C17" s="615">
        <v>250</v>
      </c>
      <c r="D17" s="615">
        <f t="shared" si="0"/>
        <v>45000</v>
      </c>
    </row>
    <row r="18" spans="1:5" x14ac:dyDescent="0.3">
      <c r="A18" s="613" t="s">
        <v>302</v>
      </c>
      <c r="B18" s="615">
        <v>200</v>
      </c>
      <c r="C18" s="615">
        <v>230</v>
      </c>
      <c r="D18" s="615">
        <f t="shared" si="0"/>
        <v>46000</v>
      </c>
    </row>
    <row r="19" spans="1:5" x14ac:dyDescent="0.3">
      <c r="A19" s="613" t="s">
        <v>303</v>
      </c>
      <c r="B19" s="615">
        <v>250</v>
      </c>
      <c r="C19" s="615">
        <v>230</v>
      </c>
      <c r="D19" s="615">
        <f t="shared" si="0"/>
        <v>57500</v>
      </c>
    </row>
    <row r="20" spans="1:5" x14ac:dyDescent="0.3">
      <c r="A20" s="613" t="s">
        <v>304</v>
      </c>
      <c r="B20" s="615">
        <v>1000</v>
      </c>
      <c r="C20" s="615">
        <v>120</v>
      </c>
      <c r="D20" s="615">
        <f t="shared" si="0"/>
        <v>120000</v>
      </c>
    </row>
    <row r="21" spans="1:5" x14ac:dyDescent="0.3">
      <c r="A21" s="613"/>
      <c r="B21" s="615"/>
      <c r="C21" s="617" t="s">
        <v>305</v>
      </c>
      <c r="D21" s="618">
        <f>SUM(D8:D20)</f>
        <v>805100</v>
      </c>
    </row>
    <row r="22" spans="1:5" x14ac:dyDescent="0.3">
      <c r="A22" s="611" t="s">
        <v>306</v>
      </c>
      <c r="E22" s="619"/>
    </row>
  </sheetData>
  <mergeCells count="3">
    <mergeCell ref="A6:D6"/>
    <mergeCell ref="A2:D2"/>
    <mergeCell ref="C3:C4"/>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FD68C-B7AA-4A21-A418-D53252278819}">
  <sheetPr>
    <tabColor theme="0" tint="-0.14999847407452621"/>
  </sheetPr>
  <dimension ref="A1:J8"/>
  <sheetViews>
    <sheetView zoomScale="64" zoomScaleNormal="64" workbookViewId="0">
      <selection activeCell="I1" sqref="I1:J1"/>
    </sheetView>
  </sheetViews>
  <sheetFormatPr defaultColWidth="9.1796875" defaultRowHeight="13" x14ac:dyDescent="0.3"/>
  <cols>
    <col min="1" max="1" width="18.54296875" style="32" customWidth="1"/>
    <col min="2" max="2" width="15.453125" style="32" customWidth="1"/>
    <col min="3" max="3" width="14.54296875" style="32" customWidth="1"/>
    <col min="4" max="4" width="9.1796875" style="32"/>
    <col min="5" max="5" width="11.54296875" style="32" customWidth="1"/>
    <col min="6" max="6" width="13.453125" style="32" customWidth="1"/>
    <col min="7" max="7" width="12.453125" style="32" customWidth="1"/>
    <col min="8" max="8" width="9.1796875" style="32"/>
    <col min="9" max="9" width="13.1796875" style="32" customWidth="1"/>
    <col min="10" max="10" width="23.54296875" style="32" customWidth="1"/>
    <col min="11" max="16384" width="9.1796875" style="32"/>
  </cols>
  <sheetData>
    <row r="1" spans="1:10" x14ac:dyDescent="0.3">
      <c r="I1" s="1081" t="s">
        <v>1317</v>
      </c>
      <c r="J1" s="1081"/>
    </row>
    <row r="2" spans="1:10" x14ac:dyDescent="0.3">
      <c r="A2" s="1080" t="s">
        <v>467</v>
      </c>
      <c r="B2" s="1080"/>
      <c r="C2" s="1080"/>
      <c r="D2" s="1080"/>
      <c r="E2" s="1080"/>
      <c r="F2" s="1080"/>
      <c r="G2" s="1080"/>
      <c r="H2" s="1080"/>
      <c r="I2" s="1080"/>
      <c r="J2" s="1080"/>
    </row>
    <row r="3" spans="1:10" ht="26" x14ac:dyDescent="0.3">
      <c r="A3" s="452" t="s">
        <v>446</v>
      </c>
      <c r="B3" s="448" t="s">
        <v>447</v>
      </c>
      <c r="C3" s="430" t="s">
        <v>448</v>
      </c>
      <c r="D3" s="430" t="s">
        <v>449</v>
      </c>
      <c r="E3" s="430" t="s">
        <v>450</v>
      </c>
      <c r="F3" s="430" t="s">
        <v>451</v>
      </c>
      <c r="G3" s="430" t="s">
        <v>452</v>
      </c>
      <c r="H3" s="430" t="s">
        <v>453</v>
      </c>
      <c r="I3" s="620" t="s">
        <v>454</v>
      </c>
      <c r="J3" s="430" t="s">
        <v>481</v>
      </c>
    </row>
    <row r="4" spans="1:10" x14ac:dyDescent="0.3">
      <c r="A4" s="358" t="s">
        <v>466</v>
      </c>
      <c r="B4" s="388">
        <v>1</v>
      </c>
      <c r="C4" s="621" t="s">
        <v>458</v>
      </c>
      <c r="D4" s="388" t="s">
        <v>462</v>
      </c>
      <c r="E4" s="388">
        <v>9</v>
      </c>
      <c r="F4" s="388">
        <v>1576</v>
      </c>
      <c r="G4" s="622">
        <f>F4*0.3</f>
        <v>472.79999999999995</v>
      </c>
      <c r="H4" s="622">
        <f>G4*0.2359</f>
        <v>111.53351999999998</v>
      </c>
      <c r="I4" s="623">
        <f>G4+H4</f>
        <v>584.33351999999991</v>
      </c>
      <c r="J4" s="601">
        <f>I4*12</f>
        <v>7012.0022399999989</v>
      </c>
    </row>
    <row r="5" spans="1:10" x14ac:dyDescent="0.3">
      <c r="A5" s="358" t="s">
        <v>460</v>
      </c>
      <c r="B5" s="388">
        <v>0.5</v>
      </c>
      <c r="C5" s="621" t="s">
        <v>461</v>
      </c>
      <c r="D5" s="388" t="s">
        <v>462</v>
      </c>
      <c r="E5" s="388">
        <v>9</v>
      </c>
      <c r="F5" s="388">
        <v>1098</v>
      </c>
      <c r="G5" s="622">
        <f>F5*0.3</f>
        <v>329.4</v>
      </c>
      <c r="H5" s="622">
        <f>G5*0.2359</f>
        <v>77.705459999999988</v>
      </c>
      <c r="I5" s="623">
        <f>G5+H5</f>
        <v>407.10545999999999</v>
      </c>
      <c r="J5" s="601">
        <f>I5*12</f>
        <v>4885.2655199999999</v>
      </c>
    </row>
    <row r="6" spans="1:10" x14ac:dyDescent="0.3">
      <c r="G6" s="1079" t="s">
        <v>465</v>
      </c>
      <c r="H6" s="1079"/>
      <c r="I6" s="1079"/>
      <c r="J6" s="624">
        <f>ROUND(SUM(J4:J5),0)</f>
        <v>11897</v>
      </c>
    </row>
    <row r="7" spans="1:10" x14ac:dyDescent="0.3">
      <c r="A7" s="625" t="s">
        <v>519</v>
      </c>
      <c r="B7" s="625"/>
      <c r="C7" s="625"/>
      <c r="D7" s="625"/>
      <c r="E7" s="625"/>
      <c r="F7" s="625"/>
      <c r="G7" s="625"/>
      <c r="H7" s="625"/>
      <c r="I7" s="625"/>
      <c r="J7" s="625"/>
    </row>
    <row r="8" spans="1:10" x14ac:dyDescent="0.3">
      <c r="A8" s="1082" t="s">
        <v>818</v>
      </c>
      <c r="B8" s="1082"/>
      <c r="C8" s="1082"/>
      <c r="D8" s="1082"/>
      <c r="E8" s="1082"/>
      <c r="F8" s="1082"/>
      <c r="G8" s="1082"/>
      <c r="H8" s="1082"/>
      <c r="I8" s="1082"/>
      <c r="J8" s="1082"/>
    </row>
  </sheetData>
  <mergeCells count="4">
    <mergeCell ref="G6:I6"/>
    <mergeCell ref="A2:J2"/>
    <mergeCell ref="I1:J1"/>
    <mergeCell ref="A8:J8"/>
  </mergeCells>
  <pageMargins left="0.7" right="0.7" top="0.75" bottom="0.75" header="0.3" footer="0.3"/>
  <pageSetup paperSize="9" orientation="portrait"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CB3AF-42AB-43A7-BD9D-A660DFB97628}">
  <sheetPr>
    <tabColor theme="2" tint="-0.249977111117893"/>
  </sheetPr>
  <dimension ref="A1:B6"/>
  <sheetViews>
    <sheetView zoomScale="84" zoomScaleNormal="84" workbookViewId="0">
      <selection activeCell="B1" sqref="B1"/>
    </sheetView>
  </sheetViews>
  <sheetFormatPr defaultColWidth="9.1796875" defaultRowHeight="13" x14ac:dyDescent="0.3"/>
  <cols>
    <col min="1" max="1" width="38.453125" style="32" customWidth="1"/>
    <col min="2" max="2" width="55.7265625" style="32" customWidth="1"/>
    <col min="3" max="16384" width="9.1796875" style="32"/>
  </cols>
  <sheetData>
    <row r="1" spans="1:2" x14ac:dyDescent="0.3">
      <c r="B1" s="349" t="s">
        <v>1318</v>
      </c>
    </row>
    <row r="2" spans="1:2" x14ac:dyDescent="0.3">
      <c r="A2" s="999" t="s">
        <v>706</v>
      </c>
      <c r="B2" s="999"/>
    </row>
    <row r="3" spans="1:2" ht="12.75" customHeight="1" x14ac:dyDescent="0.3">
      <c r="A3" s="1000" t="s">
        <v>2</v>
      </c>
      <c r="B3" s="353" t="s">
        <v>1105</v>
      </c>
    </row>
    <row r="4" spans="1:2" x14ac:dyDescent="0.3">
      <c r="A4" s="1000"/>
      <c r="B4" s="462" t="s">
        <v>197</v>
      </c>
    </row>
    <row r="5" spans="1:2" ht="39" x14ac:dyDescent="0.3">
      <c r="A5" s="350" t="s">
        <v>706</v>
      </c>
      <c r="B5" s="423">
        <v>45000</v>
      </c>
    </row>
    <row r="6" spans="1:2" ht="27" customHeight="1" x14ac:dyDescent="0.3">
      <c r="A6" s="995" t="s">
        <v>700</v>
      </c>
      <c r="B6" s="995"/>
    </row>
  </sheetData>
  <mergeCells count="3">
    <mergeCell ref="A2:B2"/>
    <mergeCell ref="A3:A4"/>
    <mergeCell ref="A6:B6"/>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AE13D-1F5D-411C-A320-7F6C3071A5C2}">
  <sheetPr>
    <tabColor theme="2" tint="-0.249977111117893"/>
  </sheetPr>
  <dimension ref="A1:B6"/>
  <sheetViews>
    <sheetView zoomScale="75" zoomScaleNormal="75" workbookViewId="0">
      <selection activeCell="B1" sqref="B1"/>
    </sheetView>
  </sheetViews>
  <sheetFormatPr defaultColWidth="9.1796875" defaultRowHeight="13" x14ac:dyDescent="0.3"/>
  <cols>
    <col min="1" max="1" width="38.453125" style="32" customWidth="1"/>
    <col min="2" max="2" width="55.7265625" style="32" customWidth="1"/>
    <col min="3" max="16384" width="9.1796875" style="32"/>
  </cols>
  <sheetData>
    <row r="1" spans="1:2" x14ac:dyDescent="0.3">
      <c r="B1" s="349" t="s">
        <v>1319</v>
      </c>
    </row>
    <row r="2" spans="1:2" ht="46.5" customHeight="1" x14ac:dyDescent="0.3">
      <c r="A2" s="999" t="s">
        <v>735</v>
      </c>
      <c r="B2" s="999"/>
    </row>
    <row r="3" spans="1:2" ht="12.75" customHeight="1" x14ac:dyDescent="0.3">
      <c r="A3" s="1000" t="s">
        <v>2</v>
      </c>
      <c r="B3" s="353" t="s">
        <v>1105</v>
      </c>
    </row>
    <row r="4" spans="1:2" x14ac:dyDescent="0.3">
      <c r="A4" s="1000"/>
      <c r="B4" s="462" t="s">
        <v>196</v>
      </c>
    </row>
    <row r="5" spans="1:2" ht="78" x14ac:dyDescent="0.3">
      <c r="A5" s="350" t="s">
        <v>735</v>
      </c>
      <c r="B5" s="423">
        <v>42350</v>
      </c>
    </row>
    <row r="6" spans="1:2" ht="27" customHeight="1" x14ac:dyDescent="0.3">
      <c r="A6" s="995" t="s">
        <v>700</v>
      </c>
      <c r="B6" s="995"/>
    </row>
  </sheetData>
  <mergeCells count="3">
    <mergeCell ref="A2:B2"/>
    <mergeCell ref="A3:A4"/>
    <mergeCell ref="A6:B6"/>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C6BC5-0BF2-46CC-8E38-E91DF0445ED7}">
  <sheetPr>
    <tabColor theme="2" tint="-0.249977111117893"/>
  </sheetPr>
  <dimension ref="A1:I26"/>
  <sheetViews>
    <sheetView zoomScale="77" zoomScaleNormal="77" workbookViewId="0">
      <selection activeCell="A6" sqref="A6:B6"/>
    </sheetView>
  </sheetViews>
  <sheetFormatPr defaultColWidth="9.1796875" defaultRowHeight="13" x14ac:dyDescent="0.3"/>
  <cols>
    <col min="1" max="1" width="50.7265625" style="32" customWidth="1"/>
    <col min="2" max="2" width="30.26953125" style="32" customWidth="1"/>
    <col min="3" max="16384" width="9.1796875" style="32"/>
  </cols>
  <sheetData>
    <row r="1" spans="1:2" x14ac:dyDescent="0.3">
      <c r="B1" s="349" t="s">
        <v>1320</v>
      </c>
    </row>
    <row r="2" spans="1:2" ht="39" customHeight="1" x14ac:dyDescent="0.3">
      <c r="A2" s="999" t="s">
        <v>87</v>
      </c>
      <c r="B2" s="999"/>
    </row>
    <row r="3" spans="1:2" ht="32.25" customHeight="1" x14ac:dyDescent="0.3">
      <c r="A3" s="1057" t="s">
        <v>2</v>
      </c>
      <c r="B3" s="353" t="s">
        <v>1105</v>
      </c>
    </row>
    <row r="4" spans="1:2" x14ac:dyDescent="0.3">
      <c r="A4" s="1057"/>
      <c r="B4" s="353" t="s">
        <v>197</v>
      </c>
    </row>
    <row r="5" spans="1:2" ht="26" x14ac:dyDescent="0.3">
      <c r="A5" s="350" t="s">
        <v>87</v>
      </c>
      <c r="B5" s="423">
        <v>39738</v>
      </c>
    </row>
    <row r="6" spans="1:2" ht="51" customHeight="1" x14ac:dyDescent="0.3">
      <c r="A6" s="1037" t="s">
        <v>1309</v>
      </c>
      <c r="B6" s="1058"/>
    </row>
    <row r="17" spans="9:9" ht="9.75" customHeight="1" x14ac:dyDescent="0.3"/>
    <row r="26" spans="9:9" x14ac:dyDescent="0.3">
      <c r="I26" s="370"/>
    </row>
  </sheetData>
  <mergeCells count="3">
    <mergeCell ref="A2:B2"/>
    <mergeCell ref="A3:A4"/>
    <mergeCell ref="A6:B6"/>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21480-71E5-496E-839C-7283EF417E48}">
  <sheetPr>
    <tabColor theme="9" tint="0.79998168889431442"/>
  </sheetPr>
  <dimension ref="A1:P42"/>
  <sheetViews>
    <sheetView topLeftCell="A7" zoomScale="71" zoomScaleNormal="71" workbookViewId="0">
      <selection activeCell="J1" sqref="J1"/>
    </sheetView>
  </sheetViews>
  <sheetFormatPr defaultColWidth="8.7265625" defaultRowHeight="13" x14ac:dyDescent="0.3"/>
  <cols>
    <col min="1" max="1" width="8.7265625" style="32"/>
    <col min="2" max="2" width="33.453125" style="32" customWidth="1"/>
    <col min="3" max="3" width="59.7265625" style="32" customWidth="1"/>
    <col min="4" max="4" width="36.81640625" style="32" customWidth="1"/>
    <col min="5" max="5" width="27" style="32" customWidth="1"/>
    <col min="6" max="6" width="19.54296875" style="32" customWidth="1"/>
    <col min="7" max="7" width="14.453125" style="32" customWidth="1"/>
    <col min="8" max="8" width="14.7265625" style="32" customWidth="1"/>
    <col min="9" max="9" width="18.81640625" style="32" customWidth="1"/>
    <col min="10" max="10" width="17.453125" style="32" customWidth="1"/>
    <col min="11" max="11" width="16.81640625" style="32" customWidth="1"/>
    <col min="12" max="16384" width="8.7265625" style="32"/>
  </cols>
  <sheetData>
    <row r="1" spans="1:16" x14ac:dyDescent="0.3">
      <c r="J1" s="349" t="s">
        <v>843</v>
      </c>
    </row>
    <row r="2" spans="1:16" ht="15" customHeight="1" x14ac:dyDescent="0.3">
      <c r="A2" s="1085" t="s">
        <v>312</v>
      </c>
      <c r="B2" s="1085"/>
      <c r="C2" s="1085"/>
      <c r="D2" s="1085"/>
      <c r="E2" s="1085"/>
      <c r="F2" s="1085"/>
      <c r="G2" s="1085"/>
      <c r="H2" s="1085"/>
      <c r="I2" s="1085"/>
      <c r="J2" s="1085"/>
    </row>
    <row r="4" spans="1:16" ht="39" x14ac:dyDescent="0.3">
      <c r="A4" s="632"/>
      <c r="B4" s="35" t="s">
        <v>194</v>
      </c>
      <c r="C4" s="35" t="s">
        <v>1109</v>
      </c>
      <c r="D4" s="35" t="s">
        <v>1236</v>
      </c>
      <c r="E4" s="36"/>
    </row>
    <row r="5" spans="1:16" ht="26" x14ac:dyDescent="0.3">
      <c r="A5" s="632"/>
      <c r="B5" s="790" t="s">
        <v>349</v>
      </c>
      <c r="C5" s="113">
        <f>ROUND(I13/2,0)</f>
        <v>8743</v>
      </c>
      <c r="D5" s="113">
        <f>ROUND(I13,0)</f>
        <v>17486</v>
      </c>
      <c r="E5" s="756"/>
    </row>
    <row r="6" spans="1:16" ht="26" x14ac:dyDescent="0.3">
      <c r="A6" s="632"/>
      <c r="B6" s="790" t="s">
        <v>804</v>
      </c>
      <c r="C6" s="114">
        <f>ROUND((I14+I23+I25+I27+I28+I29+I30+I31+I32+I33+I34)/2,0)</f>
        <v>302185</v>
      </c>
      <c r="D6" s="114">
        <f>ROUND(I34+I33+I32+I31+I30+I29+I28+I27+I25+I23+I14,0)</f>
        <v>604370</v>
      </c>
      <c r="E6" s="757"/>
    </row>
    <row r="7" spans="1:16" ht="26" x14ac:dyDescent="0.3">
      <c r="A7" s="632"/>
      <c r="B7" s="790" t="s">
        <v>803</v>
      </c>
      <c r="C7" s="114">
        <f>ROUND((I15+I16+I17+I18+I19+I20+I21+I22+I24)/2,0)</f>
        <v>5549</v>
      </c>
      <c r="D7" s="760">
        <f>ROUND(I15+I16+I17+I18+I19+I20+I21+I22+I24,0)</f>
        <v>11097</v>
      </c>
      <c r="E7" s="758"/>
    </row>
    <row r="8" spans="1:16" ht="26" x14ac:dyDescent="0.3">
      <c r="A8" s="632"/>
      <c r="B8" s="790" t="s">
        <v>348</v>
      </c>
      <c r="C8" s="114">
        <f>ROUND(I26/2,0)</f>
        <v>125250</v>
      </c>
      <c r="D8" s="114">
        <f>ROUND(I26,0)</f>
        <v>250500</v>
      </c>
      <c r="E8" s="757"/>
    </row>
    <row r="9" spans="1:16" x14ac:dyDescent="0.3">
      <c r="A9" s="632"/>
      <c r="B9" s="789" t="s">
        <v>313</v>
      </c>
      <c r="C9" s="110">
        <f>SUM(C5:C8)</f>
        <v>441727</v>
      </c>
      <c r="D9" s="111">
        <f>SUM(D5:D8)</f>
        <v>883453</v>
      </c>
      <c r="E9" s="759"/>
      <c r="F9" s="625"/>
    </row>
    <row r="10" spans="1:16" x14ac:dyDescent="0.3">
      <c r="A10" s="632"/>
    </row>
    <row r="11" spans="1:16" x14ac:dyDescent="0.3">
      <c r="A11" s="632"/>
      <c r="B11" s="1099" t="s">
        <v>235</v>
      </c>
      <c r="C11" s="1072" t="s">
        <v>236</v>
      </c>
      <c r="D11" s="1070" t="s">
        <v>286</v>
      </c>
      <c r="E11" s="1070" t="s">
        <v>238</v>
      </c>
      <c r="F11" s="1101" t="s">
        <v>239</v>
      </c>
      <c r="G11" s="1102"/>
      <c r="H11" s="1103"/>
      <c r="I11" s="1096" t="s">
        <v>240</v>
      </c>
      <c r="J11" s="1098" t="s">
        <v>308</v>
      </c>
    </row>
    <row r="12" spans="1:16" ht="28.5" customHeight="1" x14ac:dyDescent="0.3">
      <c r="A12" s="632"/>
      <c r="B12" s="1100"/>
      <c r="C12" s="1073"/>
      <c r="D12" s="1071"/>
      <c r="E12" s="1071"/>
      <c r="F12" s="633" t="s">
        <v>241</v>
      </c>
      <c r="G12" s="633" t="s">
        <v>242</v>
      </c>
      <c r="H12" s="633" t="s">
        <v>243</v>
      </c>
      <c r="I12" s="1097"/>
      <c r="J12" s="1098"/>
      <c r="K12" s="634"/>
    </row>
    <row r="13" spans="1:16" ht="27.75" customHeight="1" x14ac:dyDescent="0.3">
      <c r="A13" s="632"/>
      <c r="B13" s="1092">
        <v>60209</v>
      </c>
      <c r="C13" s="1093" t="s">
        <v>314</v>
      </c>
      <c r="D13" s="1094">
        <v>91.55</v>
      </c>
      <c r="E13" s="1095">
        <v>1</v>
      </c>
      <c r="F13" s="1086">
        <v>3639</v>
      </c>
      <c r="G13" s="1086"/>
      <c r="H13" s="1086">
        <v>191</v>
      </c>
      <c r="I13" s="352">
        <f>D13*E13*H13</f>
        <v>17486.05</v>
      </c>
      <c r="J13" s="628" t="s">
        <v>309</v>
      </c>
    </row>
    <row r="14" spans="1:16" ht="48" customHeight="1" x14ac:dyDescent="0.3">
      <c r="A14" s="637"/>
      <c r="B14" s="1092"/>
      <c r="C14" s="1093"/>
      <c r="D14" s="1094"/>
      <c r="E14" s="1095"/>
      <c r="F14" s="1086"/>
      <c r="G14" s="1086"/>
      <c r="H14" s="1086"/>
      <c r="I14" s="352">
        <f>D13*E13*F13</f>
        <v>333150.45</v>
      </c>
      <c r="J14" s="638" t="s">
        <v>310</v>
      </c>
    </row>
    <row r="15" spans="1:16" s="249" customFormat="1" x14ac:dyDescent="0.3">
      <c r="A15" s="1087" t="s">
        <v>315</v>
      </c>
      <c r="B15" s="635">
        <v>40148</v>
      </c>
      <c r="C15" s="103" t="s">
        <v>316</v>
      </c>
      <c r="D15" s="104">
        <v>1.72</v>
      </c>
      <c r="E15" s="568">
        <v>1</v>
      </c>
      <c r="F15" s="639">
        <v>222</v>
      </c>
      <c r="G15" s="639"/>
      <c r="H15" s="639"/>
      <c r="I15" s="640">
        <f>F15*D15</f>
        <v>381.84</v>
      </c>
      <c r="J15" s="638" t="s">
        <v>317</v>
      </c>
      <c r="K15" s="641"/>
    </row>
    <row r="16" spans="1:16" s="249" customFormat="1" ht="39" x14ac:dyDescent="0.3">
      <c r="A16" s="1087"/>
      <c r="B16" s="635" t="s">
        <v>318</v>
      </c>
      <c r="C16" s="103" t="s">
        <v>319</v>
      </c>
      <c r="D16" s="104">
        <v>4.7699999999999996</v>
      </c>
      <c r="E16" s="568">
        <v>1</v>
      </c>
      <c r="F16" s="639">
        <v>222</v>
      </c>
      <c r="G16" s="639"/>
      <c r="H16" s="639"/>
      <c r="I16" s="640">
        <f t="shared" ref="I16:I22" si="0">F16*D16</f>
        <v>1058.9399999999998</v>
      </c>
      <c r="J16" s="638" t="s">
        <v>317</v>
      </c>
      <c r="K16" s="641"/>
      <c r="L16" s="642"/>
      <c r="M16" s="642"/>
      <c r="N16" s="642"/>
      <c r="O16" s="642"/>
      <c r="P16" s="642"/>
    </row>
    <row r="17" spans="1:11" s="249" customFormat="1" x14ac:dyDescent="0.3">
      <c r="A17" s="1087"/>
      <c r="B17" s="635">
        <v>41232</v>
      </c>
      <c r="C17" s="103" t="s">
        <v>320</v>
      </c>
      <c r="D17" s="104">
        <v>4.7699999999999996</v>
      </c>
      <c r="E17" s="568">
        <v>1</v>
      </c>
      <c r="F17" s="639">
        <v>222</v>
      </c>
      <c r="G17" s="639"/>
      <c r="H17" s="639"/>
      <c r="I17" s="640">
        <f t="shared" si="0"/>
        <v>1058.9399999999998</v>
      </c>
      <c r="J17" s="638" t="s">
        <v>317</v>
      </c>
      <c r="K17" s="641"/>
    </row>
    <row r="18" spans="1:11" s="249" customFormat="1" x14ac:dyDescent="0.3">
      <c r="A18" s="1087"/>
      <c r="B18" s="635">
        <v>41301</v>
      </c>
      <c r="C18" s="103" t="s">
        <v>321</v>
      </c>
      <c r="D18" s="104">
        <v>4.25</v>
      </c>
      <c r="E18" s="568">
        <v>1</v>
      </c>
      <c r="F18" s="639">
        <v>222</v>
      </c>
      <c r="G18" s="639"/>
      <c r="H18" s="639"/>
      <c r="I18" s="640">
        <f t="shared" si="0"/>
        <v>943.5</v>
      </c>
      <c r="J18" s="638" t="s">
        <v>317</v>
      </c>
      <c r="K18" s="641"/>
    </row>
    <row r="19" spans="1:11" s="249" customFormat="1" x14ac:dyDescent="0.3">
      <c r="A19" s="1087"/>
      <c r="B19" s="635">
        <v>40005</v>
      </c>
      <c r="C19" s="103" t="s">
        <v>322</v>
      </c>
      <c r="D19" s="104">
        <v>1.83</v>
      </c>
      <c r="E19" s="568">
        <v>1</v>
      </c>
      <c r="F19" s="639">
        <v>222</v>
      </c>
      <c r="G19" s="639"/>
      <c r="H19" s="639"/>
      <c r="I19" s="640">
        <f t="shared" si="0"/>
        <v>406.26</v>
      </c>
      <c r="J19" s="638" t="s">
        <v>317</v>
      </c>
      <c r="K19" s="641"/>
    </row>
    <row r="20" spans="1:11" s="249" customFormat="1" x14ac:dyDescent="0.3">
      <c r="A20" s="1087"/>
      <c r="B20" s="635">
        <v>41262</v>
      </c>
      <c r="C20" s="105" t="s">
        <v>323</v>
      </c>
      <c r="D20" s="104">
        <v>16.36</v>
      </c>
      <c r="E20" s="568">
        <v>1</v>
      </c>
      <c r="F20" s="639">
        <v>222</v>
      </c>
      <c r="G20" s="639"/>
      <c r="H20" s="639"/>
      <c r="I20" s="640">
        <f t="shared" si="0"/>
        <v>3631.92</v>
      </c>
      <c r="J20" s="638" t="s">
        <v>317</v>
      </c>
      <c r="K20" s="641"/>
    </row>
    <row r="21" spans="1:11" s="249" customFormat="1" x14ac:dyDescent="0.3">
      <c r="A21" s="1087"/>
      <c r="B21" s="635">
        <v>41401</v>
      </c>
      <c r="C21" s="103" t="s">
        <v>324</v>
      </c>
      <c r="D21" s="104">
        <v>7.56</v>
      </c>
      <c r="E21" s="568">
        <v>1</v>
      </c>
      <c r="F21" s="639">
        <v>222</v>
      </c>
      <c r="G21" s="639"/>
      <c r="H21" s="639"/>
      <c r="I21" s="640">
        <f t="shared" si="0"/>
        <v>1678.32</v>
      </c>
      <c r="J21" s="638" t="s">
        <v>317</v>
      </c>
      <c r="K21" s="641"/>
    </row>
    <row r="22" spans="1:11" s="249" customFormat="1" x14ac:dyDescent="0.3">
      <c r="A22" s="1087"/>
      <c r="B22" s="48">
        <v>40191</v>
      </c>
      <c r="C22" s="106" t="s">
        <v>325</v>
      </c>
      <c r="D22" s="104">
        <v>4.99</v>
      </c>
      <c r="E22" s="568">
        <v>1</v>
      </c>
      <c r="F22" s="639">
        <v>222</v>
      </c>
      <c r="G22" s="639"/>
      <c r="H22" s="639"/>
      <c r="I22" s="640">
        <f t="shared" si="0"/>
        <v>1107.78</v>
      </c>
      <c r="J22" s="638" t="s">
        <v>317</v>
      </c>
      <c r="K22" s="641"/>
    </row>
    <row r="23" spans="1:11" x14ac:dyDescent="0.3">
      <c r="A23" s="1088" t="s">
        <v>326</v>
      </c>
      <c r="B23" s="635" t="s">
        <v>327</v>
      </c>
      <c r="C23" s="107" t="s">
        <v>328</v>
      </c>
      <c r="D23" s="627">
        <v>14.74</v>
      </c>
      <c r="E23" s="568">
        <v>1</v>
      </c>
      <c r="F23" s="52">
        <v>55</v>
      </c>
      <c r="G23" s="52"/>
      <c r="H23" s="52"/>
      <c r="I23" s="352">
        <f>F23*E23*D23</f>
        <v>810.7</v>
      </c>
      <c r="J23" s="638" t="s">
        <v>310</v>
      </c>
    </row>
    <row r="24" spans="1:11" ht="47.25" customHeight="1" x14ac:dyDescent="0.3">
      <c r="A24" s="1089"/>
      <c r="B24" s="635">
        <v>40189</v>
      </c>
      <c r="C24" s="107" t="s">
        <v>329</v>
      </c>
      <c r="D24" s="627">
        <v>15.09</v>
      </c>
      <c r="E24" s="568">
        <v>1</v>
      </c>
      <c r="F24" s="52">
        <v>55</v>
      </c>
      <c r="G24" s="52"/>
      <c r="H24" s="52"/>
      <c r="I24" s="352">
        <f>F24*E24*D24</f>
        <v>829.95</v>
      </c>
      <c r="J24" s="638" t="s">
        <v>317</v>
      </c>
      <c r="K24" s="99"/>
    </row>
    <row r="25" spans="1:11" ht="59.25" customHeight="1" x14ac:dyDescent="0.3">
      <c r="A25" s="643" t="s">
        <v>330</v>
      </c>
      <c r="B25" s="48">
        <v>16143</v>
      </c>
      <c r="C25" s="107" t="s">
        <v>331</v>
      </c>
      <c r="D25" s="627">
        <v>430.33</v>
      </c>
      <c r="E25" s="568">
        <v>1</v>
      </c>
      <c r="F25" s="52">
        <v>167</v>
      </c>
      <c r="G25" s="52"/>
      <c r="H25" s="52"/>
      <c r="I25" s="352">
        <f>D25*E25*F25</f>
        <v>71865.11</v>
      </c>
      <c r="J25" s="638" t="s">
        <v>310</v>
      </c>
    </row>
    <row r="26" spans="1:11" x14ac:dyDescent="0.3">
      <c r="B26" s="48" t="s">
        <v>332</v>
      </c>
      <c r="C26" s="107" t="s">
        <v>345</v>
      </c>
      <c r="D26" s="636">
        <v>1500</v>
      </c>
      <c r="E26" s="568">
        <v>1</v>
      </c>
      <c r="F26" s="52">
        <v>167</v>
      </c>
      <c r="G26" s="52"/>
      <c r="H26" s="52"/>
      <c r="I26" s="352">
        <f>D26*E26*F26</f>
        <v>250500</v>
      </c>
      <c r="J26" s="638" t="s">
        <v>333</v>
      </c>
    </row>
    <row r="27" spans="1:11" x14ac:dyDescent="0.3">
      <c r="A27" s="1090" t="s">
        <v>334</v>
      </c>
      <c r="B27" s="48">
        <v>16151</v>
      </c>
      <c r="C27" s="107" t="s">
        <v>335</v>
      </c>
      <c r="D27" s="627">
        <v>129</v>
      </c>
      <c r="E27" s="568">
        <v>1</v>
      </c>
      <c r="F27" s="52">
        <v>55</v>
      </c>
      <c r="G27" s="52"/>
      <c r="H27" s="52"/>
      <c r="I27" s="352">
        <f>F27*E27*D27</f>
        <v>7095</v>
      </c>
      <c r="J27" s="638">
        <v>33.159999999999997</v>
      </c>
    </row>
    <row r="28" spans="1:11" x14ac:dyDescent="0.3">
      <c r="A28" s="1090"/>
      <c r="B28" s="48">
        <v>16152</v>
      </c>
      <c r="C28" s="107" t="s">
        <v>336</v>
      </c>
      <c r="D28" s="627">
        <v>157.57</v>
      </c>
      <c r="E28" s="568">
        <v>1</v>
      </c>
      <c r="F28" s="52">
        <v>55</v>
      </c>
      <c r="G28" s="52"/>
      <c r="H28" s="52"/>
      <c r="I28" s="352">
        <f t="shared" ref="I28:I29" si="1">F28*E28*D28</f>
        <v>8666.35</v>
      </c>
      <c r="J28" s="638">
        <v>33.159999999999997</v>
      </c>
    </row>
    <row r="29" spans="1:11" ht="28.5" customHeight="1" x14ac:dyDescent="0.3">
      <c r="A29" s="1090"/>
      <c r="B29" s="48">
        <v>16153</v>
      </c>
      <c r="C29" s="107" t="s">
        <v>337</v>
      </c>
      <c r="D29" s="627">
        <v>115</v>
      </c>
      <c r="E29" s="568">
        <v>1</v>
      </c>
      <c r="F29" s="52">
        <v>55</v>
      </c>
      <c r="G29" s="52"/>
      <c r="H29" s="52"/>
      <c r="I29" s="352">
        <f t="shared" si="1"/>
        <v>6325</v>
      </c>
      <c r="J29" s="638">
        <v>33.159999999999997</v>
      </c>
    </row>
    <row r="30" spans="1:11" x14ac:dyDescent="0.3">
      <c r="A30" s="1090" t="s">
        <v>338</v>
      </c>
      <c r="B30" s="48">
        <v>16150</v>
      </c>
      <c r="C30" s="107" t="s">
        <v>339</v>
      </c>
      <c r="D30" s="627">
        <v>460</v>
      </c>
      <c r="E30" s="568">
        <v>1</v>
      </c>
      <c r="F30" s="52">
        <v>167</v>
      </c>
      <c r="G30" s="52"/>
      <c r="H30" s="52"/>
      <c r="I30" s="352">
        <f>F30*E30*D30</f>
        <v>76820</v>
      </c>
      <c r="J30" s="638">
        <v>33.159999999999997</v>
      </c>
    </row>
    <row r="31" spans="1:11" x14ac:dyDescent="0.3">
      <c r="A31" s="1090"/>
      <c r="B31" s="48">
        <v>16152</v>
      </c>
      <c r="C31" s="107" t="s">
        <v>336</v>
      </c>
      <c r="D31" s="627">
        <v>157.57</v>
      </c>
      <c r="E31" s="568">
        <v>1</v>
      </c>
      <c r="F31" s="52">
        <v>167</v>
      </c>
      <c r="G31" s="52"/>
      <c r="H31" s="52"/>
      <c r="I31" s="352">
        <f t="shared" ref="I31:I32" si="2">F31*E31*D31</f>
        <v>26314.19</v>
      </c>
      <c r="J31" s="638">
        <v>33.159999999999997</v>
      </c>
    </row>
    <row r="32" spans="1:11" ht="39.75" customHeight="1" x14ac:dyDescent="0.3">
      <c r="A32" s="1090"/>
      <c r="B32" s="644">
        <v>16154</v>
      </c>
      <c r="C32" s="108" t="s">
        <v>340</v>
      </c>
      <c r="D32" s="645">
        <v>210</v>
      </c>
      <c r="E32" s="646">
        <v>1</v>
      </c>
      <c r="F32" s="647">
        <v>167</v>
      </c>
      <c r="G32" s="647"/>
      <c r="H32" s="647"/>
      <c r="I32" s="648">
        <f t="shared" si="2"/>
        <v>35070</v>
      </c>
      <c r="J32" s="649">
        <v>33.159999999999997</v>
      </c>
      <c r="K32" s="634"/>
    </row>
    <row r="33" spans="1:11" x14ac:dyDescent="0.3">
      <c r="A33" s="1091" t="s">
        <v>346</v>
      </c>
      <c r="B33" s="48" t="s">
        <v>341</v>
      </c>
      <c r="C33" s="107" t="s">
        <v>342</v>
      </c>
      <c r="D33" s="627">
        <v>14.74</v>
      </c>
      <c r="E33" s="568">
        <v>1</v>
      </c>
      <c r="F33" s="52">
        <v>222</v>
      </c>
      <c r="G33" s="52"/>
      <c r="H33" s="52"/>
      <c r="I33" s="352">
        <f>(F33*E33*D33)</f>
        <v>3272.28</v>
      </c>
      <c r="J33" s="638" t="s">
        <v>310</v>
      </c>
      <c r="K33" s="650"/>
    </row>
    <row r="34" spans="1:11" ht="101.25" customHeight="1" x14ac:dyDescent="0.3">
      <c r="A34" s="1091"/>
      <c r="B34" s="48">
        <v>16152</v>
      </c>
      <c r="C34" s="107" t="s">
        <v>336</v>
      </c>
      <c r="D34" s="627">
        <v>157.57</v>
      </c>
      <c r="E34" s="568">
        <v>1</v>
      </c>
      <c r="F34" s="52">
        <v>222</v>
      </c>
      <c r="G34" s="52"/>
      <c r="H34" s="52"/>
      <c r="I34" s="352">
        <f>(D34*E34*F34)</f>
        <v>34980.54</v>
      </c>
      <c r="J34" s="638" t="s">
        <v>310</v>
      </c>
      <c r="K34" s="650"/>
    </row>
    <row r="35" spans="1:11" x14ac:dyDescent="0.3">
      <c r="B35" s="629"/>
      <c r="C35" s="109"/>
      <c r="D35" s="630"/>
      <c r="E35" s="631"/>
      <c r="F35" s="56"/>
      <c r="G35" s="56"/>
      <c r="H35" s="651" t="s">
        <v>311</v>
      </c>
      <c r="I35" s="112">
        <f>I13+I14+I15+I16+I17+I18+I19+I20+I21+I22+I23+I24+I25+I26+I27+I28+I29+I30+I31+I32+I33+I34</f>
        <v>883453.12</v>
      </c>
    </row>
    <row r="36" spans="1:11" x14ac:dyDescent="0.3">
      <c r="B36" s="1083" t="s">
        <v>343</v>
      </c>
      <c r="C36" s="1083"/>
      <c r="D36" s="1083"/>
      <c r="E36" s="1083"/>
      <c r="F36" s="56"/>
      <c r="G36" s="56"/>
      <c r="H36" s="56"/>
      <c r="I36" s="652"/>
    </row>
    <row r="37" spans="1:11" x14ac:dyDescent="0.3">
      <c r="B37" s="1084" t="s">
        <v>344</v>
      </c>
      <c r="C37" s="1084"/>
      <c r="D37" s="1084"/>
      <c r="E37" s="1084"/>
      <c r="F37" s="1084"/>
      <c r="G37" s="56"/>
      <c r="H37" s="56"/>
      <c r="I37" s="652"/>
    </row>
    <row r="38" spans="1:11" x14ac:dyDescent="0.3">
      <c r="B38" s="1084" t="s">
        <v>347</v>
      </c>
      <c r="C38" s="1084"/>
      <c r="D38" s="1084"/>
    </row>
    <row r="39" spans="1:11" x14ac:dyDescent="0.3">
      <c r="B39" s="653"/>
      <c r="C39" s="653"/>
      <c r="D39" s="653"/>
      <c r="E39" s="653"/>
      <c r="F39" s="653"/>
      <c r="G39" s="653"/>
    </row>
    <row r="40" spans="1:11" x14ac:dyDescent="0.3">
      <c r="B40" s="653"/>
      <c r="C40" s="653"/>
      <c r="D40" s="653"/>
      <c r="E40" s="653"/>
      <c r="F40" s="653"/>
      <c r="G40" s="653"/>
    </row>
    <row r="41" spans="1:11" x14ac:dyDescent="0.3">
      <c r="B41" s="653"/>
      <c r="C41" s="653"/>
      <c r="D41" s="653"/>
      <c r="E41" s="653"/>
      <c r="F41" s="653"/>
      <c r="G41" s="653"/>
    </row>
    <row r="42" spans="1:11" x14ac:dyDescent="0.3">
      <c r="B42" s="653"/>
      <c r="C42" s="653"/>
      <c r="D42" s="653"/>
      <c r="E42" s="653"/>
      <c r="F42" s="653"/>
      <c r="G42" s="653"/>
      <c r="H42" s="654"/>
      <c r="I42" s="654"/>
      <c r="J42" s="653"/>
      <c r="K42" s="653"/>
    </row>
  </sheetData>
  <mergeCells count="23">
    <mergeCell ref="I11:I12"/>
    <mergeCell ref="J11:J12"/>
    <mergeCell ref="B11:B12"/>
    <mergeCell ref="C11:C12"/>
    <mergeCell ref="D11:D12"/>
    <mergeCell ref="E11:E12"/>
    <mergeCell ref="F11:H11"/>
    <mergeCell ref="B36:E36"/>
    <mergeCell ref="B37:F37"/>
    <mergeCell ref="B38:D38"/>
    <mergeCell ref="A2:J2"/>
    <mergeCell ref="H13:H14"/>
    <mergeCell ref="A15:A22"/>
    <mergeCell ref="A23:A24"/>
    <mergeCell ref="A27:A29"/>
    <mergeCell ref="A30:A32"/>
    <mergeCell ref="A33:A34"/>
    <mergeCell ref="B13:B14"/>
    <mergeCell ref="C13:C14"/>
    <mergeCell ref="D13:D14"/>
    <mergeCell ref="E13:E14"/>
    <mergeCell ref="F13:F14"/>
    <mergeCell ref="G13:G14"/>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6E36A-2709-4463-AC52-64478E09196A}">
  <sheetPr>
    <tabColor theme="2"/>
  </sheetPr>
  <dimension ref="A1:C20"/>
  <sheetViews>
    <sheetView zoomScale="78" zoomScaleNormal="78" workbookViewId="0">
      <selection activeCell="A6" sqref="A6:C6"/>
    </sheetView>
  </sheetViews>
  <sheetFormatPr defaultColWidth="9.1796875" defaultRowHeight="12" customHeight="1" x14ac:dyDescent="0.3"/>
  <cols>
    <col min="1" max="1" width="46.1796875" style="32" customWidth="1"/>
    <col min="2" max="2" width="20.7265625" style="32" customWidth="1"/>
    <col min="3" max="3" width="22.1796875" style="32" customWidth="1"/>
    <col min="4" max="16384" width="9.1796875" style="32"/>
  </cols>
  <sheetData>
    <row r="1" spans="1:3" ht="12" customHeight="1" x14ac:dyDescent="0.3">
      <c r="A1" s="1081" t="s">
        <v>1321</v>
      </c>
      <c r="B1" s="1081"/>
      <c r="C1" s="1081"/>
    </row>
    <row r="2" spans="1:3" ht="12" customHeight="1" x14ac:dyDescent="0.3">
      <c r="A2" s="1080" t="s">
        <v>758</v>
      </c>
      <c r="B2" s="1080"/>
      <c r="C2" s="1080"/>
    </row>
    <row r="3" spans="1:3" ht="12" customHeight="1" x14ac:dyDescent="0.3">
      <c r="A3" s="1104" t="s">
        <v>2</v>
      </c>
      <c r="B3" s="1001" t="s">
        <v>605</v>
      </c>
      <c r="C3" s="1002"/>
    </row>
    <row r="4" spans="1:3" ht="12" customHeight="1" x14ac:dyDescent="0.3">
      <c r="A4" s="1105"/>
      <c r="B4" s="343" t="s">
        <v>195</v>
      </c>
      <c r="C4" s="427" t="s">
        <v>196</v>
      </c>
    </row>
    <row r="5" spans="1:3" ht="12" customHeight="1" x14ac:dyDescent="0.3">
      <c r="A5" s="359" t="s">
        <v>758</v>
      </c>
      <c r="B5" s="485">
        <v>214754</v>
      </c>
      <c r="C5" s="423">
        <v>65906</v>
      </c>
    </row>
    <row r="6" spans="1:3" ht="12" customHeight="1" x14ac:dyDescent="0.3">
      <c r="A6" s="995" t="s">
        <v>1322</v>
      </c>
      <c r="B6" s="995"/>
      <c r="C6" s="995"/>
    </row>
    <row r="20" spans="1:2" ht="12" customHeight="1" x14ac:dyDescent="0.3">
      <c r="A20" s="494"/>
      <c r="B20" s="494"/>
    </row>
  </sheetData>
  <mergeCells count="5">
    <mergeCell ref="A6:C6"/>
    <mergeCell ref="A1:C1"/>
    <mergeCell ref="A3:A4"/>
    <mergeCell ref="B3:C3"/>
    <mergeCell ref="A2:C2"/>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657F6-D629-4F99-A39C-019AAEDA08DA}">
  <sheetPr>
    <tabColor theme="9" tint="0.79998168889431442"/>
  </sheetPr>
  <dimension ref="A1:I20"/>
  <sheetViews>
    <sheetView zoomScale="80" zoomScaleNormal="80" workbookViewId="0">
      <selection activeCell="F1" sqref="F1"/>
    </sheetView>
  </sheetViews>
  <sheetFormatPr defaultColWidth="8.7265625" defaultRowHeight="13" x14ac:dyDescent="0.3"/>
  <cols>
    <col min="1" max="1" width="41.1796875" style="32" customWidth="1"/>
    <col min="2" max="2" width="31" style="32" customWidth="1"/>
    <col min="3" max="3" width="29.81640625" style="32" customWidth="1"/>
    <col min="4" max="4" width="21.7265625" style="32" customWidth="1"/>
    <col min="5" max="5" width="18.54296875" style="32" customWidth="1"/>
    <col min="6" max="6" width="15.453125" style="32" customWidth="1"/>
    <col min="7" max="7" width="12.7265625" style="32" customWidth="1"/>
    <col min="8" max="8" width="9.453125" style="32" customWidth="1"/>
    <col min="9" max="9" width="25.1796875" style="32" customWidth="1"/>
    <col min="10" max="10" width="22.81640625" style="32" customWidth="1"/>
    <col min="11" max="16384" width="8.7265625" style="32"/>
  </cols>
  <sheetData>
    <row r="1" spans="1:9" x14ac:dyDescent="0.3">
      <c r="A1" s="45"/>
      <c r="B1" s="37"/>
      <c r="C1" s="46"/>
      <c r="D1" s="37"/>
      <c r="E1" s="37"/>
      <c r="F1" s="653" t="s">
        <v>1091</v>
      </c>
      <c r="G1" s="91"/>
      <c r="H1" s="91"/>
      <c r="I1" s="37"/>
    </row>
    <row r="2" spans="1:9" x14ac:dyDescent="0.3">
      <c r="B2" s="1085" t="s">
        <v>350</v>
      </c>
      <c r="C2" s="1085"/>
      <c r="D2" s="1085"/>
    </row>
    <row r="3" spans="1:9" x14ac:dyDescent="0.3">
      <c r="B3" s="444"/>
      <c r="C3" s="444"/>
      <c r="D3" s="444"/>
    </row>
    <row r="4" spans="1:9" ht="39" x14ac:dyDescent="0.3">
      <c r="A4" s="34" t="s">
        <v>194</v>
      </c>
      <c r="B4" s="35" t="s">
        <v>1106</v>
      </c>
      <c r="C4" s="36"/>
      <c r="D4" s="444"/>
    </row>
    <row r="5" spans="1:9" ht="26" x14ac:dyDescent="0.3">
      <c r="A5" s="791" t="s">
        <v>803</v>
      </c>
      <c r="B5" s="120">
        <f>I12+I13</f>
        <v>16920</v>
      </c>
      <c r="C5" s="135"/>
      <c r="D5" s="444"/>
    </row>
    <row r="6" spans="1:9" ht="26" x14ac:dyDescent="0.3">
      <c r="A6" s="788" t="s">
        <v>804</v>
      </c>
      <c r="B6" s="120">
        <f>I11+I14</f>
        <v>132414</v>
      </c>
      <c r="C6" s="135"/>
      <c r="D6" s="444"/>
    </row>
    <row r="7" spans="1:9" x14ac:dyDescent="0.3">
      <c r="A7" s="655" t="s">
        <v>305</v>
      </c>
      <c r="B7" s="120">
        <f>B5+B6</f>
        <v>149334</v>
      </c>
      <c r="C7" s="135"/>
      <c r="D7" s="444"/>
    </row>
    <row r="8" spans="1:9" x14ac:dyDescent="0.3">
      <c r="A8" s="656"/>
      <c r="B8" s="135"/>
      <c r="C8" s="135"/>
      <c r="D8" s="444"/>
    </row>
    <row r="9" spans="1:9" x14ac:dyDescent="0.3">
      <c r="A9" s="1070" t="s">
        <v>235</v>
      </c>
      <c r="B9" s="1107" t="s">
        <v>236</v>
      </c>
      <c r="C9" s="1106" t="s">
        <v>286</v>
      </c>
      <c r="D9" s="1070" t="s">
        <v>239</v>
      </c>
      <c r="E9" s="1070" t="s">
        <v>238</v>
      </c>
      <c r="F9" s="1106" t="s">
        <v>352</v>
      </c>
      <c r="G9" s="1106"/>
      <c r="H9" s="1106"/>
      <c r="I9" s="1070" t="s">
        <v>240</v>
      </c>
    </row>
    <row r="10" spans="1:9" ht="25.5" customHeight="1" x14ac:dyDescent="0.3">
      <c r="A10" s="1071"/>
      <c r="B10" s="1107"/>
      <c r="C10" s="1106"/>
      <c r="D10" s="1071"/>
      <c r="E10" s="1071"/>
      <c r="F10" s="633" t="s">
        <v>241</v>
      </c>
      <c r="G10" s="633" t="s">
        <v>242</v>
      </c>
      <c r="H10" s="633" t="s">
        <v>243</v>
      </c>
      <c r="I10" s="1071"/>
    </row>
    <row r="11" spans="1:9" x14ac:dyDescent="0.3">
      <c r="A11" s="96" t="str">
        <f>0&amp;6033</f>
        <v>06033</v>
      </c>
      <c r="B11" s="657" t="s">
        <v>353</v>
      </c>
      <c r="C11" s="658">
        <v>51.33</v>
      </c>
      <c r="D11" s="658">
        <v>900</v>
      </c>
      <c r="E11" s="658">
        <v>2</v>
      </c>
      <c r="F11" s="658">
        <v>1800</v>
      </c>
      <c r="G11" s="658"/>
      <c r="H11" s="658"/>
      <c r="I11" s="659">
        <f>C11*D11*E11</f>
        <v>92394</v>
      </c>
    </row>
    <row r="12" spans="1:9" ht="52" x14ac:dyDescent="0.3">
      <c r="A12" s="96">
        <v>41212</v>
      </c>
      <c r="B12" s="657" t="s">
        <v>354</v>
      </c>
      <c r="C12" s="658">
        <v>10.89</v>
      </c>
      <c r="D12" s="658">
        <v>1000</v>
      </c>
      <c r="E12" s="658">
        <v>1</v>
      </c>
      <c r="F12" s="658">
        <v>1000</v>
      </c>
      <c r="G12" s="658"/>
      <c r="H12" s="658"/>
      <c r="I12" s="659">
        <f t="shared" ref="I12:I14" si="0">C12*D12*E12</f>
        <v>10890</v>
      </c>
    </row>
    <row r="13" spans="1:9" x14ac:dyDescent="0.3">
      <c r="A13" s="48">
        <v>41203</v>
      </c>
      <c r="B13" s="660" t="s">
        <v>355</v>
      </c>
      <c r="C13" s="627">
        <v>6.03</v>
      </c>
      <c r="D13" s="658">
        <v>1000</v>
      </c>
      <c r="E13" s="568">
        <v>1</v>
      </c>
      <c r="F13" s="52">
        <v>1000</v>
      </c>
      <c r="G13" s="52"/>
      <c r="H13" s="52"/>
      <c r="I13" s="659">
        <f t="shared" si="0"/>
        <v>6030</v>
      </c>
    </row>
    <row r="14" spans="1:9" x14ac:dyDescent="0.3">
      <c r="A14" s="661"/>
      <c r="B14" s="661" t="s">
        <v>356</v>
      </c>
      <c r="C14" s="361">
        <v>26.68</v>
      </c>
      <c r="D14" s="658">
        <v>1500</v>
      </c>
      <c r="E14" s="568">
        <v>1</v>
      </c>
      <c r="F14" s="388">
        <v>1500</v>
      </c>
      <c r="G14" s="358"/>
      <c r="H14" s="358"/>
      <c r="I14" s="659">
        <f t="shared" si="0"/>
        <v>40020</v>
      </c>
    </row>
    <row r="15" spans="1:9" x14ac:dyDescent="0.3">
      <c r="A15" s="249"/>
      <c r="B15" s="249"/>
      <c r="C15" s="444"/>
      <c r="D15" s="58"/>
      <c r="E15" s="631"/>
      <c r="F15" s="662"/>
      <c r="H15" s="358" t="s">
        <v>305</v>
      </c>
      <c r="I15" s="122">
        <f>I11+I12+I13+I14</f>
        <v>149334</v>
      </c>
    </row>
    <row r="16" spans="1:9" x14ac:dyDescent="0.3">
      <c r="A16" s="32" t="s">
        <v>357</v>
      </c>
    </row>
    <row r="17" spans="1:9" x14ac:dyDescent="0.3">
      <c r="A17" s="32" t="s">
        <v>358</v>
      </c>
    </row>
    <row r="20" spans="1:9" x14ac:dyDescent="0.3">
      <c r="I20" s="663"/>
    </row>
  </sheetData>
  <mergeCells count="8">
    <mergeCell ref="E9:E10"/>
    <mergeCell ref="F9:H9"/>
    <mergeCell ref="I9:I10"/>
    <mergeCell ref="B2:D2"/>
    <mergeCell ref="A9:A10"/>
    <mergeCell ref="B9:B10"/>
    <mergeCell ref="C9:C10"/>
    <mergeCell ref="D9:D10"/>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D02AF-7310-4636-A492-39FECD2FAF86}">
  <sheetPr>
    <tabColor theme="9" tint="0.79998168889431442"/>
  </sheetPr>
  <dimension ref="A1:AH25"/>
  <sheetViews>
    <sheetView topLeftCell="A8" zoomScale="69" zoomScaleNormal="69" workbookViewId="0">
      <selection activeCell="H1" sqref="H1"/>
    </sheetView>
  </sheetViews>
  <sheetFormatPr defaultColWidth="9.1796875" defaultRowHeight="13" x14ac:dyDescent="0.3"/>
  <cols>
    <col min="1" max="1" width="28.54296875" style="32" customWidth="1"/>
    <col min="2" max="2" width="39.26953125" style="32" customWidth="1"/>
    <col min="3" max="3" width="29.81640625" style="32" customWidth="1"/>
    <col min="4" max="4" width="17.26953125" style="32" customWidth="1"/>
    <col min="5" max="5" width="17.54296875" style="32" customWidth="1"/>
    <col min="6" max="6" width="16.54296875" style="32" customWidth="1"/>
    <col min="7" max="7" width="15.54296875" style="32" customWidth="1"/>
    <col min="8" max="8" width="18.81640625" style="32" customWidth="1"/>
    <col min="9" max="9" width="18.1796875" style="32" customWidth="1"/>
    <col min="10" max="10" width="11.81640625" style="32" bestFit="1" customWidth="1"/>
    <col min="11" max="11" width="12.81640625" style="32" customWidth="1"/>
    <col min="12" max="12" width="11.26953125" style="32" customWidth="1"/>
    <col min="13" max="13" width="11" style="32" customWidth="1"/>
    <col min="14" max="14" width="15.453125" style="32" customWidth="1"/>
    <col min="15" max="15" width="13.1796875" style="32" customWidth="1"/>
    <col min="16" max="16" width="13" style="32" customWidth="1"/>
    <col min="17" max="17" width="14" style="32" customWidth="1"/>
    <col min="18" max="18" width="10.26953125" style="32" customWidth="1"/>
    <col min="19" max="19" width="10" style="32" bestFit="1" customWidth="1"/>
    <col min="20" max="28" width="9.1796875" style="32"/>
    <col min="29" max="29" width="13.54296875" style="32" customWidth="1"/>
    <col min="30" max="30" width="9.54296875" style="32" bestFit="1" customWidth="1"/>
    <col min="31" max="16384" width="9.1796875" style="32"/>
  </cols>
  <sheetData>
    <row r="1" spans="1:34" x14ac:dyDescent="0.3">
      <c r="A1" s="653"/>
      <c r="B1" s="653"/>
      <c r="C1" s="653"/>
      <c r="D1" s="653"/>
      <c r="E1" s="653"/>
      <c r="F1" s="653"/>
      <c r="G1" s="653"/>
      <c r="H1" s="668" t="s">
        <v>1323</v>
      </c>
      <c r="I1" s="653"/>
      <c r="J1" s="653"/>
      <c r="K1" s="653"/>
      <c r="L1" s="653"/>
      <c r="M1" s="653"/>
      <c r="N1" s="653"/>
      <c r="O1" s="653"/>
      <c r="P1" s="653"/>
      <c r="Q1" s="653"/>
      <c r="R1" s="653"/>
      <c r="S1" s="653"/>
      <c r="T1" s="653"/>
      <c r="U1" s="653"/>
      <c r="V1" s="653"/>
      <c r="W1" s="653"/>
      <c r="X1" s="653"/>
      <c r="Y1" s="653"/>
      <c r="Z1" s="653"/>
      <c r="AA1" s="653"/>
      <c r="AB1" s="653"/>
      <c r="AC1" s="653"/>
      <c r="AD1" s="653"/>
      <c r="AE1" s="653"/>
      <c r="AF1" s="653"/>
      <c r="AG1" s="653"/>
      <c r="AH1" s="653"/>
    </row>
    <row r="2" spans="1:34" ht="28.5" customHeight="1" x14ac:dyDescent="0.3">
      <c r="A2" s="1108" t="s">
        <v>359</v>
      </c>
      <c r="B2" s="1108"/>
      <c r="C2" s="1108"/>
      <c r="D2" s="1108"/>
      <c r="E2" s="1108"/>
      <c r="F2" s="1108"/>
      <c r="G2" s="1108"/>
      <c r="H2" s="1108"/>
      <c r="I2" s="1108"/>
      <c r="J2" s="1108"/>
      <c r="K2" s="1108"/>
      <c r="L2" s="1108"/>
      <c r="M2" s="1108"/>
      <c r="N2" s="1108"/>
      <c r="O2" s="1108"/>
      <c r="P2" s="1108"/>
      <c r="Q2" s="1108"/>
      <c r="R2" s="1108"/>
      <c r="S2" s="1108"/>
      <c r="T2" s="1108"/>
      <c r="U2" s="1108"/>
      <c r="V2" s="1108"/>
      <c r="W2" s="1108"/>
      <c r="X2" s="1108"/>
      <c r="Y2" s="653"/>
      <c r="Z2" s="653"/>
      <c r="AA2" s="653"/>
      <c r="AB2" s="653"/>
      <c r="AC2" s="653"/>
      <c r="AD2" s="653"/>
      <c r="AE2" s="653"/>
      <c r="AF2" s="653"/>
      <c r="AG2" s="653"/>
      <c r="AH2" s="653"/>
    </row>
    <row r="3" spans="1:34" ht="39" x14ac:dyDescent="0.3">
      <c r="A3" s="847" t="s">
        <v>194</v>
      </c>
      <c r="B3" s="787" t="s">
        <v>1106</v>
      </c>
      <c r="C3" s="846"/>
      <c r="D3" s="668" t="s">
        <v>360</v>
      </c>
      <c r="E3" s="668" t="s">
        <v>360</v>
      </c>
      <c r="F3" s="668"/>
      <c r="G3" s="668"/>
      <c r="H3" s="668" t="s">
        <v>360</v>
      </c>
      <c r="I3" s="653"/>
      <c r="J3" s="653"/>
      <c r="K3" s="653"/>
      <c r="L3" s="653"/>
      <c r="M3" s="653"/>
      <c r="N3" s="653"/>
      <c r="O3" s="653"/>
      <c r="P3" s="653"/>
      <c r="Q3" s="653"/>
      <c r="R3" s="653"/>
      <c r="S3" s="653"/>
      <c r="T3" s="653"/>
      <c r="U3" s="653"/>
      <c r="V3" s="653"/>
      <c r="W3" s="653"/>
      <c r="X3" s="653"/>
      <c r="Y3" s="653"/>
      <c r="Z3" s="653"/>
      <c r="AA3" s="653"/>
      <c r="AB3" s="653"/>
      <c r="AC3" s="653"/>
      <c r="AD3" s="653"/>
      <c r="AE3" s="653"/>
      <c r="AF3" s="653"/>
      <c r="AG3" s="653"/>
      <c r="AH3" s="653"/>
    </row>
    <row r="4" spans="1:34" ht="39" x14ac:dyDescent="0.3">
      <c r="A4" s="848" t="s">
        <v>349</v>
      </c>
      <c r="B4" s="764">
        <f>H24</f>
        <v>2698643.7889599996</v>
      </c>
      <c r="C4" s="762"/>
      <c r="D4" s="654" t="s">
        <v>360</v>
      </c>
      <c r="E4" s="653" t="s">
        <v>360</v>
      </c>
      <c r="F4" s="668"/>
      <c r="G4" s="668"/>
      <c r="H4" s="668" t="s">
        <v>360</v>
      </c>
      <c r="I4" s="653"/>
      <c r="J4" s="653"/>
      <c r="K4" s="653"/>
      <c r="L4" s="653"/>
      <c r="M4" s="653"/>
      <c r="N4" s="653"/>
      <c r="O4" s="653"/>
      <c r="P4" s="653"/>
      <c r="Q4" s="653"/>
      <c r="R4" s="653"/>
      <c r="S4" s="653"/>
      <c r="T4" s="653"/>
      <c r="U4" s="653"/>
      <c r="V4" s="653"/>
      <c r="W4" s="653"/>
      <c r="X4" s="653"/>
      <c r="Y4" s="653"/>
      <c r="Z4" s="653"/>
      <c r="AA4" s="653"/>
      <c r="AB4" s="653"/>
      <c r="AC4" s="653"/>
      <c r="AD4" s="653"/>
      <c r="AE4" s="653"/>
      <c r="AF4" s="653"/>
      <c r="AG4" s="653"/>
      <c r="AH4" s="653"/>
    </row>
    <row r="5" spans="1:34" x14ac:dyDescent="0.3">
      <c r="A5" s="653"/>
      <c r="B5" s="653"/>
      <c r="C5" s="668"/>
      <c r="D5" s="653"/>
      <c r="E5" s="653"/>
      <c r="F5" s="653"/>
      <c r="G5" s="653"/>
      <c r="H5" s="653"/>
      <c r="I5" s="653"/>
      <c r="J5" s="653"/>
      <c r="K5" s="653"/>
      <c r="L5" s="653"/>
      <c r="M5" s="653"/>
      <c r="N5" s="653"/>
      <c r="O5" s="653"/>
      <c r="P5" s="653"/>
      <c r="Q5" s="653"/>
      <c r="R5" s="653"/>
      <c r="S5" s="653"/>
      <c r="T5" s="653"/>
      <c r="U5" s="653"/>
      <c r="V5" s="653"/>
      <c r="W5" s="653"/>
      <c r="X5" s="653"/>
      <c r="Y5" s="653"/>
      <c r="Z5" s="653"/>
      <c r="AA5" s="653"/>
      <c r="AB5" s="653"/>
      <c r="AC5" s="653"/>
      <c r="AD5" s="653"/>
      <c r="AE5" s="653"/>
      <c r="AF5" s="653"/>
      <c r="AG5" s="653"/>
      <c r="AH5" s="653"/>
    </row>
    <row r="6" spans="1:34" x14ac:dyDescent="0.3">
      <c r="A6" s="200" t="s">
        <v>360</v>
      </c>
      <c r="B6" s="200" t="s">
        <v>360</v>
      </c>
      <c r="C6" s="200" t="s">
        <v>360</v>
      </c>
      <c r="D6" s="200" t="s">
        <v>360</v>
      </c>
      <c r="E6" s="197" t="s">
        <v>360</v>
      </c>
      <c r="F6" s="689" t="s">
        <v>361</v>
      </c>
      <c r="G6" s="690" t="s">
        <v>362</v>
      </c>
      <c r="H6" s="690" t="s">
        <v>363</v>
      </c>
      <c r="I6" s="690" t="s">
        <v>364</v>
      </c>
      <c r="J6" s="197" t="s">
        <v>360</v>
      </c>
      <c r="K6" s="200" t="s">
        <v>360</v>
      </c>
      <c r="L6" s="200" t="s">
        <v>360</v>
      </c>
      <c r="M6" s="200" t="s">
        <v>360</v>
      </c>
      <c r="N6" s="1112" t="s">
        <v>365</v>
      </c>
      <c r="O6" s="1112" t="s">
        <v>366</v>
      </c>
      <c r="P6" s="1112" t="s">
        <v>367</v>
      </c>
      <c r="Q6" s="200" t="s">
        <v>360</v>
      </c>
      <c r="R6" s="200" t="s">
        <v>360</v>
      </c>
      <c r="S6" s="200" t="s">
        <v>360</v>
      </c>
      <c r="T6" s="200" t="s">
        <v>360</v>
      </c>
      <c r="U6" s="200" t="s">
        <v>360</v>
      </c>
      <c r="V6" s="200" t="s">
        <v>360</v>
      </c>
      <c r="W6" s="200" t="s">
        <v>360</v>
      </c>
      <c r="X6" s="200" t="s">
        <v>360</v>
      </c>
      <c r="Y6" s="200" t="s">
        <v>360</v>
      </c>
      <c r="Z6" s="200" t="s">
        <v>360</v>
      </c>
      <c r="AA6" s="200" t="s">
        <v>360</v>
      </c>
      <c r="AB6" s="200" t="s">
        <v>360</v>
      </c>
      <c r="AC6" s="200" t="s">
        <v>360</v>
      </c>
      <c r="AD6" s="200" t="s">
        <v>360</v>
      </c>
      <c r="AE6" s="653"/>
      <c r="AF6" s="653"/>
      <c r="AG6" s="653"/>
      <c r="AH6" s="653"/>
    </row>
    <row r="7" spans="1:34" ht="43.5" customHeight="1" x14ac:dyDescent="0.3">
      <c r="A7" s="200" t="s">
        <v>360</v>
      </c>
      <c r="B7" s="200" t="s">
        <v>360</v>
      </c>
      <c r="C7" s="200" t="s">
        <v>360</v>
      </c>
      <c r="D7" s="200" t="s">
        <v>360</v>
      </c>
      <c r="E7" s="197" t="s">
        <v>368</v>
      </c>
      <c r="F7" s="202">
        <v>2304</v>
      </c>
      <c r="G7" s="203">
        <v>1388</v>
      </c>
      <c r="H7" s="203">
        <v>925</v>
      </c>
      <c r="I7" s="204" t="s">
        <v>360</v>
      </c>
      <c r="J7" s="200" t="s">
        <v>360</v>
      </c>
      <c r="K7" s="200" t="s">
        <v>360</v>
      </c>
      <c r="L7" s="200" t="s">
        <v>360</v>
      </c>
      <c r="M7" s="200" t="s">
        <v>360</v>
      </c>
      <c r="N7" s="1113"/>
      <c r="O7" s="1113"/>
      <c r="P7" s="1113"/>
      <c r="Q7" s="200" t="s">
        <v>360</v>
      </c>
      <c r="R7" s="200" t="s">
        <v>360</v>
      </c>
      <c r="S7" s="200" t="s">
        <v>360</v>
      </c>
      <c r="T7" s="200" t="s">
        <v>360</v>
      </c>
      <c r="U7" s="200" t="s">
        <v>360</v>
      </c>
      <c r="V7" s="200" t="s">
        <v>360</v>
      </c>
      <c r="W7" s="200" t="s">
        <v>360</v>
      </c>
      <c r="X7" s="200" t="s">
        <v>360</v>
      </c>
      <c r="Y7" s="200" t="s">
        <v>360</v>
      </c>
      <c r="Z7" s="200" t="s">
        <v>360</v>
      </c>
      <c r="AA7" s="200" t="s">
        <v>360</v>
      </c>
      <c r="AB7" s="200" t="s">
        <v>360</v>
      </c>
      <c r="AC7" s="200" t="s">
        <v>360</v>
      </c>
      <c r="AD7" s="200" t="s">
        <v>360</v>
      </c>
      <c r="AE7" s="653"/>
      <c r="AF7" s="653"/>
      <c r="AG7" s="653"/>
      <c r="AH7" s="653"/>
    </row>
    <row r="8" spans="1:34" ht="26" x14ac:dyDescent="0.3">
      <c r="A8" s="200" t="s">
        <v>360</v>
      </c>
      <c r="B8" s="200" t="s">
        <v>360</v>
      </c>
      <c r="C8" s="200" t="s">
        <v>360</v>
      </c>
      <c r="D8" s="200" t="s">
        <v>360</v>
      </c>
      <c r="E8" s="197" t="s">
        <v>369</v>
      </c>
      <c r="F8" s="691">
        <v>0.24</v>
      </c>
      <c r="G8" s="221">
        <v>0.14460000000000001</v>
      </c>
      <c r="H8" s="221">
        <v>9.64E-2</v>
      </c>
      <c r="I8" s="219">
        <v>0.2359</v>
      </c>
      <c r="J8" s="200" t="s">
        <v>360</v>
      </c>
      <c r="K8" s="200" t="s">
        <v>360</v>
      </c>
      <c r="L8" s="200" t="s">
        <v>360</v>
      </c>
      <c r="M8" s="200" t="s">
        <v>370</v>
      </c>
      <c r="N8" s="218">
        <v>0.28570000000000001</v>
      </c>
      <c r="O8" s="219">
        <v>2.0199999999999999E-2</v>
      </c>
      <c r="P8" s="219">
        <v>3.2199999999999999E-2</v>
      </c>
      <c r="Q8" s="200" t="s">
        <v>360</v>
      </c>
      <c r="R8" s="200" t="s">
        <v>360</v>
      </c>
      <c r="S8" s="200" t="s">
        <v>360</v>
      </c>
      <c r="T8" s="200" t="s">
        <v>360</v>
      </c>
      <c r="U8" s="200" t="s">
        <v>360</v>
      </c>
      <c r="V8" s="200" t="s">
        <v>360</v>
      </c>
      <c r="W8" s="200" t="s">
        <v>360</v>
      </c>
      <c r="X8" s="200" t="s">
        <v>360</v>
      </c>
      <c r="Y8" s="200" t="s">
        <v>360</v>
      </c>
      <c r="Z8" s="200" t="s">
        <v>360</v>
      </c>
      <c r="AA8" s="200" t="s">
        <v>360</v>
      </c>
      <c r="AB8" s="200" t="s">
        <v>360</v>
      </c>
      <c r="AC8" s="200" t="s">
        <v>360</v>
      </c>
      <c r="AD8" s="200" t="s">
        <v>360</v>
      </c>
      <c r="AE8" s="653"/>
      <c r="AF8" s="653"/>
      <c r="AG8" s="653"/>
      <c r="AH8" s="653"/>
    </row>
    <row r="9" spans="1:34" x14ac:dyDescent="0.3">
      <c r="A9" s="200" t="s">
        <v>360</v>
      </c>
      <c r="B9" s="200" t="s">
        <v>360</v>
      </c>
      <c r="C9" s="200" t="s">
        <v>360</v>
      </c>
      <c r="D9" s="200" t="s">
        <v>360</v>
      </c>
      <c r="E9" s="197" t="s">
        <v>360</v>
      </c>
      <c r="F9" s="200" t="s">
        <v>360</v>
      </c>
      <c r="G9" s="200" t="s">
        <v>360</v>
      </c>
      <c r="H9" s="200" t="s">
        <v>360</v>
      </c>
      <c r="I9" s="200" t="s">
        <v>360</v>
      </c>
      <c r="J9" s="200" t="s">
        <v>360</v>
      </c>
      <c r="K9" s="200" t="s">
        <v>360</v>
      </c>
      <c r="L9" s="200" t="s">
        <v>360</v>
      </c>
      <c r="M9" s="200" t="s">
        <v>360</v>
      </c>
      <c r="N9" s="200" t="s">
        <v>360</v>
      </c>
      <c r="O9" s="200" t="s">
        <v>360</v>
      </c>
      <c r="P9" s="200" t="s">
        <v>360</v>
      </c>
      <c r="Q9" s="200" t="s">
        <v>360</v>
      </c>
      <c r="R9" s="200" t="s">
        <v>360</v>
      </c>
      <c r="S9" s="200" t="s">
        <v>360</v>
      </c>
      <c r="T9" s="200" t="s">
        <v>360</v>
      </c>
      <c r="U9" s="200" t="s">
        <v>360</v>
      </c>
      <c r="V9" s="200" t="s">
        <v>360</v>
      </c>
      <c r="W9" s="200" t="s">
        <v>360</v>
      </c>
      <c r="X9" s="200" t="s">
        <v>360</v>
      </c>
      <c r="Y9" s="200" t="s">
        <v>360</v>
      </c>
      <c r="Z9" s="200" t="s">
        <v>360</v>
      </c>
      <c r="AA9" s="200" t="s">
        <v>360</v>
      </c>
      <c r="AB9" s="200" t="s">
        <v>360</v>
      </c>
      <c r="AC9" s="200" t="s">
        <v>360</v>
      </c>
      <c r="AD9" s="200" t="s">
        <v>360</v>
      </c>
      <c r="AE9" s="653"/>
      <c r="AF9" s="653"/>
      <c r="AG9" s="653"/>
      <c r="AH9" s="653"/>
    </row>
    <row r="10" spans="1:34" x14ac:dyDescent="0.3">
      <c r="A10" s="1114" t="s">
        <v>235</v>
      </c>
      <c r="B10" s="1114" t="s">
        <v>236</v>
      </c>
      <c r="C10" s="1119" t="s">
        <v>371</v>
      </c>
      <c r="D10" s="1119"/>
      <c r="E10" s="1119"/>
      <c r="F10" s="1119"/>
      <c r="G10" s="1119"/>
      <c r="H10" s="1119"/>
      <c r="I10" s="1119"/>
      <c r="J10" s="1119"/>
      <c r="K10" s="1119"/>
      <c r="L10" s="1120"/>
      <c r="M10" s="1114" t="s">
        <v>403</v>
      </c>
      <c r="N10" s="1114" t="s">
        <v>378</v>
      </c>
      <c r="O10" s="1114" t="s">
        <v>379</v>
      </c>
      <c r="P10" s="1114" t="s">
        <v>380</v>
      </c>
      <c r="Q10" s="1114" t="s">
        <v>372</v>
      </c>
      <c r="R10" s="1114" t="s">
        <v>351</v>
      </c>
      <c r="S10" s="1114" t="s">
        <v>373</v>
      </c>
      <c r="T10" s="1109" t="s">
        <v>400</v>
      </c>
      <c r="U10" s="1109" t="s">
        <v>389</v>
      </c>
      <c r="V10" s="1109" t="s">
        <v>390</v>
      </c>
      <c r="W10" s="1109" t="s">
        <v>391</v>
      </c>
      <c r="X10" s="1109" t="s">
        <v>392</v>
      </c>
      <c r="Y10" s="1109" t="s">
        <v>393</v>
      </c>
      <c r="Z10" s="1109" t="s">
        <v>394</v>
      </c>
      <c r="AA10" s="1109" t="s">
        <v>395</v>
      </c>
      <c r="AB10" s="1114" t="s">
        <v>401</v>
      </c>
      <c r="AC10" s="1114" t="s">
        <v>402</v>
      </c>
      <c r="AD10" s="1109" t="s">
        <v>373</v>
      </c>
      <c r="AE10" s="653"/>
      <c r="AF10" s="653"/>
      <c r="AG10" s="653"/>
      <c r="AH10" s="653"/>
    </row>
    <row r="11" spans="1:34" ht="54.75" customHeight="1" x14ac:dyDescent="0.3">
      <c r="A11" s="1115"/>
      <c r="B11" s="1115"/>
      <c r="C11" s="1117" t="s">
        <v>374</v>
      </c>
      <c r="D11" s="1117"/>
      <c r="E11" s="1118"/>
      <c r="F11" s="1117" t="s">
        <v>375</v>
      </c>
      <c r="G11" s="1117"/>
      <c r="H11" s="1118"/>
      <c r="I11" s="206" t="s">
        <v>376</v>
      </c>
      <c r="J11" s="1117" t="s">
        <v>377</v>
      </c>
      <c r="K11" s="1117"/>
      <c r="L11" s="1118"/>
      <c r="M11" s="1115"/>
      <c r="N11" s="1115"/>
      <c r="O11" s="1115"/>
      <c r="P11" s="1115"/>
      <c r="Q11" s="1115"/>
      <c r="R11" s="1115"/>
      <c r="S11" s="1115"/>
      <c r="T11" s="1110"/>
      <c r="U11" s="1110"/>
      <c r="V11" s="1110"/>
      <c r="W11" s="1110"/>
      <c r="X11" s="1110"/>
      <c r="Y11" s="1110"/>
      <c r="Z11" s="1110"/>
      <c r="AA11" s="1110"/>
      <c r="AB11" s="1115"/>
      <c r="AC11" s="1115"/>
      <c r="AD11" s="1110"/>
      <c r="AE11" s="653"/>
      <c r="AF11" s="653"/>
      <c r="AG11" s="653"/>
      <c r="AH11" s="653"/>
    </row>
    <row r="12" spans="1:34" ht="47.25" customHeight="1" x14ac:dyDescent="0.3">
      <c r="A12" s="1116"/>
      <c r="B12" s="1116"/>
      <c r="C12" s="206" t="s">
        <v>381</v>
      </c>
      <c r="D12" s="206" t="s">
        <v>382</v>
      </c>
      <c r="E12" s="206" t="s">
        <v>383</v>
      </c>
      <c r="F12" s="206" t="s">
        <v>381</v>
      </c>
      <c r="G12" s="206" t="s">
        <v>382</v>
      </c>
      <c r="H12" s="206" t="s">
        <v>384</v>
      </c>
      <c r="I12" s="206" t="s">
        <v>385</v>
      </c>
      <c r="J12" s="206" t="s">
        <v>386</v>
      </c>
      <c r="K12" s="206" t="s">
        <v>387</v>
      </c>
      <c r="L12" s="206" t="s">
        <v>388</v>
      </c>
      <c r="M12" s="1121"/>
      <c r="N12" s="1121"/>
      <c r="O12" s="1121"/>
      <c r="P12" s="1121"/>
      <c r="Q12" s="1116"/>
      <c r="R12" s="1116"/>
      <c r="S12" s="1116"/>
      <c r="T12" s="1111"/>
      <c r="U12" s="1111"/>
      <c r="V12" s="1111"/>
      <c r="W12" s="1111"/>
      <c r="X12" s="1111"/>
      <c r="Y12" s="1111"/>
      <c r="Z12" s="1111"/>
      <c r="AA12" s="1111"/>
      <c r="AB12" s="1121"/>
      <c r="AC12" s="1121"/>
      <c r="AD12" s="1111"/>
      <c r="AE12" s="653"/>
      <c r="AF12" s="653"/>
      <c r="AG12" s="653"/>
      <c r="AH12" s="653"/>
    </row>
    <row r="13" spans="1:34" x14ac:dyDescent="0.3">
      <c r="A13" s="207">
        <v>1</v>
      </c>
      <c r="B13" s="208">
        <v>2</v>
      </c>
      <c r="C13" s="208">
        <v>3</v>
      </c>
      <c r="D13" s="208">
        <v>4</v>
      </c>
      <c r="E13" s="209">
        <v>5</v>
      </c>
      <c r="F13" s="210">
        <v>6</v>
      </c>
      <c r="G13" s="210">
        <v>7</v>
      </c>
      <c r="H13" s="210">
        <v>8</v>
      </c>
      <c r="I13" s="208">
        <v>9</v>
      </c>
      <c r="J13" s="208" t="s">
        <v>396</v>
      </c>
      <c r="K13" s="208">
        <v>11</v>
      </c>
      <c r="L13" s="208">
        <v>12</v>
      </c>
      <c r="M13" s="208">
        <v>13</v>
      </c>
      <c r="N13" s="208">
        <v>14</v>
      </c>
      <c r="O13" s="210">
        <v>15</v>
      </c>
      <c r="P13" s="210">
        <v>16</v>
      </c>
      <c r="Q13" s="210">
        <v>17</v>
      </c>
      <c r="R13" s="210">
        <v>18</v>
      </c>
      <c r="S13" s="210">
        <v>19</v>
      </c>
      <c r="T13" s="210">
        <v>20</v>
      </c>
      <c r="U13" s="210">
        <v>21</v>
      </c>
      <c r="V13" s="210">
        <v>22</v>
      </c>
      <c r="W13" s="210">
        <v>23</v>
      </c>
      <c r="X13" s="210">
        <v>24</v>
      </c>
      <c r="Y13" s="210">
        <v>25</v>
      </c>
      <c r="Z13" s="210">
        <v>26</v>
      </c>
      <c r="AA13" s="210">
        <v>27</v>
      </c>
      <c r="AB13" s="210">
        <v>28</v>
      </c>
      <c r="AC13" s="210">
        <v>29</v>
      </c>
      <c r="AD13" s="210">
        <v>30</v>
      </c>
      <c r="AE13" s="653"/>
      <c r="AF13" s="653"/>
      <c r="AG13" s="653"/>
      <c r="AH13" s="653"/>
    </row>
    <row r="14" spans="1:34" x14ac:dyDescent="0.3">
      <c r="A14" s="692" t="s">
        <v>397</v>
      </c>
      <c r="B14" s="693" t="s">
        <v>398</v>
      </c>
      <c r="C14" s="694">
        <v>240</v>
      </c>
      <c r="D14" s="694">
        <v>240</v>
      </c>
      <c r="E14" s="694">
        <v>0</v>
      </c>
      <c r="F14" s="695">
        <f>C14*F8</f>
        <v>57.599999999999994</v>
      </c>
      <c r="G14" s="695">
        <f>D14*G8</f>
        <v>34.704000000000001</v>
      </c>
      <c r="H14" s="694">
        <v>0</v>
      </c>
      <c r="I14" s="695">
        <f>(F14+G14)*I8</f>
        <v>21.774513599999999</v>
      </c>
      <c r="J14" s="696">
        <f>K14+L14</f>
        <v>10341.84</v>
      </c>
      <c r="K14" s="696">
        <v>10.83</v>
      </c>
      <c r="L14" s="696">
        <v>10331.01</v>
      </c>
      <c r="M14" s="694">
        <v>4.67</v>
      </c>
      <c r="N14" s="695">
        <f>(F14+G14)*N8</f>
        <v>26.371252800000001</v>
      </c>
      <c r="O14" s="695">
        <f>(F14+G14)*O8</f>
        <v>1.8645407999999999</v>
      </c>
      <c r="P14" s="695">
        <f>(F14+G14)*P8</f>
        <v>2.9721888000000001</v>
      </c>
      <c r="Q14" s="697">
        <f>F14+G14+I14+J14+M14+N14+O14+P14</f>
        <v>10491.796495999999</v>
      </c>
      <c r="R14" s="698">
        <v>0</v>
      </c>
      <c r="S14" s="697">
        <f>Q14-R14</f>
        <v>10491.796495999999</v>
      </c>
      <c r="T14" s="699">
        <f>F14+G14</f>
        <v>92.304000000000002</v>
      </c>
      <c r="U14" s="699">
        <f t="shared" ref="U14:V16" si="0">I14</f>
        <v>21.774513599999999</v>
      </c>
      <c r="V14" s="699">
        <f t="shared" si="0"/>
        <v>10341.84</v>
      </c>
      <c r="W14" s="699" t="s">
        <v>360</v>
      </c>
      <c r="X14" s="699">
        <f t="shared" ref="X14:Y16" si="1">N14</f>
        <v>26.371252800000001</v>
      </c>
      <c r="Y14" s="699">
        <f t="shared" si="1"/>
        <v>1.8645407999999999</v>
      </c>
      <c r="Z14" s="699">
        <f>M14+P14</f>
        <v>7.6421887999999996</v>
      </c>
      <c r="AA14" s="699" t="s">
        <v>360</v>
      </c>
      <c r="AB14" s="699">
        <f>SUM(T14:Z14)</f>
        <v>10491.796495999999</v>
      </c>
      <c r="AC14" s="699">
        <v>0</v>
      </c>
      <c r="AD14" s="699">
        <f>AB14-AC14</f>
        <v>10491.796495999999</v>
      </c>
      <c r="AE14" s="653"/>
      <c r="AF14" s="653"/>
      <c r="AG14" s="653"/>
      <c r="AH14" s="653"/>
    </row>
    <row r="15" spans="1:34" x14ac:dyDescent="0.3">
      <c r="A15" s="692" t="s">
        <v>397</v>
      </c>
      <c r="B15" s="693" t="s">
        <v>852</v>
      </c>
      <c r="C15" s="694">
        <v>240</v>
      </c>
      <c r="D15" s="694">
        <v>240</v>
      </c>
      <c r="E15" s="694">
        <v>0</v>
      </c>
      <c r="F15" s="695">
        <f>C15*F8</f>
        <v>57.599999999999994</v>
      </c>
      <c r="G15" s="695">
        <f>D15*G8</f>
        <v>34.704000000000001</v>
      </c>
      <c r="H15" s="694">
        <v>0</v>
      </c>
      <c r="I15" s="695">
        <f>(F15+G15)*I8</f>
        <v>21.774513599999999</v>
      </c>
      <c r="J15" s="696">
        <f>K15+L15</f>
        <v>525.81000000000006</v>
      </c>
      <c r="K15" s="696">
        <v>10.83</v>
      </c>
      <c r="L15" s="696">
        <v>514.98</v>
      </c>
      <c r="M15" s="694">
        <v>4.97</v>
      </c>
      <c r="N15" s="695">
        <f>(F15+G15)*N8</f>
        <v>26.371252800000001</v>
      </c>
      <c r="O15" s="695">
        <f>(F15+G15)*O8</f>
        <v>1.8645407999999999</v>
      </c>
      <c r="P15" s="695">
        <f>(F15+G15)*P8</f>
        <v>2.9721888000000001</v>
      </c>
      <c r="Q15" s="697">
        <f>F15+G15+I15+J15+M15+N15+O15+P15</f>
        <v>676.06649600000014</v>
      </c>
      <c r="R15" s="698">
        <v>0</v>
      </c>
      <c r="S15" s="697">
        <f>Q15-R15</f>
        <v>676.06649600000014</v>
      </c>
      <c r="T15" s="699">
        <f>F15+G15</f>
        <v>92.304000000000002</v>
      </c>
      <c r="U15" s="699">
        <f t="shared" si="0"/>
        <v>21.774513599999999</v>
      </c>
      <c r="V15" s="699">
        <f t="shared" si="0"/>
        <v>525.81000000000006</v>
      </c>
      <c r="W15" s="699"/>
      <c r="X15" s="699">
        <f t="shared" si="1"/>
        <v>26.371252800000001</v>
      </c>
      <c r="Y15" s="699">
        <f t="shared" si="1"/>
        <v>1.8645407999999999</v>
      </c>
      <c r="Z15" s="699">
        <f>M15+P15</f>
        <v>7.9421888000000003</v>
      </c>
      <c r="AA15" s="699"/>
      <c r="AB15" s="699">
        <f t="shared" ref="AB15:AB16" si="2">SUM(T15:Z15)</f>
        <v>676.06649600000014</v>
      </c>
      <c r="AC15" s="699"/>
      <c r="AD15" s="699">
        <f>AB15-AC15</f>
        <v>676.06649600000014</v>
      </c>
      <c r="AE15" s="653"/>
      <c r="AF15" s="653"/>
      <c r="AG15" s="653"/>
      <c r="AH15" s="653"/>
    </row>
    <row r="16" spans="1:34" x14ac:dyDescent="0.3">
      <c r="A16" s="692" t="s">
        <v>397</v>
      </c>
      <c r="B16" s="693" t="s">
        <v>399</v>
      </c>
      <c r="C16" s="694">
        <v>240</v>
      </c>
      <c r="D16" s="694">
        <v>240</v>
      </c>
      <c r="E16" s="694">
        <v>0</v>
      </c>
      <c r="F16" s="695">
        <f>C16*F8</f>
        <v>57.599999999999994</v>
      </c>
      <c r="G16" s="695">
        <f>D16*G8</f>
        <v>34.704000000000001</v>
      </c>
      <c r="H16" s="694">
        <v>0</v>
      </c>
      <c r="I16" s="695">
        <f>(F16+G16)*I8</f>
        <v>21.774513599999999</v>
      </c>
      <c r="J16" s="696">
        <f>K16+L16</f>
        <v>11620.81</v>
      </c>
      <c r="K16" s="696">
        <v>10.83</v>
      </c>
      <c r="L16" s="696">
        <v>11609.98</v>
      </c>
      <c r="M16" s="694">
        <v>104.38</v>
      </c>
      <c r="N16" s="695">
        <f>(F16+G16)*N8</f>
        <v>26.371252800000001</v>
      </c>
      <c r="O16" s="695">
        <f>(F16+G16)*O8</f>
        <v>1.8645407999999999</v>
      </c>
      <c r="P16" s="695">
        <f>(F16+G16)*P8</f>
        <v>2.9721888000000001</v>
      </c>
      <c r="Q16" s="697">
        <f>F16+G16+I16+J16+M16+N16+O16+P16</f>
        <v>11870.476495999997</v>
      </c>
      <c r="R16" s="698">
        <v>0</v>
      </c>
      <c r="S16" s="697">
        <f>Q16-R16</f>
        <v>11870.476495999997</v>
      </c>
      <c r="T16" s="699">
        <f>F16+G16</f>
        <v>92.304000000000002</v>
      </c>
      <c r="U16" s="699">
        <f t="shared" si="0"/>
        <v>21.774513599999999</v>
      </c>
      <c r="V16" s="699">
        <f t="shared" si="0"/>
        <v>11620.81</v>
      </c>
      <c r="W16" s="699" t="s">
        <v>360</v>
      </c>
      <c r="X16" s="699">
        <f t="shared" si="1"/>
        <v>26.371252800000001</v>
      </c>
      <c r="Y16" s="699">
        <f t="shared" si="1"/>
        <v>1.8645407999999999</v>
      </c>
      <c r="Z16" s="699">
        <f>M16+P16</f>
        <v>107.35218879999999</v>
      </c>
      <c r="AA16" s="699" t="s">
        <v>360</v>
      </c>
      <c r="AB16" s="699">
        <f t="shared" si="2"/>
        <v>11870.476495999997</v>
      </c>
      <c r="AC16" s="699">
        <v>0</v>
      </c>
      <c r="AD16" s="699">
        <f>AB16-AC16</f>
        <v>11870.476495999997</v>
      </c>
      <c r="AE16" s="653"/>
      <c r="AF16" s="653"/>
      <c r="AG16" s="653"/>
      <c r="AH16" s="653"/>
    </row>
    <row r="17" spans="1:34" x14ac:dyDescent="0.3">
      <c r="A17" s="653"/>
      <c r="B17" s="653"/>
      <c r="C17" s="668"/>
      <c r="D17" s="653"/>
      <c r="E17" s="653"/>
      <c r="F17" s="653"/>
      <c r="G17" s="653"/>
      <c r="H17" s="653"/>
      <c r="I17" s="653"/>
      <c r="J17" s="653"/>
      <c r="K17" s="653"/>
      <c r="L17" s="653"/>
      <c r="M17" s="653"/>
      <c r="N17" s="653"/>
      <c r="O17" s="653"/>
      <c r="P17" s="653"/>
      <c r="Q17" s="653"/>
      <c r="R17" s="653"/>
      <c r="S17" s="653"/>
      <c r="T17" s="653"/>
      <c r="U17" s="653"/>
      <c r="V17" s="653"/>
      <c r="W17" s="653"/>
      <c r="X17" s="653"/>
      <c r="Y17" s="653"/>
      <c r="Z17" s="653"/>
      <c r="AA17" s="653"/>
      <c r="AB17" s="653"/>
      <c r="AC17" s="653"/>
      <c r="AD17" s="653"/>
      <c r="AE17" s="653"/>
      <c r="AF17" s="653"/>
      <c r="AG17" s="653"/>
      <c r="AH17" s="653"/>
    </row>
    <row r="18" spans="1:34" x14ac:dyDescent="0.3">
      <c r="A18" s="653"/>
      <c r="B18" s="653"/>
      <c r="C18" s="668"/>
      <c r="D18" s="653"/>
      <c r="E18" s="653"/>
      <c r="F18" s="653"/>
      <c r="G18" s="653"/>
      <c r="H18" s="653"/>
      <c r="I18" s="653"/>
      <c r="J18" s="653"/>
      <c r="K18" s="653"/>
      <c r="L18" s="653"/>
      <c r="M18" s="653"/>
      <c r="N18" s="653"/>
      <c r="O18" s="653"/>
      <c r="P18" s="653"/>
      <c r="Q18" s="653"/>
      <c r="R18" s="653"/>
      <c r="S18" s="653"/>
      <c r="T18" s="653"/>
      <c r="U18" s="653"/>
      <c r="V18" s="653"/>
      <c r="W18" s="653"/>
      <c r="X18" s="653"/>
      <c r="Y18" s="653"/>
      <c r="Z18" s="653"/>
      <c r="AA18" s="653"/>
      <c r="AB18" s="653"/>
      <c r="AC18" s="653"/>
      <c r="AD18" s="653"/>
      <c r="AE18" s="653"/>
      <c r="AF18" s="653"/>
      <c r="AG18" s="653"/>
      <c r="AH18" s="653"/>
    </row>
    <row r="19" spans="1:34" x14ac:dyDescent="0.3">
      <c r="A19" s="1124" t="s">
        <v>235</v>
      </c>
      <c r="B19" s="1126" t="s">
        <v>236</v>
      </c>
      <c r="C19" s="1124" t="s">
        <v>470</v>
      </c>
      <c r="D19" s="1124" t="s">
        <v>238</v>
      </c>
      <c r="E19" s="1119" t="s">
        <v>870</v>
      </c>
      <c r="F19" s="1119"/>
      <c r="G19" s="1120"/>
      <c r="H19" s="1122" t="s">
        <v>240</v>
      </c>
      <c r="I19" s="653"/>
      <c r="J19" s="653"/>
      <c r="K19" s="653"/>
      <c r="L19" s="653"/>
      <c r="M19" s="653"/>
      <c r="N19" s="653"/>
      <c r="O19" s="653"/>
      <c r="P19" s="653"/>
      <c r="Q19" s="653"/>
      <c r="R19" s="653"/>
      <c r="S19" s="653"/>
      <c r="T19" s="653"/>
      <c r="U19" s="653"/>
      <c r="V19" s="653"/>
      <c r="W19" s="653"/>
      <c r="X19" s="653"/>
      <c r="Y19" s="653"/>
      <c r="Z19" s="653"/>
      <c r="AA19" s="653"/>
      <c r="AB19" s="653"/>
      <c r="AC19" s="653"/>
      <c r="AD19" s="653"/>
      <c r="AE19" s="653"/>
      <c r="AF19" s="653"/>
      <c r="AG19" s="653"/>
      <c r="AH19" s="653"/>
    </row>
    <row r="20" spans="1:34" x14ac:dyDescent="0.3">
      <c r="A20" s="1125"/>
      <c r="B20" s="1127"/>
      <c r="C20" s="1125"/>
      <c r="D20" s="1125"/>
      <c r="E20" s="700" t="s">
        <v>241</v>
      </c>
      <c r="F20" s="700" t="s">
        <v>242</v>
      </c>
      <c r="G20" s="700" t="s">
        <v>243</v>
      </c>
      <c r="H20" s="1123"/>
      <c r="I20" s="653"/>
      <c r="J20" s="653"/>
      <c r="K20" s="653"/>
      <c r="L20" s="653"/>
      <c r="M20" s="653"/>
      <c r="N20" s="653"/>
      <c r="O20" s="653"/>
      <c r="P20" s="653"/>
      <c r="Q20" s="653"/>
      <c r="R20" s="653"/>
      <c r="S20" s="653"/>
      <c r="T20" s="653"/>
      <c r="U20" s="653"/>
      <c r="V20" s="653"/>
      <c r="W20" s="653"/>
      <c r="X20" s="653"/>
      <c r="Y20" s="653"/>
      <c r="Z20" s="653"/>
      <c r="AA20" s="653"/>
      <c r="AB20" s="653"/>
      <c r="AC20" s="653"/>
      <c r="AD20" s="653"/>
      <c r="AE20" s="653"/>
      <c r="AF20" s="653"/>
      <c r="AG20" s="653"/>
      <c r="AH20" s="653"/>
    </row>
    <row r="21" spans="1:34" x14ac:dyDescent="0.3">
      <c r="A21" s="701" t="s">
        <v>397</v>
      </c>
      <c r="B21" s="702" t="s">
        <v>398</v>
      </c>
      <c r="C21" s="703">
        <f>Q14</f>
        <v>10491.796495999999</v>
      </c>
      <c r="D21" s="704">
        <v>1</v>
      </c>
      <c r="E21" s="704">
        <v>0</v>
      </c>
      <c r="F21" s="704">
        <v>0</v>
      </c>
      <c r="G21" s="704">
        <v>200</v>
      </c>
      <c r="H21" s="705">
        <f>C21*D21*G21</f>
        <v>2098359.2991999998</v>
      </c>
      <c r="I21" s="653"/>
      <c r="J21" s="653"/>
      <c r="K21" s="653"/>
      <c r="L21" s="653"/>
      <c r="M21" s="653"/>
      <c r="N21" s="653"/>
      <c r="O21" s="653"/>
      <c r="P21" s="653"/>
      <c r="Q21" s="653"/>
      <c r="R21" s="653"/>
      <c r="S21" s="653"/>
      <c r="T21" s="653"/>
      <c r="U21" s="653"/>
      <c r="V21" s="653"/>
      <c r="W21" s="653"/>
      <c r="X21" s="653"/>
      <c r="Y21" s="653"/>
      <c r="Z21" s="653"/>
      <c r="AA21" s="653"/>
      <c r="AB21" s="653"/>
      <c r="AC21" s="653"/>
      <c r="AD21" s="653"/>
      <c r="AE21" s="653"/>
      <c r="AF21" s="653"/>
      <c r="AG21" s="653"/>
      <c r="AH21" s="653"/>
    </row>
    <row r="22" spans="1:34" x14ac:dyDescent="0.3">
      <c r="A22" s="706" t="s">
        <v>397</v>
      </c>
      <c r="B22" s="707" t="s">
        <v>852</v>
      </c>
      <c r="C22" s="703">
        <f>Q15</f>
        <v>676.06649600000014</v>
      </c>
      <c r="D22" s="704">
        <v>1</v>
      </c>
      <c r="E22" s="704">
        <v>0</v>
      </c>
      <c r="F22" s="704">
        <v>0</v>
      </c>
      <c r="G22" s="704">
        <v>10</v>
      </c>
      <c r="H22" s="705">
        <f>C22*D22*G22</f>
        <v>6760.6649600000019</v>
      </c>
      <c r="I22" s="653"/>
      <c r="J22" s="653"/>
      <c r="K22" s="653"/>
      <c r="L22" s="653"/>
      <c r="M22" s="653"/>
      <c r="N22" s="653"/>
      <c r="O22" s="653"/>
      <c r="P22" s="653"/>
      <c r="Q22" s="653"/>
      <c r="R22" s="653"/>
      <c r="S22" s="653"/>
      <c r="T22" s="653"/>
      <c r="U22" s="653"/>
      <c r="V22" s="653"/>
      <c r="W22" s="653"/>
      <c r="X22" s="653"/>
      <c r="Y22" s="653"/>
      <c r="Z22" s="653"/>
      <c r="AA22" s="653"/>
      <c r="AB22" s="653"/>
      <c r="AC22" s="653"/>
      <c r="AD22" s="653"/>
      <c r="AE22" s="653"/>
      <c r="AF22" s="653"/>
      <c r="AG22" s="653"/>
      <c r="AH22" s="653"/>
    </row>
    <row r="23" spans="1:34" x14ac:dyDescent="0.3">
      <c r="A23" s="706" t="s">
        <v>397</v>
      </c>
      <c r="B23" s="707" t="s">
        <v>399</v>
      </c>
      <c r="C23" s="703">
        <f>Q16</f>
        <v>11870.476495999997</v>
      </c>
      <c r="D23" s="704">
        <v>1</v>
      </c>
      <c r="E23" s="704">
        <v>0</v>
      </c>
      <c r="F23" s="704">
        <v>0</v>
      </c>
      <c r="G23" s="704">
        <v>50</v>
      </c>
      <c r="H23" s="705">
        <f>C23*D23*G23</f>
        <v>593523.82479999983</v>
      </c>
      <c r="I23" s="653"/>
      <c r="J23" s="653"/>
      <c r="K23" s="653"/>
      <c r="L23" s="653"/>
      <c r="M23" s="653"/>
      <c r="N23" s="653"/>
      <c r="O23" s="653"/>
      <c r="P23" s="653"/>
      <c r="Q23" s="653"/>
      <c r="R23" s="653"/>
      <c r="S23" s="653"/>
      <c r="T23" s="653"/>
      <c r="U23" s="653"/>
      <c r="V23" s="653"/>
      <c r="W23" s="653"/>
      <c r="X23" s="653"/>
      <c r="Y23" s="653"/>
      <c r="Z23" s="653"/>
      <c r="AA23" s="653"/>
      <c r="AB23" s="653"/>
      <c r="AC23" s="653"/>
      <c r="AD23" s="653"/>
      <c r="AE23" s="653"/>
      <c r="AF23" s="653"/>
      <c r="AG23" s="653"/>
      <c r="AH23" s="653"/>
    </row>
    <row r="24" spans="1:34" x14ac:dyDescent="0.3">
      <c r="A24" s="653"/>
      <c r="B24" s="668"/>
      <c r="C24" s="668" t="s">
        <v>360</v>
      </c>
      <c r="D24" s="708" t="s">
        <v>360</v>
      </c>
      <c r="E24" s="708"/>
      <c r="F24" s="708"/>
      <c r="G24" s="709" t="s">
        <v>311</v>
      </c>
      <c r="H24" s="132">
        <f>SUM(H21:H23)</f>
        <v>2698643.7889599996</v>
      </c>
      <c r="I24" s="653"/>
      <c r="J24" s="653"/>
      <c r="K24" s="653"/>
      <c r="L24" s="653"/>
      <c r="M24" s="653"/>
      <c r="N24" s="653"/>
      <c r="O24" s="653"/>
      <c r="P24" s="653"/>
      <c r="Q24" s="653"/>
      <c r="R24" s="653"/>
      <c r="S24" s="653"/>
      <c r="T24" s="653"/>
      <c r="U24" s="653"/>
      <c r="V24" s="653"/>
      <c r="W24" s="653"/>
      <c r="X24" s="653"/>
      <c r="Y24" s="653"/>
      <c r="Z24" s="653"/>
      <c r="AA24" s="653"/>
      <c r="AB24" s="653"/>
      <c r="AC24" s="653"/>
      <c r="AD24" s="653"/>
      <c r="AE24" s="653"/>
      <c r="AF24" s="653"/>
      <c r="AG24" s="653"/>
      <c r="AH24" s="653"/>
    </row>
    <row r="25" spans="1:34" x14ac:dyDescent="0.3">
      <c r="A25" s="653" t="s">
        <v>289</v>
      </c>
      <c r="B25" s="653"/>
      <c r="C25" s="668"/>
      <c r="D25" s="653"/>
      <c r="E25" s="653"/>
      <c r="F25" s="653"/>
      <c r="G25" s="653"/>
      <c r="H25" s="653"/>
      <c r="I25" s="653"/>
      <c r="J25" s="653"/>
      <c r="K25" s="653"/>
      <c r="L25" s="653"/>
      <c r="M25" s="653"/>
      <c r="N25" s="653"/>
      <c r="O25" s="653"/>
      <c r="P25" s="653"/>
      <c r="Q25" s="653"/>
      <c r="R25" s="653"/>
      <c r="S25" s="653"/>
      <c r="T25" s="653"/>
      <c r="U25" s="653"/>
      <c r="V25" s="653"/>
      <c r="W25" s="653"/>
      <c r="X25" s="653"/>
      <c r="Y25" s="653"/>
      <c r="Z25" s="653"/>
      <c r="AA25" s="653"/>
      <c r="AB25" s="653"/>
      <c r="AC25" s="653"/>
      <c r="AD25" s="653"/>
      <c r="AE25" s="653"/>
      <c r="AF25" s="653"/>
      <c r="AG25" s="653"/>
      <c r="AH25" s="653"/>
    </row>
  </sheetData>
  <mergeCells count="34">
    <mergeCell ref="H19:H20"/>
    <mergeCell ref="A19:A20"/>
    <mergeCell ref="B19:B20"/>
    <mergeCell ref="C19:C20"/>
    <mergeCell ref="D19:D20"/>
    <mergeCell ref="E19:G19"/>
    <mergeCell ref="AC10:AC12"/>
    <mergeCell ref="S10:S12"/>
    <mergeCell ref="M10:M12"/>
    <mergeCell ref="N10:N12"/>
    <mergeCell ref="AD10:AD12"/>
    <mergeCell ref="V10:V12"/>
    <mergeCell ref="W10:W12"/>
    <mergeCell ref="X10:X12"/>
    <mergeCell ref="Y10:Y12"/>
    <mergeCell ref="Z10:Z12"/>
    <mergeCell ref="AA10:AA12"/>
    <mergeCell ref="P10:P12"/>
    <mergeCell ref="Q10:Q12"/>
    <mergeCell ref="R10:R12"/>
    <mergeCell ref="O10:O12"/>
    <mergeCell ref="AB10:AB12"/>
    <mergeCell ref="A2:X2"/>
    <mergeCell ref="T10:T12"/>
    <mergeCell ref="U10:U12"/>
    <mergeCell ref="N6:N7"/>
    <mergeCell ref="O6:O7"/>
    <mergeCell ref="P6:P7"/>
    <mergeCell ref="A10:A12"/>
    <mergeCell ref="B10:B12"/>
    <mergeCell ref="C11:E11"/>
    <mergeCell ref="F11:H11"/>
    <mergeCell ref="J11:L11"/>
    <mergeCell ref="C10:L10"/>
  </mergeCells>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1C7B5-3247-4FCD-B417-EB232896CAA8}">
  <sheetPr>
    <tabColor theme="9" tint="0.79998168889431442"/>
  </sheetPr>
  <dimension ref="A1:D6"/>
  <sheetViews>
    <sheetView zoomScale="71" zoomScaleNormal="71" workbookViewId="0">
      <selection activeCell="D1" sqref="D1"/>
    </sheetView>
  </sheetViews>
  <sheetFormatPr defaultColWidth="10.26953125" defaultRowHeight="13" x14ac:dyDescent="0.3"/>
  <cols>
    <col min="1" max="1" width="28.54296875" style="32" customWidth="1"/>
    <col min="2" max="2" width="14" style="32" customWidth="1"/>
    <col min="3" max="3" width="19.7265625" style="32" customWidth="1"/>
    <col min="4" max="4" width="20.1796875" style="32" customWidth="1"/>
    <col min="5" max="16384" width="10.26953125" style="32"/>
  </cols>
  <sheetData>
    <row r="1" spans="1:4" x14ac:dyDescent="0.3">
      <c r="D1" s="32" t="s">
        <v>1324</v>
      </c>
    </row>
    <row r="2" spans="1:4" ht="43.5" customHeight="1" x14ac:dyDescent="0.3">
      <c r="A2" s="996" t="s">
        <v>468</v>
      </c>
      <c r="B2" s="996"/>
      <c r="C2" s="996"/>
      <c r="D2" s="996"/>
    </row>
    <row r="3" spans="1:4" ht="65" x14ac:dyDescent="0.3">
      <c r="A3" s="482" t="s">
        <v>469</v>
      </c>
      <c r="B3" s="483" t="s">
        <v>1279</v>
      </c>
      <c r="C3" s="483" t="s">
        <v>1280</v>
      </c>
      <c r="D3" s="483" t="s">
        <v>1281</v>
      </c>
    </row>
    <row r="4" spans="1:4" ht="26" x14ac:dyDescent="0.3">
      <c r="A4" s="604" t="s">
        <v>444</v>
      </c>
      <c r="B4" s="664">
        <v>5082</v>
      </c>
      <c r="C4" s="664">
        <v>207.44</v>
      </c>
      <c r="D4" s="605">
        <f>C4*B4</f>
        <v>1054210.08</v>
      </c>
    </row>
    <row r="5" spans="1:4" ht="52" x14ac:dyDescent="0.3">
      <c r="A5" s="786" t="s">
        <v>194</v>
      </c>
      <c r="B5" s="1128"/>
      <c r="C5" s="1128"/>
      <c r="D5" s="665" t="s">
        <v>348</v>
      </c>
    </row>
    <row r="6" spans="1:4" x14ac:dyDescent="0.3">
      <c r="A6" s="32" t="s">
        <v>445</v>
      </c>
    </row>
  </sheetData>
  <mergeCells count="2">
    <mergeCell ref="A2:D2"/>
    <mergeCell ref="B5:C5"/>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A93C3-A01F-41C9-A133-75E3ACE26C45}">
  <sheetPr>
    <tabColor theme="9" tint="0.79998168889431442"/>
  </sheetPr>
  <dimension ref="A1:N21"/>
  <sheetViews>
    <sheetView zoomScale="69" zoomScaleNormal="69" workbookViewId="0">
      <selection activeCell="K1" sqref="K1"/>
    </sheetView>
  </sheetViews>
  <sheetFormatPr defaultColWidth="8.7265625" defaultRowHeight="13" x14ac:dyDescent="0.3"/>
  <cols>
    <col min="1" max="1" width="41.1796875" style="32" customWidth="1"/>
    <col min="2" max="2" width="53" style="32" customWidth="1"/>
    <col min="3" max="3" width="42.1796875" style="32" customWidth="1"/>
    <col min="4" max="4" width="26.7265625" style="32" customWidth="1"/>
    <col min="5" max="5" width="19" style="32" customWidth="1"/>
    <col min="6" max="6" width="19.453125" style="32" customWidth="1"/>
    <col min="7" max="7" width="16" style="32" customWidth="1"/>
    <col min="8" max="8" width="19.453125" style="32" customWidth="1"/>
    <col min="9" max="9" width="20.54296875" style="32" customWidth="1"/>
    <col min="10" max="10" width="18.453125" style="32" customWidth="1"/>
    <col min="11" max="11" width="19.54296875" style="32" customWidth="1"/>
    <col min="12" max="16384" width="8.7265625" style="32"/>
  </cols>
  <sheetData>
    <row r="1" spans="1:14" x14ac:dyDescent="0.3">
      <c r="K1" s="32" t="s">
        <v>1094</v>
      </c>
    </row>
    <row r="2" spans="1:14" x14ac:dyDescent="0.3">
      <c r="B2" s="1085" t="s">
        <v>99</v>
      </c>
      <c r="C2" s="1085"/>
      <c r="D2" s="1085"/>
      <c r="E2" s="1085"/>
      <c r="F2" s="1085"/>
    </row>
    <row r="3" spans="1:14" ht="66" customHeight="1" x14ac:dyDescent="0.3">
      <c r="A3" s="35" t="s">
        <v>194</v>
      </c>
      <c r="B3" s="35" t="s">
        <v>501</v>
      </c>
      <c r="C3" s="1131"/>
      <c r="D3" s="666"/>
      <c r="E3" s="37"/>
      <c r="F3" s="37"/>
      <c r="G3" s="91"/>
      <c r="H3" s="91"/>
      <c r="I3" s="91"/>
      <c r="J3" s="37"/>
    </row>
    <row r="4" spans="1:14" ht="37.5" customHeight="1" x14ac:dyDescent="0.3">
      <c r="A4" s="788" t="s">
        <v>349</v>
      </c>
      <c r="B4" s="667">
        <f>K13</f>
        <v>630918</v>
      </c>
      <c r="C4" s="1131"/>
      <c r="D4" s="666"/>
      <c r="E4" s="37"/>
      <c r="F4" s="37"/>
      <c r="G4" s="91"/>
      <c r="H4" s="91"/>
      <c r="I4" s="91"/>
      <c r="J4" s="37"/>
    </row>
    <row r="5" spans="1:14" ht="21" customHeight="1" x14ac:dyDescent="0.3">
      <c r="A5" s="36"/>
      <c r="B5" s="36"/>
      <c r="C5" s="666"/>
      <c r="D5" s="666"/>
      <c r="E5" s="37"/>
      <c r="F5" s="37"/>
      <c r="G5" s="91"/>
      <c r="H5" s="91"/>
      <c r="I5" s="91"/>
      <c r="J5" s="37"/>
    </row>
    <row r="6" spans="1:14" ht="18.75" customHeight="1" x14ac:dyDescent="0.3">
      <c r="A6" s="36"/>
      <c r="B6" s="36"/>
      <c r="C6" s="666"/>
      <c r="D6" s="666"/>
      <c r="E6" s="37"/>
      <c r="F6" s="37"/>
      <c r="G6" s="91"/>
      <c r="H6" s="91"/>
      <c r="I6" s="91"/>
      <c r="J6" s="37"/>
    </row>
    <row r="7" spans="1:14" x14ac:dyDescent="0.3">
      <c r="A7" s="653"/>
      <c r="B7" s="653"/>
      <c r="C7" s="653"/>
      <c r="D7" s="653"/>
      <c r="E7" s="653"/>
      <c r="F7" s="668"/>
      <c r="G7" s="653"/>
      <c r="H7" s="668"/>
      <c r="I7" s="653"/>
      <c r="J7" s="668"/>
      <c r="K7" s="668"/>
    </row>
    <row r="8" spans="1:14" ht="26" x14ac:dyDescent="0.3">
      <c r="A8" s="96" t="s">
        <v>404</v>
      </c>
      <c r="B8" s="669" t="s">
        <v>405</v>
      </c>
      <c r="C8" s="626" t="s">
        <v>406</v>
      </c>
      <c r="D8" s="626" t="s">
        <v>407</v>
      </c>
      <c r="E8" s="626" t="s">
        <v>408</v>
      </c>
      <c r="F8" s="626" t="s">
        <v>409</v>
      </c>
      <c r="G8" s="626" t="s">
        <v>410</v>
      </c>
      <c r="H8" s="626" t="s">
        <v>411</v>
      </c>
      <c r="I8" s="626" t="s">
        <v>412</v>
      </c>
      <c r="J8" s="626" t="s">
        <v>413</v>
      </c>
      <c r="K8" s="670" t="s">
        <v>414</v>
      </c>
      <c r="N8" s="99"/>
    </row>
    <row r="9" spans="1:14" x14ac:dyDescent="0.3">
      <c r="A9" s="671" t="s">
        <v>415</v>
      </c>
      <c r="B9" s="672" t="s">
        <v>416</v>
      </c>
      <c r="C9" s="673">
        <v>197</v>
      </c>
      <c r="D9" s="673" t="s">
        <v>417</v>
      </c>
      <c r="E9" s="673">
        <v>187</v>
      </c>
      <c r="F9" s="674" t="s">
        <v>418</v>
      </c>
      <c r="G9" s="673">
        <v>161</v>
      </c>
      <c r="H9" s="674" t="s">
        <v>419</v>
      </c>
      <c r="I9" s="674">
        <f>(E9-G9)+43</f>
        <v>69</v>
      </c>
      <c r="J9" s="674">
        <v>4282.75</v>
      </c>
      <c r="K9" s="675">
        <f>I9*J9</f>
        <v>295509.75</v>
      </c>
      <c r="N9" s="99"/>
    </row>
    <row r="10" spans="1:14" x14ac:dyDescent="0.3">
      <c r="A10" s="671" t="s">
        <v>420</v>
      </c>
      <c r="B10" s="672" t="s">
        <v>416</v>
      </c>
      <c r="C10" s="673">
        <v>180</v>
      </c>
      <c r="D10" s="673" t="s">
        <v>421</v>
      </c>
      <c r="E10" s="673">
        <v>191</v>
      </c>
      <c r="F10" s="674" t="s">
        <v>422</v>
      </c>
      <c r="G10" s="673">
        <v>182</v>
      </c>
      <c r="H10" s="674" t="s">
        <v>423</v>
      </c>
      <c r="I10" s="674">
        <f>(E10-G10)+51</f>
        <v>60</v>
      </c>
      <c r="J10" s="674">
        <v>4116.37</v>
      </c>
      <c r="K10" s="675">
        <f t="shared" ref="K10:K12" si="0">I10*J10</f>
        <v>246982.19999999998</v>
      </c>
      <c r="N10" s="99"/>
    </row>
    <row r="11" spans="1:14" x14ac:dyDescent="0.3">
      <c r="A11" s="671" t="s">
        <v>424</v>
      </c>
      <c r="B11" s="672" t="s">
        <v>416</v>
      </c>
      <c r="C11" s="673">
        <v>26</v>
      </c>
      <c r="D11" s="673" t="s">
        <v>425</v>
      </c>
      <c r="E11" s="673">
        <v>30</v>
      </c>
      <c r="F11" s="674" t="s">
        <v>426</v>
      </c>
      <c r="G11" s="673">
        <v>22</v>
      </c>
      <c r="H11" s="674" t="s">
        <v>427</v>
      </c>
      <c r="I11" s="674">
        <f>(E11-G11)+5</f>
        <v>13</v>
      </c>
      <c r="J11" s="674">
        <v>3558.7</v>
      </c>
      <c r="K11" s="675">
        <f t="shared" si="0"/>
        <v>46263.1</v>
      </c>
      <c r="N11" s="99"/>
    </row>
    <row r="12" spans="1:14" x14ac:dyDescent="0.3">
      <c r="A12" s="671" t="s">
        <v>428</v>
      </c>
      <c r="B12" s="672" t="s">
        <v>416</v>
      </c>
      <c r="C12" s="673">
        <v>15</v>
      </c>
      <c r="D12" s="673" t="s">
        <v>429</v>
      </c>
      <c r="E12" s="673">
        <v>15</v>
      </c>
      <c r="F12" s="674" t="s">
        <v>430</v>
      </c>
      <c r="G12" s="673">
        <v>9</v>
      </c>
      <c r="H12" s="674" t="s">
        <v>431</v>
      </c>
      <c r="I12" s="673">
        <f>(E12-G12)+12</f>
        <v>18</v>
      </c>
      <c r="J12" s="674">
        <v>2342.4</v>
      </c>
      <c r="K12" s="675">
        <f t="shared" si="0"/>
        <v>42163.200000000004</v>
      </c>
      <c r="N12" s="99"/>
    </row>
    <row r="13" spans="1:14" x14ac:dyDescent="0.3">
      <c r="A13" s="676" t="s">
        <v>432</v>
      </c>
      <c r="B13" s="672" t="s">
        <v>360</v>
      </c>
      <c r="C13" s="673">
        <v>418</v>
      </c>
      <c r="D13" s="673" t="s">
        <v>433</v>
      </c>
      <c r="E13" s="673">
        <v>423</v>
      </c>
      <c r="F13" s="674" t="s">
        <v>434</v>
      </c>
      <c r="G13" s="673">
        <v>374</v>
      </c>
      <c r="H13" s="674" t="s">
        <v>435</v>
      </c>
      <c r="I13" s="673">
        <f>I9+I10+I11+I12</f>
        <v>160</v>
      </c>
      <c r="J13" s="674" t="s">
        <v>360</v>
      </c>
      <c r="K13" s="677">
        <f>ROUND(SUM(K9:K12),0)</f>
        <v>630918</v>
      </c>
    </row>
    <row r="14" spans="1:14" x14ac:dyDescent="0.3">
      <c r="A14" s="1129" t="s">
        <v>436</v>
      </c>
      <c r="B14" s="1129"/>
      <c r="C14" s="678"/>
      <c r="D14" s="678"/>
      <c r="E14" s="678"/>
      <c r="F14" s="679"/>
      <c r="G14" s="678"/>
      <c r="H14" s="679"/>
      <c r="I14" s="653"/>
      <c r="J14" s="668"/>
      <c r="K14" s="668"/>
    </row>
    <row r="15" spans="1:14" ht="26.25" customHeight="1" x14ac:dyDescent="0.3">
      <c r="A15" s="1130" t="s">
        <v>437</v>
      </c>
      <c r="B15" s="1130"/>
      <c r="C15" s="1130"/>
      <c r="D15" s="1130"/>
      <c r="E15" s="1130"/>
      <c r="F15" s="1130"/>
      <c r="G15" s="668"/>
      <c r="H15" s="679"/>
      <c r="I15" s="653"/>
      <c r="J15" s="679"/>
      <c r="K15" s="679"/>
    </row>
    <row r="16" spans="1:14" x14ac:dyDescent="0.3">
      <c r="A16" s="678"/>
      <c r="B16" s="678"/>
      <c r="C16" s="678"/>
      <c r="D16" s="678"/>
      <c r="E16" s="678"/>
      <c r="F16" s="679"/>
      <c r="G16" s="668"/>
      <c r="H16" s="679"/>
      <c r="I16" s="653"/>
      <c r="J16" s="668"/>
      <c r="K16" s="668"/>
    </row>
    <row r="17" spans="1:11" x14ac:dyDescent="0.3">
      <c r="A17" s="678"/>
      <c r="B17" s="678"/>
      <c r="C17" s="678"/>
      <c r="D17" s="678"/>
      <c r="E17" s="678"/>
      <c r="F17" s="679"/>
      <c r="G17" s="653"/>
      <c r="H17" s="679"/>
      <c r="I17" s="653"/>
      <c r="J17" s="668"/>
      <c r="K17" s="668"/>
    </row>
    <row r="18" spans="1:11" x14ac:dyDescent="0.3">
      <c r="A18" s="653"/>
      <c r="B18" s="653"/>
      <c r="C18" s="653"/>
      <c r="D18" s="653"/>
      <c r="E18" s="653"/>
      <c r="F18" s="668"/>
      <c r="G18" s="653"/>
      <c r="H18" s="668"/>
      <c r="I18" s="679"/>
      <c r="J18" s="668"/>
      <c r="K18" s="668"/>
    </row>
    <row r="19" spans="1:11" x14ac:dyDescent="0.3">
      <c r="I19" s="679"/>
    </row>
    <row r="20" spans="1:11" x14ac:dyDescent="0.3">
      <c r="I20" s="679"/>
    </row>
    <row r="21" spans="1:11" x14ac:dyDescent="0.3">
      <c r="I21" s="679"/>
    </row>
  </sheetData>
  <mergeCells count="4">
    <mergeCell ref="B2:F2"/>
    <mergeCell ref="A14:B14"/>
    <mergeCell ref="A15:F15"/>
    <mergeCell ref="C3:C4"/>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8EF55-D50B-4162-A186-1F0FD5775059}">
  <sheetPr>
    <tabColor theme="9" tint="0.79998168889431442"/>
  </sheetPr>
  <dimension ref="A1:J12"/>
  <sheetViews>
    <sheetView zoomScale="80" zoomScaleNormal="80" workbookViewId="0">
      <selection activeCell="H1" sqref="H1"/>
    </sheetView>
  </sheetViews>
  <sheetFormatPr defaultColWidth="8.81640625" defaultRowHeight="13" x14ac:dyDescent="0.3"/>
  <cols>
    <col min="1" max="1" width="37.81640625" style="177" customWidth="1"/>
    <col min="2" max="2" width="41.1796875" style="177" customWidth="1"/>
    <col min="3" max="3" width="35.1796875" style="177" customWidth="1"/>
    <col min="4" max="4" width="30.54296875" style="177" customWidth="1"/>
    <col min="5" max="5" width="12.26953125" style="178" customWidth="1"/>
    <col min="6" max="6" width="17" style="177" customWidth="1"/>
    <col min="7" max="7" width="10.453125" style="176" customWidth="1"/>
    <col min="8" max="8" width="19.1796875" style="176" customWidth="1"/>
    <col min="9" max="9" width="13.81640625" style="176" customWidth="1"/>
    <col min="10" max="10" width="14.453125" style="176" customWidth="1"/>
    <col min="11" max="11" width="15.453125" style="177" customWidth="1"/>
    <col min="12" max="16384" width="8.81640625" style="177"/>
  </cols>
  <sheetData>
    <row r="1" spans="1:8" x14ac:dyDescent="0.3">
      <c r="A1" s="117"/>
      <c r="B1" s="117"/>
      <c r="C1" s="117"/>
      <c r="D1" s="117"/>
      <c r="E1" s="117"/>
      <c r="F1" s="123"/>
      <c r="G1" s="117"/>
      <c r="H1" s="123" t="s">
        <v>1325</v>
      </c>
    </row>
    <row r="2" spans="1:8" x14ac:dyDescent="0.3">
      <c r="A2" s="1134" t="s">
        <v>571</v>
      </c>
      <c r="B2" s="1134"/>
      <c r="C2" s="1134"/>
      <c r="D2" s="1134"/>
      <c r="E2" s="1134"/>
      <c r="F2" s="1134"/>
      <c r="G2" s="1134"/>
      <c r="H2" s="1134"/>
    </row>
    <row r="3" spans="1:8" ht="26" x14ac:dyDescent="0.3">
      <c r="A3" s="319" t="s">
        <v>194</v>
      </c>
      <c r="B3" s="763" t="s">
        <v>1106</v>
      </c>
      <c r="C3" s="761"/>
      <c r="D3" s="123" t="s">
        <v>360</v>
      </c>
      <c r="E3" s="123" t="s">
        <v>360</v>
      </c>
      <c r="F3" s="123"/>
      <c r="G3" s="123"/>
      <c r="H3" s="123" t="s">
        <v>360</v>
      </c>
    </row>
    <row r="4" spans="1:8" ht="26" x14ac:dyDescent="0.3">
      <c r="A4" s="785" t="s">
        <v>804</v>
      </c>
      <c r="B4" s="764">
        <f>H10</f>
        <v>134508.29999999999</v>
      </c>
      <c r="C4" s="762"/>
      <c r="D4" s="124" t="s">
        <v>360</v>
      </c>
      <c r="E4" s="117" t="s">
        <v>360</v>
      </c>
      <c r="F4" s="123"/>
      <c r="G4" s="123"/>
      <c r="H4" s="123" t="s">
        <v>360</v>
      </c>
    </row>
    <row r="5" spans="1:8" x14ac:dyDescent="0.3">
      <c r="A5" s="117"/>
      <c r="B5" s="123"/>
      <c r="C5" s="123" t="s">
        <v>360</v>
      </c>
      <c r="D5" s="123" t="s">
        <v>360</v>
      </c>
      <c r="E5" s="123"/>
      <c r="F5" s="123"/>
      <c r="G5" s="123"/>
      <c r="H5" s="125" t="s">
        <v>360</v>
      </c>
    </row>
    <row r="6" spans="1:8" x14ac:dyDescent="0.3">
      <c r="A6" s="1060" t="s">
        <v>235</v>
      </c>
      <c r="B6" s="1062" t="s">
        <v>439</v>
      </c>
      <c r="C6" s="1060" t="s">
        <v>440</v>
      </c>
      <c r="D6" s="1060" t="s">
        <v>238</v>
      </c>
      <c r="E6" s="1137" t="s">
        <v>239</v>
      </c>
      <c r="F6" s="1137"/>
      <c r="G6" s="1138"/>
      <c r="H6" s="1060" t="s">
        <v>240</v>
      </c>
    </row>
    <row r="7" spans="1:8" x14ac:dyDescent="0.3">
      <c r="A7" s="1135"/>
      <c r="B7" s="1136"/>
      <c r="C7" s="1135"/>
      <c r="D7" s="1135"/>
      <c r="E7" s="140" t="s">
        <v>241</v>
      </c>
      <c r="F7" s="140" t="s">
        <v>242</v>
      </c>
      <c r="G7" s="140" t="s">
        <v>243</v>
      </c>
      <c r="H7" s="1061"/>
    </row>
    <row r="8" spans="1:8" x14ac:dyDescent="0.3">
      <c r="A8" s="141"/>
      <c r="B8" s="142" t="s">
        <v>441</v>
      </c>
      <c r="C8" s="143">
        <v>4000</v>
      </c>
      <c r="D8" s="129">
        <v>1</v>
      </c>
      <c r="E8" s="129">
        <v>30</v>
      </c>
      <c r="F8" s="129">
        <v>0</v>
      </c>
      <c r="G8" s="129">
        <v>0</v>
      </c>
      <c r="H8" s="144">
        <f>C8*D8*E8</f>
        <v>120000</v>
      </c>
    </row>
    <row r="9" spans="1:8" ht="26" x14ac:dyDescent="0.3">
      <c r="A9" s="145">
        <v>50810</v>
      </c>
      <c r="B9" s="146" t="s">
        <v>442</v>
      </c>
      <c r="C9" s="145">
        <v>483.61</v>
      </c>
      <c r="D9" s="147">
        <v>1</v>
      </c>
      <c r="E9" s="131">
        <v>30</v>
      </c>
      <c r="F9" s="131">
        <v>0</v>
      </c>
      <c r="G9" s="131">
        <v>0</v>
      </c>
      <c r="H9" s="148">
        <f>C9*D9*E9</f>
        <v>14508.300000000001</v>
      </c>
    </row>
    <row r="10" spans="1:8" x14ac:dyDescent="0.3">
      <c r="A10" s="149"/>
      <c r="B10" s="150"/>
      <c r="C10" s="125" t="s">
        <v>360</v>
      </c>
      <c r="D10" s="151" t="s">
        <v>360</v>
      </c>
      <c r="E10" s="130"/>
      <c r="F10" s="130"/>
      <c r="G10" s="131" t="s">
        <v>311</v>
      </c>
      <c r="H10" s="179">
        <f>SUM(H8:H9)</f>
        <v>134508.29999999999</v>
      </c>
    </row>
    <row r="11" spans="1:8" x14ac:dyDescent="0.3">
      <c r="A11" s="1133" t="s">
        <v>443</v>
      </c>
      <c r="B11" s="1133"/>
      <c r="C11" s="1133"/>
      <c r="D11" s="117"/>
      <c r="E11" s="117"/>
      <c r="F11" s="117"/>
      <c r="G11" s="117"/>
      <c r="H11" s="117"/>
    </row>
    <row r="12" spans="1:8" x14ac:dyDescent="0.3">
      <c r="A12" s="1132" t="s">
        <v>471</v>
      </c>
      <c r="B12" s="1132"/>
      <c r="C12" s="1132"/>
      <c r="D12" s="117"/>
      <c r="E12" s="117"/>
      <c r="F12" s="117"/>
      <c r="G12" s="117"/>
      <c r="H12" s="117"/>
    </row>
  </sheetData>
  <mergeCells count="9">
    <mergeCell ref="A12:C12"/>
    <mergeCell ref="A11:C11"/>
    <mergeCell ref="A2:H2"/>
    <mergeCell ref="A6:A7"/>
    <mergeCell ref="B6:B7"/>
    <mergeCell ref="C6:C7"/>
    <mergeCell ref="D6:D7"/>
    <mergeCell ref="E6:G6"/>
    <mergeCell ref="H6:H7"/>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896AA-77A5-4709-9120-8385DF242286}">
  <sheetPr>
    <tabColor theme="9" tint="0.79998168889431442"/>
  </sheetPr>
  <dimension ref="A1:AE21"/>
  <sheetViews>
    <sheetView zoomScale="64" zoomScaleNormal="64" workbookViewId="0">
      <selection activeCell="H1" sqref="H1:I1"/>
    </sheetView>
  </sheetViews>
  <sheetFormatPr defaultRowHeight="14.5" x14ac:dyDescent="0.35"/>
  <cols>
    <col min="1" max="1" width="25.81640625" customWidth="1"/>
    <col min="2" max="2" width="43.54296875" customWidth="1"/>
    <col min="3" max="3" width="20.1796875" customWidth="1"/>
    <col min="4" max="4" width="21.1796875" customWidth="1"/>
    <col min="5" max="5" width="20.26953125" customWidth="1"/>
    <col min="7" max="7" width="13" customWidth="1"/>
    <col min="8" max="8" width="16.7265625" customWidth="1"/>
    <col min="9" max="9" width="20.81640625" customWidth="1"/>
    <col min="10" max="10" width="10.26953125" customWidth="1"/>
    <col min="11" max="11" width="11.7265625" customWidth="1"/>
    <col min="13" max="13" width="10.81640625" customWidth="1"/>
    <col min="14" max="14" width="15" customWidth="1"/>
    <col min="15" max="15" width="15.1796875" customWidth="1"/>
    <col min="16" max="16" width="12.26953125" customWidth="1"/>
    <col min="30" max="30" width="13" customWidth="1"/>
  </cols>
  <sheetData>
    <row r="1" spans="1:31" ht="26.25" customHeight="1" x14ac:dyDescent="0.35">
      <c r="A1" s="117"/>
      <c r="B1" s="117"/>
      <c r="C1" s="117"/>
      <c r="D1" s="117"/>
      <c r="E1" s="117"/>
      <c r="F1" s="117"/>
      <c r="G1" s="117"/>
      <c r="H1" s="1150" t="s">
        <v>1326</v>
      </c>
      <c r="I1" s="1150"/>
      <c r="J1" s="164"/>
      <c r="K1" s="164"/>
      <c r="L1" s="164"/>
      <c r="M1" s="164"/>
      <c r="N1" s="164"/>
      <c r="O1" s="164"/>
      <c r="P1" s="164"/>
      <c r="Q1" s="164"/>
      <c r="R1" s="164"/>
      <c r="S1" s="164"/>
      <c r="T1" s="164"/>
      <c r="U1" s="164"/>
      <c r="V1" s="164"/>
      <c r="W1" s="164"/>
      <c r="X1" s="164"/>
      <c r="Y1" s="164"/>
      <c r="Z1" s="164"/>
      <c r="AA1" s="164"/>
      <c r="AB1" s="164"/>
      <c r="AC1" s="164"/>
      <c r="AD1" s="164"/>
      <c r="AE1" s="164"/>
    </row>
    <row r="2" spans="1:31" ht="42" customHeight="1" x14ac:dyDescent="0.35">
      <c r="A2" s="1151" t="s">
        <v>572</v>
      </c>
      <c r="B2" s="1151"/>
      <c r="C2" s="1151"/>
      <c r="D2" s="1151"/>
      <c r="E2" s="1151"/>
      <c r="F2" s="1151"/>
      <c r="G2" s="1151"/>
      <c r="H2" s="1151"/>
      <c r="I2" s="1151"/>
      <c r="J2" s="1151"/>
      <c r="K2" s="1151"/>
      <c r="L2" s="1151"/>
      <c r="M2" s="1151"/>
      <c r="N2" s="1151"/>
      <c r="O2" s="1151"/>
      <c r="P2" s="1151"/>
      <c r="Q2" s="1151"/>
      <c r="R2" s="164"/>
      <c r="S2" s="164"/>
      <c r="T2" s="164"/>
      <c r="U2" s="164"/>
      <c r="V2" s="164"/>
      <c r="W2" s="164"/>
      <c r="X2" s="164"/>
      <c r="Y2" s="164"/>
      <c r="Z2" s="164"/>
      <c r="AA2" s="164"/>
      <c r="AB2" s="164"/>
      <c r="AC2" s="164"/>
      <c r="AD2" s="164"/>
      <c r="AE2" s="164"/>
    </row>
    <row r="3" spans="1:31" ht="39" x14ac:dyDescent="0.35">
      <c r="A3" s="319" t="s">
        <v>194</v>
      </c>
      <c r="B3" s="319" t="s">
        <v>1237</v>
      </c>
      <c r="C3" s="765"/>
      <c r="D3" s="123" t="s">
        <v>360</v>
      </c>
      <c r="E3" s="123" t="s">
        <v>360</v>
      </c>
      <c r="F3" s="123"/>
      <c r="G3" s="123"/>
      <c r="H3" s="123" t="s">
        <v>360</v>
      </c>
      <c r="I3" s="164"/>
      <c r="J3" s="164"/>
      <c r="K3" s="164"/>
      <c r="L3" s="164"/>
      <c r="M3" s="164"/>
      <c r="N3" s="164"/>
      <c r="O3" s="164"/>
      <c r="P3" s="164"/>
      <c r="Q3" s="164"/>
      <c r="R3" s="164"/>
      <c r="S3" s="164"/>
      <c r="T3" s="164"/>
      <c r="U3" s="164"/>
      <c r="V3" s="164"/>
      <c r="W3" s="164"/>
      <c r="X3" s="164"/>
      <c r="Y3" s="164"/>
      <c r="Z3" s="164"/>
      <c r="AA3" s="164"/>
      <c r="AB3" s="164"/>
      <c r="AC3" s="164"/>
      <c r="AD3" s="164"/>
      <c r="AE3" s="164"/>
    </row>
    <row r="4" spans="1:31" ht="50.25" customHeight="1" x14ac:dyDescent="0.35">
      <c r="A4" s="785" t="s">
        <v>349</v>
      </c>
      <c r="B4" s="410">
        <f>H20</f>
        <v>42767</v>
      </c>
      <c r="C4" s="766"/>
      <c r="D4" s="124" t="s">
        <v>360</v>
      </c>
      <c r="E4" s="117" t="s">
        <v>360</v>
      </c>
      <c r="F4" s="123"/>
      <c r="G4" s="123"/>
      <c r="H4" s="123" t="s">
        <v>360</v>
      </c>
      <c r="I4" s="164"/>
      <c r="J4" s="164"/>
      <c r="K4" s="164"/>
      <c r="L4" s="164"/>
      <c r="M4" s="164"/>
      <c r="N4" s="164"/>
      <c r="O4" s="164"/>
      <c r="P4" s="164"/>
      <c r="Q4" s="164"/>
      <c r="R4" s="164"/>
      <c r="S4" s="164"/>
      <c r="T4" s="164"/>
      <c r="U4" s="164"/>
      <c r="V4" s="164"/>
      <c r="W4" s="164"/>
      <c r="X4" s="164"/>
      <c r="Y4" s="164"/>
      <c r="Z4" s="164"/>
      <c r="AA4" s="164"/>
      <c r="AB4" s="164"/>
      <c r="AC4" s="164"/>
      <c r="AD4" s="164"/>
      <c r="AE4" s="164"/>
    </row>
    <row r="5" spans="1:31" x14ac:dyDescent="0.35">
      <c r="A5" s="117"/>
      <c r="B5" s="123"/>
      <c r="C5" s="125" t="s">
        <v>360</v>
      </c>
      <c r="D5" s="123" t="s">
        <v>360</v>
      </c>
      <c r="E5" s="123"/>
      <c r="F5" s="123"/>
      <c r="G5" s="123"/>
      <c r="H5" s="123" t="s">
        <v>360</v>
      </c>
      <c r="I5" s="164"/>
      <c r="J5" s="164"/>
      <c r="K5" s="164"/>
      <c r="L5" s="164"/>
      <c r="M5" s="164"/>
      <c r="N5" s="164"/>
      <c r="O5" s="164"/>
      <c r="P5" s="164"/>
      <c r="Q5" s="164"/>
      <c r="R5" s="164"/>
      <c r="S5" s="164"/>
      <c r="T5" s="164"/>
      <c r="U5" s="164"/>
      <c r="V5" s="164"/>
      <c r="W5" s="164"/>
      <c r="X5" s="164"/>
      <c r="Y5" s="164"/>
      <c r="Z5" s="164"/>
      <c r="AA5" s="164"/>
      <c r="AB5" s="164"/>
      <c r="AC5" s="164"/>
      <c r="AD5" s="164"/>
      <c r="AE5" s="164"/>
    </row>
    <row r="6" spans="1:31" x14ac:dyDescent="0.35">
      <c r="A6" s="117"/>
      <c r="B6" s="117"/>
      <c r="C6" s="123"/>
      <c r="D6" s="117"/>
      <c r="E6" s="117"/>
      <c r="F6" s="117"/>
      <c r="G6" s="117"/>
      <c r="H6" s="117"/>
      <c r="I6" s="126"/>
      <c r="J6" s="126"/>
      <c r="K6" s="126"/>
      <c r="L6" s="126"/>
      <c r="M6" s="126"/>
      <c r="N6" s="126"/>
      <c r="O6" s="126"/>
      <c r="P6" s="126"/>
      <c r="Q6" s="126"/>
      <c r="R6" s="126"/>
      <c r="S6" s="126"/>
      <c r="T6" s="126"/>
      <c r="U6" s="126"/>
      <c r="V6" s="126"/>
      <c r="W6" s="126"/>
      <c r="X6" s="126"/>
      <c r="Y6" s="126"/>
      <c r="Z6" s="126"/>
      <c r="AA6" s="126"/>
      <c r="AB6" s="126"/>
      <c r="AC6" s="126"/>
      <c r="AD6" s="126"/>
      <c r="AE6" s="126"/>
    </row>
    <row r="7" spans="1:31" ht="36" customHeight="1" x14ac:dyDescent="0.35">
      <c r="A7" s="133" t="s">
        <v>360</v>
      </c>
      <c r="B7" s="133" t="s">
        <v>360</v>
      </c>
      <c r="C7" s="133" t="s">
        <v>360</v>
      </c>
      <c r="D7" s="133" t="s">
        <v>360</v>
      </c>
      <c r="E7" s="125" t="s">
        <v>360</v>
      </c>
      <c r="F7" s="403" t="s">
        <v>361</v>
      </c>
      <c r="G7" s="710" t="s">
        <v>362</v>
      </c>
      <c r="H7" s="710" t="s">
        <v>363</v>
      </c>
      <c r="I7" s="710" t="s">
        <v>364</v>
      </c>
      <c r="J7" s="125" t="s">
        <v>360</v>
      </c>
      <c r="K7" s="133" t="s">
        <v>360</v>
      </c>
      <c r="L7" s="133" t="s">
        <v>360</v>
      </c>
      <c r="M7" s="133" t="s">
        <v>360</v>
      </c>
      <c r="N7" s="1142" t="s">
        <v>365</v>
      </c>
      <c r="O7" s="1142" t="s">
        <v>366</v>
      </c>
      <c r="P7" s="1142" t="s">
        <v>367</v>
      </c>
      <c r="Q7" s="133" t="s">
        <v>360</v>
      </c>
      <c r="R7" s="133" t="s">
        <v>360</v>
      </c>
      <c r="S7" s="133" t="s">
        <v>360</v>
      </c>
      <c r="T7" s="133" t="s">
        <v>360</v>
      </c>
      <c r="U7" s="133" t="s">
        <v>360</v>
      </c>
      <c r="V7" s="133" t="s">
        <v>360</v>
      </c>
      <c r="W7" s="133" t="s">
        <v>360</v>
      </c>
      <c r="X7" s="133" t="s">
        <v>360</v>
      </c>
      <c r="Y7" s="133" t="s">
        <v>360</v>
      </c>
      <c r="Z7" s="133" t="s">
        <v>360</v>
      </c>
      <c r="AA7" s="133" t="s">
        <v>360</v>
      </c>
      <c r="AB7" s="133" t="s">
        <v>360</v>
      </c>
      <c r="AC7" s="133" t="s">
        <v>360</v>
      </c>
      <c r="AD7" s="133" t="s">
        <v>360</v>
      </c>
      <c r="AE7" s="126"/>
    </row>
    <row r="8" spans="1:31" ht="33.75" customHeight="1" x14ac:dyDescent="0.35">
      <c r="A8" s="133" t="s">
        <v>360</v>
      </c>
      <c r="B8" s="133" t="s">
        <v>360</v>
      </c>
      <c r="C8" s="133" t="s">
        <v>360</v>
      </c>
      <c r="D8" s="133" t="s">
        <v>360</v>
      </c>
      <c r="E8" s="125" t="s">
        <v>368</v>
      </c>
      <c r="F8" s="170">
        <v>2304</v>
      </c>
      <c r="G8" s="171">
        <v>1388</v>
      </c>
      <c r="H8" s="171">
        <v>925</v>
      </c>
      <c r="I8" s="172" t="s">
        <v>360</v>
      </c>
      <c r="J8" s="133" t="s">
        <v>360</v>
      </c>
      <c r="K8" s="133" t="s">
        <v>360</v>
      </c>
      <c r="L8" s="133" t="s">
        <v>360</v>
      </c>
      <c r="M8" s="133" t="s">
        <v>360</v>
      </c>
      <c r="N8" s="1143"/>
      <c r="O8" s="1143"/>
      <c r="P8" s="1143"/>
      <c r="Q8" s="133" t="s">
        <v>360</v>
      </c>
      <c r="R8" s="133" t="s">
        <v>360</v>
      </c>
      <c r="S8" s="133" t="s">
        <v>360</v>
      </c>
      <c r="T8" s="133" t="s">
        <v>360</v>
      </c>
      <c r="U8" s="133" t="s">
        <v>360</v>
      </c>
      <c r="V8" s="133" t="s">
        <v>360</v>
      </c>
      <c r="W8" s="133" t="s">
        <v>360</v>
      </c>
      <c r="X8" s="133" t="s">
        <v>360</v>
      </c>
      <c r="Y8" s="133" t="s">
        <v>360</v>
      </c>
      <c r="Z8" s="133" t="s">
        <v>360</v>
      </c>
      <c r="AA8" s="133" t="s">
        <v>360</v>
      </c>
      <c r="AB8" s="133" t="s">
        <v>360</v>
      </c>
      <c r="AC8" s="133" t="s">
        <v>360</v>
      </c>
      <c r="AD8" s="133" t="s">
        <v>360</v>
      </c>
      <c r="AE8" s="126"/>
    </row>
    <row r="9" spans="1:31" ht="26.5" x14ac:dyDescent="0.35">
      <c r="A9" s="133" t="s">
        <v>360</v>
      </c>
      <c r="B9" s="133" t="s">
        <v>360</v>
      </c>
      <c r="C9" s="133" t="s">
        <v>360</v>
      </c>
      <c r="D9" s="133" t="s">
        <v>360</v>
      </c>
      <c r="E9" s="125" t="s">
        <v>369</v>
      </c>
      <c r="F9" s="318">
        <v>0.24</v>
      </c>
      <c r="G9" s="173">
        <v>0.14460000000000001</v>
      </c>
      <c r="H9" s="173">
        <v>9.64E-2</v>
      </c>
      <c r="I9" s="174">
        <v>0.2359</v>
      </c>
      <c r="J9" s="133" t="s">
        <v>360</v>
      </c>
      <c r="K9" s="133" t="s">
        <v>360</v>
      </c>
      <c r="L9" s="133" t="s">
        <v>360</v>
      </c>
      <c r="M9" s="133" t="s">
        <v>370</v>
      </c>
      <c r="N9" s="175">
        <v>0.28570000000000001</v>
      </c>
      <c r="O9" s="174">
        <v>2.0199999999999999E-2</v>
      </c>
      <c r="P9" s="174">
        <v>3.2199999999999999E-2</v>
      </c>
      <c r="Q9" s="301" t="s">
        <v>360</v>
      </c>
      <c r="R9" s="133" t="s">
        <v>360</v>
      </c>
      <c r="S9" s="133" t="s">
        <v>360</v>
      </c>
      <c r="T9" s="133" t="s">
        <v>360</v>
      </c>
      <c r="U9" s="133" t="s">
        <v>360</v>
      </c>
      <c r="V9" s="133" t="s">
        <v>360</v>
      </c>
      <c r="W9" s="133" t="s">
        <v>360</v>
      </c>
      <c r="X9" s="133" t="s">
        <v>360</v>
      </c>
      <c r="Y9" s="133" t="s">
        <v>360</v>
      </c>
      <c r="Z9" s="133" t="s">
        <v>360</v>
      </c>
      <c r="AA9" s="133" t="s">
        <v>360</v>
      </c>
      <c r="AB9" s="133" t="s">
        <v>360</v>
      </c>
      <c r="AC9" s="133" t="s">
        <v>360</v>
      </c>
      <c r="AD9" s="133" t="s">
        <v>360</v>
      </c>
      <c r="AE9" s="126"/>
    </row>
    <row r="10" spans="1:31" x14ac:dyDescent="0.35">
      <c r="A10" s="133" t="s">
        <v>360</v>
      </c>
      <c r="B10" s="133" t="s">
        <v>360</v>
      </c>
      <c r="C10" s="133" t="s">
        <v>360</v>
      </c>
      <c r="D10" s="133" t="s">
        <v>360</v>
      </c>
      <c r="E10" s="125" t="s">
        <v>360</v>
      </c>
      <c r="F10" s="133" t="s">
        <v>360</v>
      </c>
      <c r="G10" s="133" t="s">
        <v>360</v>
      </c>
      <c r="H10" s="133" t="s">
        <v>360</v>
      </c>
      <c r="I10" s="133" t="s">
        <v>360</v>
      </c>
      <c r="J10" s="133" t="s">
        <v>360</v>
      </c>
      <c r="K10" s="133" t="s">
        <v>360</v>
      </c>
      <c r="L10" s="133" t="s">
        <v>360</v>
      </c>
      <c r="M10" s="133" t="s">
        <v>360</v>
      </c>
      <c r="N10" s="133" t="s">
        <v>360</v>
      </c>
      <c r="O10" s="133" t="s">
        <v>360</v>
      </c>
      <c r="P10" s="133" t="s">
        <v>360</v>
      </c>
      <c r="Q10" s="133" t="s">
        <v>360</v>
      </c>
      <c r="R10" s="133" t="s">
        <v>360</v>
      </c>
      <c r="S10" s="133" t="s">
        <v>360</v>
      </c>
      <c r="T10" s="133" t="s">
        <v>360</v>
      </c>
      <c r="U10" s="133" t="s">
        <v>360</v>
      </c>
      <c r="V10" s="133" t="s">
        <v>360</v>
      </c>
      <c r="W10" s="133" t="s">
        <v>360</v>
      </c>
      <c r="X10" s="133" t="s">
        <v>360</v>
      </c>
      <c r="Y10" s="133" t="s">
        <v>360</v>
      </c>
      <c r="Z10" s="133" t="s">
        <v>360</v>
      </c>
      <c r="AA10" s="133" t="s">
        <v>360</v>
      </c>
      <c r="AB10" s="133" t="s">
        <v>360</v>
      </c>
      <c r="AC10" s="133" t="s">
        <v>360</v>
      </c>
      <c r="AD10" s="133" t="s">
        <v>360</v>
      </c>
      <c r="AE10" s="126"/>
    </row>
    <row r="11" spans="1:31" ht="15" customHeight="1" x14ac:dyDescent="0.35">
      <c r="A11" s="1144" t="s">
        <v>235</v>
      </c>
      <c r="B11" s="1144" t="s">
        <v>236</v>
      </c>
      <c r="C11" s="1158" t="s">
        <v>371</v>
      </c>
      <c r="D11" s="1158"/>
      <c r="E11" s="1158"/>
      <c r="F11" s="1158"/>
      <c r="G11" s="1158"/>
      <c r="H11" s="1158"/>
      <c r="I11" s="1158"/>
      <c r="J11" s="1158"/>
      <c r="K11" s="1158"/>
      <c r="L11" s="1159"/>
      <c r="M11" s="1144" t="s">
        <v>403</v>
      </c>
      <c r="N11" s="1144" t="s">
        <v>378</v>
      </c>
      <c r="O11" s="1144" t="s">
        <v>379</v>
      </c>
      <c r="P11" s="1144" t="s">
        <v>380</v>
      </c>
      <c r="Q11" s="1144" t="s">
        <v>372</v>
      </c>
      <c r="R11" s="1144" t="s">
        <v>351</v>
      </c>
      <c r="S11" s="1144" t="s">
        <v>373</v>
      </c>
      <c r="T11" s="1139" t="s">
        <v>400</v>
      </c>
      <c r="U11" s="1139" t="s">
        <v>389</v>
      </c>
      <c r="V11" s="1139" t="s">
        <v>390</v>
      </c>
      <c r="W11" s="1139" t="s">
        <v>391</v>
      </c>
      <c r="X11" s="1139" t="s">
        <v>392</v>
      </c>
      <c r="Y11" s="1139" t="s">
        <v>393</v>
      </c>
      <c r="Z11" s="1139" t="s">
        <v>394</v>
      </c>
      <c r="AA11" s="1139" t="s">
        <v>395</v>
      </c>
      <c r="AB11" s="1144" t="s">
        <v>401</v>
      </c>
      <c r="AC11" s="1144" t="s">
        <v>402</v>
      </c>
      <c r="AD11" s="1139" t="s">
        <v>373</v>
      </c>
      <c r="AE11" s="126"/>
    </row>
    <row r="12" spans="1:31" ht="39.5" x14ac:dyDescent="0.35">
      <c r="A12" s="1145"/>
      <c r="B12" s="1145"/>
      <c r="C12" s="1147" t="s">
        <v>374</v>
      </c>
      <c r="D12" s="1147"/>
      <c r="E12" s="1148"/>
      <c r="F12" s="1147" t="s">
        <v>375</v>
      </c>
      <c r="G12" s="1147"/>
      <c r="H12" s="1148"/>
      <c r="I12" s="128" t="s">
        <v>376</v>
      </c>
      <c r="J12" s="1147" t="s">
        <v>377</v>
      </c>
      <c r="K12" s="1147"/>
      <c r="L12" s="1148"/>
      <c r="M12" s="1145"/>
      <c r="N12" s="1145"/>
      <c r="O12" s="1145"/>
      <c r="P12" s="1145"/>
      <c r="Q12" s="1145"/>
      <c r="R12" s="1145"/>
      <c r="S12" s="1145"/>
      <c r="T12" s="1140"/>
      <c r="U12" s="1140"/>
      <c r="V12" s="1140"/>
      <c r="W12" s="1140"/>
      <c r="X12" s="1140"/>
      <c r="Y12" s="1140"/>
      <c r="Z12" s="1140"/>
      <c r="AA12" s="1140"/>
      <c r="AB12" s="1145"/>
      <c r="AC12" s="1145"/>
      <c r="AD12" s="1140"/>
      <c r="AE12" s="126"/>
    </row>
    <row r="13" spans="1:31" ht="39.5" x14ac:dyDescent="0.35">
      <c r="A13" s="1149"/>
      <c r="B13" s="1149"/>
      <c r="C13" s="169" t="s">
        <v>381</v>
      </c>
      <c r="D13" s="169" t="s">
        <v>382</v>
      </c>
      <c r="E13" s="169" t="s">
        <v>383</v>
      </c>
      <c r="F13" s="169" t="s">
        <v>381</v>
      </c>
      <c r="G13" s="169" t="s">
        <v>382</v>
      </c>
      <c r="H13" s="169" t="s">
        <v>384</v>
      </c>
      <c r="I13" s="128" t="s">
        <v>385</v>
      </c>
      <c r="J13" s="169" t="s">
        <v>386</v>
      </c>
      <c r="K13" s="169" t="s">
        <v>387</v>
      </c>
      <c r="L13" s="169" t="s">
        <v>388</v>
      </c>
      <c r="M13" s="1146"/>
      <c r="N13" s="1146"/>
      <c r="O13" s="1146"/>
      <c r="P13" s="1146"/>
      <c r="Q13" s="1149"/>
      <c r="R13" s="1149"/>
      <c r="S13" s="1149"/>
      <c r="T13" s="1141"/>
      <c r="U13" s="1141"/>
      <c r="V13" s="1141"/>
      <c r="W13" s="1141"/>
      <c r="X13" s="1141"/>
      <c r="Y13" s="1141"/>
      <c r="Z13" s="1141"/>
      <c r="AA13" s="1141"/>
      <c r="AB13" s="1146"/>
      <c r="AC13" s="1146"/>
      <c r="AD13" s="1141"/>
      <c r="AE13" s="126"/>
    </row>
    <row r="14" spans="1:31" x14ac:dyDescent="0.35">
      <c r="A14" s="166">
        <v>1</v>
      </c>
      <c r="B14" s="167">
        <v>2</v>
      </c>
      <c r="C14" s="167">
        <v>3</v>
      </c>
      <c r="D14" s="167">
        <v>4</v>
      </c>
      <c r="E14" s="165">
        <v>5</v>
      </c>
      <c r="F14" s="168">
        <v>6</v>
      </c>
      <c r="G14" s="168">
        <v>7</v>
      </c>
      <c r="H14" s="168">
        <v>8</v>
      </c>
      <c r="I14" s="167">
        <v>9</v>
      </c>
      <c r="J14" s="167" t="s">
        <v>396</v>
      </c>
      <c r="K14" s="167">
        <v>11</v>
      </c>
      <c r="L14" s="167">
        <v>12</v>
      </c>
      <c r="M14" s="167">
        <v>13</v>
      </c>
      <c r="N14" s="167">
        <v>14</v>
      </c>
      <c r="O14" s="168">
        <v>15</v>
      </c>
      <c r="P14" s="168">
        <v>16</v>
      </c>
      <c r="Q14" s="168">
        <v>17</v>
      </c>
      <c r="R14" s="168">
        <v>18</v>
      </c>
      <c r="S14" s="168">
        <v>19</v>
      </c>
      <c r="T14" s="168">
        <v>20</v>
      </c>
      <c r="U14" s="168">
        <v>21</v>
      </c>
      <c r="V14" s="168">
        <v>22</v>
      </c>
      <c r="W14" s="168">
        <v>23</v>
      </c>
      <c r="X14" s="168">
        <v>24</v>
      </c>
      <c r="Y14" s="168">
        <v>25</v>
      </c>
      <c r="Z14" s="168">
        <v>26</v>
      </c>
      <c r="AA14" s="168">
        <v>27</v>
      </c>
      <c r="AB14" s="168">
        <v>28</v>
      </c>
      <c r="AC14" s="168">
        <v>29</v>
      </c>
      <c r="AD14" s="168">
        <v>30</v>
      </c>
      <c r="AE14" s="126"/>
    </row>
    <row r="15" spans="1:31" ht="31" x14ac:dyDescent="0.35">
      <c r="A15" s="302" t="s">
        <v>397</v>
      </c>
      <c r="B15" s="303" t="s">
        <v>569</v>
      </c>
      <c r="C15" s="304">
        <v>270</v>
      </c>
      <c r="D15" s="304">
        <v>540</v>
      </c>
      <c r="E15" s="304">
        <v>0</v>
      </c>
      <c r="F15" s="305">
        <f>C15*F9</f>
        <v>64.8</v>
      </c>
      <c r="G15" s="305">
        <f>D15*G9</f>
        <v>78.084000000000003</v>
      </c>
      <c r="H15" s="304">
        <v>0</v>
      </c>
      <c r="I15" s="305">
        <f>(F15+G15)*I9</f>
        <v>33.706335600000003</v>
      </c>
      <c r="J15" s="306">
        <f>K15+L15</f>
        <v>526.18999999999994</v>
      </c>
      <c r="K15" s="306">
        <v>502.82</v>
      </c>
      <c r="L15" s="306">
        <v>23.37</v>
      </c>
      <c r="M15" s="304">
        <v>104.25</v>
      </c>
      <c r="N15" s="305">
        <f>(F15+G15)*N9</f>
        <v>40.821958800000004</v>
      </c>
      <c r="O15" s="305">
        <f>(F15+G15)*O9</f>
        <v>2.8862568000000004</v>
      </c>
      <c r="P15" s="305">
        <f>(F15+G15)*P9</f>
        <v>4.6008648000000001</v>
      </c>
      <c r="Q15" s="307">
        <f>F15+G15+I15+J15+M15+N15+O15+P15</f>
        <v>855.3394159999998</v>
      </c>
      <c r="R15" s="308">
        <v>0</v>
      </c>
      <c r="S15" s="307">
        <f>Q15-R15</f>
        <v>855.3394159999998</v>
      </c>
      <c r="T15" s="309">
        <f>F15+G15</f>
        <v>142.88400000000001</v>
      </c>
      <c r="U15" s="309">
        <f>I15</f>
        <v>33.706335600000003</v>
      </c>
      <c r="V15" s="309">
        <f>J15</f>
        <v>526.18999999999994</v>
      </c>
      <c r="W15" s="309" t="s">
        <v>360</v>
      </c>
      <c r="X15" s="309">
        <f>N15</f>
        <v>40.821958800000004</v>
      </c>
      <c r="Y15" s="309">
        <f>O15</f>
        <v>2.8862568000000004</v>
      </c>
      <c r="Z15" s="309">
        <f>M15+P15</f>
        <v>108.8508648</v>
      </c>
      <c r="AA15" s="309" t="s">
        <v>360</v>
      </c>
      <c r="AB15" s="309">
        <f>SUM(T15:Z15)</f>
        <v>855.3394159999998</v>
      </c>
      <c r="AC15" s="309">
        <v>0</v>
      </c>
      <c r="AD15" s="309">
        <f>AB15-AC15</f>
        <v>855.3394159999998</v>
      </c>
      <c r="AE15" s="126"/>
    </row>
    <row r="16" spans="1:31" x14ac:dyDescent="0.35">
      <c r="A16" s="126"/>
      <c r="B16" s="126"/>
      <c r="C16" s="127"/>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6"/>
      <c r="AC16" s="126"/>
      <c r="AD16" s="126"/>
      <c r="AE16" s="126"/>
    </row>
    <row r="17" spans="1:31" x14ac:dyDescent="0.35">
      <c r="A17" s="1152" t="s">
        <v>235</v>
      </c>
      <c r="B17" s="1154" t="s">
        <v>236</v>
      </c>
      <c r="C17" s="1152" t="s">
        <v>470</v>
      </c>
      <c r="D17" s="1152" t="s">
        <v>238</v>
      </c>
      <c r="E17" s="1147" t="s">
        <v>239</v>
      </c>
      <c r="F17" s="1147"/>
      <c r="G17" s="1148"/>
      <c r="H17" s="1156" t="s">
        <v>240</v>
      </c>
      <c r="I17" s="164"/>
      <c r="J17" s="164"/>
      <c r="K17" s="164"/>
      <c r="L17" s="164"/>
      <c r="M17" s="164"/>
      <c r="N17" s="164"/>
      <c r="O17" s="164"/>
      <c r="P17" s="164"/>
      <c r="Q17" s="164"/>
      <c r="R17" s="164"/>
      <c r="S17" s="164"/>
      <c r="T17" s="164"/>
      <c r="U17" s="164"/>
      <c r="V17" s="164"/>
      <c r="W17" s="164"/>
      <c r="X17" s="164"/>
      <c r="Y17" s="164"/>
      <c r="Z17" s="164"/>
      <c r="AA17" s="164"/>
      <c r="AB17" s="164"/>
      <c r="AC17" s="164"/>
      <c r="AD17" s="164"/>
      <c r="AE17" s="164"/>
    </row>
    <row r="18" spans="1:31" ht="26" x14ac:dyDescent="0.35">
      <c r="A18" s="1153"/>
      <c r="B18" s="1155"/>
      <c r="C18" s="1153"/>
      <c r="D18" s="1153"/>
      <c r="E18" s="310" t="s">
        <v>241</v>
      </c>
      <c r="F18" s="310" t="s">
        <v>242</v>
      </c>
      <c r="G18" s="310" t="s">
        <v>243</v>
      </c>
      <c r="H18" s="1157"/>
      <c r="I18" s="164"/>
      <c r="J18" s="164"/>
      <c r="K18" s="164"/>
      <c r="L18" s="164"/>
      <c r="M18" s="164"/>
      <c r="N18" s="164"/>
      <c r="O18" s="164"/>
      <c r="P18" s="164"/>
      <c r="Q18" s="164"/>
      <c r="R18" s="164"/>
      <c r="S18" s="164"/>
      <c r="T18" s="164"/>
      <c r="U18" s="164"/>
      <c r="V18" s="164"/>
      <c r="W18" s="164"/>
      <c r="X18" s="164"/>
      <c r="Y18" s="164"/>
      <c r="Z18" s="164"/>
      <c r="AA18" s="164"/>
      <c r="AB18" s="164"/>
      <c r="AC18" s="164"/>
      <c r="AD18" s="164"/>
      <c r="AE18" s="164"/>
    </row>
    <row r="19" spans="1:31" ht="31" x14ac:dyDescent="0.35">
      <c r="A19" s="311" t="s">
        <v>397</v>
      </c>
      <c r="B19" s="312" t="s">
        <v>569</v>
      </c>
      <c r="C19" s="313">
        <f>S15</f>
        <v>855.3394159999998</v>
      </c>
      <c r="D19" s="314">
        <v>1</v>
      </c>
      <c r="E19" s="314">
        <v>0</v>
      </c>
      <c r="F19" s="314">
        <v>0</v>
      </c>
      <c r="G19" s="314">
        <v>50</v>
      </c>
      <c r="H19" s="320">
        <f>C19*D19*G19</f>
        <v>42766.970799999988</v>
      </c>
      <c r="I19" s="164"/>
      <c r="J19" s="164"/>
      <c r="K19" s="164"/>
      <c r="L19" s="164"/>
      <c r="M19" s="164"/>
      <c r="N19" s="164"/>
      <c r="O19" s="164"/>
      <c r="P19" s="164"/>
      <c r="Q19" s="164"/>
      <c r="R19" s="164"/>
      <c r="S19" s="164"/>
      <c r="T19" s="164"/>
      <c r="U19" s="164"/>
      <c r="V19" s="164"/>
      <c r="W19" s="164"/>
      <c r="X19" s="164"/>
      <c r="Y19" s="164"/>
      <c r="Z19" s="164"/>
      <c r="AA19" s="164"/>
      <c r="AB19" s="164"/>
      <c r="AC19" s="164"/>
      <c r="AD19" s="164"/>
      <c r="AE19" s="164"/>
    </row>
    <row r="20" spans="1:31" x14ac:dyDescent="0.35">
      <c r="A20" s="315"/>
      <c r="B20" s="316"/>
      <c r="C20" s="316" t="s">
        <v>360</v>
      </c>
      <c r="D20" s="121" t="s">
        <v>360</v>
      </c>
      <c r="E20" s="121"/>
      <c r="F20" s="121"/>
      <c r="G20" s="317" t="s">
        <v>311</v>
      </c>
      <c r="H20" s="321">
        <f>ROUND(SUM(H19:H19),0)</f>
        <v>42767</v>
      </c>
      <c r="I20" s="164"/>
      <c r="J20" s="164"/>
      <c r="K20" s="164"/>
      <c r="L20" s="164"/>
      <c r="M20" s="164"/>
      <c r="N20" s="164"/>
      <c r="O20" s="164"/>
      <c r="P20" s="164"/>
      <c r="Q20" s="164"/>
      <c r="R20" s="164"/>
      <c r="S20" s="164"/>
      <c r="T20" s="164"/>
      <c r="U20" s="164"/>
      <c r="V20" s="164"/>
      <c r="W20" s="164"/>
      <c r="X20" s="164"/>
      <c r="Y20" s="164"/>
      <c r="Z20" s="164"/>
      <c r="AA20" s="164"/>
      <c r="AB20" s="164"/>
      <c r="AC20" s="164"/>
      <c r="AD20" s="164"/>
      <c r="AE20" s="164"/>
    </row>
    <row r="21" spans="1:31" x14ac:dyDescent="0.35">
      <c r="A21" s="1133" t="s">
        <v>570</v>
      </c>
      <c r="B21" s="1133"/>
      <c r="C21" s="123"/>
      <c r="D21" s="117"/>
      <c r="E21" s="117"/>
      <c r="F21" s="117"/>
      <c r="G21" s="117"/>
      <c r="H21" s="117"/>
      <c r="I21" s="164"/>
      <c r="J21" s="164"/>
      <c r="K21" s="164"/>
      <c r="L21" s="164"/>
      <c r="M21" s="164"/>
      <c r="N21" s="164"/>
      <c r="O21" s="164"/>
      <c r="P21" s="164"/>
      <c r="Q21" s="164"/>
      <c r="R21" s="164"/>
      <c r="S21" s="164"/>
      <c r="T21" s="164"/>
      <c r="U21" s="164"/>
      <c r="V21" s="164"/>
      <c r="W21" s="164"/>
      <c r="X21" s="164"/>
      <c r="Y21" s="164"/>
      <c r="Z21" s="164"/>
      <c r="AA21" s="164"/>
      <c r="AB21" s="164"/>
      <c r="AC21" s="164"/>
      <c r="AD21" s="164"/>
      <c r="AE21" s="164"/>
    </row>
  </sheetData>
  <mergeCells count="36">
    <mergeCell ref="A21:B21"/>
    <mergeCell ref="H1:I1"/>
    <mergeCell ref="A2:Q2"/>
    <mergeCell ref="A17:A18"/>
    <mergeCell ref="B17:B18"/>
    <mergeCell ref="C17:C18"/>
    <mergeCell ref="D17:D18"/>
    <mergeCell ref="E17:G17"/>
    <mergeCell ref="H17:H18"/>
    <mergeCell ref="A11:A13"/>
    <mergeCell ref="B11:B13"/>
    <mergeCell ref="C11:L11"/>
    <mergeCell ref="M11:M13"/>
    <mergeCell ref="AB11:AB13"/>
    <mergeCell ref="AC11:AC13"/>
    <mergeCell ref="AD11:AD13"/>
    <mergeCell ref="C12:E12"/>
    <mergeCell ref="F12:H12"/>
    <mergeCell ref="J12:L12"/>
    <mergeCell ref="V11:V13"/>
    <mergeCell ref="W11:W13"/>
    <mergeCell ref="X11:X13"/>
    <mergeCell ref="Y11:Y13"/>
    <mergeCell ref="Z11:Z13"/>
    <mergeCell ref="AA11:AA13"/>
    <mergeCell ref="P11:P13"/>
    <mergeCell ref="Q11:Q13"/>
    <mergeCell ref="R11:R13"/>
    <mergeCell ref="S11:S13"/>
    <mergeCell ref="T11:T13"/>
    <mergeCell ref="U11:U13"/>
    <mergeCell ref="N7:N8"/>
    <mergeCell ref="O7:O8"/>
    <mergeCell ref="P7:P8"/>
    <mergeCell ref="N11:N13"/>
    <mergeCell ref="O11:O13"/>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86BD0-7E0A-4E1B-BBDD-2BDB32BECA91}">
  <sheetPr>
    <tabColor theme="9" tint="0.79998168889431442"/>
  </sheetPr>
  <dimension ref="A1:ID18"/>
  <sheetViews>
    <sheetView zoomScale="73" zoomScaleNormal="73" workbookViewId="0">
      <selection activeCell="I1" sqref="I1"/>
    </sheetView>
  </sheetViews>
  <sheetFormatPr defaultColWidth="9.1796875" defaultRowHeight="13" x14ac:dyDescent="0.3"/>
  <cols>
    <col min="1" max="1" width="46.81640625" style="391" customWidth="1"/>
    <col min="2" max="2" width="43.54296875" style="391" customWidth="1"/>
    <col min="3" max="3" width="20.1796875" style="391" customWidth="1"/>
    <col min="4" max="4" width="16.453125" style="391" customWidth="1"/>
    <col min="5" max="5" width="17" style="391" customWidth="1"/>
    <col min="6" max="6" width="10.1796875" style="391" customWidth="1"/>
    <col min="7" max="7" width="10.453125" style="391" customWidth="1"/>
    <col min="8" max="8" width="10" style="391" customWidth="1"/>
    <col min="9" max="9" width="17.453125" style="391" customWidth="1"/>
    <col min="10" max="10" width="9.1796875" style="391"/>
    <col min="11" max="11" width="11.54296875" style="391" customWidth="1"/>
    <col min="12" max="14" width="9.1796875" style="391"/>
    <col min="15" max="15" width="12.54296875" style="391" customWidth="1"/>
    <col min="16" max="16" width="13.1796875" style="391" customWidth="1"/>
    <col min="17" max="19" width="9.1796875" style="391"/>
    <col min="20" max="22" width="14.54296875" style="391" customWidth="1"/>
    <col min="23" max="23" width="11" style="391" customWidth="1"/>
    <col min="24" max="24" width="15.7265625" style="391" customWidth="1"/>
    <col min="25" max="16384" width="9.1796875" style="391"/>
  </cols>
  <sheetData>
    <row r="1" spans="1:238" x14ac:dyDescent="0.3">
      <c r="I1" s="799" t="s">
        <v>1327</v>
      </c>
    </row>
    <row r="2" spans="1:238" x14ac:dyDescent="0.3">
      <c r="A2" s="1165" t="s">
        <v>871</v>
      </c>
      <c r="B2" s="1166"/>
      <c r="C2" s="1166"/>
      <c r="D2" s="1166"/>
      <c r="E2" s="1166"/>
      <c r="F2" s="1166"/>
      <c r="G2" s="1166"/>
      <c r="H2" s="1166"/>
      <c r="I2" s="1166"/>
      <c r="J2" s="1166"/>
      <c r="K2" s="1166"/>
    </row>
    <row r="3" spans="1:238" ht="41.25" customHeight="1" x14ac:dyDescent="0.3">
      <c r="A3" s="319" t="s">
        <v>194</v>
      </c>
      <c r="B3" s="319" t="s">
        <v>1228</v>
      </c>
      <c r="C3" s="1168"/>
      <c r="D3" s="392"/>
      <c r="E3" s="392"/>
      <c r="F3" s="392"/>
      <c r="G3" s="392"/>
      <c r="H3" s="392"/>
      <c r="I3" s="392"/>
      <c r="J3" s="392"/>
      <c r="K3" s="392"/>
    </row>
    <row r="4" spans="1:238" ht="26" x14ac:dyDescent="0.3">
      <c r="A4" s="784" t="s">
        <v>804</v>
      </c>
      <c r="B4" s="410">
        <f>E10*H10</f>
        <v>2762.0561839999996</v>
      </c>
      <c r="C4" s="1168"/>
    </row>
    <row r="5" spans="1:238" ht="26" x14ac:dyDescent="0.3">
      <c r="A5" s="784" t="s">
        <v>349</v>
      </c>
      <c r="B5" s="410">
        <f>E10*F10</f>
        <v>6130.4173839999994</v>
      </c>
      <c r="C5" s="1168"/>
    </row>
    <row r="6" spans="1:238" x14ac:dyDescent="0.3">
      <c r="A6" s="409" t="s">
        <v>311</v>
      </c>
      <c r="B6" s="411">
        <f>B4+B5</f>
        <v>8892.4735679999994</v>
      </c>
      <c r="C6" s="1168"/>
    </row>
    <row r="8" spans="1:238" x14ac:dyDescent="0.3">
      <c r="A8" s="1060" t="s">
        <v>235</v>
      </c>
      <c r="B8" s="1160" t="s">
        <v>439</v>
      </c>
      <c r="C8" s="1169" t="s">
        <v>637</v>
      </c>
      <c r="D8" s="1171" t="s">
        <v>638</v>
      </c>
      <c r="E8" s="1171" t="s">
        <v>639</v>
      </c>
      <c r="F8" s="1167" t="s">
        <v>239</v>
      </c>
      <c r="G8" s="1167"/>
      <c r="H8" s="1167"/>
      <c r="I8" s="1173" t="s">
        <v>640</v>
      </c>
      <c r="M8" s="407" t="s">
        <v>361</v>
      </c>
      <c r="N8" s="408" t="s">
        <v>362</v>
      </c>
      <c r="O8" s="407" t="s">
        <v>363</v>
      </c>
      <c r="P8" s="407" t="s">
        <v>364</v>
      </c>
      <c r="T8" s="1162" t="s">
        <v>365</v>
      </c>
      <c r="U8" s="1162" t="s">
        <v>366</v>
      </c>
      <c r="V8" s="1162" t="s">
        <v>367</v>
      </c>
    </row>
    <row r="9" spans="1:238" ht="26" x14ac:dyDescent="0.3">
      <c r="A9" s="1135"/>
      <c r="B9" s="1160"/>
      <c r="C9" s="1170"/>
      <c r="D9" s="1172"/>
      <c r="E9" s="1172"/>
      <c r="F9" s="376" t="s">
        <v>241</v>
      </c>
      <c r="G9" s="376" t="s">
        <v>242</v>
      </c>
      <c r="H9" s="376" t="s">
        <v>243</v>
      </c>
      <c r="I9" s="1174"/>
      <c r="K9" s="1175" t="s">
        <v>368</v>
      </c>
      <c r="L9" s="1176"/>
      <c r="M9" s="405">
        <v>2304</v>
      </c>
      <c r="N9" s="406">
        <v>1388</v>
      </c>
      <c r="O9" s="405">
        <v>925</v>
      </c>
      <c r="P9" s="405"/>
      <c r="T9" s="1162"/>
      <c r="U9" s="1162"/>
      <c r="V9" s="1162"/>
    </row>
    <row r="10" spans="1:238" ht="26" x14ac:dyDescent="0.3">
      <c r="A10" s="145">
        <v>50730</v>
      </c>
      <c r="B10" s="393" t="s">
        <v>576</v>
      </c>
      <c r="C10" s="394">
        <v>77.09</v>
      </c>
      <c r="D10" s="395">
        <f>S17</f>
        <v>110.773612</v>
      </c>
      <c r="E10" s="395">
        <f>D10-C10</f>
        <v>33.683611999999997</v>
      </c>
      <c r="F10" s="317">
        <v>182</v>
      </c>
      <c r="G10" s="317">
        <v>0</v>
      </c>
      <c r="H10" s="317">
        <v>82</v>
      </c>
      <c r="I10" s="412">
        <f>ROUND((F10+H10)*E10,0)</f>
        <v>8892</v>
      </c>
      <c r="K10" s="1163" t="s">
        <v>369</v>
      </c>
      <c r="L10" s="1164"/>
      <c r="M10" s="413">
        <v>0.24</v>
      </c>
      <c r="N10" s="414">
        <v>0.14460000000000001</v>
      </c>
      <c r="O10" s="413">
        <v>9.64E-2</v>
      </c>
      <c r="P10" s="413">
        <v>0.2359</v>
      </c>
      <c r="Q10" s="397"/>
      <c r="R10" s="397"/>
      <c r="S10" s="397"/>
      <c r="T10" s="415">
        <v>0.28570000000000001</v>
      </c>
      <c r="U10" s="416">
        <v>2.0199999999999999E-2</v>
      </c>
      <c r="V10" s="416">
        <v>3.2199999999999999E-2</v>
      </c>
    </row>
    <row r="11" spans="1:238" x14ac:dyDescent="0.3">
      <c r="A11" s="117" t="s">
        <v>641</v>
      </c>
      <c r="B11" s="123"/>
      <c r="C11" s="123" t="s">
        <v>360</v>
      </c>
      <c r="D11" s="123" t="s">
        <v>360</v>
      </c>
      <c r="E11" s="123"/>
      <c r="F11" s="123"/>
      <c r="G11" s="123"/>
      <c r="H11" s="125" t="s">
        <v>360</v>
      </c>
    </row>
    <row r="12" spans="1:238" x14ac:dyDescent="0.3">
      <c r="B12" s="123"/>
      <c r="C12" s="123"/>
      <c r="D12" s="123"/>
      <c r="E12" s="123"/>
      <c r="F12" s="123"/>
      <c r="G12" s="123"/>
      <c r="H12" s="125"/>
    </row>
    <row r="14" spans="1:238" ht="13.15" customHeight="1" x14ac:dyDescent="0.3">
      <c r="A14" s="1161" t="s">
        <v>235</v>
      </c>
      <c r="B14" s="1161" t="s">
        <v>438</v>
      </c>
      <c r="C14" s="1161" t="s">
        <v>371</v>
      </c>
      <c r="D14" s="1161"/>
      <c r="E14" s="1161"/>
      <c r="F14" s="1161"/>
      <c r="G14" s="1161"/>
      <c r="H14" s="1161"/>
      <c r="I14" s="1161"/>
      <c r="J14" s="1161"/>
      <c r="K14" s="1161"/>
      <c r="L14" s="1161"/>
      <c r="M14" s="1161" t="s">
        <v>360</v>
      </c>
      <c r="N14" s="1161"/>
      <c r="O14" s="1161"/>
      <c r="P14" s="1161"/>
      <c r="Q14" s="1161" t="s">
        <v>372</v>
      </c>
      <c r="R14" s="1161" t="s">
        <v>351</v>
      </c>
      <c r="S14" s="1161" t="s">
        <v>373</v>
      </c>
      <c r="T14" s="1160" t="s">
        <v>238</v>
      </c>
      <c r="U14" s="1160" t="s">
        <v>239</v>
      </c>
      <c r="V14" s="1160"/>
      <c r="W14" s="1160"/>
      <c r="X14" s="1160" t="s">
        <v>240</v>
      </c>
      <c r="Y14" s="322"/>
      <c r="Z14" s="322"/>
      <c r="AA14" s="322"/>
      <c r="AB14" s="322"/>
      <c r="AC14" s="322"/>
      <c r="AD14" s="322"/>
      <c r="AE14" s="323" t="s">
        <v>360</v>
      </c>
      <c r="AF14" s="323" t="s">
        <v>360</v>
      </c>
      <c r="AG14" s="323" t="s">
        <v>360</v>
      </c>
      <c r="AH14" s="323" t="s">
        <v>360</v>
      </c>
      <c r="AI14" s="323" t="s">
        <v>360</v>
      </c>
      <c r="AJ14" s="323" t="s">
        <v>360</v>
      </c>
      <c r="AK14" s="323" t="s">
        <v>360</v>
      </c>
      <c r="AL14" s="323" t="s">
        <v>360</v>
      </c>
      <c r="AM14" s="323" t="s">
        <v>360</v>
      </c>
      <c r="AN14" s="323" t="s">
        <v>360</v>
      </c>
      <c r="AO14" s="323" t="s">
        <v>360</v>
      </c>
      <c r="AP14" s="323" t="s">
        <v>360</v>
      </c>
      <c r="AQ14" s="323" t="s">
        <v>360</v>
      </c>
      <c r="AR14" s="323" t="s">
        <v>360</v>
      </c>
      <c r="AS14" s="323" t="s">
        <v>360</v>
      </c>
      <c r="AT14" s="323" t="s">
        <v>360</v>
      </c>
      <c r="AU14" s="323" t="s">
        <v>360</v>
      </c>
      <c r="AV14" s="323" t="s">
        <v>360</v>
      </c>
      <c r="AW14" s="323" t="s">
        <v>360</v>
      </c>
      <c r="AX14" s="323" t="s">
        <v>360</v>
      </c>
      <c r="AY14" s="323" t="s">
        <v>360</v>
      </c>
      <c r="AZ14" s="323" t="s">
        <v>360</v>
      </c>
      <c r="BA14" s="323" t="s">
        <v>360</v>
      </c>
      <c r="BB14" s="323" t="s">
        <v>360</v>
      </c>
      <c r="BC14" s="323" t="s">
        <v>360</v>
      </c>
      <c r="BD14" s="323" t="s">
        <v>360</v>
      </c>
      <c r="BE14" s="323" t="s">
        <v>360</v>
      </c>
      <c r="BF14" s="323" t="s">
        <v>360</v>
      </c>
      <c r="BG14" s="323" t="s">
        <v>360</v>
      </c>
      <c r="BH14" s="323" t="s">
        <v>360</v>
      </c>
      <c r="BI14" s="323" t="s">
        <v>360</v>
      </c>
      <c r="BJ14" s="323" t="s">
        <v>360</v>
      </c>
      <c r="BK14" s="323" t="s">
        <v>360</v>
      </c>
      <c r="BL14" s="323" t="s">
        <v>360</v>
      </c>
      <c r="BM14" s="323" t="s">
        <v>360</v>
      </c>
      <c r="BN14" s="323" t="s">
        <v>360</v>
      </c>
      <c r="BO14" s="323" t="s">
        <v>360</v>
      </c>
      <c r="BP14" s="323" t="s">
        <v>360</v>
      </c>
      <c r="BQ14" s="323" t="s">
        <v>360</v>
      </c>
      <c r="BR14" s="323" t="s">
        <v>360</v>
      </c>
      <c r="BS14" s="323" t="s">
        <v>360</v>
      </c>
      <c r="BT14" s="323" t="s">
        <v>360</v>
      </c>
      <c r="BU14" s="323" t="s">
        <v>360</v>
      </c>
      <c r="BV14" s="323" t="s">
        <v>360</v>
      </c>
      <c r="BW14" s="323" t="s">
        <v>360</v>
      </c>
      <c r="BX14" s="323" t="s">
        <v>360</v>
      </c>
      <c r="BY14" s="323" t="s">
        <v>360</v>
      </c>
      <c r="BZ14" s="323" t="s">
        <v>360</v>
      </c>
      <c r="CA14" s="323" t="s">
        <v>360</v>
      </c>
      <c r="CB14" s="323" t="s">
        <v>360</v>
      </c>
      <c r="CC14" s="323" t="s">
        <v>360</v>
      </c>
      <c r="CD14" s="323" t="s">
        <v>360</v>
      </c>
      <c r="CE14" s="323" t="s">
        <v>360</v>
      </c>
      <c r="CF14" s="323" t="s">
        <v>360</v>
      </c>
      <c r="CG14" s="323" t="s">
        <v>360</v>
      </c>
      <c r="CH14" s="323" t="s">
        <v>360</v>
      </c>
      <c r="CI14" s="323" t="s">
        <v>360</v>
      </c>
      <c r="CJ14" s="323" t="s">
        <v>360</v>
      </c>
      <c r="CK14" s="323" t="s">
        <v>360</v>
      </c>
      <c r="CL14" s="323" t="s">
        <v>360</v>
      </c>
      <c r="CM14" s="323" t="s">
        <v>360</v>
      </c>
      <c r="CN14" s="323" t="s">
        <v>360</v>
      </c>
      <c r="CO14" s="323" t="s">
        <v>360</v>
      </c>
      <c r="CP14" s="323" t="s">
        <v>360</v>
      </c>
      <c r="CQ14" s="323" t="s">
        <v>360</v>
      </c>
      <c r="CR14" s="323" t="s">
        <v>360</v>
      </c>
      <c r="CS14" s="323" t="s">
        <v>360</v>
      </c>
      <c r="CT14" s="323" t="s">
        <v>360</v>
      </c>
      <c r="CU14" s="323" t="s">
        <v>360</v>
      </c>
      <c r="CV14" s="323" t="s">
        <v>360</v>
      </c>
      <c r="CW14" s="323" t="s">
        <v>360</v>
      </c>
      <c r="CX14" s="323" t="s">
        <v>360</v>
      </c>
      <c r="CY14" s="323" t="s">
        <v>360</v>
      </c>
      <c r="CZ14" s="323" t="s">
        <v>360</v>
      </c>
      <c r="DA14" s="323" t="s">
        <v>360</v>
      </c>
      <c r="DB14" s="323" t="s">
        <v>360</v>
      </c>
      <c r="DC14" s="323" t="s">
        <v>360</v>
      </c>
      <c r="DD14" s="323" t="s">
        <v>360</v>
      </c>
      <c r="DE14" s="323" t="s">
        <v>360</v>
      </c>
      <c r="DF14" s="323" t="s">
        <v>360</v>
      </c>
      <c r="DG14" s="323" t="s">
        <v>360</v>
      </c>
      <c r="DH14" s="323" t="s">
        <v>360</v>
      </c>
      <c r="DI14" s="323" t="s">
        <v>360</v>
      </c>
      <c r="DJ14" s="323" t="s">
        <v>360</v>
      </c>
      <c r="DK14" s="323" t="s">
        <v>360</v>
      </c>
      <c r="DL14" s="323" t="s">
        <v>360</v>
      </c>
      <c r="DM14" s="323" t="s">
        <v>360</v>
      </c>
      <c r="DN14" s="323" t="s">
        <v>360</v>
      </c>
      <c r="DO14" s="323" t="s">
        <v>360</v>
      </c>
      <c r="DP14" s="323" t="s">
        <v>360</v>
      </c>
      <c r="DQ14" s="323" t="s">
        <v>360</v>
      </c>
      <c r="DR14" s="323" t="s">
        <v>360</v>
      </c>
      <c r="DS14" s="323" t="s">
        <v>360</v>
      </c>
      <c r="DT14" s="323" t="s">
        <v>360</v>
      </c>
      <c r="DU14" s="323" t="s">
        <v>360</v>
      </c>
      <c r="DV14" s="323" t="s">
        <v>360</v>
      </c>
      <c r="DW14" s="323" t="s">
        <v>360</v>
      </c>
      <c r="DX14" s="323" t="s">
        <v>360</v>
      </c>
      <c r="DY14" s="323" t="s">
        <v>360</v>
      </c>
      <c r="DZ14" s="323" t="s">
        <v>360</v>
      </c>
      <c r="EA14" s="323" t="s">
        <v>360</v>
      </c>
      <c r="EB14" s="323" t="s">
        <v>360</v>
      </c>
      <c r="EC14" s="323" t="s">
        <v>360</v>
      </c>
      <c r="ED14" s="323" t="s">
        <v>360</v>
      </c>
      <c r="EE14" s="323" t="s">
        <v>360</v>
      </c>
      <c r="EF14" s="323" t="s">
        <v>360</v>
      </c>
      <c r="EG14" s="323" t="s">
        <v>360</v>
      </c>
      <c r="EH14" s="323" t="s">
        <v>360</v>
      </c>
      <c r="EI14" s="323" t="s">
        <v>360</v>
      </c>
      <c r="EJ14" s="323" t="s">
        <v>360</v>
      </c>
      <c r="EK14" s="323" t="s">
        <v>360</v>
      </c>
      <c r="EL14" s="323" t="s">
        <v>360</v>
      </c>
      <c r="EM14" s="323" t="s">
        <v>360</v>
      </c>
      <c r="EN14" s="323" t="s">
        <v>360</v>
      </c>
      <c r="EO14" s="323" t="s">
        <v>360</v>
      </c>
      <c r="EP14" s="323" t="s">
        <v>360</v>
      </c>
      <c r="EQ14" s="323" t="s">
        <v>360</v>
      </c>
      <c r="ER14" s="323" t="s">
        <v>360</v>
      </c>
      <c r="ES14" s="323" t="s">
        <v>360</v>
      </c>
      <c r="ET14" s="323" t="s">
        <v>360</v>
      </c>
      <c r="EU14" s="323" t="s">
        <v>360</v>
      </c>
      <c r="EV14" s="323" t="s">
        <v>360</v>
      </c>
      <c r="EW14" s="323" t="s">
        <v>360</v>
      </c>
      <c r="EX14" s="323" t="s">
        <v>360</v>
      </c>
      <c r="EY14" s="323" t="s">
        <v>360</v>
      </c>
      <c r="EZ14" s="323" t="s">
        <v>360</v>
      </c>
      <c r="FA14" s="323" t="s">
        <v>360</v>
      </c>
      <c r="FB14" s="323" t="s">
        <v>360</v>
      </c>
      <c r="FC14" s="323" t="s">
        <v>360</v>
      </c>
      <c r="FD14" s="323" t="s">
        <v>360</v>
      </c>
      <c r="FE14" s="323" t="s">
        <v>360</v>
      </c>
      <c r="FF14" s="323" t="s">
        <v>360</v>
      </c>
      <c r="FG14" s="323" t="s">
        <v>360</v>
      </c>
      <c r="FH14" s="323" t="s">
        <v>360</v>
      </c>
      <c r="FI14" s="323" t="s">
        <v>360</v>
      </c>
      <c r="FJ14" s="323" t="s">
        <v>360</v>
      </c>
      <c r="FK14" s="323" t="s">
        <v>360</v>
      </c>
      <c r="FL14" s="323" t="s">
        <v>360</v>
      </c>
      <c r="FM14" s="323" t="s">
        <v>360</v>
      </c>
      <c r="FN14" s="323" t="s">
        <v>360</v>
      </c>
      <c r="FO14" s="323" t="s">
        <v>360</v>
      </c>
      <c r="FP14" s="323" t="s">
        <v>360</v>
      </c>
      <c r="FQ14" s="323" t="s">
        <v>360</v>
      </c>
      <c r="FR14" s="323" t="s">
        <v>360</v>
      </c>
      <c r="FS14" s="323" t="s">
        <v>360</v>
      </c>
      <c r="FT14" s="323" t="s">
        <v>360</v>
      </c>
      <c r="FU14" s="323" t="s">
        <v>360</v>
      </c>
      <c r="FV14" s="323" t="s">
        <v>360</v>
      </c>
      <c r="FW14" s="323" t="s">
        <v>360</v>
      </c>
      <c r="FX14" s="323" t="s">
        <v>360</v>
      </c>
      <c r="FY14" s="323" t="s">
        <v>360</v>
      </c>
      <c r="FZ14" s="323" t="s">
        <v>360</v>
      </c>
      <c r="GA14" s="323" t="s">
        <v>360</v>
      </c>
      <c r="GB14" s="323" t="s">
        <v>360</v>
      </c>
      <c r="GC14" s="323" t="s">
        <v>360</v>
      </c>
      <c r="GD14" s="323" t="s">
        <v>360</v>
      </c>
      <c r="GE14" s="323" t="s">
        <v>360</v>
      </c>
      <c r="GF14" s="323" t="s">
        <v>360</v>
      </c>
      <c r="GG14" s="323" t="s">
        <v>360</v>
      </c>
      <c r="GH14" s="323" t="s">
        <v>360</v>
      </c>
      <c r="GI14" s="323" t="s">
        <v>360</v>
      </c>
      <c r="GJ14" s="323" t="s">
        <v>360</v>
      </c>
      <c r="GK14" s="323" t="s">
        <v>360</v>
      </c>
      <c r="GL14" s="323" t="s">
        <v>360</v>
      </c>
      <c r="GM14" s="323" t="s">
        <v>360</v>
      </c>
      <c r="GN14" s="323" t="s">
        <v>360</v>
      </c>
      <c r="GO14" s="323" t="s">
        <v>360</v>
      </c>
      <c r="GP14" s="323" t="s">
        <v>360</v>
      </c>
      <c r="GQ14" s="323" t="s">
        <v>360</v>
      </c>
      <c r="GR14" s="323" t="s">
        <v>360</v>
      </c>
      <c r="GS14" s="323" t="s">
        <v>360</v>
      </c>
      <c r="GT14" s="323" t="s">
        <v>360</v>
      </c>
      <c r="GU14" s="323" t="s">
        <v>360</v>
      </c>
      <c r="GV14" s="323" t="s">
        <v>360</v>
      </c>
      <c r="GW14" s="323" t="s">
        <v>360</v>
      </c>
      <c r="GX14" s="323" t="s">
        <v>360</v>
      </c>
      <c r="GY14" s="323" t="s">
        <v>360</v>
      </c>
      <c r="GZ14" s="323" t="s">
        <v>360</v>
      </c>
      <c r="HA14" s="323" t="s">
        <v>360</v>
      </c>
      <c r="HB14" s="323" t="s">
        <v>360</v>
      </c>
      <c r="HC14" s="323" t="s">
        <v>360</v>
      </c>
      <c r="HD14" s="323" t="s">
        <v>360</v>
      </c>
      <c r="HE14" s="323" t="s">
        <v>360</v>
      </c>
      <c r="HF14" s="323" t="s">
        <v>360</v>
      </c>
      <c r="HG14" s="323" t="s">
        <v>360</v>
      </c>
      <c r="HH14" s="323" t="s">
        <v>360</v>
      </c>
      <c r="HI14" s="323" t="s">
        <v>360</v>
      </c>
      <c r="HJ14" s="323" t="s">
        <v>360</v>
      </c>
      <c r="HK14" s="323" t="s">
        <v>360</v>
      </c>
      <c r="HL14" s="323" t="s">
        <v>360</v>
      </c>
      <c r="HM14" s="323" t="s">
        <v>360</v>
      </c>
      <c r="HN14" s="323" t="s">
        <v>360</v>
      </c>
      <c r="HO14" s="323" t="s">
        <v>360</v>
      </c>
      <c r="HP14" s="323" t="s">
        <v>360</v>
      </c>
      <c r="HQ14" s="323" t="s">
        <v>360</v>
      </c>
      <c r="HR14" s="323" t="s">
        <v>360</v>
      </c>
      <c r="HS14" s="323" t="s">
        <v>360</v>
      </c>
      <c r="HT14" s="323" t="s">
        <v>360</v>
      </c>
      <c r="HU14" s="323" t="s">
        <v>360</v>
      </c>
      <c r="HV14" s="323" t="s">
        <v>360</v>
      </c>
      <c r="HW14" s="323" t="s">
        <v>360</v>
      </c>
      <c r="HX14" s="323" t="s">
        <v>360</v>
      </c>
      <c r="HY14" s="323" t="s">
        <v>360</v>
      </c>
      <c r="HZ14" s="323" t="s">
        <v>360</v>
      </c>
      <c r="IA14" s="323" t="s">
        <v>360</v>
      </c>
      <c r="IB14" s="323" t="s">
        <v>360</v>
      </c>
      <c r="IC14" s="323" t="s">
        <v>360</v>
      </c>
      <c r="ID14" s="323" t="s">
        <v>360</v>
      </c>
    </row>
    <row r="15" spans="1:238" ht="49.5" customHeight="1" x14ac:dyDescent="0.3">
      <c r="A15" s="1161"/>
      <c r="B15" s="1161"/>
      <c r="C15" s="1161" t="s">
        <v>374</v>
      </c>
      <c r="D15" s="1161"/>
      <c r="E15" s="1161"/>
      <c r="F15" s="1161" t="s">
        <v>375</v>
      </c>
      <c r="G15" s="1161"/>
      <c r="H15" s="1161"/>
      <c r="I15" s="399" t="s">
        <v>573</v>
      </c>
      <c r="J15" s="1161" t="s">
        <v>377</v>
      </c>
      <c r="K15" s="1161"/>
      <c r="L15" s="1161"/>
      <c r="M15" s="1161" t="s">
        <v>574</v>
      </c>
      <c r="N15" s="1161" t="s">
        <v>378</v>
      </c>
      <c r="O15" s="1161" t="s">
        <v>379</v>
      </c>
      <c r="P15" s="1161" t="s">
        <v>380</v>
      </c>
      <c r="Q15" s="1161"/>
      <c r="R15" s="1161"/>
      <c r="S15" s="1161"/>
      <c r="T15" s="1160"/>
      <c r="U15" s="1160"/>
      <c r="V15" s="1160"/>
      <c r="W15" s="1160"/>
      <c r="X15" s="1160"/>
      <c r="Y15" s="322"/>
      <c r="Z15" s="322"/>
      <c r="AA15" s="322"/>
      <c r="AB15" s="322"/>
      <c r="AC15" s="322"/>
      <c r="AD15" s="322"/>
      <c r="AE15" s="323" t="s">
        <v>360</v>
      </c>
      <c r="AF15" s="323" t="s">
        <v>360</v>
      </c>
      <c r="AG15" s="323" t="s">
        <v>360</v>
      </c>
      <c r="AH15" s="323" t="s">
        <v>360</v>
      </c>
      <c r="AI15" s="323" t="s">
        <v>360</v>
      </c>
      <c r="AJ15" s="323" t="s">
        <v>360</v>
      </c>
      <c r="AK15" s="323" t="s">
        <v>360</v>
      </c>
      <c r="AL15" s="323" t="s">
        <v>360</v>
      </c>
      <c r="AM15" s="323" t="s">
        <v>360</v>
      </c>
      <c r="AN15" s="323" t="s">
        <v>360</v>
      </c>
      <c r="AO15" s="323" t="s">
        <v>360</v>
      </c>
      <c r="AP15" s="323" t="s">
        <v>360</v>
      </c>
      <c r="AQ15" s="323" t="s">
        <v>360</v>
      </c>
      <c r="AR15" s="323" t="s">
        <v>360</v>
      </c>
      <c r="AS15" s="323" t="s">
        <v>360</v>
      </c>
      <c r="AT15" s="323" t="s">
        <v>360</v>
      </c>
      <c r="AU15" s="323" t="s">
        <v>360</v>
      </c>
      <c r="AV15" s="323" t="s">
        <v>360</v>
      </c>
      <c r="AW15" s="323" t="s">
        <v>360</v>
      </c>
      <c r="AX15" s="323" t="s">
        <v>360</v>
      </c>
      <c r="AY15" s="323" t="s">
        <v>360</v>
      </c>
      <c r="AZ15" s="323" t="s">
        <v>360</v>
      </c>
      <c r="BA15" s="323" t="s">
        <v>360</v>
      </c>
      <c r="BB15" s="323" t="s">
        <v>360</v>
      </c>
      <c r="BC15" s="323" t="s">
        <v>360</v>
      </c>
      <c r="BD15" s="323" t="s">
        <v>360</v>
      </c>
      <c r="BE15" s="323" t="s">
        <v>360</v>
      </c>
      <c r="BF15" s="323" t="s">
        <v>360</v>
      </c>
      <c r="BG15" s="323" t="s">
        <v>360</v>
      </c>
      <c r="BH15" s="323" t="s">
        <v>360</v>
      </c>
      <c r="BI15" s="323" t="s">
        <v>360</v>
      </c>
      <c r="BJ15" s="323" t="s">
        <v>360</v>
      </c>
      <c r="BK15" s="323" t="s">
        <v>360</v>
      </c>
      <c r="BL15" s="323" t="s">
        <v>360</v>
      </c>
      <c r="BM15" s="323" t="s">
        <v>360</v>
      </c>
      <c r="BN15" s="323" t="s">
        <v>360</v>
      </c>
      <c r="BO15" s="323" t="s">
        <v>360</v>
      </c>
      <c r="BP15" s="323" t="s">
        <v>360</v>
      </c>
      <c r="BQ15" s="323" t="s">
        <v>360</v>
      </c>
      <c r="BR15" s="323" t="s">
        <v>360</v>
      </c>
      <c r="BS15" s="323" t="s">
        <v>360</v>
      </c>
      <c r="BT15" s="323" t="s">
        <v>360</v>
      </c>
      <c r="BU15" s="323" t="s">
        <v>360</v>
      </c>
      <c r="BV15" s="323" t="s">
        <v>360</v>
      </c>
      <c r="BW15" s="323" t="s">
        <v>360</v>
      </c>
      <c r="BX15" s="323" t="s">
        <v>360</v>
      </c>
      <c r="BY15" s="323" t="s">
        <v>360</v>
      </c>
      <c r="BZ15" s="323" t="s">
        <v>360</v>
      </c>
      <c r="CA15" s="323" t="s">
        <v>360</v>
      </c>
      <c r="CB15" s="323" t="s">
        <v>360</v>
      </c>
      <c r="CC15" s="323" t="s">
        <v>360</v>
      </c>
      <c r="CD15" s="323" t="s">
        <v>360</v>
      </c>
      <c r="CE15" s="323" t="s">
        <v>360</v>
      </c>
      <c r="CF15" s="323" t="s">
        <v>360</v>
      </c>
      <c r="CG15" s="323" t="s">
        <v>360</v>
      </c>
      <c r="CH15" s="323" t="s">
        <v>360</v>
      </c>
      <c r="CI15" s="323" t="s">
        <v>360</v>
      </c>
      <c r="CJ15" s="323" t="s">
        <v>360</v>
      </c>
      <c r="CK15" s="323" t="s">
        <v>360</v>
      </c>
      <c r="CL15" s="323" t="s">
        <v>360</v>
      </c>
      <c r="CM15" s="323" t="s">
        <v>360</v>
      </c>
      <c r="CN15" s="323" t="s">
        <v>360</v>
      </c>
      <c r="CO15" s="323" t="s">
        <v>360</v>
      </c>
      <c r="CP15" s="323" t="s">
        <v>360</v>
      </c>
      <c r="CQ15" s="323" t="s">
        <v>360</v>
      </c>
      <c r="CR15" s="323" t="s">
        <v>360</v>
      </c>
      <c r="CS15" s="323" t="s">
        <v>360</v>
      </c>
      <c r="CT15" s="323" t="s">
        <v>360</v>
      </c>
      <c r="CU15" s="323" t="s">
        <v>360</v>
      </c>
      <c r="CV15" s="323" t="s">
        <v>360</v>
      </c>
      <c r="CW15" s="323" t="s">
        <v>360</v>
      </c>
      <c r="CX15" s="323" t="s">
        <v>360</v>
      </c>
      <c r="CY15" s="323" t="s">
        <v>360</v>
      </c>
      <c r="CZ15" s="323" t="s">
        <v>360</v>
      </c>
      <c r="DA15" s="323" t="s">
        <v>360</v>
      </c>
      <c r="DB15" s="323" t="s">
        <v>360</v>
      </c>
      <c r="DC15" s="323" t="s">
        <v>360</v>
      </c>
      <c r="DD15" s="323" t="s">
        <v>360</v>
      </c>
      <c r="DE15" s="323" t="s">
        <v>360</v>
      </c>
      <c r="DF15" s="323" t="s">
        <v>360</v>
      </c>
      <c r="DG15" s="323" t="s">
        <v>360</v>
      </c>
      <c r="DH15" s="323" t="s">
        <v>360</v>
      </c>
      <c r="DI15" s="323" t="s">
        <v>360</v>
      </c>
      <c r="DJ15" s="323" t="s">
        <v>360</v>
      </c>
      <c r="DK15" s="323" t="s">
        <v>360</v>
      </c>
      <c r="DL15" s="323" t="s">
        <v>360</v>
      </c>
      <c r="DM15" s="323" t="s">
        <v>360</v>
      </c>
      <c r="DN15" s="323" t="s">
        <v>360</v>
      </c>
      <c r="DO15" s="323" t="s">
        <v>360</v>
      </c>
      <c r="DP15" s="323" t="s">
        <v>360</v>
      </c>
      <c r="DQ15" s="323" t="s">
        <v>360</v>
      </c>
      <c r="DR15" s="323" t="s">
        <v>360</v>
      </c>
      <c r="DS15" s="323" t="s">
        <v>360</v>
      </c>
      <c r="DT15" s="323" t="s">
        <v>360</v>
      </c>
      <c r="DU15" s="323" t="s">
        <v>360</v>
      </c>
      <c r="DV15" s="323" t="s">
        <v>360</v>
      </c>
      <c r="DW15" s="323" t="s">
        <v>360</v>
      </c>
      <c r="DX15" s="323" t="s">
        <v>360</v>
      </c>
      <c r="DY15" s="323" t="s">
        <v>360</v>
      </c>
      <c r="DZ15" s="323" t="s">
        <v>360</v>
      </c>
      <c r="EA15" s="323" t="s">
        <v>360</v>
      </c>
      <c r="EB15" s="323" t="s">
        <v>360</v>
      </c>
      <c r="EC15" s="323" t="s">
        <v>360</v>
      </c>
      <c r="ED15" s="323" t="s">
        <v>360</v>
      </c>
      <c r="EE15" s="323" t="s">
        <v>360</v>
      </c>
      <c r="EF15" s="323" t="s">
        <v>360</v>
      </c>
      <c r="EG15" s="323" t="s">
        <v>360</v>
      </c>
      <c r="EH15" s="323" t="s">
        <v>360</v>
      </c>
      <c r="EI15" s="323" t="s">
        <v>360</v>
      </c>
      <c r="EJ15" s="323" t="s">
        <v>360</v>
      </c>
      <c r="EK15" s="323" t="s">
        <v>360</v>
      </c>
      <c r="EL15" s="323" t="s">
        <v>360</v>
      </c>
      <c r="EM15" s="323" t="s">
        <v>360</v>
      </c>
      <c r="EN15" s="323" t="s">
        <v>360</v>
      </c>
      <c r="EO15" s="323" t="s">
        <v>360</v>
      </c>
      <c r="EP15" s="323" t="s">
        <v>360</v>
      </c>
      <c r="EQ15" s="323" t="s">
        <v>360</v>
      </c>
      <c r="ER15" s="323" t="s">
        <v>360</v>
      </c>
      <c r="ES15" s="323" t="s">
        <v>360</v>
      </c>
      <c r="ET15" s="323" t="s">
        <v>360</v>
      </c>
      <c r="EU15" s="323" t="s">
        <v>360</v>
      </c>
      <c r="EV15" s="323" t="s">
        <v>360</v>
      </c>
      <c r="EW15" s="323" t="s">
        <v>360</v>
      </c>
      <c r="EX15" s="323" t="s">
        <v>360</v>
      </c>
      <c r="EY15" s="323" t="s">
        <v>360</v>
      </c>
      <c r="EZ15" s="323" t="s">
        <v>360</v>
      </c>
      <c r="FA15" s="323" t="s">
        <v>360</v>
      </c>
      <c r="FB15" s="323" t="s">
        <v>360</v>
      </c>
      <c r="FC15" s="323" t="s">
        <v>360</v>
      </c>
      <c r="FD15" s="323" t="s">
        <v>360</v>
      </c>
      <c r="FE15" s="323" t="s">
        <v>360</v>
      </c>
      <c r="FF15" s="323" t="s">
        <v>360</v>
      </c>
      <c r="FG15" s="323" t="s">
        <v>360</v>
      </c>
      <c r="FH15" s="323" t="s">
        <v>360</v>
      </c>
      <c r="FI15" s="323" t="s">
        <v>360</v>
      </c>
      <c r="FJ15" s="323" t="s">
        <v>360</v>
      </c>
      <c r="FK15" s="323" t="s">
        <v>360</v>
      </c>
      <c r="FL15" s="323" t="s">
        <v>360</v>
      </c>
      <c r="FM15" s="323" t="s">
        <v>360</v>
      </c>
      <c r="FN15" s="323" t="s">
        <v>360</v>
      </c>
      <c r="FO15" s="323" t="s">
        <v>360</v>
      </c>
      <c r="FP15" s="323" t="s">
        <v>360</v>
      </c>
      <c r="FQ15" s="323" t="s">
        <v>360</v>
      </c>
      <c r="FR15" s="323" t="s">
        <v>360</v>
      </c>
      <c r="FS15" s="323" t="s">
        <v>360</v>
      </c>
      <c r="FT15" s="323" t="s">
        <v>360</v>
      </c>
      <c r="FU15" s="323" t="s">
        <v>360</v>
      </c>
      <c r="FV15" s="323" t="s">
        <v>360</v>
      </c>
      <c r="FW15" s="323" t="s">
        <v>360</v>
      </c>
      <c r="FX15" s="323" t="s">
        <v>360</v>
      </c>
      <c r="FY15" s="323" t="s">
        <v>360</v>
      </c>
      <c r="FZ15" s="323" t="s">
        <v>360</v>
      </c>
      <c r="GA15" s="323" t="s">
        <v>360</v>
      </c>
      <c r="GB15" s="323" t="s">
        <v>360</v>
      </c>
      <c r="GC15" s="323" t="s">
        <v>360</v>
      </c>
      <c r="GD15" s="323" t="s">
        <v>360</v>
      </c>
      <c r="GE15" s="323" t="s">
        <v>360</v>
      </c>
      <c r="GF15" s="323" t="s">
        <v>360</v>
      </c>
      <c r="GG15" s="323" t="s">
        <v>360</v>
      </c>
      <c r="GH15" s="323" t="s">
        <v>360</v>
      </c>
      <c r="GI15" s="323" t="s">
        <v>360</v>
      </c>
      <c r="GJ15" s="323" t="s">
        <v>360</v>
      </c>
      <c r="GK15" s="323" t="s">
        <v>360</v>
      </c>
      <c r="GL15" s="323" t="s">
        <v>360</v>
      </c>
      <c r="GM15" s="323" t="s">
        <v>360</v>
      </c>
      <c r="GN15" s="323" t="s">
        <v>360</v>
      </c>
      <c r="GO15" s="323" t="s">
        <v>360</v>
      </c>
      <c r="GP15" s="323" t="s">
        <v>360</v>
      </c>
      <c r="GQ15" s="323" t="s">
        <v>360</v>
      </c>
      <c r="GR15" s="323" t="s">
        <v>360</v>
      </c>
      <c r="GS15" s="323" t="s">
        <v>360</v>
      </c>
      <c r="GT15" s="323" t="s">
        <v>360</v>
      </c>
      <c r="GU15" s="323" t="s">
        <v>360</v>
      </c>
      <c r="GV15" s="323" t="s">
        <v>360</v>
      </c>
      <c r="GW15" s="323" t="s">
        <v>360</v>
      </c>
      <c r="GX15" s="323" t="s">
        <v>360</v>
      </c>
      <c r="GY15" s="323" t="s">
        <v>360</v>
      </c>
      <c r="GZ15" s="323" t="s">
        <v>360</v>
      </c>
      <c r="HA15" s="323" t="s">
        <v>360</v>
      </c>
      <c r="HB15" s="323" t="s">
        <v>360</v>
      </c>
      <c r="HC15" s="323" t="s">
        <v>360</v>
      </c>
      <c r="HD15" s="323" t="s">
        <v>360</v>
      </c>
      <c r="HE15" s="323" t="s">
        <v>360</v>
      </c>
      <c r="HF15" s="323" t="s">
        <v>360</v>
      </c>
      <c r="HG15" s="323" t="s">
        <v>360</v>
      </c>
      <c r="HH15" s="323" t="s">
        <v>360</v>
      </c>
      <c r="HI15" s="323" t="s">
        <v>360</v>
      </c>
      <c r="HJ15" s="323" t="s">
        <v>360</v>
      </c>
      <c r="HK15" s="323" t="s">
        <v>360</v>
      </c>
      <c r="HL15" s="323" t="s">
        <v>360</v>
      </c>
      <c r="HM15" s="323" t="s">
        <v>360</v>
      </c>
      <c r="HN15" s="323" t="s">
        <v>360</v>
      </c>
      <c r="HO15" s="323" t="s">
        <v>360</v>
      </c>
      <c r="HP15" s="323" t="s">
        <v>360</v>
      </c>
      <c r="HQ15" s="323" t="s">
        <v>360</v>
      </c>
      <c r="HR15" s="323" t="s">
        <v>360</v>
      </c>
      <c r="HS15" s="323" t="s">
        <v>360</v>
      </c>
      <c r="HT15" s="323" t="s">
        <v>360</v>
      </c>
      <c r="HU15" s="323" t="s">
        <v>360</v>
      </c>
      <c r="HV15" s="323" t="s">
        <v>360</v>
      </c>
      <c r="HW15" s="323" t="s">
        <v>360</v>
      </c>
      <c r="HX15" s="323" t="s">
        <v>360</v>
      </c>
      <c r="HY15" s="323" t="s">
        <v>360</v>
      </c>
      <c r="HZ15" s="323" t="s">
        <v>360</v>
      </c>
      <c r="IA15" s="323" t="s">
        <v>360</v>
      </c>
      <c r="IB15" s="323" t="s">
        <v>360</v>
      </c>
      <c r="IC15" s="323" t="s">
        <v>360</v>
      </c>
      <c r="ID15" s="323" t="s">
        <v>360</v>
      </c>
    </row>
    <row r="16" spans="1:238" ht="39" x14ac:dyDescent="0.3">
      <c r="A16" s="1161"/>
      <c r="B16" s="1161"/>
      <c r="C16" s="399" t="s">
        <v>381</v>
      </c>
      <c r="D16" s="399" t="s">
        <v>382</v>
      </c>
      <c r="E16" s="399" t="s">
        <v>383</v>
      </c>
      <c r="F16" s="399" t="s">
        <v>381</v>
      </c>
      <c r="G16" s="399" t="s">
        <v>382</v>
      </c>
      <c r="H16" s="399" t="s">
        <v>384</v>
      </c>
      <c r="I16" s="399" t="s">
        <v>385</v>
      </c>
      <c r="J16" s="399" t="s">
        <v>386</v>
      </c>
      <c r="K16" s="399" t="s">
        <v>387</v>
      </c>
      <c r="L16" s="399" t="s">
        <v>388</v>
      </c>
      <c r="M16" s="1161"/>
      <c r="N16" s="1161"/>
      <c r="O16" s="1161"/>
      <c r="P16" s="1161"/>
      <c r="Q16" s="1161"/>
      <c r="R16" s="1161"/>
      <c r="S16" s="1161"/>
      <c r="T16" s="1160"/>
      <c r="U16" s="81" t="s">
        <v>241</v>
      </c>
      <c r="V16" s="81" t="s">
        <v>242</v>
      </c>
      <c r="W16" s="81" t="s">
        <v>243</v>
      </c>
      <c r="X16" s="1160"/>
      <c r="Y16" s="322"/>
      <c r="Z16" s="322"/>
      <c r="AA16" s="322"/>
      <c r="AB16" s="324"/>
      <c r="AC16" s="324"/>
      <c r="AD16" s="322"/>
      <c r="AE16" s="323" t="s">
        <v>360</v>
      </c>
      <c r="AF16" s="323" t="s">
        <v>360</v>
      </c>
      <c r="AG16" s="323" t="s">
        <v>360</v>
      </c>
      <c r="AH16" s="323" t="s">
        <v>360</v>
      </c>
      <c r="AI16" s="323" t="s">
        <v>360</v>
      </c>
      <c r="AJ16" s="323" t="s">
        <v>360</v>
      </c>
      <c r="AK16" s="323" t="s">
        <v>360</v>
      </c>
      <c r="AL16" s="323" t="s">
        <v>360</v>
      </c>
      <c r="AM16" s="323" t="s">
        <v>360</v>
      </c>
      <c r="AN16" s="323" t="s">
        <v>360</v>
      </c>
      <c r="AO16" s="323" t="s">
        <v>360</v>
      </c>
      <c r="AP16" s="323" t="s">
        <v>360</v>
      </c>
      <c r="AQ16" s="323" t="s">
        <v>360</v>
      </c>
      <c r="AR16" s="323" t="s">
        <v>360</v>
      </c>
      <c r="AS16" s="323" t="s">
        <v>360</v>
      </c>
      <c r="AT16" s="323" t="s">
        <v>360</v>
      </c>
      <c r="AU16" s="323" t="s">
        <v>360</v>
      </c>
      <c r="AV16" s="323" t="s">
        <v>360</v>
      </c>
      <c r="AW16" s="323" t="s">
        <v>360</v>
      </c>
      <c r="AX16" s="323" t="s">
        <v>360</v>
      </c>
      <c r="AY16" s="323" t="s">
        <v>360</v>
      </c>
      <c r="AZ16" s="323" t="s">
        <v>360</v>
      </c>
      <c r="BA16" s="323" t="s">
        <v>360</v>
      </c>
      <c r="BB16" s="323" t="s">
        <v>360</v>
      </c>
      <c r="BC16" s="323" t="s">
        <v>360</v>
      </c>
      <c r="BD16" s="323" t="s">
        <v>360</v>
      </c>
      <c r="BE16" s="323" t="s">
        <v>360</v>
      </c>
      <c r="BF16" s="323" t="s">
        <v>360</v>
      </c>
      <c r="BG16" s="323" t="s">
        <v>360</v>
      </c>
      <c r="BH16" s="323" t="s">
        <v>360</v>
      </c>
      <c r="BI16" s="323" t="s">
        <v>360</v>
      </c>
      <c r="BJ16" s="323" t="s">
        <v>360</v>
      </c>
      <c r="BK16" s="323" t="s">
        <v>360</v>
      </c>
      <c r="BL16" s="323" t="s">
        <v>360</v>
      </c>
      <c r="BM16" s="323" t="s">
        <v>360</v>
      </c>
      <c r="BN16" s="323" t="s">
        <v>360</v>
      </c>
      <c r="BO16" s="323" t="s">
        <v>360</v>
      </c>
      <c r="BP16" s="323" t="s">
        <v>360</v>
      </c>
      <c r="BQ16" s="323" t="s">
        <v>360</v>
      </c>
      <c r="BR16" s="323" t="s">
        <v>360</v>
      </c>
      <c r="BS16" s="323" t="s">
        <v>360</v>
      </c>
      <c r="BT16" s="323" t="s">
        <v>360</v>
      </c>
      <c r="BU16" s="323" t="s">
        <v>360</v>
      </c>
      <c r="BV16" s="323" t="s">
        <v>360</v>
      </c>
      <c r="BW16" s="323" t="s">
        <v>360</v>
      </c>
      <c r="BX16" s="323" t="s">
        <v>360</v>
      </c>
      <c r="BY16" s="323" t="s">
        <v>360</v>
      </c>
      <c r="BZ16" s="323" t="s">
        <v>360</v>
      </c>
      <c r="CA16" s="323" t="s">
        <v>360</v>
      </c>
      <c r="CB16" s="323" t="s">
        <v>360</v>
      </c>
      <c r="CC16" s="323" t="s">
        <v>360</v>
      </c>
      <c r="CD16" s="323" t="s">
        <v>360</v>
      </c>
      <c r="CE16" s="323" t="s">
        <v>360</v>
      </c>
      <c r="CF16" s="323" t="s">
        <v>360</v>
      </c>
      <c r="CG16" s="323" t="s">
        <v>360</v>
      </c>
      <c r="CH16" s="323" t="s">
        <v>360</v>
      </c>
      <c r="CI16" s="323" t="s">
        <v>360</v>
      </c>
      <c r="CJ16" s="323" t="s">
        <v>360</v>
      </c>
      <c r="CK16" s="323" t="s">
        <v>360</v>
      </c>
      <c r="CL16" s="323" t="s">
        <v>360</v>
      </c>
      <c r="CM16" s="323" t="s">
        <v>360</v>
      </c>
      <c r="CN16" s="323" t="s">
        <v>360</v>
      </c>
      <c r="CO16" s="323" t="s">
        <v>360</v>
      </c>
      <c r="CP16" s="323" t="s">
        <v>360</v>
      </c>
      <c r="CQ16" s="323" t="s">
        <v>360</v>
      </c>
      <c r="CR16" s="323" t="s">
        <v>360</v>
      </c>
      <c r="CS16" s="323" t="s">
        <v>360</v>
      </c>
      <c r="CT16" s="323" t="s">
        <v>360</v>
      </c>
      <c r="CU16" s="323" t="s">
        <v>360</v>
      </c>
      <c r="CV16" s="323" t="s">
        <v>360</v>
      </c>
      <c r="CW16" s="323" t="s">
        <v>360</v>
      </c>
      <c r="CX16" s="323" t="s">
        <v>360</v>
      </c>
      <c r="CY16" s="323" t="s">
        <v>360</v>
      </c>
      <c r="CZ16" s="323" t="s">
        <v>360</v>
      </c>
      <c r="DA16" s="323" t="s">
        <v>360</v>
      </c>
      <c r="DB16" s="323" t="s">
        <v>360</v>
      </c>
      <c r="DC16" s="323" t="s">
        <v>360</v>
      </c>
      <c r="DD16" s="323" t="s">
        <v>360</v>
      </c>
      <c r="DE16" s="323" t="s">
        <v>360</v>
      </c>
      <c r="DF16" s="323" t="s">
        <v>360</v>
      </c>
      <c r="DG16" s="323" t="s">
        <v>360</v>
      </c>
      <c r="DH16" s="323" t="s">
        <v>360</v>
      </c>
      <c r="DI16" s="323" t="s">
        <v>360</v>
      </c>
      <c r="DJ16" s="323" t="s">
        <v>360</v>
      </c>
      <c r="DK16" s="323" t="s">
        <v>360</v>
      </c>
      <c r="DL16" s="323" t="s">
        <v>360</v>
      </c>
      <c r="DM16" s="323" t="s">
        <v>360</v>
      </c>
      <c r="DN16" s="323" t="s">
        <v>360</v>
      </c>
      <c r="DO16" s="323" t="s">
        <v>360</v>
      </c>
      <c r="DP16" s="323" t="s">
        <v>360</v>
      </c>
      <c r="DQ16" s="323" t="s">
        <v>360</v>
      </c>
      <c r="DR16" s="323" t="s">
        <v>360</v>
      </c>
      <c r="DS16" s="323" t="s">
        <v>360</v>
      </c>
      <c r="DT16" s="323" t="s">
        <v>360</v>
      </c>
      <c r="DU16" s="323" t="s">
        <v>360</v>
      </c>
      <c r="DV16" s="323" t="s">
        <v>360</v>
      </c>
      <c r="DW16" s="323" t="s">
        <v>360</v>
      </c>
      <c r="DX16" s="323" t="s">
        <v>360</v>
      </c>
      <c r="DY16" s="323" t="s">
        <v>360</v>
      </c>
      <c r="DZ16" s="323" t="s">
        <v>360</v>
      </c>
      <c r="EA16" s="323" t="s">
        <v>360</v>
      </c>
      <c r="EB16" s="323" t="s">
        <v>360</v>
      </c>
      <c r="EC16" s="323" t="s">
        <v>360</v>
      </c>
      <c r="ED16" s="323" t="s">
        <v>360</v>
      </c>
      <c r="EE16" s="323" t="s">
        <v>360</v>
      </c>
      <c r="EF16" s="323" t="s">
        <v>360</v>
      </c>
      <c r="EG16" s="323" t="s">
        <v>360</v>
      </c>
      <c r="EH16" s="323" t="s">
        <v>360</v>
      </c>
      <c r="EI16" s="323" t="s">
        <v>360</v>
      </c>
      <c r="EJ16" s="323" t="s">
        <v>360</v>
      </c>
      <c r="EK16" s="323" t="s">
        <v>360</v>
      </c>
      <c r="EL16" s="323" t="s">
        <v>360</v>
      </c>
      <c r="EM16" s="323" t="s">
        <v>360</v>
      </c>
      <c r="EN16" s="323" t="s">
        <v>360</v>
      </c>
      <c r="EO16" s="323" t="s">
        <v>360</v>
      </c>
      <c r="EP16" s="323" t="s">
        <v>360</v>
      </c>
      <c r="EQ16" s="323" t="s">
        <v>360</v>
      </c>
      <c r="ER16" s="323" t="s">
        <v>360</v>
      </c>
      <c r="ES16" s="323" t="s">
        <v>360</v>
      </c>
      <c r="ET16" s="323" t="s">
        <v>360</v>
      </c>
      <c r="EU16" s="323" t="s">
        <v>360</v>
      </c>
      <c r="EV16" s="323" t="s">
        <v>360</v>
      </c>
      <c r="EW16" s="323" t="s">
        <v>360</v>
      </c>
      <c r="EX16" s="323" t="s">
        <v>360</v>
      </c>
      <c r="EY16" s="323" t="s">
        <v>360</v>
      </c>
      <c r="EZ16" s="323" t="s">
        <v>360</v>
      </c>
      <c r="FA16" s="323" t="s">
        <v>360</v>
      </c>
      <c r="FB16" s="323" t="s">
        <v>360</v>
      </c>
      <c r="FC16" s="323" t="s">
        <v>360</v>
      </c>
      <c r="FD16" s="323" t="s">
        <v>360</v>
      </c>
      <c r="FE16" s="323" t="s">
        <v>360</v>
      </c>
      <c r="FF16" s="323" t="s">
        <v>360</v>
      </c>
      <c r="FG16" s="323" t="s">
        <v>360</v>
      </c>
      <c r="FH16" s="323" t="s">
        <v>360</v>
      </c>
      <c r="FI16" s="323" t="s">
        <v>360</v>
      </c>
      <c r="FJ16" s="323" t="s">
        <v>360</v>
      </c>
      <c r="FK16" s="323" t="s">
        <v>360</v>
      </c>
      <c r="FL16" s="323" t="s">
        <v>360</v>
      </c>
      <c r="FM16" s="323" t="s">
        <v>360</v>
      </c>
      <c r="FN16" s="323" t="s">
        <v>360</v>
      </c>
      <c r="FO16" s="323" t="s">
        <v>360</v>
      </c>
      <c r="FP16" s="323" t="s">
        <v>360</v>
      </c>
      <c r="FQ16" s="323" t="s">
        <v>360</v>
      </c>
      <c r="FR16" s="323" t="s">
        <v>360</v>
      </c>
      <c r="FS16" s="323" t="s">
        <v>360</v>
      </c>
      <c r="FT16" s="323" t="s">
        <v>360</v>
      </c>
      <c r="FU16" s="323" t="s">
        <v>360</v>
      </c>
      <c r="FV16" s="323" t="s">
        <v>360</v>
      </c>
      <c r="FW16" s="323" t="s">
        <v>360</v>
      </c>
      <c r="FX16" s="323" t="s">
        <v>360</v>
      </c>
      <c r="FY16" s="323" t="s">
        <v>360</v>
      </c>
      <c r="FZ16" s="323" t="s">
        <v>360</v>
      </c>
      <c r="GA16" s="323" t="s">
        <v>360</v>
      </c>
      <c r="GB16" s="323" t="s">
        <v>360</v>
      </c>
      <c r="GC16" s="323" t="s">
        <v>360</v>
      </c>
      <c r="GD16" s="323" t="s">
        <v>360</v>
      </c>
      <c r="GE16" s="323" t="s">
        <v>360</v>
      </c>
      <c r="GF16" s="323" t="s">
        <v>360</v>
      </c>
      <c r="GG16" s="323" t="s">
        <v>360</v>
      </c>
      <c r="GH16" s="323" t="s">
        <v>360</v>
      </c>
      <c r="GI16" s="323" t="s">
        <v>360</v>
      </c>
      <c r="GJ16" s="323" t="s">
        <v>360</v>
      </c>
      <c r="GK16" s="323" t="s">
        <v>360</v>
      </c>
      <c r="GL16" s="323" t="s">
        <v>360</v>
      </c>
      <c r="GM16" s="323" t="s">
        <v>360</v>
      </c>
      <c r="GN16" s="323" t="s">
        <v>360</v>
      </c>
      <c r="GO16" s="323" t="s">
        <v>360</v>
      </c>
      <c r="GP16" s="323" t="s">
        <v>360</v>
      </c>
      <c r="GQ16" s="323" t="s">
        <v>360</v>
      </c>
      <c r="GR16" s="323" t="s">
        <v>360</v>
      </c>
      <c r="GS16" s="323" t="s">
        <v>360</v>
      </c>
      <c r="GT16" s="323" t="s">
        <v>360</v>
      </c>
      <c r="GU16" s="323" t="s">
        <v>360</v>
      </c>
      <c r="GV16" s="323" t="s">
        <v>360</v>
      </c>
      <c r="GW16" s="323" t="s">
        <v>360</v>
      </c>
      <c r="GX16" s="323" t="s">
        <v>360</v>
      </c>
      <c r="GY16" s="323" t="s">
        <v>360</v>
      </c>
      <c r="GZ16" s="323" t="s">
        <v>360</v>
      </c>
      <c r="HA16" s="323" t="s">
        <v>360</v>
      </c>
      <c r="HB16" s="323" t="s">
        <v>360</v>
      </c>
      <c r="HC16" s="323" t="s">
        <v>360</v>
      </c>
      <c r="HD16" s="323" t="s">
        <v>360</v>
      </c>
      <c r="HE16" s="323" t="s">
        <v>360</v>
      </c>
      <c r="HF16" s="323" t="s">
        <v>360</v>
      </c>
      <c r="HG16" s="323" t="s">
        <v>360</v>
      </c>
      <c r="HH16" s="323" t="s">
        <v>360</v>
      </c>
      <c r="HI16" s="323" t="s">
        <v>360</v>
      </c>
      <c r="HJ16" s="323" t="s">
        <v>360</v>
      </c>
      <c r="HK16" s="323" t="s">
        <v>360</v>
      </c>
      <c r="HL16" s="323" t="s">
        <v>360</v>
      </c>
      <c r="HM16" s="323" t="s">
        <v>360</v>
      </c>
      <c r="HN16" s="323" t="s">
        <v>360</v>
      </c>
      <c r="HO16" s="323" t="s">
        <v>360</v>
      </c>
      <c r="HP16" s="323" t="s">
        <v>360</v>
      </c>
      <c r="HQ16" s="323" t="s">
        <v>360</v>
      </c>
      <c r="HR16" s="323" t="s">
        <v>360</v>
      </c>
      <c r="HS16" s="323" t="s">
        <v>360</v>
      </c>
      <c r="HT16" s="323" t="s">
        <v>360</v>
      </c>
      <c r="HU16" s="323" t="s">
        <v>360</v>
      </c>
      <c r="HV16" s="323" t="s">
        <v>360</v>
      </c>
      <c r="HW16" s="323" t="s">
        <v>360</v>
      </c>
      <c r="HX16" s="323" t="s">
        <v>360</v>
      </c>
      <c r="HY16" s="323" t="s">
        <v>360</v>
      </c>
      <c r="HZ16" s="323" t="s">
        <v>360</v>
      </c>
      <c r="IA16" s="323" t="s">
        <v>360</v>
      </c>
      <c r="IB16" s="323" t="s">
        <v>360</v>
      </c>
      <c r="IC16" s="323" t="s">
        <v>360</v>
      </c>
      <c r="ID16" s="323" t="s">
        <v>360</v>
      </c>
    </row>
    <row r="17" spans="1:24" s="397" customFormat="1" ht="39" x14ac:dyDescent="0.35">
      <c r="A17" s="118">
        <v>50730</v>
      </c>
      <c r="B17" s="118" t="s">
        <v>575</v>
      </c>
      <c r="C17" s="118">
        <v>60</v>
      </c>
      <c r="D17" s="118">
        <v>30</v>
      </c>
      <c r="E17" s="118">
        <v>0</v>
      </c>
      <c r="F17" s="118">
        <f>M10*C17</f>
        <v>14.399999999999999</v>
      </c>
      <c r="G17" s="119">
        <f>D17*N10</f>
        <v>4.3380000000000001</v>
      </c>
      <c r="H17" s="118">
        <v>0</v>
      </c>
      <c r="I17" s="119">
        <f>(F17+G17+H17)*P10</f>
        <v>4.4202941999999998</v>
      </c>
      <c r="J17" s="400">
        <v>79.8</v>
      </c>
      <c r="K17" s="400">
        <v>0</v>
      </c>
      <c r="L17" s="400">
        <v>79.8</v>
      </c>
      <c r="M17" s="118">
        <v>1.48</v>
      </c>
      <c r="N17" s="119">
        <f>(F17+G17+H17)*T10</f>
        <v>5.3534465999999998</v>
      </c>
      <c r="O17" s="119">
        <f>(F17+G17+H17)*U10</f>
        <v>0.3785076</v>
      </c>
      <c r="P17" s="119">
        <f>(F17+G17+H17)*V10</f>
        <v>0.6033636</v>
      </c>
      <c r="Q17" s="401">
        <f>F17+G17+I17+J17+M17+N17+O17+P17</f>
        <v>110.773612</v>
      </c>
      <c r="R17" s="402">
        <v>0</v>
      </c>
      <c r="S17" s="396">
        <f>Q17</f>
        <v>110.773612</v>
      </c>
      <c r="T17" s="403">
        <v>1</v>
      </c>
      <c r="U17" s="118">
        <v>182</v>
      </c>
      <c r="V17" s="118">
        <v>0</v>
      </c>
      <c r="W17" s="118">
        <v>82</v>
      </c>
      <c r="X17" s="404">
        <f>S17*T17*(U17+W17)</f>
        <v>29244.233568</v>
      </c>
    </row>
    <row r="18" spans="1:24" x14ac:dyDescent="0.3">
      <c r="A18" s="117" t="s">
        <v>642</v>
      </c>
      <c r="T18" s="151" t="s">
        <v>360</v>
      </c>
      <c r="U18" s="130"/>
      <c r="V18" s="130"/>
      <c r="W18" s="325" t="s">
        <v>311</v>
      </c>
      <c r="X18" s="398">
        <f>SUM(X17:X17)</f>
        <v>29244.233568</v>
      </c>
    </row>
  </sheetData>
  <mergeCells count="31">
    <mergeCell ref="A2:K2"/>
    <mergeCell ref="A8:A9"/>
    <mergeCell ref="B8:B9"/>
    <mergeCell ref="F8:H8"/>
    <mergeCell ref="T8:T9"/>
    <mergeCell ref="C3:C6"/>
    <mergeCell ref="C8:C9"/>
    <mergeCell ref="D8:D9"/>
    <mergeCell ref="E8:E9"/>
    <mergeCell ref="I8:I9"/>
    <mergeCell ref="K9:L9"/>
    <mergeCell ref="V8:V9"/>
    <mergeCell ref="A14:A16"/>
    <mergeCell ref="B14:B16"/>
    <mergeCell ref="C14:L14"/>
    <mergeCell ref="M14:P14"/>
    <mergeCell ref="Q14:Q16"/>
    <mergeCell ref="R14:R16"/>
    <mergeCell ref="S14:S16"/>
    <mergeCell ref="T14:T16"/>
    <mergeCell ref="U14:W15"/>
    <mergeCell ref="U8:U9"/>
    <mergeCell ref="K10:L10"/>
    <mergeCell ref="X14:X16"/>
    <mergeCell ref="C15:E15"/>
    <mergeCell ref="F15:H15"/>
    <mergeCell ref="J15:L15"/>
    <mergeCell ref="M15:M16"/>
    <mergeCell ref="N15:N16"/>
    <mergeCell ref="O15:O16"/>
    <mergeCell ref="P15:P16"/>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4B587-218F-4348-B207-AF0AB9A15B12}">
  <sheetPr>
    <tabColor theme="9" tint="0.79998168889431442"/>
  </sheetPr>
  <dimension ref="A1:H10"/>
  <sheetViews>
    <sheetView zoomScale="71" zoomScaleNormal="71" workbookViewId="0">
      <selection activeCell="H1" sqref="H1"/>
    </sheetView>
  </sheetViews>
  <sheetFormatPr defaultColWidth="9.1796875" defaultRowHeight="13" x14ac:dyDescent="0.3"/>
  <cols>
    <col min="1" max="1" width="23.54296875" style="32" customWidth="1"/>
    <col min="2" max="2" width="24.7265625" style="32" customWidth="1"/>
    <col min="3" max="3" width="25.7265625" style="32" customWidth="1"/>
    <col min="4" max="4" width="24.26953125" style="32" customWidth="1"/>
    <col min="5" max="5" width="12.1796875" style="32" customWidth="1"/>
    <col min="6" max="6" width="13.26953125" style="32" customWidth="1"/>
    <col min="7" max="7" width="11.7265625" style="32" customWidth="1"/>
    <col min="8" max="8" width="25.26953125" style="32" customWidth="1"/>
    <col min="9" max="16384" width="9.1796875" style="32"/>
  </cols>
  <sheetData>
    <row r="1" spans="1:8" x14ac:dyDescent="0.3">
      <c r="E1" s="33"/>
      <c r="F1" s="33"/>
      <c r="G1" s="33"/>
      <c r="H1" s="33" t="s">
        <v>1328</v>
      </c>
    </row>
    <row r="2" spans="1:8" ht="15" customHeight="1" x14ac:dyDescent="0.3">
      <c r="A2" s="1047" t="s">
        <v>492</v>
      </c>
      <c r="B2" s="1047"/>
      <c r="C2" s="1047"/>
      <c r="D2" s="1047"/>
      <c r="E2" s="1047"/>
      <c r="F2" s="1047"/>
      <c r="G2" s="1047"/>
      <c r="H2" s="1047"/>
    </row>
    <row r="3" spans="1:8" ht="57" customHeight="1" x14ac:dyDescent="0.3">
      <c r="A3" s="570" t="s">
        <v>194</v>
      </c>
      <c r="B3" s="35" t="s">
        <v>1283</v>
      </c>
      <c r="C3" s="1054"/>
      <c r="D3" s="36"/>
      <c r="E3" s="38"/>
      <c r="F3" s="38"/>
      <c r="G3" s="38"/>
      <c r="H3" s="38"/>
    </row>
    <row r="4" spans="1:8" ht="55.5" customHeight="1" x14ac:dyDescent="0.3">
      <c r="A4" s="849" t="s">
        <v>804</v>
      </c>
      <c r="B4" s="40">
        <f>H9</f>
        <v>115898</v>
      </c>
      <c r="C4" s="1054"/>
      <c r="D4" s="195"/>
      <c r="E4" s="38"/>
      <c r="F4" s="38"/>
      <c r="G4" s="38"/>
      <c r="H4" s="38"/>
    </row>
    <row r="5" spans="1:8" x14ac:dyDescent="0.3">
      <c r="A5" s="45"/>
      <c r="B5" s="37"/>
      <c r="C5" s="46"/>
      <c r="D5" s="46"/>
      <c r="E5" s="38"/>
      <c r="F5" s="38"/>
      <c r="G5" s="38"/>
      <c r="H5" s="38"/>
    </row>
    <row r="6" spans="1:8" x14ac:dyDescent="0.3">
      <c r="A6" s="45"/>
      <c r="B6" s="37"/>
      <c r="C6" s="46"/>
      <c r="D6" s="46"/>
      <c r="E6" s="38"/>
      <c r="F6" s="38"/>
      <c r="G6" s="38"/>
      <c r="H6" s="38"/>
    </row>
    <row r="7" spans="1:8" ht="44.25" customHeight="1" x14ac:dyDescent="0.3">
      <c r="A7" s="1096" t="s">
        <v>235</v>
      </c>
      <c r="B7" s="1178" t="s">
        <v>236</v>
      </c>
      <c r="C7" s="1096" t="s">
        <v>237</v>
      </c>
      <c r="D7" s="1096" t="s">
        <v>238</v>
      </c>
      <c r="E7" s="1180" t="s">
        <v>486</v>
      </c>
      <c r="F7" s="1180"/>
      <c r="G7" s="1180"/>
      <c r="H7" s="1181" t="s">
        <v>1282</v>
      </c>
    </row>
    <row r="8" spans="1:8" ht="26" x14ac:dyDescent="0.3">
      <c r="A8" s="1097"/>
      <c r="B8" s="1179"/>
      <c r="C8" s="1097"/>
      <c r="D8" s="1097"/>
      <c r="E8" s="185" t="s">
        <v>241</v>
      </c>
      <c r="F8" s="185" t="s">
        <v>242</v>
      </c>
      <c r="G8" s="185" t="s">
        <v>243</v>
      </c>
      <c r="H8" s="1182"/>
    </row>
    <row r="9" spans="1:8" ht="40.5" customHeight="1" x14ac:dyDescent="0.3">
      <c r="A9" s="48">
        <v>18234</v>
      </c>
      <c r="B9" s="49" t="s">
        <v>488</v>
      </c>
      <c r="C9" s="184">
        <v>362.18</v>
      </c>
      <c r="D9" s="186">
        <v>4</v>
      </c>
      <c r="E9" s="188">
        <v>80</v>
      </c>
      <c r="F9" s="188">
        <v>0</v>
      </c>
      <c r="G9" s="188">
        <v>0</v>
      </c>
      <c r="H9" s="189">
        <f>ROUND(C9*D9*E9,0)</f>
        <v>115898</v>
      </c>
    </row>
    <row r="10" spans="1:8" x14ac:dyDescent="0.3">
      <c r="A10" s="1177" t="s">
        <v>491</v>
      </c>
      <c r="B10" s="1177"/>
      <c r="C10" s="1177"/>
      <c r="D10" s="1177"/>
      <c r="E10" s="1177"/>
      <c r="F10" s="1177"/>
      <c r="G10" s="1177"/>
      <c r="H10" s="1177"/>
    </row>
  </sheetData>
  <mergeCells count="9">
    <mergeCell ref="A10:H10"/>
    <mergeCell ref="A2:H2"/>
    <mergeCell ref="A7:A8"/>
    <mergeCell ref="B7:B8"/>
    <mergeCell ref="C7:C8"/>
    <mergeCell ref="D7:D8"/>
    <mergeCell ref="E7:G7"/>
    <mergeCell ref="H7:H8"/>
    <mergeCell ref="C3:C4"/>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41FFD-9501-49CA-8EBD-9E2EDB365BF7}">
  <sheetPr>
    <tabColor theme="9" tint="0.79998168889431442"/>
  </sheetPr>
  <dimension ref="A1:AD20"/>
  <sheetViews>
    <sheetView topLeftCell="B1" zoomScale="77" zoomScaleNormal="77" workbookViewId="0">
      <selection activeCell="P1" sqref="P1"/>
    </sheetView>
  </sheetViews>
  <sheetFormatPr defaultColWidth="9.1796875" defaultRowHeight="13" x14ac:dyDescent="0.3"/>
  <cols>
    <col min="1" max="1" width="26.26953125" style="32" customWidth="1"/>
    <col min="2" max="2" width="26.54296875" style="32" customWidth="1"/>
    <col min="3" max="3" width="20.26953125" style="32" customWidth="1"/>
    <col min="4" max="4" width="23.7265625" style="32" customWidth="1"/>
    <col min="5" max="5" width="21" style="32" customWidth="1"/>
    <col min="6" max="6" width="14.26953125" style="32" customWidth="1"/>
    <col min="7" max="7" width="9.1796875" style="32"/>
    <col min="8" max="8" width="24.1796875" style="32" customWidth="1"/>
    <col min="9" max="9" width="20.81640625" style="32" customWidth="1"/>
    <col min="10" max="10" width="18.1796875" style="32" customWidth="1"/>
    <col min="11" max="11" width="16.7265625" style="32" customWidth="1"/>
    <col min="12" max="12" width="23.26953125" style="32" customWidth="1"/>
    <col min="13" max="13" width="11.26953125" style="32" customWidth="1"/>
    <col min="14" max="14" width="15.453125" style="32" customWidth="1"/>
    <col min="15" max="15" width="14.453125" style="32" customWidth="1"/>
    <col min="16" max="16" width="15.26953125" style="32" customWidth="1"/>
    <col min="17" max="17" width="11.81640625" style="32" customWidth="1"/>
    <col min="18" max="18" width="14" style="32" customWidth="1"/>
    <col min="19" max="19" width="12.7265625" style="32" customWidth="1"/>
    <col min="20" max="28" width="9.1796875" style="32"/>
    <col min="29" max="29" width="14" style="32" customWidth="1"/>
    <col min="30" max="16384" width="9.1796875" style="32"/>
  </cols>
  <sheetData>
    <row r="1" spans="1:30" x14ac:dyDescent="0.3">
      <c r="H1" s="33"/>
      <c r="P1" s="32" t="s">
        <v>1329</v>
      </c>
    </row>
    <row r="2" spans="1:30" ht="15" customHeight="1" x14ac:dyDescent="0.3">
      <c r="A2" s="1047" t="s">
        <v>220</v>
      </c>
      <c r="B2" s="1047"/>
      <c r="C2" s="1047"/>
      <c r="D2" s="1047"/>
      <c r="E2" s="1047"/>
      <c r="F2" s="1047"/>
      <c r="G2" s="1047"/>
      <c r="H2" s="1047"/>
      <c r="I2" s="1047"/>
      <c r="J2" s="1047"/>
      <c r="K2" s="1047"/>
      <c r="L2" s="1047"/>
      <c r="M2" s="1047"/>
      <c r="N2" s="1047"/>
      <c r="O2" s="1047"/>
      <c r="P2" s="1047"/>
      <c r="Q2" s="1047"/>
    </row>
    <row r="3" spans="1:30" ht="65" x14ac:dyDescent="0.3">
      <c r="A3" s="35" t="s">
        <v>194</v>
      </c>
      <c r="B3" s="35" t="s">
        <v>1109</v>
      </c>
      <c r="C3" s="35" t="s">
        <v>514</v>
      </c>
      <c r="D3" s="1054"/>
      <c r="E3" s="36"/>
      <c r="F3" s="37"/>
      <c r="G3" s="37"/>
      <c r="H3" s="38"/>
    </row>
    <row r="4" spans="1:30" ht="39" x14ac:dyDescent="0.3">
      <c r="A4" s="782" t="s">
        <v>804</v>
      </c>
      <c r="B4" s="40">
        <f>H19</f>
        <v>174052</v>
      </c>
      <c r="C4" s="41">
        <f>L19</f>
        <v>278483</v>
      </c>
      <c r="D4" s="1054"/>
      <c r="E4" s="43"/>
      <c r="F4" s="44"/>
      <c r="G4" s="37"/>
      <c r="H4" s="38"/>
    </row>
    <row r="5" spans="1:30" x14ac:dyDescent="0.3">
      <c r="A5" s="193"/>
      <c r="B5" s="194"/>
      <c r="C5" s="195"/>
      <c r="D5" s="196"/>
      <c r="E5" s="43"/>
      <c r="F5" s="44"/>
      <c r="G5" s="37"/>
      <c r="H5" s="38"/>
    </row>
    <row r="6" spans="1:30" x14ac:dyDescent="0.3">
      <c r="A6" s="193"/>
      <c r="B6" s="194"/>
      <c r="C6" s="195"/>
      <c r="D6" s="196"/>
      <c r="E6" s="197" t="s">
        <v>360</v>
      </c>
      <c r="F6" s="198" t="s">
        <v>361</v>
      </c>
      <c r="G6" s="199" t="s">
        <v>362</v>
      </c>
      <c r="H6" s="199" t="s">
        <v>363</v>
      </c>
      <c r="I6" s="199" t="s">
        <v>364</v>
      </c>
      <c r="J6" s="197" t="s">
        <v>360</v>
      </c>
      <c r="K6" s="200" t="s">
        <v>360</v>
      </c>
      <c r="L6" s="200" t="s">
        <v>360</v>
      </c>
      <c r="M6" s="200" t="s">
        <v>360</v>
      </c>
      <c r="N6" s="1112" t="s">
        <v>365</v>
      </c>
      <c r="O6" s="1112" t="s">
        <v>366</v>
      </c>
      <c r="P6" s="1112" t="s">
        <v>367</v>
      </c>
    </row>
    <row r="7" spans="1:30" x14ac:dyDescent="0.3">
      <c r="A7" s="193"/>
      <c r="B7" s="194"/>
      <c r="C7" s="195"/>
      <c r="D7" s="196"/>
      <c r="E7" s="201" t="s">
        <v>368</v>
      </c>
      <c r="F7" s="202">
        <v>2304</v>
      </c>
      <c r="G7" s="203">
        <v>1388</v>
      </c>
      <c r="H7" s="203">
        <v>925</v>
      </c>
      <c r="I7" s="204" t="s">
        <v>360</v>
      </c>
      <c r="J7" s="200" t="s">
        <v>360</v>
      </c>
      <c r="K7" s="200" t="s">
        <v>360</v>
      </c>
      <c r="L7" s="200" t="s">
        <v>360</v>
      </c>
      <c r="M7" s="200" t="s">
        <v>360</v>
      </c>
      <c r="N7" s="1113"/>
      <c r="O7" s="1113"/>
      <c r="P7" s="1113"/>
    </row>
    <row r="8" spans="1:30" ht="26" x14ac:dyDescent="0.3">
      <c r="A8" s="193"/>
      <c r="B8" s="194"/>
      <c r="C8" s="195"/>
      <c r="D8" s="196"/>
      <c r="E8" s="201" t="s">
        <v>369</v>
      </c>
      <c r="F8" s="220">
        <v>0.24</v>
      </c>
      <c r="G8" s="221">
        <v>0.14460000000000001</v>
      </c>
      <c r="H8" s="221">
        <v>9.64E-2</v>
      </c>
      <c r="I8" s="219">
        <v>0.2359</v>
      </c>
      <c r="J8" s="200" t="s">
        <v>360</v>
      </c>
      <c r="K8" s="200" t="s">
        <v>360</v>
      </c>
      <c r="L8" s="200" t="s">
        <v>360</v>
      </c>
      <c r="M8" s="205" t="s">
        <v>370</v>
      </c>
      <c r="N8" s="218">
        <v>0.28570000000000001</v>
      </c>
      <c r="O8" s="219">
        <v>2.0199999999999999E-2</v>
      </c>
      <c r="P8" s="219">
        <v>3.2199999999999999E-2</v>
      </c>
    </row>
    <row r="9" spans="1:30" x14ac:dyDescent="0.3">
      <c r="A9" s="45"/>
      <c r="B9" s="37"/>
      <c r="C9" s="45"/>
      <c r="D9" s="37"/>
      <c r="E9" s="45"/>
      <c r="F9" s="37"/>
      <c r="G9" s="45"/>
      <c r="H9" s="37"/>
    </row>
    <row r="10" spans="1:30" x14ac:dyDescent="0.3">
      <c r="A10" s="1114" t="s">
        <v>235</v>
      </c>
      <c r="B10" s="1114" t="s">
        <v>236</v>
      </c>
      <c r="C10" s="1117" t="s">
        <v>371</v>
      </c>
      <c r="D10" s="1117"/>
      <c r="E10" s="1117"/>
      <c r="F10" s="1117"/>
      <c r="G10" s="1117"/>
      <c r="H10" s="1117"/>
      <c r="I10" s="1117"/>
      <c r="J10" s="1117"/>
      <c r="K10" s="1117"/>
      <c r="L10" s="1118"/>
      <c r="M10" s="1114" t="s">
        <v>403</v>
      </c>
      <c r="N10" s="1114" t="s">
        <v>378</v>
      </c>
      <c r="O10" s="1114" t="s">
        <v>379</v>
      </c>
      <c r="P10" s="1114" t="s">
        <v>380</v>
      </c>
      <c r="Q10" s="1114" t="s">
        <v>372</v>
      </c>
      <c r="R10" s="1114" t="s">
        <v>351</v>
      </c>
      <c r="S10" s="1114" t="s">
        <v>373</v>
      </c>
      <c r="T10" s="1109" t="s">
        <v>400</v>
      </c>
      <c r="U10" s="1109" t="s">
        <v>389</v>
      </c>
      <c r="V10" s="1109" t="s">
        <v>390</v>
      </c>
      <c r="W10" s="1109" t="s">
        <v>391</v>
      </c>
      <c r="X10" s="1109" t="s">
        <v>392</v>
      </c>
      <c r="Y10" s="1109" t="s">
        <v>393</v>
      </c>
      <c r="Z10" s="1109" t="s">
        <v>394</v>
      </c>
      <c r="AA10" s="1109" t="s">
        <v>395</v>
      </c>
      <c r="AB10" s="1114" t="s">
        <v>401</v>
      </c>
      <c r="AC10" s="1114" t="s">
        <v>402</v>
      </c>
      <c r="AD10" s="1109" t="s">
        <v>373</v>
      </c>
    </row>
    <row r="11" spans="1:30" ht="39" x14ac:dyDescent="0.3">
      <c r="A11" s="1115"/>
      <c r="B11" s="1115"/>
      <c r="C11" s="1117" t="s">
        <v>374</v>
      </c>
      <c r="D11" s="1117"/>
      <c r="E11" s="1118"/>
      <c r="F11" s="1117" t="s">
        <v>375</v>
      </c>
      <c r="G11" s="1117"/>
      <c r="H11" s="1118"/>
      <c r="I11" s="206" t="s">
        <v>376</v>
      </c>
      <c r="J11" s="1117" t="s">
        <v>377</v>
      </c>
      <c r="K11" s="1117"/>
      <c r="L11" s="1118"/>
      <c r="M11" s="1115"/>
      <c r="N11" s="1115"/>
      <c r="O11" s="1115"/>
      <c r="P11" s="1115"/>
      <c r="Q11" s="1115"/>
      <c r="R11" s="1115"/>
      <c r="S11" s="1115"/>
      <c r="T11" s="1110"/>
      <c r="U11" s="1110"/>
      <c r="V11" s="1110"/>
      <c r="W11" s="1110"/>
      <c r="X11" s="1110"/>
      <c r="Y11" s="1110"/>
      <c r="Z11" s="1110"/>
      <c r="AA11" s="1110"/>
      <c r="AB11" s="1115"/>
      <c r="AC11" s="1115"/>
      <c r="AD11" s="1110"/>
    </row>
    <row r="12" spans="1:30" ht="39" x14ac:dyDescent="0.3">
      <c r="A12" s="1116"/>
      <c r="B12" s="1116"/>
      <c r="C12" s="206" t="s">
        <v>381</v>
      </c>
      <c r="D12" s="206" t="s">
        <v>382</v>
      </c>
      <c r="E12" s="206" t="s">
        <v>383</v>
      </c>
      <c r="F12" s="206" t="s">
        <v>381</v>
      </c>
      <c r="G12" s="206" t="s">
        <v>382</v>
      </c>
      <c r="H12" s="206" t="s">
        <v>384</v>
      </c>
      <c r="I12" s="206" t="s">
        <v>385</v>
      </c>
      <c r="J12" s="206" t="s">
        <v>386</v>
      </c>
      <c r="K12" s="206" t="s">
        <v>387</v>
      </c>
      <c r="L12" s="206" t="s">
        <v>388</v>
      </c>
      <c r="M12" s="1121"/>
      <c r="N12" s="1121"/>
      <c r="O12" s="1121"/>
      <c r="P12" s="1121"/>
      <c r="Q12" s="1116"/>
      <c r="R12" s="1116"/>
      <c r="S12" s="1116"/>
      <c r="T12" s="1111"/>
      <c r="U12" s="1111"/>
      <c r="V12" s="1111"/>
      <c r="W12" s="1111"/>
      <c r="X12" s="1111"/>
      <c r="Y12" s="1111"/>
      <c r="Z12" s="1111"/>
      <c r="AA12" s="1111"/>
      <c r="AB12" s="1121"/>
      <c r="AC12" s="1121"/>
      <c r="AD12" s="1111"/>
    </row>
    <row r="13" spans="1:30" x14ac:dyDescent="0.3">
      <c r="A13" s="207">
        <v>1</v>
      </c>
      <c r="B13" s="208">
        <v>2</v>
      </c>
      <c r="C13" s="208">
        <v>3</v>
      </c>
      <c r="D13" s="208">
        <v>4</v>
      </c>
      <c r="E13" s="209">
        <v>5</v>
      </c>
      <c r="F13" s="210">
        <v>6</v>
      </c>
      <c r="G13" s="210">
        <v>7</v>
      </c>
      <c r="H13" s="210">
        <v>8</v>
      </c>
      <c r="I13" s="208">
        <v>9</v>
      </c>
      <c r="J13" s="208" t="s">
        <v>396</v>
      </c>
      <c r="K13" s="208">
        <v>11</v>
      </c>
      <c r="L13" s="208">
        <v>12</v>
      </c>
      <c r="M13" s="208">
        <v>13</v>
      </c>
      <c r="N13" s="208">
        <v>14</v>
      </c>
      <c r="O13" s="210">
        <v>15</v>
      </c>
      <c r="P13" s="210">
        <v>16</v>
      </c>
      <c r="Q13" s="210">
        <v>17</v>
      </c>
      <c r="R13" s="210">
        <v>18</v>
      </c>
      <c r="S13" s="210">
        <v>19</v>
      </c>
      <c r="T13" s="210">
        <v>20</v>
      </c>
      <c r="U13" s="210">
        <v>21</v>
      </c>
      <c r="V13" s="210">
        <v>22</v>
      </c>
      <c r="W13" s="210">
        <v>23</v>
      </c>
      <c r="X13" s="210">
        <v>24</v>
      </c>
      <c r="Y13" s="210">
        <v>25</v>
      </c>
      <c r="Z13" s="210">
        <v>26</v>
      </c>
      <c r="AA13" s="210">
        <v>27</v>
      </c>
      <c r="AB13" s="210">
        <v>28</v>
      </c>
      <c r="AC13" s="210">
        <v>29</v>
      </c>
      <c r="AD13" s="210">
        <v>30</v>
      </c>
    </row>
    <row r="14" spans="1:30" s="217" customFormat="1" ht="26" x14ac:dyDescent="0.35">
      <c r="A14" s="211" t="s">
        <v>397</v>
      </c>
      <c r="B14" s="49" t="s">
        <v>489</v>
      </c>
      <c r="C14" s="212">
        <v>0</v>
      </c>
      <c r="D14" s="212">
        <v>0</v>
      </c>
      <c r="E14" s="212">
        <v>0</v>
      </c>
      <c r="F14" s="213">
        <f>C14*F8</f>
        <v>0</v>
      </c>
      <c r="G14" s="213">
        <f>D14*G8</f>
        <v>0</v>
      </c>
      <c r="H14" s="212">
        <f>E14*H8</f>
        <v>0</v>
      </c>
      <c r="I14" s="213">
        <f>(F14+G14+H14)*I8</f>
        <v>0</v>
      </c>
      <c r="J14" s="214">
        <f>L14+K14</f>
        <v>3481.04</v>
      </c>
      <c r="K14" s="214">
        <v>0</v>
      </c>
      <c r="L14" s="214">
        <v>3481.04</v>
      </c>
      <c r="M14" s="212">
        <v>0</v>
      </c>
      <c r="N14" s="213">
        <f>(F14+G14+H14)*N8</f>
        <v>0</v>
      </c>
      <c r="O14" s="213">
        <f>(F14+G14+H14)*O8</f>
        <v>0</v>
      </c>
      <c r="P14" s="213">
        <f>(F14+G14+H14)*P8</f>
        <v>0</v>
      </c>
      <c r="Q14" s="215">
        <f>P14+O14+N14+M14+J14+I14+H14+G14+F14</f>
        <v>3481.04</v>
      </c>
      <c r="R14" s="215">
        <v>0</v>
      </c>
      <c r="S14" s="215">
        <f>Q14-R14</f>
        <v>3481.04</v>
      </c>
      <c r="T14" s="216">
        <f>F14+G14+H14</f>
        <v>0</v>
      </c>
      <c r="U14" s="216">
        <f>I14</f>
        <v>0</v>
      </c>
      <c r="V14" s="216">
        <f>J14</f>
        <v>3481.04</v>
      </c>
      <c r="W14" s="216">
        <v>0</v>
      </c>
      <c r="X14" s="216">
        <f>N14</f>
        <v>0</v>
      </c>
      <c r="Y14" s="216">
        <f>O14</f>
        <v>0</v>
      </c>
      <c r="Z14" s="216">
        <f>P14</f>
        <v>0</v>
      </c>
      <c r="AA14" s="216">
        <v>0</v>
      </c>
      <c r="AB14" s="216">
        <f>SUM(T14:AA14)</f>
        <v>3481.04</v>
      </c>
      <c r="AC14" s="216">
        <f>R14</f>
        <v>0</v>
      </c>
      <c r="AD14" s="216">
        <f>AB14-AC14</f>
        <v>3481.04</v>
      </c>
    </row>
    <row r="15" spans="1:30" x14ac:dyDescent="0.3">
      <c r="A15" s="45"/>
      <c r="B15" s="37"/>
      <c r="C15" s="45"/>
      <c r="D15" s="37"/>
      <c r="E15" s="45"/>
      <c r="F15" s="37"/>
      <c r="G15" s="45"/>
      <c r="H15" s="37"/>
    </row>
    <row r="16" spans="1:30" x14ac:dyDescent="0.3">
      <c r="A16" s="45"/>
      <c r="B16" s="37"/>
      <c r="C16" s="45"/>
      <c r="D16" s="37"/>
      <c r="E16" s="45"/>
      <c r="F16" s="37"/>
      <c r="G16" s="45"/>
      <c r="H16" s="37"/>
    </row>
    <row r="17" spans="1:16" ht="33.75" customHeight="1" x14ac:dyDescent="0.3">
      <c r="A17" s="1048" t="s">
        <v>235</v>
      </c>
      <c r="B17" s="1050" t="s">
        <v>236</v>
      </c>
      <c r="C17" s="1048" t="s">
        <v>237</v>
      </c>
      <c r="D17" s="1048" t="s">
        <v>238</v>
      </c>
      <c r="E17" s="1187" t="s">
        <v>484</v>
      </c>
      <c r="F17" s="1188"/>
      <c r="G17" s="1189"/>
      <c r="H17" s="1096" t="s">
        <v>485</v>
      </c>
      <c r="I17" s="1180" t="s">
        <v>486</v>
      </c>
      <c r="J17" s="1180"/>
      <c r="K17" s="1183"/>
      <c r="L17" s="1184" t="s">
        <v>487</v>
      </c>
      <c r="M17" s="1186"/>
      <c r="N17" s="1186"/>
      <c r="O17" s="1186"/>
      <c r="P17" s="1186"/>
    </row>
    <row r="18" spans="1:16" x14ac:dyDescent="0.3">
      <c r="A18" s="1049"/>
      <c r="B18" s="1051"/>
      <c r="C18" s="1049"/>
      <c r="D18" s="1049"/>
      <c r="E18" s="190" t="s">
        <v>241</v>
      </c>
      <c r="F18" s="190" t="s">
        <v>242</v>
      </c>
      <c r="G18" s="190" t="s">
        <v>243</v>
      </c>
      <c r="H18" s="1097"/>
      <c r="I18" s="185" t="s">
        <v>241</v>
      </c>
      <c r="J18" s="185" t="s">
        <v>242</v>
      </c>
      <c r="K18" s="815" t="s">
        <v>243</v>
      </c>
      <c r="L18" s="1184"/>
      <c r="M18" s="813"/>
      <c r="N18" s="813"/>
      <c r="O18" s="813"/>
      <c r="P18" s="1186"/>
    </row>
    <row r="19" spans="1:16" ht="26" x14ac:dyDescent="0.3">
      <c r="A19" s="48" t="s">
        <v>490</v>
      </c>
      <c r="B19" s="49" t="s">
        <v>489</v>
      </c>
      <c r="C19" s="50">
        <v>3481.04</v>
      </c>
      <c r="D19" s="186">
        <v>1</v>
      </c>
      <c r="E19" s="187">
        <v>50</v>
      </c>
      <c r="F19" s="187">
        <v>0</v>
      </c>
      <c r="G19" s="187">
        <v>0</v>
      </c>
      <c r="H19" s="192">
        <f>ROUND(C19*D19*E19,0)</f>
        <v>174052</v>
      </c>
      <c r="I19" s="188">
        <f>E19+30</f>
        <v>80</v>
      </c>
      <c r="J19" s="188">
        <v>0</v>
      </c>
      <c r="K19" s="816">
        <v>0</v>
      </c>
      <c r="L19" s="192">
        <f>ROUND(C19*D19*I19,0)</f>
        <v>278483</v>
      </c>
      <c r="M19" s="814"/>
      <c r="N19" s="814"/>
      <c r="O19" s="814"/>
      <c r="P19" s="814"/>
    </row>
    <row r="20" spans="1:16" ht="17.25" customHeight="1" x14ac:dyDescent="0.3">
      <c r="A20" s="1185" t="s">
        <v>491</v>
      </c>
      <c r="B20" s="1185"/>
      <c r="C20" s="1185"/>
      <c r="D20" s="1185"/>
      <c r="E20" s="1185"/>
      <c r="F20" s="1185"/>
      <c r="G20" s="1185"/>
      <c r="H20" s="1185"/>
    </row>
  </sheetData>
  <mergeCells count="40">
    <mergeCell ref="S10:S12"/>
    <mergeCell ref="T10:T12"/>
    <mergeCell ref="U10:U12"/>
    <mergeCell ref="N6:N7"/>
    <mergeCell ref="O6:O7"/>
    <mergeCell ref="P6:P7"/>
    <mergeCell ref="N10:N12"/>
    <mergeCell ref="O10:O12"/>
    <mergeCell ref="M10:M12"/>
    <mergeCell ref="AB10:AB12"/>
    <mergeCell ref="AC10:AC12"/>
    <mergeCell ref="AD10:AD12"/>
    <mergeCell ref="C11:E11"/>
    <mergeCell ref="F11:H11"/>
    <mergeCell ref="J11:L11"/>
    <mergeCell ref="V10:V12"/>
    <mergeCell ref="W10:W12"/>
    <mergeCell ref="X10:X12"/>
    <mergeCell ref="Y10:Y12"/>
    <mergeCell ref="Z10:Z12"/>
    <mergeCell ref="AA10:AA12"/>
    <mergeCell ref="P10:P12"/>
    <mergeCell ref="Q10:Q12"/>
    <mergeCell ref="R10:R12"/>
    <mergeCell ref="D3:D4"/>
    <mergeCell ref="I17:K17"/>
    <mergeCell ref="L17:L18"/>
    <mergeCell ref="A2:Q2"/>
    <mergeCell ref="A20:H20"/>
    <mergeCell ref="M17:O17"/>
    <mergeCell ref="P17:P18"/>
    <mergeCell ref="A17:A18"/>
    <mergeCell ref="B17:B18"/>
    <mergeCell ref="C17:C18"/>
    <mergeCell ref="D17:D18"/>
    <mergeCell ref="E17:G17"/>
    <mergeCell ref="H17:H18"/>
    <mergeCell ref="A10:A12"/>
    <mergeCell ref="B10:B12"/>
    <mergeCell ref="C10:L10"/>
  </mergeCell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FEBDA-3406-4D3A-B267-3E94770C3D79}">
  <sheetPr>
    <tabColor theme="9" tint="0.79998168889431442"/>
  </sheetPr>
  <dimension ref="A1:O36"/>
  <sheetViews>
    <sheetView topLeftCell="A17" zoomScale="89" zoomScaleNormal="89" workbookViewId="0">
      <selection activeCell="F1" sqref="F1"/>
    </sheetView>
  </sheetViews>
  <sheetFormatPr defaultColWidth="9.1796875" defaultRowHeight="13" x14ac:dyDescent="0.3"/>
  <cols>
    <col min="1" max="1" width="30.54296875" style="32" customWidth="1"/>
    <col min="2" max="2" width="23.26953125" style="32" customWidth="1"/>
    <col min="3" max="3" width="13.26953125" style="32" customWidth="1"/>
    <col min="4" max="5" width="9.26953125" style="32" bestFit="1" customWidth="1"/>
    <col min="6" max="6" width="15.1796875" style="32" customWidth="1"/>
    <col min="7" max="12" width="9.1796875" style="32"/>
    <col min="13" max="13" width="12.26953125" style="32" customWidth="1"/>
    <col min="14" max="14" width="11.54296875" style="32" customWidth="1"/>
    <col min="15" max="16384" width="9.1796875" style="32"/>
  </cols>
  <sheetData>
    <row r="1" spans="1:6" x14ac:dyDescent="0.3">
      <c r="F1" s="32" t="s">
        <v>1330</v>
      </c>
    </row>
    <row r="2" spans="1:6" x14ac:dyDescent="0.3">
      <c r="A2" s="1085" t="s">
        <v>524</v>
      </c>
      <c r="B2" s="1085"/>
      <c r="C2" s="1085"/>
      <c r="D2" s="1085"/>
      <c r="E2" s="1085"/>
      <c r="F2" s="1085"/>
    </row>
    <row r="3" spans="1:6" ht="52" x14ac:dyDescent="0.3">
      <c r="A3" s="35" t="s">
        <v>194</v>
      </c>
      <c r="B3" s="35" t="s">
        <v>1238</v>
      </c>
    </row>
    <row r="4" spans="1:6" ht="26" x14ac:dyDescent="0.3">
      <c r="A4" s="783" t="s">
        <v>564</v>
      </c>
      <c r="B4" s="41">
        <f>F16</f>
        <v>373292</v>
      </c>
    </row>
    <row r="6" spans="1:6" ht="27.75" customHeight="1" x14ac:dyDescent="0.3">
      <c r="A6" s="1190"/>
      <c r="B6" s="1191" t="s">
        <v>552</v>
      </c>
      <c r="C6" s="1191"/>
      <c r="D6" s="1191"/>
      <c r="E6" s="1191"/>
      <c r="F6" s="1191"/>
    </row>
    <row r="7" spans="1:6" ht="65" x14ac:dyDescent="0.3">
      <c r="A7" s="1190"/>
      <c r="B7" s="244" t="s">
        <v>567</v>
      </c>
      <c r="C7" s="244" t="s">
        <v>526</v>
      </c>
      <c r="D7" s="244" t="s">
        <v>568</v>
      </c>
      <c r="E7" s="244" t="s">
        <v>565</v>
      </c>
      <c r="F7" s="244" t="s">
        <v>566</v>
      </c>
    </row>
    <row r="8" spans="1:6" ht="26" x14ac:dyDescent="0.3">
      <c r="A8" s="250" t="s">
        <v>527</v>
      </c>
      <c r="B8" s="245">
        <v>165</v>
      </c>
      <c r="C8" s="245">
        <v>36</v>
      </c>
      <c r="D8" s="245">
        <f>B8*C8</f>
        <v>5940</v>
      </c>
      <c r="E8" s="246">
        <f>E10+E11</f>
        <v>30.543771043771045</v>
      </c>
      <c r="F8" s="245">
        <f>F10+F11</f>
        <v>181430</v>
      </c>
    </row>
    <row r="9" spans="1:6" x14ac:dyDescent="0.3">
      <c r="A9" s="251" t="s">
        <v>553</v>
      </c>
      <c r="B9" s="247"/>
      <c r="C9" s="247"/>
      <c r="D9" s="247"/>
      <c r="E9" s="248"/>
      <c r="F9" s="247"/>
    </row>
    <row r="10" spans="1:6" ht="15" customHeight="1" x14ac:dyDescent="0.3">
      <c r="A10" s="252" t="s">
        <v>557</v>
      </c>
      <c r="B10" s="1192">
        <v>165</v>
      </c>
      <c r="C10" s="1192">
        <v>36</v>
      </c>
      <c r="D10" s="1192">
        <f>B10*C10</f>
        <v>5940</v>
      </c>
      <c r="E10" s="248">
        <f>F10/D10</f>
        <v>30.293771043771045</v>
      </c>
      <c r="F10" s="247">
        <v>179945</v>
      </c>
    </row>
    <row r="11" spans="1:6" x14ac:dyDescent="0.3">
      <c r="A11" s="252" t="s">
        <v>528</v>
      </c>
      <c r="B11" s="1193"/>
      <c r="C11" s="1193"/>
      <c r="D11" s="1193"/>
      <c r="E11" s="248">
        <v>0.25</v>
      </c>
      <c r="F11" s="247">
        <f>D10*E11</f>
        <v>1485</v>
      </c>
    </row>
    <row r="12" spans="1:6" x14ac:dyDescent="0.3">
      <c r="A12" s="250" t="s">
        <v>529</v>
      </c>
      <c r="B12" s="245"/>
      <c r="C12" s="245"/>
      <c r="D12" s="245">
        <v>5940</v>
      </c>
      <c r="E12" s="246">
        <f>F12/D12</f>
        <v>32.299999999999997</v>
      </c>
      <c r="F12" s="245">
        <f>F13+F14+F15</f>
        <v>191862</v>
      </c>
    </row>
    <row r="13" spans="1:6" x14ac:dyDescent="0.3">
      <c r="A13" s="251" t="s">
        <v>554</v>
      </c>
      <c r="B13" s="247"/>
      <c r="C13" s="247"/>
      <c r="D13" s="247">
        <v>5940</v>
      </c>
      <c r="E13" s="248">
        <v>25.7</v>
      </c>
      <c r="F13" s="247">
        <f>D13*E13</f>
        <v>152658</v>
      </c>
    </row>
    <row r="14" spans="1:6" ht="39" x14ac:dyDescent="0.3">
      <c r="A14" s="251" t="s">
        <v>555</v>
      </c>
      <c r="B14" s="247"/>
      <c r="C14" s="247"/>
      <c r="D14" s="247">
        <v>5940</v>
      </c>
      <c r="E14" s="248">
        <v>5.69</v>
      </c>
      <c r="F14" s="247">
        <f>D14*E14</f>
        <v>33798.600000000006</v>
      </c>
    </row>
    <row r="15" spans="1:6" x14ac:dyDescent="0.3">
      <c r="A15" s="251" t="s">
        <v>556</v>
      </c>
      <c r="B15" s="247"/>
      <c r="C15" s="247"/>
      <c r="D15" s="247">
        <v>5940</v>
      </c>
      <c r="E15" s="248">
        <v>0.91</v>
      </c>
      <c r="F15" s="247">
        <f>D15*E15</f>
        <v>5405.4000000000005</v>
      </c>
    </row>
    <row r="16" spans="1:6" x14ac:dyDescent="0.3">
      <c r="A16" s="288" t="s">
        <v>530</v>
      </c>
      <c r="B16" s="289">
        <v>165</v>
      </c>
      <c r="C16" s="289">
        <v>36</v>
      </c>
      <c r="D16" s="289">
        <v>5940</v>
      </c>
      <c r="E16" s="297">
        <f>E8+E12</f>
        <v>62.843771043771042</v>
      </c>
      <c r="F16" s="253">
        <f>F8+F12</f>
        <v>373292</v>
      </c>
    </row>
    <row r="17" spans="1:15" ht="27.75" customHeight="1" x14ac:dyDescent="0.3">
      <c r="A17" s="998" t="s">
        <v>1065</v>
      </c>
      <c r="B17" s="998"/>
      <c r="C17" s="998"/>
      <c r="D17" s="998"/>
      <c r="E17" s="998"/>
      <c r="F17" s="998"/>
    </row>
    <row r="18" spans="1:15" x14ac:dyDescent="0.3">
      <c r="A18" s="1195" t="s">
        <v>872</v>
      </c>
      <c r="B18" s="1195"/>
      <c r="C18" s="1195"/>
      <c r="D18" s="1195"/>
      <c r="E18" s="1195"/>
      <c r="F18" s="1195"/>
    </row>
    <row r="19" spans="1:15" x14ac:dyDescent="0.3">
      <c r="A19" s="287"/>
      <c r="B19" s="287"/>
      <c r="C19" s="287"/>
      <c r="D19" s="287"/>
      <c r="E19" s="287"/>
      <c r="F19" s="287"/>
    </row>
    <row r="21" spans="1:15" x14ac:dyDescent="0.3">
      <c r="A21" s="1194" t="s">
        <v>562</v>
      </c>
      <c r="B21" s="1194"/>
      <c r="C21" s="1194"/>
      <c r="D21" s="1194"/>
      <c r="E21" s="1194"/>
      <c r="F21" s="1194"/>
      <c r="G21" s="1194"/>
      <c r="H21" s="1194"/>
      <c r="I21" s="1194"/>
      <c r="J21" s="1194"/>
      <c r="K21" s="1194"/>
      <c r="L21" s="1194"/>
      <c r="M21" s="1194"/>
      <c r="N21" s="1194"/>
      <c r="O21" s="1194"/>
    </row>
    <row r="22" spans="1:15" ht="45" customHeight="1" x14ac:dyDescent="0.3">
      <c r="A22" s="257" t="s">
        <v>531</v>
      </c>
      <c r="B22" s="257" t="s">
        <v>447</v>
      </c>
      <c r="C22" s="255" t="s">
        <v>532</v>
      </c>
      <c r="D22" s="256" t="s">
        <v>449</v>
      </c>
      <c r="E22" s="257" t="s">
        <v>533</v>
      </c>
      <c r="F22" s="257" t="s">
        <v>450</v>
      </c>
      <c r="G22" s="257" t="s">
        <v>563</v>
      </c>
      <c r="H22" s="257" t="s">
        <v>534</v>
      </c>
      <c r="I22" s="257" t="s">
        <v>535</v>
      </c>
      <c r="J22" s="258" t="s">
        <v>536</v>
      </c>
      <c r="K22" s="258" t="s">
        <v>559</v>
      </c>
      <c r="L22" s="258" t="s">
        <v>537</v>
      </c>
      <c r="M22" s="258" t="s">
        <v>538</v>
      </c>
      <c r="N22" s="258" t="s">
        <v>539</v>
      </c>
      <c r="O22" s="258" t="s">
        <v>540</v>
      </c>
    </row>
    <row r="23" spans="1:15" x14ac:dyDescent="0.3">
      <c r="A23" s="254"/>
      <c r="B23" s="257"/>
      <c r="C23" s="255"/>
      <c r="D23" s="256"/>
      <c r="E23" s="256"/>
      <c r="F23" s="257"/>
      <c r="G23" s="257"/>
      <c r="H23" s="259">
        <v>0.05</v>
      </c>
      <c r="I23" s="259">
        <v>0.1</v>
      </c>
      <c r="J23" s="260">
        <v>0.05</v>
      </c>
      <c r="K23" s="258"/>
      <c r="L23" s="258"/>
      <c r="M23" s="258"/>
      <c r="N23" s="258"/>
      <c r="O23" s="258"/>
    </row>
    <row r="24" spans="1:15" ht="39" x14ac:dyDescent="0.3">
      <c r="A24" s="261">
        <v>1</v>
      </c>
      <c r="B24" s="261">
        <v>2</v>
      </c>
      <c r="C24" s="261">
        <v>3</v>
      </c>
      <c r="D24" s="261">
        <v>4</v>
      </c>
      <c r="E24" s="261">
        <v>5</v>
      </c>
      <c r="F24" s="261">
        <v>6</v>
      </c>
      <c r="G24" s="262">
        <v>7</v>
      </c>
      <c r="H24" s="262" t="s">
        <v>560</v>
      </c>
      <c r="I24" s="262" t="s">
        <v>541</v>
      </c>
      <c r="J24" s="263" t="s">
        <v>542</v>
      </c>
      <c r="K24" s="263" t="s">
        <v>543</v>
      </c>
      <c r="L24" s="263" t="s">
        <v>544</v>
      </c>
      <c r="M24" s="263" t="s">
        <v>558</v>
      </c>
      <c r="N24" s="263">
        <v>14</v>
      </c>
      <c r="O24" s="263">
        <v>15</v>
      </c>
    </row>
    <row r="25" spans="1:15" ht="13.5" x14ac:dyDescent="0.3">
      <c r="A25" s="270"/>
      <c r="B25" s="270"/>
      <c r="C25" s="271"/>
      <c r="D25" s="272"/>
      <c r="E25" s="272"/>
      <c r="F25" s="272"/>
      <c r="G25" s="272"/>
      <c r="H25" s="273"/>
      <c r="I25" s="273"/>
      <c r="J25" s="274"/>
      <c r="K25" s="274"/>
      <c r="L25" s="274"/>
      <c r="M25" s="274"/>
      <c r="N25" s="274"/>
      <c r="O25" s="274"/>
    </row>
    <row r="26" spans="1:15" x14ac:dyDescent="0.3">
      <c r="A26" s="275" t="s">
        <v>545</v>
      </c>
      <c r="B26" s="276">
        <v>2</v>
      </c>
      <c r="C26" s="277"/>
      <c r="D26" s="277"/>
      <c r="E26" s="277">
        <v>3</v>
      </c>
      <c r="F26" s="277">
        <v>7</v>
      </c>
      <c r="G26" s="278">
        <v>1771</v>
      </c>
      <c r="H26" s="279">
        <f>G26*H23</f>
        <v>88.550000000000011</v>
      </c>
      <c r="I26" s="279">
        <f>G26*I23</f>
        <v>177.10000000000002</v>
      </c>
      <c r="J26" s="280">
        <f>G26*J23</f>
        <v>88.550000000000011</v>
      </c>
      <c r="K26" s="280">
        <f>(G26+H26+I26+J26)*0.2359</f>
        <v>501.33468000000005</v>
      </c>
      <c r="L26" s="280">
        <f>SUM(G26:K26)*B26</f>
        <v>5253.0693600000004</v>
      </c>
      <c r="M26" s="281">
        <f>SUM(N26:O26)</f>
        <v>63036.832320000009</v>
      </c>
      <c r="N26" s="280">
        <f>(G26+H26+I26)*B26*B33</f>
        <v>48879.600000000006</v>
      </c>
      <c r="O26" s="280">
        <f>(K26+J26)*B26*B33</f>
        <v>14157.232320000003</v>
      </c>
    </row>
    <row r="27" spans="1:15" x14ac:dyDescent="0.3">
      <c r="A27" s="282" t="s">
        <v>546</v>
      </c>
      <c r="B27" s="276">
        <v>2</v>
      </c>
      <c r="C27" s="277"/>
      <c r="D27" s="277"/>
      <c r="E27" s="277">
        <v>3</v>
      </c>
      <c r="F27" s="277">
        <v>8</v>
      </c>
      <c r="G27" s="278">
        <v>1495</v>
      </c>
      <c r="H27" s="279">
        <f>G27*H23</f>
        <v>74.75</v>
      </c>
      <c r="I27" s="279">
        <f>G27*I23</f>
        <v>149.5</v>
      </c>
      <c r="J27" s="280">
        <f>G27*J23</f>
        <v>74.75</v>
      </c>
      <c r="K27" s="280">
        <f>(G27+H27+I27+J27)*0.2359</f>
        <v>423.20459999999997</v>
      </c>
      <c r="L27" s="280">
        <f>SUM(G27:K27)*B27</f>
        <v>4434.4092000000001</v>
      </c>
      <c r="M27" s="281">
        <f>SUM(N27:O27)</f>
        <v>53212.910400000001</v>
      </c>
      <c r="N27" s="280">
        <f>(G27+H27+I27)*B27*B33</f>
        <v>41262</v>
      </c>
      <c r="O27" s="280">
        <f>(K27+J27)*B27*B33</f>
        <v>11950.910399999999</v>
      </c>
    </row>
    <row r="28" spans="1:15" x14ac:dyDescent="0.3">
      <c r="A28" s="282" t="s">
        <v>547</v>
      </c>
      <c r="B28" s="276">
        <v>1</v>
      </c>
      <c r="C28" s="277"/>
      <c r="D28" s="277"/>
      <c r="E28" s="277">
        <v>6</v>
      </c>
      <c r="F28" s="277">
        <v>10</v>
      </c>
      <c r="G28" s="278">
        <v>1220</v>
      </c>
      <c r="H28" s="279">
        <f>G28*H23</f>
        <v>61</v>
      </c>
      <c r="I28" s="279">
        <f>G28*I23</f>
        <v>122</v>
      </c>
      <c r="J28" s="280">
        <f>G28*J23</f>
        <v>61</v>
      </c>
      <c r="K28" s="280">
        <f>(G28+H28+I28+J28)*0.2359</f>
        <v>345.35759999999999</v>
      </c>
      <c r="L28" s="280">
        <f>SUM(G28:K28)*B28</f>
        <v>1809.3576</v>
      </c>
      <c r="M28" s="281">
        <f>SUM(N28:O28)</f>
        <v>21712.2912</v>
      </c>
      <c r="N28" s="280">
        <f>(G28+H28+I28)*B28*B33</f>
        <v>16836</v>
      </c>
      <c r="O28" s="280">
        <f>(K28+J28)*B28*B33</f>
        <v>4876.2911999999997</v>
      </c>
    </row>
    <row r="29" spans="1:15" x14ac:dyDescent="0.3">
      <c r="A29" s="282" t="s">
        <v>548</v>
      </c>
      <c r="B29" s="276">
        <v>1</v>
      </c>
      <c r="C29" s="277"/>
      <c r="D29" s="277"/>
      <c r="E29" s="277">
        <v>6</v>
      </c>
      <c r="F29" s="277">
        <v>10</v>
      </c>
      <c r="G29" s="278">
        <v>1259</v>
      </c>
      <c r="H29" s="279">
        <f>G29*H23</f>
        <v>62.95</v>
      </c>
      <c r="I29" s="279">
        <f>G29*I23</f>
        <v>125.9</v>
      </c>
      <c r="J29" s="280">
        <f>G29*J23</f>
        <v>62.95</v>
      </c>
      <c r="K29" s="280">
        <f>(G29+H29+I29+J29)*0.2359</f>
        <v>356.39772000000005</v>
      </c>
      <c r="L29" s="280">
        <f>SUM(G29:K29)*B29</f>
        <v>1867.1977200000001</v>
      </c>
      <c r="M29" s="281">
        <f>SUM(N29:O29)</f>
        <v>22406.372640000001</v>
      </c>
      <c r="N29" s="280">
        <f>(G29+H29+I29)*B29*B33</f>
        <v>17374.2</v>
      </c>
      <c r="O29" s="280">
        <f>(K29+J29)*B29*B33</f>
        <v>5032.1726400000007</v>
      </c>
    </row>
    <row r="30" spans="1:15" x14ac:dyDescent="0.3">
      <c r="A30" s="283" t="s">
        <v>549</v>
      </c>
      <c r="B30" s="276">
        <v>1</v>
      </c>
      <c r="C30" s="277">
        <v>25</v>
      </c>
      <c r="D30" s="277" t="s">
        <v>462</v>
      </c>
      <c r="E30" s="277">
        <v>3</v>
      </c>
      <c r="F30" s="277">
        <v>7</v>
      </c>
      <c r="G30" s="278">
        <v>1100</v>
      </c>
      <c r="H30" s="279">
        <f>G30*H23</f>
        <v>55</v>
      </c>
      <c r="I30" s="279">
        <f>G30*I23</f>
        <v>110</v>
      </c>
      <c r="J30" s="280">
        <f>G30*J23</f>
        <v>55</v>
      </c>
      <c r="K30" s="280">
        <f>(G30+H30+I30+J30)*0.2359</f>
        <v>311.38799999999998</v>
      </c>
      <c r="L30" s="280">
        <f>SUM(G30:K30)*B30</f>
        <v>1631.3879999999999</v>
      </c>
      <c r="M30" s="281">
        <f>SUM(N30:O30)</f>
        <v>19576.655999999999</v>
      </c>
      <c r="N30" s="280">
        <f>(G30+H30+I30)*B30*B33</f>
        <v>15180</v>
      </c>
      <c r="O30" s="280">
        <f>(K30+J30)*B30*B33</f>
        <v>4396.6559999999999</v>
      </c>
    </row>
    <row r="31" spans="1:15" x14ac:dyDescent="0.3">
      <c r="A31" s="290" t="s">
        <v>530</v>
      </c>
      <c r="B31" s="291">
        <f>SUM(B25:B30)</f>
        <v>7</v>
      </c>
      <c r="C31" s="292"/>
      <c r="D31" s="293"/>
      <c r="E31" s="293"/>
      <c r="F31" s="293"/>
      <c r="G31" s="294">
        <f>SUM(G26:G30)</f>
        <v>6845</v>
      </c>
      <c r="H31" s="294">
        <f>SUM(H26:H30)</f>
        <v>342.25</v>
      </c>
      <c r="I31" s="294">
        <f t="shared" ref="I31:L31" si="0">SUM(I26:I30)</f>
        <v>684.5</v>
      </c>
      <c r="J31" s="294">
        <f t="shared" si="0"/>
        <v>342.25</v>
      </c>
      <c r="K31" s="294">
        <f t="shared" si="0"/>
        <v>1937.6826000000001</v>
      </c>
      <c r="L31" s="294">
        <f t="shared" si="0"/>
        <v>14995.421879999998</v>
      </c>
      <c r="M31" s="797">
        <f>ROUND(N31+O31,0)</f>
        <v>179945</v>
      </c>
      <c r="N31" s="294">
        <f t="shared" ref="N31:O31" si="1">SUM(N26:N30)</f>
        <v>139531.79999999999</v>
      </c>
      <c r="O31" s="294">
        <f t="shared" si="1"/>
        <v>40413.262560000003</v>
      </c>
    </row>
    <row r="32" spans="1:15" x14ac:dyDescent="0.3">
      <c r="A32" s="264"/>
      <c r="B32" s="265"/>
      <c r="C32" s="266"/>
      <c r="D32" s="267"/>
      <c r="E32" s="267"/>
      <c r="F32" s="267"/>
      <c r="G32" s="267"/>
      <c r="H32" s="267"/>
      <c r="I32" s="268"/>
      <c r="J32" s="268"/>
      <c r="K32" s="268"/>
      <c r="L32" s="269"/>
      <c r="M32" s="284"/>
      <c r="N32" s="269"/>
      <c r="O32" s="269"/>
    </row>
    <row r="33" spans="1:15" x14ac:dyDescent="0.3">
      <c r="A33" s="285" t="s">
        <v>561</v>
      </c>
      <c r="B33" s="295">
        <v>12</v>
      </c>
      <c r="C33" s="296"/>
      <c r="D33" s="267"/>
      <c r="E33" s="267"/>
      <c r="F33" s="267"/>
      <c r="G33" s="267"/>
      <c r="H33" s="267"/>
      <c r="I33" s="268"/>
      <c r="J33" s="268"/>
      <c r="K33" s="268"/>
      <c r="L33" s="269"/>
      <c r="M33" s="269"/>
      <c r="N33" s="269"/>
      <c r="O33" s="286"/>
    </row>
    <row r="34" spans="1:15" x14ac:dyDescent="0.3">
      <c r="A34" s="995" t="s">
        <v>550</v>
      </c>
      <c r="B34" s="995"/>
      <c r="C34" s="995"/>
      <c r="D34" s="995"/>
      <c r="E34" s="995"/>
      <c r="F34" s="995"/>
      <c r="G34" s="995"/>
      <c r="H34" s="995"/>
      <c r="I34" s="995"/>
      <c r="J34" s="995"/>
      <c r="K34" s="995"/>
      <c r="L34" s="995"/>
      <c r="M34" s="995"/>
      <c r="N34" s="995"/>
      <c r="O34" s="995"/>
    </row>
    <row r="35" spans="1:15" x14ac:dyDescent="0.3">
      <c r="A35" s="995" t="s">
        <v>551</v>
      </c>
      <c r="B35" s="995"/>
      <c r="C35" s="995"/>
      <c r="D35" s="995"/>
      <c r="E35" s="995"/>
      <c r="F35" s="995"/>
      <c r="G35" s="995"/>
      <c r="H35" s="995"/>
      <c r="I35" s="995"/>
      <c r="J35" s="995"/>
      <c r="K35" s="995"/>
      <c r="L35" s="995"/>
      <c r="M35" s="995"/>
      <c r="N35" s="995"/>
      <c r="O35" s="995"/>
    </row>
    <row r="36" spans="1:15" x14ac:dyDescent="0.3">
      <c r="L36" s="249"/>
      <c r="M36" s="249"/>
      <c r="N36" s="249"/>
      <c r="O36" s="249"/>
    </row>
  </sheetData>
  <mergeCells count="11">
    <mergeCell ref="A34:O34"/>
    <mergeCell ref="A35:O35"/>
    <mergeCell ref="A21:O21"/>
    <mergeCell ref="A17:F17"/>
    <mergeCell ref="A18:F18"/>
    <mergeCell ref="A2:F2"/>
    <mergeCell ref="A6:A7"/>
    <mergeCell ref="B6:F6"/>
    <mergeCell ref="B10:B11"/>
    <mergeCell ref="C10:C11"/>
    <mergeCell ref="D10:D11"/>
  </mergeCell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7CC66-0E7A-4B11-9BB8-342D9D65B3DB}">
  <sheetPr>
    <tabColor theme="2"/>
  </sheetPr>
  <dimension ref="A1:N6"/>
  <sheetViews>
    <sheetView zoomScale="84" zoomScaleNormal="84" workbookViewId="0">
      <selection sqref="A1:B1"/>
    </sheetView>
  </sheetViews>
  <sheetFormatPr defaultColWidth="9.1796875" defaultRowHeight="13" x14ac:dyDescent="0.3"/>
  <cols>
    <col min="1" max="1" width="85" style="64" customWidth="1"/>
    <col min="2" max="2" width="26.1796875" style="64" customWidth="1"/>
    <col min="3" max="16384" width="9.1796875" style="64"/>
  </cols>
  <sheetData>
    <row r="1" spans="1:14" x14ac:dyDescent="0.3">
      <c r="A1" s="1197" t="s">
        <v>1331</v>
      </c>
      <c r="B1" s="1197"/>
      <c r="N1" s="32"/>
    </row>
    <row r="2" spans="1:14" ht="41.15" customHeight="1" x14ac:dyDescent="0.3">
      <c r="A2" s="1198" t="s">
        <v>1272</v>
      </c>
      <c r="B2" s="1198"/>
    </row>
    <row r="3" spans="1:14" ht="28.5" customHeight="1" x14ac:dyDescent="0.3">
      <c r="A3" s="1104" t="s">
        <v>2</v>
      </c>
      <c r="B3" s="353" t="s">
        <v>605</v>
      </c>
    </row>
    <row r="4" spans="1:14" ht="21.75" customHeight="1" x14ac:dyDescent="0.3">
      <c r="A4" s="1105"/>
      <c r="B4" s="427" t="s">
        <v>196</v>
      </c>
    </row>
    <row r="5" spans="1:14" ht="26" x14ac:dyDescent="0.3">
      <c r="A5" s="359" t="s">
        <v>645</v>
      </c>
      <c r="B5" s="423">
        <v>853725</v>
      </c>
    </row>
    <row r="6" spans="1:14" ht="72.650000000000006" customHeight="1" x14ac:dyDescent="0.3">
      <c r="A6" s="1196" t="s">
        <v>774</v>
      </c>
      <c r="B6" s="1196"/>
    </row>
  </sheetData>
  <mergeCells count="4">
    <mergeCell ref="A3:A4"/>
    <mergeCell ref="A6:B6"/>
    <mergeCell ref="A1:B1"/>
    <mergeCell ref="A2:B2"/>
  </mergeCell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F981D-8402-46CD-AE09-BBE3B10B8A73}">
  <sheetPr>
    <tabColor theme="9" tint="0.79998168889431442"/>
  </sheetPr>
  <dimension ref="A1:E5"/>
  <sheetViews>
    <sheetView zoomScale="84" zoomScaleNormal="84" workbookViewId="0">
      <selection activeCell="D1" sqref="D1"/>
    </sheetView>
  </sheetViews>
  <sheetFormatPr defaultColWidth="9.1796875" defaultRowHeight="13" x14ac:dyDescent="0.3"/>
  <cols>
    <col min="1" max="1" width="22.54296875" style="32" customWidth="1"/>
    <col min="2" max="2" width="10.81640625" style="32" customWidth="1"/>
    <col min="3" max="3" width="14.453125" style="32" customWidth="1"/>
    <col min="4" max="4" width="18.81640625" style="32" customWidth="1"/>
    <col min="5" max="5" width="22.81640625" style="32" customWidth="1"/>
    <col min="6" max="16384" width="9.1796875" style="32"/>
  </cols>
  <sheetData>
    <row r="1" spans="1:5" x14ac:dyDescent="0.3">
      <c r="D1" s="349" t="s">
        <v>1332</v>
      </c>
    </row>
    <row r="2" spans="1:5" ht="30.75" customHeight="1" x14ac:dyDescent="0.3">
      <c r="A2" s="1205" t="s">
        <v>1273</v>
      </c>
      <c r="B2" s="1205"/>
      <c r="C2" s="1205"/>
      <c r="D2" s="1205"/>
      <c r="E2" s="1205"/>
    </row>
    <row r="3" spans="1:5" ht="49.5" customHeight="1" x14ac:dyDescent="0.3">
      <c r="A3" s="1199" t="s">
        <v>1066</v>
      </c>
      <c r="B3" s="1201" t="s">
        <v>1075</v>
      </c>
      <c r="C3" s="1203" t="s">
        <v>1080</v>
      </c>
      <c r="D3" s="779"/>
      <c r="E3" s="190" t="s">
        <v>194</v>
      </c>
    </row>
    <row r="4" spans="1:5" ht="39" x14ac:dyDescent="0.3">
      <c r="A4" s="1200"/>
      <c r="B4" s="1202"/>
      <c r="C4" s="1204"/>
      <c r="D4" s="190" t="s">
        <v>1265</v>
      </c>
      <c r="E4" s="991" t="s">
        <v>803</v>
      </c>
    </row>
    <row r="5" spans="1:5" x14ac:dyDescent="0.3">
      <c r="A5" s="772" t="s">
        <v>1067</v>
      </c>
      <c r="B5" s="773">
        <v>200</v>
      </c>
      <c r="C5" s="776">
        <v>3000</v>
      </c>
      <c r="D5" s="775">
        <f>B5*C5</f>
        <v>600000</v>
      </c>
      <c r="E5" s="991"/>
    </row>
  </sheetData>
  <mergeCells count="5">
    <mergeCell ref="E4:E5"/>
    <mergeCell ref="A3:A4"/>
    <mergeCell ref="B3:B4"/>
    <mergeCell ref="C3:C4"/>
    <mergeCell ref="A2:E2"/>
  </mergeCell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4096D-EEA4-4D41-9026-ABB7CB05DA6F}">
  <sheetPr>
    <tabColor theme="2"/>
  </sheetPr>
  <dimension ref="A1:J6"/>
  <sheetViews>
    <sheetView workbookViewId="0">
      <selection activeCell="B1" sqref="B1:C1"/>
    </sheetView>
  </sheetViews>
  <sheetFormatPr defaultColWidth="9.1796875" defaultRowHeight="13" x14ac:dyDescent="0.3"/>
  <cols>
    <col min="1" max="1" width="56.54296875" style="64" customWidth="1"/>
    <col min="2" max="2" width="22.26953125" style="64" customWidth="1"/>
    <col min="3" max="16384" width="9.1796875" style="64"/>
  </cols>
  <sheetData>
    <row r="1" spans="1:10" x14ac:dyDescent="0.3">
      <c r="A1" s="72"/>
      <c r="B1" s="1197" t="s">
        <v>1333</v>
      </c>
      <c r="C1" s="1197"/>
      <c r="D1" s="72"/>
      <c r="E1" s="72"/>
      <c r="F1" s="72"/>
      <c r="G1" s="72"/>
      <c r="H1" s="72"/>
      <c r="I1" s="72"/>
      <c r="J1" s="72"/>
    </row>
    <row r="2" spans="1:10" ht="42.75" customHeight="1" x14ac:dyDescent="0.3">
      <c r="A2" s="1206" t="s">
        <v>1072</v>
      </c>
      <c r="B2" s="1206"/>
      <c r="C2" s="1206"/>
    </row>
    <row r="3" spans="1:10" ht="15" customHeight="1" x14ac:dyDescent="0.3">
      <c r="A3" s="1104" t="s">
        <v>2</v>
      </c>
      <c r="B3" s="353" t="s">
        <v>605</v>
      </c>
    </row>
    <row r="4" spans="1:10" x14ac:dyDescent="0.3">
      <c r="A4" s="1105"/>
      <c r="B4" s="427" t="s">
        <v>196</v>
      </c>
    </row>
    <row r="5" spans="1:10" ht="39" x14ac:dyDescent="0.3">
      <c r="A5" s="359" t="s">
        <v>677</v>
      </c>
      <c r="B5" s="423">
        <v>1566097</v>
      </c>
    </row>
    <row r="6" spans="1:10" ht="96" customHeight="1" x14ac:dyDescent="0.3">
      <c r="A6" s="1196" t="s">
        <v>774</v>
      </c>
      <c r="B6" s="1196"/>
    </row>
  </sheetData>
  <mergeCells count="4">
    <mergeCell ref="A3:A4"/>
    <mergeCell ref="A6:B6"/>
    <mergeCell ref="A2:C2"/>
    <mergeCell ref="B1:C1"/>
  </mergeCell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82713-93CE-41C8-97B5-37D802EBCC75}">
  <sheetPr>
    <tabColor theme="9" tint="0.79998168889431442"/>
  </sheetPr>
  <dimension ref="A1:E8"/>
  <sheetViews>
    <sheetView zoomScale="80" zoomScaleNormal="80" workbookViewId="0">
      <selection activeCell="D1" sqref="D1"/>
    </sheetView>
  </sheetViews>
  <sheetFormatPr defaultColWidth="9.1796875" defaultRowHeight="13" x14ac:dyDescent="0.3"/>
  <cols>
    <col min="1" max="1" width="51.54296875" style="32" customWidth="1"/>
    <col min="2" max="2" width="15.453125" style="32" customWidth="1"/>
    <col min="3" max="3" width="16.26953125" style="32" customWidth="1"/>
    <col min="4" max="4" width="19.26953125" style="32" customWidth="1"/>
    <col min="5" max="5" width="16.26953125" style="32" customWidth="1"/>
    <col min="6" max="16384" width="9.1796875" style="32"/>
  </cols>
  <sheetData>
    <row r="1" spans="1:5" x14ac:dyDescent="0.3">
      <c r="D1" s="349" t="s">
        <v>1334</v>
      </c>
    </row>
    <row r="2" spans="1:5" ht="30" customHeight="1" x14ac:dyDescent="0.3">
      <c r="A2" s="1207" t="s">
        <v>1073</v>
      </c>
      <c r="B2" s="1207"/>
      <c r="C2" s="1207"/>
      <c r="D2" s="1207"/>
      <c r="E2" s="1207"/>
    </row>
    <row r="3" spans="1:5" ht="30" customHeight="1" x14ac:dyDescent="0.3">
      <c r="A3" s="1210"/>
      <c r="B3" s="838" t="s">
        <v>1078</v>
      </c>
      <c r="C3" s="1209" t="s">
        <v>1079</v>
      </c>
      <c r="D3" s="838" t="s">
        <v>1110</v>
      </c>
      <c r="E3" s="1209" t="s">
        <v>194</v>
      </c>
    </row>
    <row r="4" spans="1:5" ht="52" x14ac:dyDescent="0.3">
      <c r="A4" s="1210"/>
      <c r="B4" s="190" t="s">
        <v>1265</v>
      </c>
      <c r="C4" s="1209"/>
      <c r="D4" s="190" t="s">
        <v>1265</v>
      </c>
      <c r="E4" s="1209"/>
    </row>
    <row r="5" spans="1:5" ht="26" x14ac:dyDescent="0.3">
      <c r="A5" s="602" t="s">
        <v>1074</v>
      </c>
      <c r="B5" s="388">
        <v>48</v>
      </c>
      <c r="C5" s="601">
        <v>8001.45</v>
      </c>
      <c r="D5" s="601">
        <f>B5*C5</f>
        <v>384069.6</v>
      </c>
      <c r="E5" s="991" t="s">
        <v>349</v>
      </c>
    </row>
    <row r="6" spans="1:5" ht="26" x14ac:dyDescent="0.3">
      <c r="A6" s="602" t="s">
        <v>1077</v>
      </c>
      <c r="B6" s="388">
        <v>35</v>
      </c>
      <c r="C6" s="601">
        <v>5601.45</v>
      </c>
      <c r="D6" s="601">
        <f>B6*C6</f>
        <v>196050.75</v>
      </c>
      <c r="E6" s="991"/>
    </row>
    <row r="7" spans="1:5" x14ac:dyDescent="0.3">
      <c r="A7" s="780" t="s">
        <v>311</v>
      </c>
      <c r="B7" s="1208"/>
      <c r="C7" s="1208"/>
      <c r="D7" s="423">
        <f>ROUND(D5+D6,0)</f>
        <v>580120</v>
      </c>
      <c r="E7" s="991"/>
    </row>
    <row r="8" spans="1:5" x14ac:dyDescent="0.3">
      <c r="A8" s="32" t="s">
        <v>1076</v>
      </c>
    </row>
  </sheetData>
  <mergeCells count="6">
    <mergeCell ref="A2:E2"/>
    <mergeCell ref="B7:C7"/>
    <mergeCell ref="E3:E4"/>
    <mergeCell ref="E5:E7"/>
    <mergeCell ref="C3:C4"/>
    <mergeCell ref="A3:A4"/>
  </mergeCell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31574-C50C-4801-8E8E-78847CCF610C}">
  <sheetPr>
    <tabColor theme="9" tint="0.79998168889431442"/>
  </sheetPr>
  <dimension ref="A1:E13"/>
  <sheetViews>
    <sheetView zoomScale="78" zoomScaleNormal="78" workbookViewId="0">
      <selection activeCell="E1" sqref="E1"/>
    </sheetView>
  </sheetViews>
  <sheetFormatPr defaultColWidth="9.1796875" defaultRowHeight="13" x14ac:dyDescent="0.3"/>
  <cols>
    <col min="1" max="1" width="6.54296875" style="32" customWidth="1"/>
    <col min="2" max="2" width="45.7265625" style="32" customWidth="1"/>
    <col min="3" max="3" width="19.26953125" style="32" customWidth="1"/>
    <col min="4" max="4" width="13.54296875" style="32" customWidth="1"/>
    <col min="5" max="5" width="16.54296875" style="32" customWidth="1"/>
    <col min="6" max="16384" width="9.1796875" style="32"/>
  </cols>
  <sheetData>
    <row r="1" spans="1:5" x14ac:dyDescent="0.3">
      <c r="E1" s="32" t="s">
        <v>1335</v>
      </c>
    </row>
    <row r="2" spans="1:5" ht="15" customHeight="1" x14ac:dyDescent="0.3">
      <c r="A2" s="1212" t="s">
        <v>1026</v>
      </c>
      <c r="B2" s="1212"/>
      <c r="C2" s="1212"/>
      <c r="D2" s="1212"/>
      <c r="E2" s="1212"/>
    </row>
    <row r="3" spans="1:5" ht="31.5" customHeight="1" x14ac:dyDescent="0.3">
      <c r="A3" s="551"/>
      <c r="B3" s="720"/>
      <c r="C3" s="1213" t="s">
        <v>1239</v>
      </c>
      <c r="D3" s="1213"/>
      <c r="E3" s="1213"/>
    </row>
    <row r="4" spans="1:5" ht="52" x14ac:dyDescent="0.3">
      <c r="A4" s="721" t="s">
        <v>1032</v>
      </c>
      <c r="B4" s="722" t="s">
        <v>1033</v>
      </c>
      <c r="C4" s="244" t="s">
        <v>1034</v>
      </c>
      <c r="D4" s="244" t="s">
        <v>1038</v>
      </c>
      <c r="E4" s="244" t="s">
        <v>1039</v>
      </c>
    </row>
    <row r="5" spans="1:5" x14ac:dyDescent="0.3">
      <c r="A5" s="723" t="s">
        <v>9</v>
      </c>
      <c r="B5" s="724" t="s">
        <v>1035</v>
      </c>
      <c r="C5" s="725">
        <v>35</v>
      </c>
      <c r="D5" s="725">
        <v>1300</v>
      </c>
      <c r="E5" s="726">
        <f t="shared" ref="E5:E7" si="0">C5*D5</f>
        <v>45500</v>
      </c>
    </row>
    <row r="6" spans="1:5" x14ac:dyDescent="0.3">
      <c r="A6" s="723" t="s">
        <v>12</v>
      </c>
      <c r="B6" s="724" t="s">
        <v>1036</v>
      </c>
      <c r="C6" s="725">
        <v>100</v>
      </c>
      <c r="D6" s="725">
        <v>45</v>
      </c>
      <c r="E6" s="726">
        <f t="shared" si="0"/>
        <v>4500</v>
      </c>
    </row>
    <row r="7" spans="1:5" ht="39" x14ac:dyDescent="0.3">
      <c r="A7" s="723" t="s">
        <v>516</v>
      </c>
      <c r="B7" s="724" t="s">
        <v>1037</v>
      </c>
      <c r="C7" s="725">
        <v>350</v>
      </c>
      <c r="D7" s="727">
        <v>44.5</v>
      </c>
      <c r="E7" s="726">
        <f t="shared" si="0"/>
        <v>15575</v>
      </c>
    </row>
    <row r="8" spans="1:5" x14ac:dyDescent="0.3">
      <c r="A8" s="723" t="s">
        <v>653</v>
      </c>
      <c r="B8" s="729" t="s">
        <v>1042</v>
      </c>
      <c r="C8" s="725">
        <v>300</v>
      </c>
      <c r="D8" s="727">
        <v>980</v>
      </c>
      <c r="E8" s="726">
        <f>C8*D8</f>
        <v>294000</v>
      </c>
    </row>
    <row r="9" spans="1:5" x14ac:dyDescent="0.3">
      <c r="A9" s="1214" t="s">
        <v>305</v>
      </c>
      <c r="B9" s="1215"/>
      <c r="C9" s="727">
        <f>SUM(C5:C8)</f>
        <v>785</v>
      </c>
      <c r="D9" s="727"/>
      <c r="E9" s="728">
        <f>SUM(E5:E8)</f>
        <v>359575</v>
      </c>
    </row>
    <row r="10" spans="1:5" ht="30.75" customHeight="1" x14ac:dyDescent="0.3">
      <c r="A10" s="1093" t="s">
        <v>194</v>
      </c>
      <c r="B10" s="1093"/>
      <c r="C10" s="1216" t="s">
        <v>803</v>
      </c>
      <c r="D10" s="1216"/>
      <c r="E10" s="719">
        <f>E9</f>
        <v>359575</v>
      </c>
    </row>
    <row r="11" spans="1:5" ht="35.25" customHeight="1" x14ac:dyDescent="0.3">
      <c r="A11" s="1211" t="s">
        <v>1040</v>
      </c>
      <c r="B11" s="1211"/>
      <c r="C11" s="1211"/>
      <c r="D11" s="1211"/>
      <c r="E11" s="1211"/>
    </row>
    <row r="12" spans="1:5" ht="43.5" customHeight="1" x14ac:dyDescent="0.3">
      <c r="A12" s="1068" t="s">
        <v>1041</v>
      </c>
      <c r="B12" s="1068"/>
      <c r="C12" s="1068"/>
      <c r="D12" s="1068"/>
      <c r="E12" s="1068"/>
    </row>
    <row r="13" spans="1:5" x14ac:dyDescent="0.3">
      <c r="A13" s="1177" t="s">
        <v>1043</v>
      </c>
      <c r="B13" s="1177"/>
      <c r="C13" s="1177"/>
      <c r="D13" s="1177"/>
      <c r="E13" s="1177"/>
    </row>
  </sheetData>
  <mergeCells count="8">
    <mergeCell ref="A11:E11"/>
    <mergeCell ref="A12:E12"/>
    <mergeCell ref="A2:E2"/>
    <mergeCell ref="A13:E13"/>
    <mergeCell ref="C3:E3"/>
    <mergeCell ref="A9:B9"/>
    <mergeCell ref="A10:B10"/>
    <mergeCell ref="C10:D10"/>
  </mergeCells>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D56FB-EC30-424B-9488-5B7A1C535C75}">
  <sheetPr>
    <tabColor theme="9" tint="0.79998168889431442"/>
  </sheetPr>
  <dimension ref="A1:J10"/>
  <sheetViews>
    <sheetView zoomScale="80" zoomScaleNormal="80" workbookViewId="0">
      <selection activeCell="J1" sqref="J1"/>
    </sheetView>
  </sheetViews>
  <sheetFormatPr defaultColWidth="9.1796875" defaultRowHeight="13" x14ac:dyDescent="0.3"/>
  <cols>
    <col min="1" max="1" width="30.54296875" style="32" customWidth="1"/>
    <col min="2" max="2" width="23.453125" style="32" customWidth="1"/>
    <col min="3" max="3" width="9.1796875" style="32"/>
    <col min="4" max="4" width="10.453125" style="32" customWidth="1"/>
    <col min="5" max="5" width="13.54296875" style="32" customWidth="1"/>
    <col min="6" max="6" width="12.54296875" style="32" customWidth="1"/>
    <col min="7" max="7" width="14.81640625" style="32" customWidth="1"/>
    <col min="8" max="8" width="21.81640625" style="32" customWidth="1"/>
    <col min="9" max="9" width="16.54296875" style="32" customWidth="1"/>
    <col min="10" max="10" width="16.26953125" style="32" customWidth="1"/>
    <col min="11" max="16384" width="9.1796875" style="32"/>
  </cols>
  <sheetData>
    <row r="1" spans="1:10" x14ac:dyDescent="0.3">
      <c r="J1" s="32" t="s">
        <v>1336</v>
      </c>
    </row>
    <row r="2" spans="1:10" x14ac:dyDescent="0.3">
      <c r="A2" s="370" t="s">
        <v>1048</v>
      </c>
    </row>
    <row r="4" spans="1:10" ht="52" x14ac:dyDescent="0.3">
      <c r="A4" s="792" t="s">
        <v>194</v>
      </c>
      <c r="B4" s="739" t="s">
        <v>1111</v>
      </c>
      <c r="F4" s="730"/>
      <c r="G4" s="731" t="s">
        <v>1051</v>
      </c>
      <c r="H4" s="731" t="s">
        <v>1052</v>
      </c>
      <c r="I4" s="731" t="s">
        <v>1053</v>
      </c>
      <c r="J4" s="731" t="s">
        <v>364</v>
      </c>
    </row>
    <row r="5" spans="1:10" ht="39" x14ac:dyDescent="0.3">
      <c r="A5" s="793" t="s">
        <v>349</v>
      </c>
      <c r="B5" s="741">
        <f>F9</f>
        <v>20585.150399999999</v>
      </c>
      <c r="F5" s="732" t="s">
        <v>368</v>
      </c>
      <c r="G5" s="742">
        <v>2304</v>
      </c>
      <c r="H5" s="742">
        <v>1388</v>
      </c>
      <c r="I5" s="742">
        <v>925</v>
      </c>
      <c r="J5" s="743"/>
    </row>
    <row r="6" spans="1:10" ht="39" x14ac:dyDescent="0.3">
      <c r="F6" s="732" t="s">
        <v>369</v>
      </c>
      <c r="G6" s="733">
        <f>ROUND(G5/9600,4)</f>
        <v>0.24</v>
      </c>
      <c r="H6" s="733">
        <f>ROUND(H5/9600,4)</f>
        <v>0.14460000000000001</v>
      </c>
      <c r="I6" s="733">
        <f>ROUND(I5/9600,4)</f>
        <v>9.64E-2</v>
      </c>
      <c r="J6" s="734">
        <v>0.2359</v>
      </c>
    </row>
    <row r="8" spans="1:10" ht="39" x14ac:dyDescent="0.3">
      <c r="A8" s="190" t="s">
        <v>1049</v>
      </c>
      <c r="B8" s="190" t="s">
        <v>1044</v>
      </c>
      <c r="C8" s="190" t="s">
        <v>1045</v>
      </c>
      <c r="D8" s="190" t="s">
        <v>1046</v>
      </c>
      <c r="E8" s="190" t="s">
        <v>1047</v>
      </c>
      <c r="F8" s="190" t="s">
        <v>372</v>
      </c>
    </row>
    <row r="9" spans="1:10" x14ac:dyDescent="0.3">
      <c r="A9" s="251" t="s">
        <v>1050</v>
      </c>
      <c r="B9" s="432">
        <v>1</v>
      </c>
      <c r="C9" s="745">
        <v>1388</v>
      </c>
      <c r="D9" s="735">
        <f>C9*J6</f>
        <v>327.42919999999998</v>
      </c>
      <c r="E9" s="735">
        <f>C9+D9</f>
        <v>1715.4292</v>
      </c>
      <c r="F9" s="736">
        <f>E9*12</f>
        <v>20585.150399999999</v>
      </c>
    </row>
    <row r="10" spans="1:10" x14ac:dyDescent="0.3">
      <c r="A10" s="737" t="s">
        <v>224</v>
      </c>
      <c r="B10" s="371"/>
      <c r="C10" s="738"/>
      <c r="D10" s="738"/>
      <c r="E10" s="738"/>
      <c r="F10" s="740">
        <f>ROUND(SUM(F9:F9),0)</f>
        <v>20585</v>
      </c>
    </row>
  </sheetData>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3212A-9F1A-4590-8398-96B15CBB63D8}">
  <sheetPr>
    <tabColor theme="9" tint="0.79998168889431442"/>
  </sheetPr>
  <dimension ref="A1:E8"/>
  <sheetViews>
    <sheetView zoomScale="78" zoomScaleNormal="78" workbookViewId="0">
      <selection activeCell="D1" sqref="D1"/>
    </sheetView>
  </sheetViews>
  <sheetFormatPr defaultColWidth="9.1796875" defaultRowHeight="13" x14ac:dyDescent="0.3"/>
  <cols>
    <col min="1" max="1" width="55.1796875" style="32" customWidth="1"/>
    <col min="2" max="2" width="18" style="32" customWidth="1"/>
    <col min="3" max="3" width="18.81640625" style="32" customWidth="1"/>
    <col min="4" max="4" width="44.26953125" style="32" customWidth="1"/>
    <col min="5" max="5" width="16.7265625" style="32" customWidth="1"/>
    <col min="6" max="16384" width="9.1796875" style="32"/>
  </cols>
  <sheetData>
    <row r="1" spans="1:5" x14ac:dyDescent="0.3">
      <c r="D1" s="349" t="s">
        <v>1337</v>
      </c>
    </row>
    <row r="2" spans="1:5" x14ac:dyDescent="0.3">
      <c r="A2" s="1085" t="s">
        <v>611</v>
      </c>
      <c r="B2" s="1085"/>
      <c r="C2" s="1085"/>
      <c r="D2" s="1085"/>
    </row>
    <row r="3" spans="1:5" s="355" customFormat="1" ht="39" x14ac:dyDescent="0.3">
      <c r="A3" s="356" t="s">
        <v>2</v>
      </c>
      <c r="B3" s="300" t="s">
        <v>1113</v>
      </c>
      <c r="C3" s="300" t="s">
        <v>1114</v>
      </c>
      <c r="D3" s="356" t="s">
        <v>612</v>
      </c>
      <c r="E3" s="226" t="s">
        <v>194</v>
      </c>
    </row>
    <row r="4" spans="1:5" ht="36" customHeight="1" x14ac:dyDescent="0.3">
      <c r="A4" s="428" t="s">
        <v>634</v>
      </c>
      <c r="B4" s="352">
        <f>40*380*1.2359</f>
        <v>18785.68</v>
      </c>
      <c r="C4" s="388"/>
      <c r="D4" s="428" t="s">
        <v>608</v>
      </c>
      <c r="E4" s="991" t="s">
        <v>804</v>
      </c>
    </row>
    <row r="5" spans="1:5" ht="26" x14ac:dyDescent="0.3">
      <c r="A5" s="680" t="s">
        <v>635</v>
      </c>
      <c r="B5" s="352"/>
      <c r="C5" s="352">
        <f>40*100*1.2359</f>
        <v>4943.6000000000004</v>
      </c>
      <c r="D5" s="681" t="s">
        <v>609</v>
      </c>
      <c r="E5" s="991"/>
    </row>
    <row r="6" spans="1:5" ht="52" x14ac:dyDescent="0.3">
      <c r="A6" s="680" t="s">
        <v>636</v>
      </c>
      <c r="B6" s="352">
        <f>30*30*1.2359</f>
        <v>1112.31</v>
      </c>
      <c r="C6" s="352">
        <f>30*10*1.2359</f>
        <v>370.77</v>
      </c>
      <c r="D6" s="681" t="s">
        <v>614</v>
      </c>
      <c r="E6" s="991"/>
    </row>
    <row r="7" spans="1:5" ht="26" x14ac:dyDescent="0.3">
      <c r="A7" s="428" t="s">
        <v>610</v>
      </c>
      <c r="B7" s="352">
        <f>950*12*1.21</f>
        <v>13794</v>
      </c>
      <c r="C7" s="352">
        <f t="shared" ref="C7" si="0">950*12*1.21</f>
        <v>13794</v>
      </c>
      <c r="D7" s="681" t="s">
        <v>613</v>
      </c>
      <c r="E7" s="991"/>
    </row>
    <row r="8" spans="1:5" s="370" customFormat="1" x14ac:dyDescent="0.3">
      <c r="A8" s="363" t="s">
        <v>311</v>
      </c>
      <c r="B8" s="362">
        <f>SUM(B4:B7)</f>
        <v>33691.990000000005</v>
      </c>
      <c r="C8" s="362">
        <f t="shared" ref="C8" si="1">SUM(C4:C7)</f>
        <v>19108.370000000003</v>
      </c>
      <c r="D8" s="682"/>
      <c r="E8" s="991"/>
    </row>
  </sheetData>
  <mergeCells count="2">
    <mergeCell ref="A2:D2"/>
    <mergeCell ref="E4:E8"/>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41483-7BE7-4057-8E52-B8B9B1695005}">
  <sheetPr>
    <tabColor theme="2" tint="-0.249977111117893"/>
  </sheetPr>
  <dimension ref="A1:B17"/>
  <sheetViews>
    <sheetView workbookViewId="0">
      <selection activeCell="A6" sqref="A6:B6"/>
    </sheetView>
  </sheetViews>
  <sheetFormatPr defaultColWidth="9.1796875" defaultRowHeight="13" x14ac:dyDescent="0.3"/>
  <cols>
    <col min="1" max="1" width="50.7265625" style="32" customWidth="1"/>
    <col min="2" max="2" width="30.26953125" style="32" customWidth="1"/>
    <col min="3" max="16384" width="9.1796875" style="32"/>
  </cols>
  <sheetData>
    <row r="1" spans="1:2" x14ac:dyDescent="0.3">
      <c r="B1" s="349" t="s">
        <v>1338</v>
      </c>
    </row>
    <row r="2" spans="1:2" ht="39" customHeight="1" x14ac:dyDescent="0.3">
      <c r="A2" s="999" t="s">
        <v>734</v>
      </c>
      <c r="B2" s="999"/>
    </row>
    <row r="3" spans="1:2" ht="12.75" customHeight="1" x14ac:dyDescent="0.3">
      <c r="A3" s="1057" t="s">
        <v>2</v>
      </c>
      <c r="B3" s="353" t="s">
        <v>1105</v>
      </c>
    </row>
    <row r="4" spans="1:2" x14ac:dyDescent="0.3">
      <c r="A4" s="1057"/>
      <c r="B4" s="353" t="s">
        <v>197</v>
      </c>
    </row>
    <row r="5" spans="1:2" ht="26" x14ac:dyDescent="0.3">
      <c r="A5" s="350" t="s">
        <v>734</v>
      </c>
      <c r="B5" s="352">
        <v>7865</v>
      </c>
    </row>
    <row r="6" spans="1:2" ht="51" customHeight="1" x14ac:dyDescent="0.3">
      <c r="A6" s="1037" t="s">
        <v>1309</v>
      </c>
      <c r="B6" s="1058"/>
    </row>
    <row r="17" ht="9.75" customHeight="1" x14ac:dyDescent="0.3"/>
  </sheetData>
  <mergeCells count="3">
    <mergeCell ref="A2:B2"/>
    <mergeCell ref="A3:A4"/>
    <mergeCell ref="A6:B6"/>
  </mergeCell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ED6CF-6EDC-4BD8-88CD-EBA1200A59E9}">
  <sheetPr>
    <tabColor theme="9" tint="0.79998168889431442"/>
  </sheetPr>
  <dimension ref="A1:E8"/>
  <sheetViews>
    <sheetView zoomScale="87" zoomScaleNormal="87" workbookViewId="0">
      <selection activeCell="D1" sqref="D1"/>
    </sheetView>
  </sheetViews>
  <sheetFormatPr defaultColWidth="9.1796875" defaultRowHeight="13" x14ac:dyDescent="0.3"/>
  <cols>
    <col min="1" max="1" width="61.26953125" style="364" customWidth="1"/>
    <col min="2" max="2" width="13.453125" style="364" customWidth="1"/>
    <col min="3" max="3" width="14.81640625" style="364" customWidth="1"/>
    <col min="4" max="4" width="44" style="364" customWidth="1"/>
    <col min="5" max="5" width="17" style="364" customWidth="1"/>
    <col min="6" max="16384" width="9.1796875" style="364"/>
  </cols>
  <sheetData>
    <row r="1" spans="1:5" x14ac:dyDescent="0.3">
      <c r="D1" s="381" t="s">
        <v>1339</v>
      </c>
    </row>
    <row r="2" spans="1:5" x14ac:dyDescent="0.3">
      <c r="A2" s="1217" t="s">
        <v>629</v>
      </c>
      <c r="B2" s="1217"/>
      <c r="C2" s="1217"/>
      <c r="D2" s="1217"/>
    </row>
    <row r="3" spans="1:5" ht="78" x14ac:dyDescent="0.3">
      <c r="A3" s="356" t="s">
        <v>2</v>
      </c>
      <c r="B3" s="300" t="s">
        <v>1113</v>
      </c>
      <c r="C3" s="300" t="s">
        <v>1114</v>
      </c>
      <c r="D3" s="389" t="s">
        <v>612</v>
      </c>
      <c r="E3" s="226" t="s">
        <v>194</v>
      </c>
    </row>
    <row r="4" spans="1:5" ht="25.5" customHeight="1" x14ac:dyDescent="0.3">
      <c r="A4" s="384" t="s">
        <v>873</v>
      </c>
      <c r="B4" s="385">
        <f>40*250*1.2359</f>
        <v>12359</v>
      </c>
      <c r="C4" s="386"/>
      <c r="D4" s="499" t="s">
        <v>608</v>
      </c>
      <c r="E4" s="991" t="s">
        <v>804</v>
      </c>
    </row>
    <row r="5" spans="1:5" ht="33" customHeight="1" x14ac:dyDescent="0.3">
      <c r="A5" s="382" t="s">
        <v>874</v>
      </c>
      <c r="B5" s="366"/>
      <c r="C5" s="366">
        <f>40*50*1.2359</f>
        <v>2471.8000000000002</v>
      </c>
      <c r="D5" s="500" t="s">
        <v>627</v>
      </c>
      <c r="E5" s="991"/>
    </row>
    <row r="6" spans="1:5" ht="39" customHeight="1" x14ac:dyDescent="0.3">
      <c r="A6" s="382" t="s">
        <v>776</v>
      </c>
      <c r="B6" s="366">
        <f>30*30*1.2359</f>
        <v>1112.31</v>
      </c>
      <c r="C6" s="366">
        <f>30*10*1.2359</f>
        <v>370.77</v>
      </c>
      <c r="D6" s="500" t="s">
        <v>630</v>
      </c>
      <c r="E6" s="991"/>
    </row>
    <row r="7" spans="1:5" ht="26" x14ac:dyDescent="0.3">
      <c r="A7" s="382" t="s">
        <v>610</v>
      </c>
      <c r="B7" s="366">
        <f>950*12*1.21</f>
        <v>13794</v>
      </c>
      <c r="C7" s="366">
        <f t="shared" ref="C7" si="0">950*12*1.21</f>
        <v>13794</v>
      </c>
      <c r="D7" s="500" t="s">
        <v>628</v>
      </c>
      <c r="E7" s="991"/>
    </row>
    <row r="8" spans="1:5" s="383" customFormat="1" ht="12.75" customHeight="1" x14ac:dyDescent="0.3">
      <c r="A8" s="369" t="s">
        <v>311</v>
      </c>
      <c r="B8" s="387">
        <f>SUM(B4:B7)</f>
        <v>27265.309999999998</v>
      </c>
      <c r="C8" s="387">
        <f t="shared" ref="C8" si="1">SUM(C4:C7)</f>
        <v>16636.57</v>
      </c>
      <c r="D8" s="390"/>
      <c r="E8" s="991"/>
    </row>
  </sheetData>
  <mergeCells count="2">
    <mergeCell ref="A2:D2"/>
    <mergeCell ref="E4:E8"/>
  </mergeCell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44588-2CA7-4BB1-802B-97ECF6664A77}">
  <sheetPr>
    <tabColor theme="0" tint="-4.9989318521683403E-2"/>
  </sheetPr>
  <dimension ref="A1:E7"/>
  <sheetViews>
    <sheetView zoomScale="89" zoomScaleNormal="89" workbookViewId="0">
      <selection activeCell="E1" sqref="E1"/>
    </sheetView>
  </sheetViews>
  <sheetFormatPr defaultColWidth="9.1796875" defaultRowHeight="13" x14ac:dyDescent="0.3"/>
  <cols>
    <col min="1" max="1" width="81.54296875" style="32" customWidth="1"/>
    <col min="2" max="3" width="15" style="32" customWidth="1"/>
    <col min="4" max="4" width="14.26953125" style="32" customWidth="1"/>
    <col min="5" max="5" width="23.7265625" style="32" customWidth="1"/>
    <col min="6" max="16384" width="9.1796875" style="32"/>
  </cols>
  <sheetData>
    <row r="1" spans="1:5" x14ac:dyDescent="0.3">
      <c r="E1" s="349" t="s">
        <v>1340</v>
      </c>
    </row>
    <row r="2" spans="1:5" ht="31.5" customHeight="1" x14ac:dyDescent="0.3">
      <c r="A2" s="999" t="s">
        <v>709</v>
      </c>
      <c r="B2" s="999"/>
      <c r="C2" s="999"/>
      <c r="D2" s="999"/>
      <c r="E2" s="999"/>
    </row>
    <row r="3" spans="1:5" ht="12.75" customHeight="1" x14ac:dyDescent="0.3">
      <c r="A3" s="1000" t="s">
        <v>2</v>
      </c>
      <c r="B3" s="1001" t="s">
        <v>605</v>
      </c>
      <c r="C3" s="1219"/>
      <c r="D3" s="1219"/>
      <c r="E3" s="1002"/>
    </row>
    <row r="4" spans="1:5" ht="52" x14ac:dyDescent="0.3">
      <c r="A4" s="1000"/>
      <c r="B4" s="461" t="s">
        <v>195</v>
      </c>
      <c r="C4" s="461" t="s">
        <v>196</v>
      </c>
      <c r="D4" s="461" t="s">
        <v>197</v>
      </c>
      <c r="E4" s="462" t="s">
        <v>198</v>
      </c>
    </row>
    <row r="5" spans="1:5" ht="247" x14ac:dyDescent="0.3">
      <c r="A5" s="350" t="s">
        <v>1120</v>
      </c>
      <c r="B5" s="767">
        <v>812683</v>
      </c>
      <c r="C5" s="767">
        <v>2595882</v>
      </c>
      <c r="D5" s="767">
        <v>3598014</v>
      </c>
      <c r="E5" s="423">
        <v>1647608</v>
      </c>
    </row>
    <row r="6" spans="1:5" ht="51" customHeight="1" x14ac:dyDescent="0.3">
      <c r="A6" s="1218" t="s">
        <v>729</v>
      </c>
      <c r="B6" s="1218"/>
      <c r="C6" s="1218"/>
      <c r="D6" s="1218"/>
      <c r="E6" s="1218"/>
    </row>
    <row r="7" spans="1:5" ht="5.25" customHeight="1" x14ac:dyDescent="0.3"/>
  </sheetData>
  <mergeCells count="4">
    <mergeCell ref="A2:E2"/>
    <mergeCell ref="A3:A4"/>
    <mergeCell ref="A6:E6"/>
    <mergeCell ref="B3:E3"/>
  </mergeCells>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CDA27-88FB-45BA-B99B-C29643D3F3EA}">
  <sheetPr>
    <tabColor theme="2" tint="-0.249977111117893"/>
  </sheetPr>
  <dimension ref="A1:B17"/>
  <sheetViews>
    <sheetView zoomScale="84" zoomScaleNormal="84" workbookViewId="0">
      <selection activeCell="B1" sqref="B1"/>
    </sheetView>
  </sheetViews>
  <sheetFormatPr defaultColWidth="9.1796875" defaultRowHeight="13" x14ac:dyDescent="0.3"/>
  <cols>
    <col min="1" max="1" width="50.7265625" style="32" customWidth="1"/>
    <col min="2" max="2" width="30.26953125" style="32" customWidth="1"/>
    <col min="3" max="16384" width="9.1796875" style="32"/>
  </cols>
  <sheetData>
    <row r="1" spans="1:2" x14ac:dyDescent="0.3">
      <c r="B1" s="349" t="s">
        <v>1341</v>
      </c>
    </row>
    <row r="2" spans="1:2" ht="15" customHeight="1" x14ac:dyDescent="0.3">
      <c r="A2" s="999" t="s">
        <v>780</v>
      </c>
      <c r="B2" s="999"/>
    </row>
    <row r="3" spans="1:2" ht="12.75" customHeight="1" x14ac:dyDescent="0.3">
      <c r="A3" s="1057" t="s">
        <v>2</v>
      </c>
      <c r="B3" s="353" t="s">
        <v>1105</v>
      </c>
    </row>
    <row r="4" spans="1:2" x14ac:dyDescent="0.3">
      <c r="A4" s="1057"/>
      <c r="B4" s="353" t="s">
        <v>196</v>
      </c>
    </row>
    <row r="5" spans="1:2" x14ac:dyDescent="0.3">
      <c r="A5" s="350" t="s">
        <v>780</v>
      </c>
      <c r="B5" s="423">
        <v>218000</v>
      </c>
    </row>
    <row r="6" spans="1:2" ht="57" customHeight="1" x14ac:dyDescent="0.3">
      <c r="A6" s="1037" t="s">
        <v>785</v>
      </c>
      <c r="B6" s="1058"/>
    </row>
    <row r="17" ht="9.75" customHeight="1" x14ac:dyDescent="0.3"/>
  </sheetData>
  <mergeCells count="3">
    <mergeCell ref="A2:B2"/>
    <mergeCell ref="A3:A4"/>
    <mergeCell ref="A6:B6"/>
  </mergeCell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9E1F2-93BA-482A-B811-5313EAC6C906}">
  <sheetPr>
    <tabColor theme="9" tint="0.79998168889431442"/>
  </sheetPr>
  <dimension ref="A1:J5"/>
  <sheetViews>
    <sheetView zoomScale="71" zoomScaleNormal="71" workbookViewId="0">
      <selection activeCell="J1" sqref="J1"/>
    </sheetView>
  </sheetViews>
  <sheetFormatPr defaultColWidth="9.1796875" defaultRowHeight="13" x14ac:dyDescent="0.3"/>
  <cols>
    <col min="1" max="1" width="67.453125" style="32" customWidth="1"/>
    <col min="2" max="2" width="17.81640625" style="32" customWidth="1"/>
    <col min="3" max="3" width="17" style="32" customWidth="1"/>
    <col min="4" max="4" width="25.7265625" style="32" customWidth="1"/>
    <col min="5" max="5" width="14.26953125" style="32" bestFit="1" customWidth="1"/>
    <col min="6" max="6" width="13.81640625" style="32" customWidth="1"/>
    <col min="7" max="7" width="12.81640625" style="32" customWidth="1"/>
    <col min="8" max="8" width="13.1796875" style="32" customWidth="1"/>
    <col min="9" max="9" width="24.81640625" style="32" customWidth="1"/>
    <col min="10" max="10" width="34.453125" style="32" customWidth="1"/>
    <col min="11" max="11" width="17" style="32" customWidth="1"/>
    <col min="12" max="12" width="21.81640625" style="32" customWidth="1"/>
    <col min="13" max="13" width="15.26953125" style="32" customWidth="1"/>
    <col min="14" max="16384" width="9.1796875" style="32"/>
  </cols>
  <sheetData>
    <row r="1" spans="1:10" x14ac:dyDescent="0.3">
      <c r="J1" s="349" t="s">
        <v>1342</v>
      </c>
    </row>
    <row r="2" spans="1:10" ht="33.75" customHeight="1" x14ac:dyDescent="0.3">
      <c r="A2" s="996" t="s">
        <v>697</v>
      </c>
      <c r="B2" s="996"/>
      <c r="C2" s="996"/>
      <c r="D2" s="996"/>
      <c r="E2" s="996"/>
      <c r="F2" s="996"/>
      <c r="G2" s="996"/>
      <c r="H2" s="996"/>
      <c r="I2" s="996"/>
      <c r="J2" s="996"/>
    </row>
    <row r="3" spans="1:10" ht="61.5" customHeight="1" x14ac:dyDescent="0.3">
      <c r="A3" s="48" t="s">
        <v>2</v>
      </c>
      <c r="B3" s="190" t="s">
        <v>673</v>
      </c>
      <c r="C3" s="190" t="s">
        <v>676</v>
      </c>
      <c r="D3" s="190" t="s">
        <v>1111</v>
      </c>
      <c r="E3" s="1220" t="s">
        <v>612</v>
      </c>
      <c r="F3" s="1220"/>
      <c r="G3" s="1220"/>
      <c r="H3" s="1220"/>
      <c r="I3" s="1220"/>
      <c r="J3" s="226" t="s">
        <v>194</v>
      </c>
    </row>
    <row r="4" spans="1:10" ht="51.75" customHeight="1" x14ac:dyDescent="0.3">
      <c r="A4" s="449" t="s">
        <v>695</v>
      </c>
      <c r="B4" s="450">
        <v>150</v>
      </c>
      <c r="C4" s="450">
        <v>1000</v>
      </c>
      <c r="D4" s="451">
        <f>B4*C4</f>
        <v>150000</v>
      </c>
      <c r="E4" s="1221" t="s">
        <v>777</v>
      </c>
      <c r="F4" s="1221"/>
      <c r="G4" s="1221"/>
      <c r="H4" s="1221"/>
      <c r="I4" s="1221"/>
      <c r="J4" s="781" t="s">
        <v>804</v>
      </c>
    </row>
    <row r="5" spans="1:10" x14ac:dyDescent="0.3">
      <c r="A5" s="363" t="s">
        <v>311</v>
      </c>
      <c r="B5" s="358"/>
      <c r="C5" s="358"/>
      <c r="D5" s="362">
        <f>D4</f>
        <v>150000</v>
      </c>
    </row>
  </sheetData>
  <mergeCells count="3">
    <mergeCell ref="E3:I3"/>
    <mergeCell ref="E4:I4"/>
    <mergeCell ref="A2:J2"/>
  </mergeCells>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5A019-3A23-46DD-A3F8-310AD9F7450A}">
  <sheetPr>
    <tabColor theme="9" tint="0.79998168889431442"/>
  </sheetPr>
  <dimension ref="A1:O24"/>
  <sheetViews>
    <sheetView topLeftCell="C1" zoomScale="68" zoomScaleNormal="68" workbookViewId="0">
      <selection activeCell="K1" sqref="K1"/>
    </sheetView>
  </sheetViews>
  <sheetFormatPr defaultColWidth="9.1796875" defaultRowHeight="13" x14ac:dyDescent="0.3"/>
  <cols>
    <col min="1" max="1" width="9.1796875" style="32"/>
    <col min="2" max="2" width="76.26953125" style="32" customWidth="1"/>
    <col min="3" max="3" width="37.7265625" style="32" customWidth="1"/>
    <col min="4" max="4" width="13.1796875" style="32" customWidth="1"/>
    <col min="5" max="5" width="18.26953125" style="32" customWidth="1"/>
    <col min="6" max="6" width="14.26953125" style="32" bestFit="1" customWidth="1"/>
    <col min="7" max="7" width="13.81640625" style="32" customWidth="1"/>
    <col min="8" max="8" width="12.81640625" style="32" customWidth="1"/>
    <col min="9" max="9" width="17.1796875" style="32" customWidth="1"/>
    <col min="10" max="10" width="24.81640625" style="32" customWidth="1"/>
    <col min="11" max="12" width="14.453125" style="32" customWidth="1"/>
    <col min="13" max="13" width="17" style="32" customWidth="1"/>
    <col min="14" max="14" width="21.81640625" style="32" customWidth="1"/>
    <col min="15" max="15" width="15.26953125" style="32" customWidth="1"/>
    <col min="16" max="16384" width="9.1796875" style="32"/>
  </cols>
  <sheetData>
    <row r="1" spans="1:15" x14ac:dyDescent="0.3">
      <c r="K1" s="32" t="s">
        <v>1343</v>
      </c>
    </row>
    <row r="2" spans="1:15" x14ac:dyDescent="0.3">
      <c r="A2" s="1080" t="s">
        <v>696</v>
      </c>
      <c r="B2" s="1080"/>
      <c r="C2" s="1080"/>
      <c r="D2" s="1080"/>
      <c r="E2" s="1080"/>
      <c r="F2" s="1080"/>
      <c r="G2" s="1080"/>
      <c r="H2" s="1080"/>
      <c r="I2" s="1080"/>
      <c r="J2" s="1080"/>
    </row>
    <row r="3" spans="1:15" ht="65" x14ac:dyDescent="0.3">
      <c r="A3" s="795" t="s">
        <v>257</v>
      </c>
      <c r="B3" s="48" t="s">
        <v>2</v>
      </c>
      <c r="C3" s="190" t="s">
        <v>673</v>
      </c>
      <c r="D3" s="190" t="s">
        <v>676</v>
      </c>
      <c r="E3" s="778" t="s">
        <v>1111</v>
      </c>
      <c r="F3" s="1220" t="s">
        <v>612</v>
      </c>
      <c r="G3" s="1220"/>
      <c r="H3" s="1220"/>
      <c r="I3" s="1220"/>
      <c r="J3" s="1220"/>
      <c r="K3" s="190" t="s">
        <v>194</v>
      </c>
    </row>
    <row r="4" spans="1:15" s="249" customFormat="1" x14ac:dyDescent="0.3">
      <c r="A4" s="453">
        <v>1</v>
      </c>
      <c r="B4" s="449" t="s">
        <v>694</v>
      </c>
      <c r="C4" s="450">
        <f>C5+C6+C7</f>
        <v>1776.2666666666667</v>
      </c>
      <c r="D4" s="450"/>
      <c r="E4" s="368">
        <f>E5+E6+E7</f>
        <v>1667482.4</v>
      </c>
      <c r="F4" s="1227"/>
      <c r="G4" s="1227"/>
      <c r="H4" s="1227"/>
      <c r="I4" s="1227"/>
      <c r="J4" s="1227"/>
      <c r="K4" s="991" t="s">
        <v>804</v>
      </c>
    </row>
    <row r="5" spans="1:15" ht="15" customHeight="1" x14ac:dyDescent="0.3">
      <c r="A5" s="388" t="s">
        <v>9</v>
      </c>
      <c r="B5" s="428" t="s">
        <v>678</v>
      </c>
      <c r="C5" s="352">
        <f>N17</f>
        <v>296.26666666666665</v>
      </c>
      <c r="D5" s="352">
        <f>O17</f>
        <v>894</v>
      </c>
      <c r="E5" s="352">
        <f>C5*D5</f>
        <v>264862.39999999997</v>
      </c>
      <c r="F5" s="1225" t="s">
        <v>692</v>
      </c>
      <c r="G5" s="1225"/>
      <c r="H5" s="1225"/>
      <c r="I5" s="1225"/>
      <c r="J5" s="1225"/>
      <c r="K5" s="991"/>
    </row>
    <row r="6" spans="1:15" ht="50.5" customHeight="1" x14ac:dyDescent="0.3">
      <c r="A6" s="388" t="s">
        <v>12</v>
      </c>
      <c r="B6" s="428" t="s">
        <v>679</v>
      </c>
      <c r="C6" s="429">
        <v>730</v>
      </c>
      <c r="D6" s="429">
        <f>O17</f>
        <v>894</v>
      </c>
      <c r="E6" s="429">
        <f>C6*D6</f>
        <v>652620</v>
      </c>
      <c r="F6" s="1225" t="s">
        <v>674</v>
      </c>
      <c r="G6" s="1225"/>
      <c r="H6" s="1225"/>
      <c r="I6" s="1225"/>
      <c r="J6" s="1225"/>
      <c r="K6" s="991"/>
    </row>
    <row r="7" spans="1:15" ht="66.75" customHeight="1" x14ac:dyDescent="0.3">
      <c r="A7" s="388" t="s">
        <v>516</v>
      </c>
      <c r="B7" s="428" t="s">
        <v>680</v>
      </c>
      <c r="C7" s="352">
        <v>750</v>
      </c>
      <c r="D7" s="352">
        <v>1000</v>
      </c>
      <c r="E7" s="352">
        <f>C7*D7</f>
        <v>750000</v>
      </c>
      <c r="F7" s="1225" t="s">
        <v>693</v>
      </c>
      <c r="G7" s="1225"/>
      <c r="H7" s="1225"/>
      <c r="I7" s="1225"/>
      <c r="J7" s="1225"/>
      <c r="K7" s="991"/>
    </row>
    <row r="11" spans="1:15" ht="65.25" customHeight="1" x14ac:dyDescent="0.3">
      <c r="A11" s="796" t="s">
        <v>656</v>
      </c>
      <c r="B11" s="796" t="s">
        <v>682</v>
      </c>
      <c r="C11" s="796" t="s">
        <v>657</v>
      </c>
      <c r="D11" s="796" t="s">
        <v>658</v>
      </c>
      <c r="E11" s="796" t="s">
        <v>659</v>
      </c>
      <c r="F11" s="796" t="s">
        <v>596</v>
      </c>
      <c r="G11" s="796" t="s">
        <v>660</v>
      </c>
      <c r="H11" s="796" t="s">
        <v>661</v>
      </c>
      <c r="I11" s="796" t="s">
        <v>596</v>
      </c>
      <c r="J11" s="796" t="s">
        <v>662</v>
      </c>
      <c r="K11" s="796" t="s">
        <v>663</v>
      </c>
      <c r="L11" s="796" t="s">
        <v>596</v>
      </c>
      <c r="M11" s="190" t="s">
        <v>664</v>
      </c>
      <c r="N11" s="190" t="s">
        <v>675</v>
      </c>
      <c r="O11" s="190" t="s">
        <v>681</v>
      </c>
    </row>
    <row r="12" spans="1:15" ht="26" x14ac:dyDescent="0.3">
      <c r="A12" s="431">
        <v>1</v>
      </c>
      <c r="B12" s="251" t="s">
        <v>684</v>
      </c>
      <c r="C12" s="251" t="s">
        <v>665</v>
      </c>
      <c r="D12" s="388">
        <v>46</v>
      </c>
      <c r="E12" s="388">
        <v>949.15</v>
      </c>
      <c r="F12" s="388">
        <f>D12*E12</f>
        <v>43660.9</v>
      </c>
      <c r="G12" s="388">
        <v>92</v>
      </c>
      <c r="H12" s="388">
        <v>828.45</v>
      </c>
      <c r="I12" s="388">
        <f>G12*H12</f>
        <v>76217.400000000009</v>
      </c>
      <c r="J12" s="388">
        <v>66</v>
      </c>
      <c r="K12" s="388">
        <v>871.03</v>
      </c>
      <c r="L12" s="388">
        <f>J12*K12</f>
        <v>57487.979999999996</v>
      </c>
      <c r="M12" s="432">
        <f>(D12+G12+J12)/3</f>
        <v>68</v>
      </c>
      <c r="N12" s="433">
        <f>M12*0.1+M12</f>
        <v>74.8</v>
      </c>
      <c r="O12" s="1226"/>
    </row>
    <row r="13" spans="1:15" ht="26" x14ac:dyDescent="0.3">
      <c r="A13" s="431">
        <v>2</v>
      </c>
      <c r="B13" s="251" t="s">
        <v>685</v>
      </c>
      <c r="C13" s="251" t="s">
        <v>666</v>
      </c>
      <c r="D13" s="388">
        <v>82</v>
      </c>
      <c r="E13" s="388">
        <v>949.15</v>
      </c>
      <c r="F13" s="388">
        <f>D13*E13</f>
        <v>77830.3</v>
      </c>
      <c r="G13" s="388">
        <v>94</v>
      </c>
      <c r="H13" s="388">
        <v>949.15</v>
      </c>
      <c r="I13" s="388">
        <f t="shared" ref="I13:I14" si="0">G13*H13</f>
        <v>89220.099999999991</v>
      </c>
      <c r="J13" s="388">
        <v>84</v>
      </c>
      <c r="K13" s="388">
        <v>949.15</v>
      </c>
      <c r="L13" s="388">
        <f t="shared" ref="L13" si="1">J13*K13</f>
        <v>79728.599999999991</v>
      </c>
      <c r="M13" s="432">
        <f t="shared" ref="M13:M16" si="2">(D13+G13+J13)/3</f>
        <v>86.666666666666671</v>
      </c>
      <c r="N13" s="433">
        <f t="shared" ref="N13:N16" si="3">M13*0.1+M13</f>
        <v>95.333333333333343</v>
      </c>
      <c r="O13" s="1226"/>
    </row>
    <row r="14" spans="1:15" ht="26" x14ac:dyDescent="0.3">
      <c r="A14" s="431">
        <v>3</v>
      </c>
      <c r="B14" s="251" t="s">
        <v>685</v>
      </c>
      <c r="C14" s="434" t="s">
        <v>667</v>
      </c>
      <c r="D14" s="435">
        <v>21</v>
      </c>
      <c r="E14" s="435">
        <v>949.15</v>
      </c>
      <c r="F14" s="435">
        <f>D14*E14</f>
        <v>19932.149999999998</v>
      </c>
      <c r="G14" s="435">
        <v>120</v>
      </c>
      <c r="H14" s="435">
        <v>949.15</v>
      </c>
      <c r="I14" s="435">
        <f t="shared" si="0"/>
        <v>113898</v>
      </c>
      <c r="J14" s="435">
        <v>70</v>
      </c>
      <c r="K14" s="388">
        <v>949.15</v>
      </c>
      <c r="L14" s="435">
        <f>J14*K14</f>
        <v>66440.5</v>
      </c>
      <c r="M14" s="432">
        <f t="shared" si="2"/>
        <v>70.333333333333329</v>
      </c>
      <c r="N14" s="433">
        <f t="shared" si="3"/>
        <v>77.36666666666666</v>
      </c>
      <c r="O14" s="1226"/>
    </row>
    <row r="15" spans="1:15" x14ac:dyDescent="0.3">
      <c r="A15" s="235">
        <v>4</v>
      </c>
      <c r="B15" s="447" t="s">
        <v>691</v>
      </c>
      <c r="C15" s="251" t="s">
        <v>668</v>
      </c>
      <c r="D15" s="388">
        <v>25</v>
      </c>
      <c r="E15" s="388">
        <f>687.7-74.14</f>
        <v>613.56000000000006</v>
      </c>
      <c r="F15" s="388">
        <f>D15*E15</f>
        <v>15339.000000000002</v>
      </c>
      <c r="G15" s="388">
        <v>26</v>
      </c>
      <c r="H15" s="388">
        <f>687.7-74.14</f>
        <v>613.56000000000006</v>
      </c>
      <c r="I15" s="388">
        <f>G15*H15</f>
        <v>15952.560000000001</v>
      </c>
      <c r="J15" s="388">
        <v>22</v>
      </c>
      <c r="K15" s="388">
        <f>687.7-74.14</f>
        <v>613.56000000000006</v>
      </c>
      <c r="L15" s="435">
        <f>J15*K15</f>
        <v>13498.320000000002</v>
      </c>
      <c r="M15" s="432">
        <f t="shared" si="2"/>
        <v>24.333333333333332</v>
      </c>
      <c r="N15" s="433">
        <f t="shared" si="3"/>
        <v>26.766666666666666</v>
      </c>
      <c r="O15" s="1226"/>
    </row>
    <row r="16" spans="1:15" ht="26" x14ac:dyDescent="0.3">
      <c r="A16" s="235">
        <v>5</v>
      </c>
      <c r="B16" s="251" t="s">
        <v>683</v>
      </c>
      <c r="C16" s="251" t="s">
        <v>669</v>
      </c>
      <c r="D16" s="388">
        <v>22</v>
      </c>
      <c r="E16" s="388">
        <v>637.38</v>
      </c>
      <c r="F16" s="388">
        <f>D16*E16</f>
        <v>14022.36</v>
      </c>
      <c r="G16" s="388">
        <v>17</v>
      </c>
      <c r="H16" s="388">
        <v>657.63</v>
      </c>
      <c r="I16" s="388">
        <f>G16*H16</f>
        <v>11179.71</v>
      </c>
      <c r="J16" s="388">
        <v>21</v>
      </c>
      <c r="K16" s="388">
        <v>679.8</v>
      </c>
      <c r="L16" s="388">
        <f>J16*K16</f>
        <v>14275.8</v>
      </c>
      <c r="M16" s="432">
        <f t="shared" si="2"/>
        <v>20</v>
      </c>
      <c r="N16" s="433">
        <f t="shared" si="3"/>
        <v>22</v>
      </c>
      <c r="O16" s="1226"/>
    </row>
    <row r="17" spans="3:15" x14ac:dyDescent="0.3">
      <c r="F17" s="436">
        <f>SUM(F12:F16)</f>
        <v>170784.71000000002</v>
      </c>
      <c r="I17" s="436">
        <f>SUM(I12:I16)</f>
        <v>306467.77</v>
      </c>
      <c r="J17" s="364"/>
      <c r="K17" s="364"/>
      <c r="L17" s="437">
        <f>SUM(L12:L16)</f>
        <v>231431.19999999998</v>
      </c>
      <c r="M17" s="438">
        <f>M12+M13+M14+M15+M16</f>
        <v>269.33333333333337</v>
      </c>
      <c r="N17" s="438">
        <f>N12+N13+N14+N15+N16</f>
        <v>296.26666666666665</v>
      </c>
      <c r="O17" s="439">
        <f>ROUND(((AVERAGE(K12:K16)*0.1)+(K12+K13+K14+K15+K16)/5),0)</f>
        <v>894</v>
      </c>
    </row>
    <row r="18" spans="3:15" x14ac:dyDescent="0.3">
      <c r="F18" s="440"/>
      <c r="I18" s="440"/>
      <c r="L18" s="440"/>
      <c r="M18" s="441"/>
      <c r="N18" s="441"/>
      <c r="O18" s="442"/>
    </row>
    <row r="20" spans="3:15" ht="63.75" customHeight="1" x14ac:dyDescent="0.3">
      <c r="C20" s="49" t="s">
        <v>670</v>
      </c>
      <c r="D20" s="190" t="s">
        <v>686</v>
      </c>
      <c r="E20" s="190" t="s">
        <v>687</v>
      </c>
      <c r="F20" s="190" t="s">
        <v>688</v>
      </c>
      <c r="G20" s="778" t="s">
        <v>689</v>
      </c>
      <c r="H20" s="1222" t="s">
        <v>690</v>
      </c>
      <c r="I20" s="1222"/>
    </row>
    <row r="21" spans="3:15" x14ac:dyDescent="0.3">
      <c r="C21" s="235" t="s">
        <v>671</v>
      </c>
      <c r="D21" s="52">
        <v>79</v>
      </c>
      <c r="E21" s="52">
        <v>112</v>
      </c>
      <c r="F21" s="52">
        <v>81</v>
      </c>
      <c r="G21" s="443">
        <f t="shared" ref="G21:G22" si="4">(D21+E21+F21)/3</f>
        <v>90.666666666666671</v>
      </c>
      <c r="H21" s="1223"/>
      <c r="I21" s="1223"/>
    </row>
    <row r="22" spans="3:15" x14ac:dyDescent="0.3">
      <c r="C22" s="235" t="s">
        <v>672</v>
      </c>
      <c r="D22" s="52">
        <v>72</v>
      </c>
      <c r="E22" s="52">
        <v>52</v>
      </c>
      <c r="F22" s="52">
        <v>43</v>
      </c>
      <c r="G22" s="443">
        <f t="shared" si="4"/>
        <v>55.666666666666664</v>
      </c>
      <c r="H22" s="1223"/>
      <c r="I22" s="1223"/>
    </row>
    <row r="23" spans="3:15" x14ac:dyDescent="0.3">
      <c r="D23" s="444"/>
      <c r="E23" s="444"/>
      <c r="F23" s="444"/>
      <c r="G23" s="445">
        <f>SUM(G21:G22)</f>
        <v>146.33333333333334</v>
      </c>
      <c r="H23" s="1224">
        <f>730*894</f>
        <v>652620</v>
      </c>
      <c r="I23" s="1224"/>
    </row>
    <row r="24" spans="3:15" ht="36.75" customHeight="1" x14ac:dyDescent="0.3">
      <c r="G24" s="441"/>
      <c r="H24" s="446"/>
      <c r="I24" s="446"/>
    </row>
  </sheetData>
  <mergeCells count="12">
    <mergeCell ref="A2:J2"/>
    <mergeCell ref="K4:K7"/>
    <mergeCell ref="O12:O16"/>
    <mergeCell ref="F3:J3"/>
    <mergeCell ref="F4:J4"/>
    <mergeCell ref="F5:J5"/>
    <mergeCell ref="H20:I20"/>
    <mergeCell ref="H21:I21"/>
    <mergeCell ref="H22:I22"/>
    <mergeCell ref="H23:I23"/>
    <mergeCell ref="F6:J6"/>
    <mergeCell ref="F7:J7"/>
  </mergeCells>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D2703-EAA6-403C-8B6E-5EE007B3234A}">
  <sheetPr>
    <tabColor theme="0" tint="-4.9989318521683403E-2"/>
  </sheetPr>
  <dimension ref="A1:D17"/>
  <sheetViews>
    <sheetView workbookViewId="0">
      <selection activeCell="D1" sqref="D1"/>
    </sheetView>
  </sheetViews>
  <sheetFormatPr defaultColWidth="9.1796875" defaultRowHeight="13" x14ac:dyDescent="0.3"/>
  <cols>
    <col min="1" max="1" width="50.7265625" style="32" customWidth="1"/>
    <col min="2" max="2" width="15.1796875" style="32" customWidth="1"/>
    <col min="3" max="3" width="16" style="32" customWidth="1"/>
    <col min="4" max="4" width="17.453125" style="32" customWidth="1"/>
    <col min="5" max="16384" width="9.1796875" style="32"/>
  </cols>
  <sheetData>
    <row r="1" spans="1:4" x14ac:dyDescent="0.3">
      <c r="D1" s="349" t="s">
        <v>1344</v>
      </c>
    </row>
    <row r="2" spans="1:4" ht="15" customHeight="1" x14ac:dyDescent="0.3">
      <c r="A2" s="999" t="s">
        <v>781</v>
      </c>
      <c r="B2" s="999"/>
      <c r="C2" s="999"/>
      <c r="D2" s="999"/>
    </row>
    <row r="3" spans="1:4" ht="12.75" customHeight="1" x14ac:dyDescent="0.3">
      <c r="A3" s="1057" t="s">
        <v>2</v>
      </c>
      <c r="B3" s="1001" t="s">
        <v>605</v>
      </c>
      <c r="C3" s="1219"/>
      <c r="D3" s="1002"/>
    </row>
    <row r="4" spans="1:4" x14ac:dyDescent="0.3">
      <c r="A4" s="1057"/>
      <c r="B4" s="343" t="s">
        <v>195</v>
      </c>
      <c r="C4" s="343" t="s">
        <v>196</v>
      </c>
      <c r="D4" s="353" t="s">
        <v>197</v>
      </c>
    </row>
    <row r="5" spans="1:4" ht="26" x14ac:dyDescent="0.3">
      <c r="A5" s="350" t="s">
        <v>781</v>
      </c>
      <c r="B5" s="767">
        <v>4500</v>
      </c>
      <c r="C5" s="767">
        <v>75000</v>
      </c>
      <c r="D5" s="423">
        <v>84000</v>
      </c>
    </row>
    <row r="6" spans="1:4" ht="50.25" customHeight="1" x14ac:dyDescent="0.3">
      <c r="A6" s="1037" t="s">
        <v>786</v>
      </c>
      <c r="B6" s="1037"/>
      <c r="C6" s="1037"/>
      <c r="D6" s="1058"/>
    </row>
    <row r="17" ht="9.75" customHeight="1" x14ac:dyDescent="0.3"/>
  </sheetData>
  <mergeCells count="4">
    <mergeCell ref="A2:D2"/>
    <mergeCell ref="A3:A4"/>
    <mergeCell ref="A6:D6"/>
    <mergeCell ref="B3:D3"/>
  </mergeCells>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39B57-8D07-422B-8454-DB6E2BF68D3E}">
  <sheetPr>
    <tabColor theme="9" tint="0.79998168889431442"/>
  </sheetPr>
  <dimension ref="A1:E6"/>
  <sheetViews>
    <sheetView zoomScale="78" zoomScaleNormal="78" workbookViewId="0">
      <selection activeCell="D1" sqref="D1"/>
    </sheetView>
  </sheetViews>
  <sheetFormatPr defaultColWidth="9.1796875" defaultRowHeight="13" x14ac:dyDescent="0.3"/>
  <cols>
    <col min="1" max="1" width="55.1796875" style="32" customWidth="1"/>
    <col min="2" max="3" width="13" style="32" customWidth="1"/>
    <col min="4" max="4" width="59.1796875" style="32" customWidth="1"/>
    <col min="5" max="5" width="24.54296875" style="32" customWidth="1"/>
    <col min="6" max="16384" width="9.1796875" style="32"/>
  </cols>
  <sheetData>
    <row r="1" spans="1:5" x14ac:dyDescent="0.3">
      <c r="D1" s="349" t="s">
        <v>1345</v>
      </c>
    </row>
    <row r="2" spans="1:5" ht="37.5" customHeight="1" x14ac:dyDescent="0.3">
      <c r="A2" s="1069" t="s">
        <v>633</v>
      </c>
      <c r="B2" s="1069"/>
      <c r="C2" s="1069"/>
      <c r="D2" s="1069"/>
    </row>
    <row r="3" spans="1:5" ht="69" customHeight="1" x14ac:dyDescent="0.3">
      <c r="A3" s="48" t="s">
        <v>2</v>
      </c>
      <c r="B3" s="300" t="s">
        <v>1113</v>
      </c>
      <c r="C3" s="300" t="s">
        <v>1114</v>
      </c>
      <c r="D3" s="48" t="s">
        <v>612</v>
      </c>
      <c r="E3" s="226" t="s">
        <v>194</v>
      </c>
    </row>
    <row r="4" spans="1:5" ht="25.5" customHeight="1" x14ac:dyDescent="0.3">
      <c r="A4" s="359" t="s">
        <v>778</v>
      </c>
      <c r="B4" s="352">
        <f>30*600*1.2359</f>
        <v>22246.2</v>
      </c>
      <c r="C4" s="388"/>
      <c r="D4" s="107" t="s">
        <v>631</v>
      </c>
      <c r="E4" s="991" t="s">
        <v>804</v>
      </c>
    </row>
    <row r="5" spans="1:5" ht="69.75" customHeight="1" x14ac:dyDescent="0.3">
      <c r="A5" s="359" t="s">
        <v>1240</v>
      </c>
      <c r="B5" s="52"/>
      <c r="C5" s="352">
        <f>30*100*1.2359*1.025</f>
        <v>3800.3924999999995</v>
      </c>
      <c r="D5" s="103" t="s">
        <v>632</v>
      </c>
      <c r="E5" s="991"/>
    </row>
    <row r="6" spans="1:5" x14ac:dyDescent="0.3">
      <c r="A6" s="363" t="s">
        <v>311</v>
      </c>
      <c r="B6" s="362">
        <f>B4+B5</f>
        <v>22246.2</v>
      </c>
      <c r="C6" s="362">
        <f t="shared" ref="C6" si="0">C4+C5</f>
        <v>3800.3924999999995</v>
      </c>
      <c r="D6" s="358"/>
      <c r="E6" s="991"/>
    </row>
  </sheetData>
  <mergeCells count="2">
    <mergeCell ref="A2:D2"/>
    <mergeCell ref="E4:E6"/>
  </mergeCells>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93F5C-A1B6-45FA-BABC-47166380180F}">
  <sheetPr>
    <tabColor theme="9" tint="0.79998168889431442"/>
  </sheetPr>
  <dimension ref="A1:F14"/>
  <sheetViews>
    <sheetView workbookViewId="0">
      <selection activeCell="E1" sqref="E1"/>
    </sheetView>
  </sheetViews>
  <sheetFormatPr defaultColWidth="17.1796875" defaultRowHeight="13" x14ac:dyDescent="0.3"/>
  <cols>
    <col min="1" max="4" width="17.1796875" style="32"/>
    <col min="5" max="5" width="22.1796875" style="32" customWidth="1"/>
    <col min="6" max="16384" width="17.1796875" style="32"/>
  </cols>
  <sheetData>
    <row r="1" spans="1:6" x14ac:dyDescent="0.3">
      <c r="E1" s="32" t="s">
        <v>1346</v>
      </c>
    </row>
    <row r="2" spans="1:6" x14ac:dyDescent="0.3">
      <c r="A2" s="839" t="s">
        <v>1271</v>
      </c>
      <c r="B2" s="839"/>
      <c r="C2" s="839"/>
    </row>
    <row r="3" spans="1:6" ht="65" x14ac:dyDescent="0.3">
      <c r="A3" s="819" t="s">
        <v>1259</v>
      </c>
      <c r="B3" s="819" t="s">
        <v>1260</v>
      </c>
      <c r="C3" s="819" t="s">
        <v>1261</v>
      </c>
      <c r="D3" s="820" t="s">
        <v>1262</v>
      </c>
      <c r="E3" s="190" t="s">
        <v>194</v>
      </c>
    </row>
    <row r="4" spans="1:6" ht="39" x14ac:dyDescent="0.3">
      <c r="A4" s="822">
        <f>F14</f>
        <v>2493948</v>
      </c>
      <c r="B4" s="822">
        <f>F14</f>
        <v>2493948</v>
      </c>
      <c r="C4" s="822">
        <f>F14</f>
        <v>2493948</v>
      </c>
      <c r="D4" s="835">
        <f>C4</f>
        <v>2493948</v>
      </c>
      <c r="E4" s="781" t="s">
        <v>348</v>
      </c>
    </row>
    <row r="7" spans="1:6" ht="26" x14ac:dyDescent="0.3">
      <c r="A7" s="819" t="s">
        <v>469</v>
      </c>
      <c r="B7" s="819" t="s">
        <v>1242</v>
      </c>
      <c r="C7" s="819" t="s">
        <v>1243</v>
      </c>
      <c r="D7" s="819" t="s">
        <v>1244</v>
      </c>
      <c r="E7" s="819" t="s">
        <v>1245</v>
      </c>
      <c r="F7" s="819" t="s">
        <v>1246</v>
      </c>
    </row>
    <row r="8" spans="1:6" x14ac:dyDescent="0.3">
      <c r="A8" s="823" t="s">
        <v>1247</v>
      </c>
      <c r="B8" s="824">
        <v>4</v>
      </c>
      <c r="C8" s="825" t="s">
        <v>1248</v>
      </c>
      <c r="D8" s="826">
        <v>584104</v>
      </c>
      <c r="E8" s="826">
        <v>1443560</v>
      </c>
      <c r="F8" s="826">
        <f>(D8+E8)/2</f>
        <v>1013832</v>
      </c>
    </row>
    <row r="9" spans="1:6" x14ac:dyDescent="0.3">
      <c r="A9" s="827" t="s">
        <v>1249</v>
      </c>
      <c r="B9" s="824">
        <v>2</v>
      </c>
      <c r="C9" s="828">
        <v>295100</v>
      </c>
      <c r="D9" s="826">
        <v>590200</v>
      </c>
      <c r="E9" s="826">
        <v>590200</v>
      </c>
      <c r="F9" s="826">
        <f t="shared" ref="F9:F13" si="0">(D9+E9)/2</f>
        <v>590200</v>
      </c>
    </row>
    <row r="10" spans="1:6" x14ac:dyDescent="0.3">
      <c r="A10" s="827" t="s">
        <v>1250</v>
      </c>
      <c r="B10" s="824">
        <v>2</v>
      </c>
      <c r="C10" s="825" t="s">
        <v>1251</v>
      </c>
      <c r="D10" s="826">
        <v>136460</v>
      </c>
      <c r="E10" s="826">
        <v>312920</v>
      </c>
      <c r="F10" s="826">
        <f t="shared" si="0"/>
        <v>224690</v>
      </c>
    </row>
    <row r="11" spans="1:6" x14ac:dyDescent="0.3">
      <c r="A11" s="827" t="s">
        <v>1252</v>
      </c>
      <c r="B11" s="824">
        <v>2</v>
      </c>
      <c r="C11" s="828">
        <v>48900</v>
      </c>
      <c r="D11" s="826">
        <v>97801</v>
      </c>
      <c r="E11" s="826">
        <v>97801</v>
      </c>
      <c r="F11" s="826">
        <f t="shared" si="0"/>
        <v>97801</v>
      </c>
    </row>
    <row r="12" spans="1:6" x14ac:dyDescent="0.3">
      <c r="A12" s="827" t="s">
        <v>1253</v>
      </c>
      <c r="B12" s="824">
        <v>5</v>
      </c>
      <c r="C12" s="825" t="s">
        <v>1254</v>
      </c>
      <c r="D12" s="826">
        <v>165000</v>
      </c>
      <c r="E12" s="826">
        <v>440000</v>
      </c>
      <c r="F12" s="826">
        <f t="shared" si="0"/>
        <v>302500</v>
      </c>
    </row>
    <row r="13" spans="1:6" x14ac:dyDescent="0.3">
      <c r="A13" s="827" t="s">
        <v>1255</v>
      </c>
      <c r="B13" s="824">
        <v>6</v>
      </c>
      <c r="C13" s="825" t="s">
        <v>1256</v>
      </c>
      <c r="D13" s="826">
        <v>155750</v>
      </c>
      <c r="E13" s="826">
        <v>374100</v>
      </c>
      <c r="F13" s="826">
        <f t="shared" si="0"/>
        <v>264925</v>
      </c>
    </row>
    <row r="14" spans="1:6" x14ac:dyDescent="0.3">
      <c r="A14" s="829" t="s">
        <v>305</v>
      </c>
      <c r="B14" s="830">
        <f>SUM(B7:B13)</f>
        <v>21</v>
      </c>
      <c r="C14" s="831" t="s">
        <v>360</v>
      </c>
      <c r="D14" s="832">
        <f>D8+D9+D10+D11+D12+D13</f>
        <v>1729315</v>
      </c>
      <c r="E14" s="832">
        <f>E8+E9+E10+E11+E12+E13</f>
        <v>3258581</v>
      </c>
      <c r="F14" s="833">
        <f>F8+F9+F10+F11+F12+F13</f>
        <v>2493948</v>
      </c>
    </row>
  </sheetData>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A91CD-F237-4B65-AAA6-A5AFCAD64339}">
  <sheetPr>
    <tabColor theme="9" tint="0.79998168889431442"/>
  </sheetPr>
  <dimension ref="A1:F24"/>
  <sheetViews>
    <sheetView zoomScale="80" zoomScaleNormal="80" workbookViewId="0">
      <selection activeCell="D1" sqref="D1"/>
    </sheetView>
  </sheetViews>
  <sheetFormatPr defaultColWidth="9.1796875" defaultRowHeight="13" x14ac:dyDescent="0.3"/>
  <cols>
    <col min="1" max="1" width="14.453125" style="32" customWidth="1"/>
    <col min="2" max="2" width="12.1796875" style="32" customWidth="1"/>
    <col min="3" max="3" width="18.81640625" style="32" customWidth="1"/>
    <col min="4" max="4" width="56" style="32" customWidth="1"/>
    <col min="5" max="5" width="17.54296875" style="32" customWidth="1"/>
    <col min="6" max="16384" width="9.1796875" style="32"/>
  </cols>
  <sheetData>
    <row r="1" spans="1:5" x14ac:dyDescent="0.3">
      <c r="D1" s="349" t="s">
        <v>1347</v>
      </c>
    </row>
    <row r="2" spans="1:5" ht="24.75" customHeight="1" x14ac:dyDescent="0.3">
      <c r="A2" s="996" t="s">
        <v>644</v>
      </c>
      <c r="B2" s="996"/>
      <c r="C2" s="996"/>
      <c r="D2" s="996"/>
      <c r="E2" s="996"/>
    </row>
    <row r="3" spans="1:5" ht="65" x14ac:dyDescent="0.3">
      <c r="A3" s="300" t="s">
        <v>1112</v>
      </c>
      <c r="B3" s="300" t="s">
        <v>1113</v>
      </c>
      <c r="C3" s="300" t="s">
        <v>1114</v>
      </c>
      <c r="D3" s="48" t="s">
        <v>612</v>
      </c>
      <c r="E3" s="226" t="s">
        <v>194</v>
      </c>
    </row>
    <row r="4" spans="1:5" ht="52" x14ac:dyDescent="0.3">
      <c r="A4" s="423">
        <f>45000*4</f>
        <v>180000</v>
      </c>
      <c r="B4" s="423">
        <f>A4*1.025</f>
        <v>184499.99999999997</v>
      </c>
      <c r="C4" s="423">
        <f t="shared" ref="C4" si="0">B4*1.025</f>
        <v>189112.49999999994</v>
      </c>
      <c r="D4" s="750" t="s">
        <v>850</v>
      </c>
      <c r="E4" s="781" t="s">
        <v>349</v>
      </c>
    </row>
    <row r="24" spans="6:6" x14ac:dyDescent="0.3">
      <c r="F24" s="249"/>
    </row>
  </sheetData>
  <mergeCells count="1">
    <mergeCell ref="A2:E2"/>
  </mergeCells>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5A754-C67C-4A7F-B735-85F3F0B84BF5}">
  <sheetPr>
    <tabColor theme="9" tint="0.79998168889431442"/>
  </sheetPr>
  <dimension ref="A1:C4"/>
  <sheetViews>
    <sheetView zoomScale="89" zoomScaleNormal="89" workbookViewId="0">
      <selection activeCell="C1" sqref="C1"/>
    </sheetView>
  </sheetViews>
  <sheetFormatPr defaultColWidth="9.1796875" defaultRowHeight="13" x14ac:dyDescent="0.3"/>
  <cols>
    <col min="1" max="1" width="21.54296875" style="32" customWidth="1"/>
    <col min="2" max="2" width="47.81640625" style="32" customWidth="1"/>
    <col min="3" max="3" width="26.7265625" style="32" customWidth="1"/>
    <col min="4" max="16384" width="9.1796875" style="32"/>
  </cols>
  <sheetData>
    <row r="1" spans="1:3" x14ac:dyDescent="0.3">
      <c r="C1" s="349" t="s">
        <v>1348</v>
      </c>
    </row>
    <row r="2" spans="1:3" ht="24.75" customHeight="1" x14ac:dyDescent="0.3">
      <c r="A2" s="996" t="s">
        <v>849</v>
      </c>
      <c r="B2" s="996"/>
      <c r="C2" s="996"/>
    </row>
    <row r="3" spans="1:3" ht="39" x14ac:dyDescent="0.3">
      <c r="A3" s="300" t="s">
        <v>1115</v>
      </c>
      <c r="B3" s="48" t="s">
        <v>612</v>
      </c>
      <c r="C3" s="226" t="s">
        <v>194</v>
      </c>
    </row>
    <row r="4" spans="1:3" ht="39" x14ac:dyDescent="0.3">
      <c r="A4" s="423">
        <f>150000*2</f>
        <v>300000</v>
      </c>
      <c r="B4" s="103" t="s">
        <v>851</v>
      </c>
      <c r="C4" s="781" t="s">
        <v>349</v>
      </c>
    </row>
  </sheetData>
  <mergeCells count="1">
    <mergeCell ref="A2:C2"/>
  </mergeCells>
  <pageMargins left="0.7" right="0.7" top="0.75" bottom="0.75" header="0.3" footer="0.3"/>
  <pageSetup paperSize="9"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6A9F1-3E7E-436A-B2AE-A4BF6C35B186}">
  <sheetPr>
    <tabColor theme="9" tint="0.79998168889431442"/>
  </sheetPr>
  <dimension ref="A1:D6"/>
  <sheetViews>
    <sheetView zoomScale="80" zoomScaleNormal="80" workbookViewId="0">
      <selection activeCell="D1" sqref="D1"/>
    </sheetView>
  </sheetViews>
  <sheetFormatPr defaultColWidth="15.54296875" defaultRowHeight="13" x14ac:dyDescent="0.3"/>
  <cols>
    <col min="1" max="1" width="46.453125" style="32" customWidth="1"/>
    <col min="2" max="16384" width="15.54296875" style="32"/>
  </cols>
  <sheetData>
    <row r="1" spans="1:4" x14ac:dyDescent="0.3">
      <c r="C1" s="349"/>
      <c r="D1" s="349" t="s">
        <v>1349</v>
      </c>
    </row>
    <row r="2" spans="1:4" ht="52.5" customHeight="1" x14ac:dyDescent="0.3">
      <c r="A2" s="996" t="s">
        <v>615</v>
      </c>
      <c r="B2" s="996"/>
      <c r="C2" s="996"/>
      <c r="D2" s="996"/>
    </row>
    <row r="3" spans="1:4" s="355" customFormat="1" ht="65" x14ac:dyDescent="0.3">
      <c r="A3" s="356" t="s">
        <v>2</v>
      </c>
      <c r="B3" s="300" t="s">
        <v>1113</v>
      </c>
      <c r="C3" s="300" t="s">
        <v>1114</v>
      </c>
      <c r="D3" s="226" t="s">
        <v>194</v>
      </c>
    </row>
    <row r="4" spans="1:4" ht="39" x14ac:dyDescent="0.3">
      <c r="A4" s="359" t="s">
        <v>616</v>
      </c>
      <c r="B4" s="352">
        <f>40*300*1.2359</f>
        <v>14830.8</v>
      </c>
      <c r="C4" s="361"/>
      <c r="D4" s="991" t="s">
        <v>804</v>
      </c>
    </row>
    <row r="5" spans="1:4" ht="26" x14ac:dyDescent="0.3">
      <c r="A5" s="359" t="s">
        <v>617</v>
      </c>
      <c r="B5" s="352"/>
      <c r="C5" s="352">
        <f>40*120*1.2359</f>
        <v>5932.32</v>
      </c>
      <c r="D5" s="991"/>
    </row>
    <row r="6" spans="1:4" x14ac:dyDescent="0.3">
      <c r="A6" s="363" t="s">
        <v>311</v>
      </c>
      <c r="B6" s="362">
        <f>B4+B5</f>
        <v>14830.8</v>
      </c>
      <c r="C6" s="362">
        <f>C4+C5</f>
        <v>5932.32</v>
      </c>
      <c r="D6" s="991"/>
    </row>
  </sheetData>
  <mergeCells count="2">
    <mergeCell ref="D4:D6"/>
    <mergeCell ref="A2:D2"/>
  </mergeCells>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4F2E3-7F7E-4EC8-BBB0-F76F5F8779F1}">
  <sheetPr>
    <tabColor theme="9" tint="0.79998168889431442"/>
  </sheetPr>
  <dimension ref="A1:C6"/>
  <sheetViews>
    <sheetView zoomScale="84" zoomScaleNormal="84" workbookViewId="0">
      <selection activeCell="C1" sqref="C1"/>
    </sheetView>
  </sheetViews>
  <sheetFormatPr defaultColWidth="9.1796875" defaultRowHeight="13" x14ac:dyDescent="0.3"/>
  <cols>
    <col min="1" max="1" width="55.1796875" style="32" customWidth="1"/>
    <col min="2" max="2" width="17" style="32" customWidth="1"/>
    <col min="3" max="3" width="28.1796875" style="32" customWidth="1"/>
    <col min="4" max="16384" width="9.1796875" style="32"/>
  </cols>
  <sheetData>
    <row r="1" spans="1:3" x14ac:dyDescent="0.3">
      <c r="C1" s="349" t="s">
        <v>1350</v>
      </c>
    </row>
    <row r="2" spans="1:3" ht="45.75" customHeight="1" x14ac:dyDescent="0.3">
      <c r="A2" s="1069" t="s">
        <v>618</v>
      </c>
      <c r="B2" s="1069"/>
      <c r="C2" s="1069"/>
    </row>
    <row r="4" spans="1:3" s="355" customFormat="1" ht="39" x14ac:dyDescent="0.3">
      <c r="A4" s="356" t="s">
        <v>2</v>
      </c>
      <c r="B4" s="300" t="s">
        <v>1113</v>
      </c>
      <c r="C4" s="226" t="s">
        <v>194</v>
      </c>
    </row>
    <row r="5" spans="1:3" ht="26" x14ac:dyDescent="0.3">
      <c r="A5" s="359" t="s">
        <v>619</v>
      </c>
      <c r="B5" s="357">
        <f>40*400*1.2359</f>
        <v>19774.400000000001</v>
      </c>
      <c r="C5" s="991" t="s">
        <v>804</v>
      </c>
    </row>
    <row r="6" spans="1:3" x14ac:dyDescent="0.3">
      <c r="A6" s="363" t="s">
        <v>311</v>
      </c>
      <c r="B6" s="360">
        <f>B5</f>
        <v>19774.400000000001</v>
      </c>
      <c r="C6" s="991"/>
    </row>
  </sheetData>
  <mergeCells count="2">
    <mergeCell ref="A2:C2"/>
    <mergeCell ref="C5:C6"/>
  </mergeCells>
  <pageMargins left="0.7" right="0.7" top="0.75" bottom="0.75" header="0.3" footer="0.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872CD-0BEC-47E6-81A6-102532FDE744}">
  <sheetPr>
    <tabColor theme="9" tint="0.79998168889431442"/>
  </sheetPr>
  <dimension ref="A1:C5"/>
  <sheetViews>
    <sheetView zoomScale="89" zoomScaleNormal="89" workbookViewId="0">
      <selection activeCell="B1" sqref="B1"/>
    </sheetView>
  </sheetViews>
  <sheetFormatPr defaultColWidth="9.1796875" defaultRowHeight="13" x14ac:dyDescent="0.3"/>
  <cols>
    <col min="1" max="1" width="55.1796875" style="364" customWidth="1"/>
    <col min="2" max="2" width="10.26953125" style="364" customWidth="1"/>
    <col min="3" max="3" width="14.453125" style="364" customWidth="1"/>
    <col min="4" max="16384" width="9.1796875" style="364"/>
  </cols>
  <sheetData>
    <row r="1" spans="1:3" x14ac:dyDescent="0.3">
      <c r="B1" s="364" t="s">
        <v>1351</v>
      </c>
    </row>
    <row r="2" spans="1:3" ht="42" customHeight="1" x14ac:dyDescent="0.3">
      <c r="A2" s="1006" t="s">
        <v>1215</v>
      </c>
      <c r="B2" s="1006"/>
      <c r="C2" s="1006"/>
    </row>
    <row r="3" spans="1:3" ht="65" x14ac:dyDescent="0.3">
      <c r="A3" s="356" t="s">
        <v>2</v>
      </c>
      <c r="B3" s="300" t="s">
        <v>1113</v>
      </c>
      <c r="C3" s="226" t="s">
        <v>194</v>
      </c>
    </row>
    <row r="4" spans="1:3" ht="76.5" customHeight="1" x14ac:dyDescent="0.3">
      <c r="A4" s="359" t="s">
        <v>620</v>
      </c>
      <c r="B4" s="366">
        <f>40*250*1.2359</f>
        <v>12359</v>
      </c>
      <c r="C4" s="1228" t="s">
        <v>804</v>
      </c>
    </row>
    <row r="5" spans="1:3" x14ac:dyDescent="0.3">
      <c r="A5" s="369" t="s">
        <v>311</v>
      </c>
      <c r="B5" s="368">
        <f>B4</f>
        <v>12359</v>
      </c>
      <c r="C5" s="1228"/>
    </row>
  </sheetData>
  <mergeCells count="2">
    <mergeCell ref="C4:C5"/>
    <mergeCell ref="A2:C2"/>
  </mergeCells>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22A25-D7C8-4660-AF98-FC5B82AFA935}">
  <sheetPr>
    <tabColor theme="9" tint="0.79998168889431442"/>
  </sheetPr>
  <dimension ref="A1:F7"/>
  <sheetViews>
    <sheetView zoomScale="84" zoomScaleNormal="84" workbookViewId="0">
      <selection activeCell="D1" sqref="D1"/>
    </sheetView>
  </sheetViews>
  <sheetFormatPr defaultColWidth="9.1796875" defaultRowHeight="13" x14ac:dyDescent="0.3"/>
  <cols>
    <col min="1" max="1" width="55.1796875" style="32" customWidth="1"/>
    <col min="2" max="2" width="13.453125" style="32" customWidth="1"/>
    <col min="3" max="3" width="15.453125" style="32" customWidth="1"/>
    <col min="4" max="4" width="28.1796875" style="32" customWidth="1"/>
    <col min="5" max="5" width="13.26953125" style="32" customWidth="1"/>
    <col min="6" max="16384" width="9.1796875" style="32"/>
  </cols>
  <sheetData>
    <row r="1" spans="1:6" x14ac:dyDescent="0.3">
      <c r="D1" s="349" t="s">
        <v>1352</v>
      </c>
    </row>
    <row r="2" spans="1:6" ht="30.75" customHeight="1" x14ac:dyDescent="0.3">
      <c r="A2" s="996" t="s">
        <v>621</v>
      </c>
      <c r="B2" s="996"/>
      <c r="C2" s="996"/>
      <c r="D2" s="996"/>
      <c r="E2" s="996"/>
    </row>
    <row r="3" spans="1:6" s="355" customFormat="1" ht="65" x14ac:dyDescent="0.3">
      <c r="A3" s="356" t="s">
        <v>2</v>
      </c>
      <c r="B3" s="300" t="s">
        <v>1113</v>
      </c>
      <c r="C3" s="300" t="s">
        <v>1114</v>
      </c>
      <c r="D3" s="356" t="s">
        <v>612</v>
      </c>
      <c r="E3" s="226" t="s">
        <v>194</v>
      </c>
    </row>
    <row r="4" spans="1:6" ht="39.75" customHeight="1" x14ac:dyDescent="0.3">
      <c r="A4" s="359" t="s">
        <v>784</v>
      </c>
      <c r="B4" s="357">
        <f>40*300*1.2359</f>
        <v>14830.8</v>
      </c>
      <c r="C4" s="358"/>
      <c r="D4" s="107" t="s">
        <v>608</v>
      </c>
      <c r="E4" s="991" t="s">
        <v>804</v>
      </c>
    </row>
    <row r="5" spans="1:6" ht="26" x14ac:dyDescent="0.3">
      <c r="A5" s="107" t="s">
        <v>783</v>
      </c>
      <c r="B5" s="501">
        <f>25000*1.21</f>
        <v>30250</v>
      </c>
      <c r="C5" s="501"/>
      <c r="D5" s="1229" t="s">
        <v>779</v>
      </c>
      <c r="E5" s="991"/>
      <c r="F5" s="99"/>
    </row>
    <row r="6" spans="1:6" ht="26" x14ac:dyDescent="0.3">
      <c r="A6" s="107" t="s">
        <v>782</v>
      </c>
      <c r="B6" s="502"/>
      <c r="C6" s="501">
        <f>500*12*1.21</f>
        <v>7260</v>
      </c>
      <c r="D6" s="1229"/>
      <c r="E6" s="991"/>
      <c r="F6" s="99"/>
    </row>
    <row r="7" spans="1:6" s="370" customFormat="1" x14ac:dyDescent="0.3">
      <c r="A7" s="363" t="s">
        <v>311</v>
      </c>
      <c r="B7" s="360">
        <f>SUM(B4:B6)</f>
        <v>45080.800000000003</v>
      </c>
      <c r="C7" s="360">
        <f>SUM(C4:C6)</f>
        <v>7260</v>
      </c>
      <c r="D7" s="371"/>
      <c r="E7" s="991"/>
    </row>
  </sheetData>
  <mergeCells count="3">
    <mergeCell ref="D5:D6"/>
    <mergeCell ref="E4:E7"/>
    <mergeCell ref="A2:E2"/>
  </mergeCells>
  <pageMargins left="0.7" right="0.7" top="0.75" bottom="0.75" header="0.3" footer="0.3"/>
  <pageSetup paperSize="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B37D3-9801-4ECC-9D89-6334D4F8AF79}">
  <sheetPr>
    <tabColor theme="9" tint="0.79998168889431442"/>
  </sheetPr>
  <dimension ref="A1:D6"/>
  <sheetViews>
    <sheetView zoomScale="78" zoomScaleNormal="78" workbookViewId="0">
      <selection activeCell="C1" sqref="C1"/>
    </sheetView>
  </sheetViews>
  <sheetFormatPr defaultColWidth="9.1796875" defaultRowHeight="13" x14ac:dyDescent="0.3"/>
  <cols>
    <col min="1" max="1" width="55.1796875" style="32" customWidth="1"/>
    <col min="2" max="2" width="14.54296875" style="32" customWidth="1"/>
    <col min="3" max="3" width="17.1796875" style="32" customWidth="1"/>
    <col min="4" max="4" width="20" style="32" customWidth="1"/>
    <col min="5" max="16384" width="9.1796875" style="32"/>
  </cols>
  <sheetData>
    <row r="1" spans="1:4" x14ac:dyDescent="0.3">
      <c r="C1" s="32" t="s">
        <v>1353</v>
      </c>
    </row>
    <row r="2" spans="1:4" ht="25.5" customHeight="1" x14ac:dyDescent="0.3">
      <c r="A2" s="996" t="s">
        <v>622</v>
      </c>
      <c r="B2" s="996"/>
      <c r="C2" s="996"/>
      <c r="D2" s="996"/>
    </row>
    <row r="3" spans="1:4" ht="52" x14ac:dyDescent="0.3">
      <c r="A3" s="356" t="s">
        <v>2</v>
      </c>
      <c r="B3" s="300" t="s">
        <v>1113</v>
      </c>
      <c r="C3" s="300" t="s">
        <v>1114</v>
      </c>
      <c r="D3" s="226" t="s">
        <v>194</v>
      </c>
    </row>
    <row r="4" spans="1:4" ht="26" x14ac:dyDescent="0.3">
      <c r="A4" s="359" t="s">
        <v>623</v>
      </c>
      <c r="B4" s="365">
        <f>75*200*1.2359</f>
        <v>18538.5</v>
      </c>
      <c r="C4" s="365"/>
      <c r="D4" s="991" t="s">
        <v>804</v>
      </c>
    </row>
    <row r="5" spans="1:4" ht="26" x14ac:dyDescent="0.3">
      <c r="A5" s="359" t="s">
        <v>624</v>
      </c>
      <c r="B5" s="367"/>
      <c r="C5" s="365">
        <f>400*12*1.21</f>
        <v>5808</v>
      </c>
      <c r="D5" s="991"/>
    </row>
    <row r="6" spans="1:4" s="370" customFormat="1" x14ac:dyDescent="0.3">
      <c r="A6" s="372" t="s">
        <v>311</v>
      </c>
      <c r="B6" s="373">
        <f>SUM(B4:B5)</f>
        <v>18538.5</v>
      </c>
      <c r="C6" s="373">
        <f>SUM(C4:C5)</f>
        <v>5808</v>
      </c>
      <c r="D6" s="991"/>
    </row>
  </sheetData>
  <mergeCells count="2">
    <mergeCell ref="D4:D6"/>
    <mergeCell ref="A2:D2"/>
  </mergeCells>
  <pageMargins left="0.7" right="0.7" top="0.75" bottom="0.75" header="0.3" footer="0.3"/>
  <pageSetup paperSize="9"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B7682-0B6C-4E86-BC0B-4337B40258EB}">
  <sheetPr>
    <tabColor theme="2" tint="-0.249977111117893"/>
  </sheetPr>
  <dimension ref="A1:B9"/>
  <sheetViews>
    <sheetView zoomScale="75" zoomScaleNormal="75" workbookViewId="0">
      <selection activeCell="B1" sqref="B1"/>
    </sheetView>
  </sheetViews>
  <sheetFormatPr defaultColWidth="9.1796875" defaultRowHeight="13" x14ac:dyDescent="0.3"/>
  <cols>
    <col min="1" max="1" width="58.81640625" style="32" customWidth="1"/>
    <col min="2" max="2" width="14.81640625" style="32" customWidth="1"/>
    <col min="3" max="16384" width="9.1796875" style="32"/>
  </cols>
  <sheetData>
    <row r="1" spans="1:2" x14ac:dyDescent="0.3">
      <c r="B1" s="32" t="s">
        <v>1354</v>
      </c>
    </row>
    <row r="2" spans="1:2" ht="52.5" customHeight="1" x14ac:dyDescent="0.3">
      <c r="A2" s="999" t="s">
        <v>177</v>
      </c>
      <c r="B2" s="999"/>
    </row>
    <row r="3" spans="1:2" ht="39" x14ac:dyDescent="0.3">
      <c r="A3" s="1057" t="s">
        <v>2</v>
      </c>
      <c r="B3" s="353" t="s">
        <v>1105</v>
      </c>
    </row>
    <row r="4" spans="1:2" x14ac:dyDescent="0.3">
      <c r="A4" s="1057"/>
      <c r="B4" s="353" t="s">
        <v>195</v>
      </c>
    </row>
    <row r="5" spans="1:2" ht="26" x14ac:dyDescent="0.3">
      <c r="A5" s="350" t="s">
        <v>177</v>
      </c>
      <c r="B5" s="351">
        <v>35000</v>
      </c>
    </row>
    <row r="6" spans="1:2" x14ac:dyDescent="0.3">
      <c r="A6" s="379" t="s">
        <v>311</v>
      </c>
      <c r="B6" s="380">
        <f>B5</f>
        <v>35000</v>
      </c>
    </row>
    <row r="7" spans="1:2" ht="51" customHeight="1" x14ac:dyDescent="0.3">
      <c r="A7" s="995" t="s">
        <v>847</v>
      </c>
      <c r="B7" s="995"/>
    </row>
    <row r="9" spans="1:2" x14ac:dyDescent="0.3">
      <c r="A9" s="1230"/>
      <c r="B9" s="1230"/>
    </row>
  </sheetData>
  <mergeCells count="4">
    <mergeCell ref="A2:B2"/>
    <mergeCell ref="A3:A4"/>
    <mergeCell ref="A7:B7"/>
    <mergeCell ref="A9:B9"/>
  </mergeCells>
  <pageMargins left="0.7" right="0.7" top="0.75" bottom="0.75" header="0.3" footer="0.3"/>
  <pageSetup paperSize="9"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33BDF-F94C-4912-BFAF-97FFCF7CF1EC}">
  <sheetPr>
    <tabColor theme="2" tint="-0.249977111117893"/>
  </sheetPr>
  <dimension ref="A1:D7"/>
  <sheetViews>
    <sheetView zoomScale="84" zoomScaleNormal="84" workbookViewId="0">
      <selection activeCell="D1" sqref="D1"/>
    </sheetView>
  </sheetViews>
  <sheetFormatPr defaultColWidth="9.1796875" defaultRowHeight="13" x14ac:dyDescent="0.3"/>
  <cols>
    <col min="1" max="1" width="58.81640625" style="32" customWidth="1"/>
    <col min="2" max="2" width="14.81640625" style="32" customWidth="1"/>
    <col min="3" max="16384" width="9.1796875" style="32"/>
  </cols>
  <sheetData>
    <row r="1" spans="1:4" x14ac:dyDescent="0.3">
      <c r="D1" s="32" t="s">
        <v>1355</v>
      </c>
    </row>
    <row r="2" spans="1:4" ht="16.5" customHeight="1" x14ac:dyDescent="0.3">
      <c r="A2" s="999" t="s">
        <v>179</v>
      </c>
      <c r="B2" s="999"/>
      <c r="C2" s="999"/>
      <c r="D2" s="999"/>
    </row>
    <row r="3" spans="1:4" ht="25.5" customHeight="1" x14ac:dyDescent="0.3">
      <c r="A3" s="1057" t="s">
        <v>2</v>
      </c>
      <c r="B3" s="1001" t="s">
        <v>1105</v>
      </c>
      <c r="C3" s="1219"/>
      <c r="D3" s="1002"/>
    </row>
    <row r="4" spans="1:4" ht="39" x14ac:dyDescent="0.3">
      <c r="A4" s="1057"/>
      <c r="B4" s="353" t="s">
        <v>196</v>
      </c>
      <c r="C4" s="353" t="s">
        <v>197</v>
      </c>
      <c r="D4" s="353" t="s">
        <v>607</v>
      </c>
    </row>
    <row r="5" spans="1:4" x14ac:dyDescent="0.3">
      <c r="A5" s="350" t="s">
        <v>179</v>
      </c>
      <c r="B5" s="351">
        <v>400000</v>
      </c>
      <c r="C5" s="351">
        <v>450000</v>
      </c>
      <c r="D5" s="351">
        <v>136000</v>
      </c>
    </row>
    <row r="6" spans="1:4" x14ac:dyDescent="0.3">
      <c r="A6" s="379" t="s">
        <v>311</v>
      </c>
      <c r="B6" s="380">
        <f>B5</f>
        <v>400000</v>
      </c>
      <c r="C6" s="380">
        <f t="shared" ref="C6:D6" si="0">C5</f>
        <v>450000</v>
      </c>
      <c r="D6" s="380">
        <f t="shared" si="0"/>
        <v>136000</v>
      </c>
    </row>
    <row r="7" spans="1:4" ht="42.75" customHeight="1" x14ac:dyDescent="0.3">
      <c r="A7" s="995" t="s">
        <v>847</v>
      </c>
      <c r="B7" s="995"/>
      <c r="C7" s="995"/>
      <c r="D7" s="995"/>
    </row>
  </sheetData>
  <mergeCells count="4">
    <mergeCell ref="A3:A4"/>
    <mergeCell ref="B3:D3"/>
    <mergeCell ref="A2:D2"/>
    <mergeCell ref="A7:D7"/>
  </mergeCells>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6F313-24E2-4F7E-B66F-02D8DFB0A9C5}">
  <sheetPr>
    <tabColor theme="2" tint="-0.249977111117893"/>
  </sheetPr>
  <dimension ref="A1:B7"/>
  <sheetViews>
    <sheetView zoomScale="86" zoomScaleNormal="86" workbookViewId="0">
      <selection activeCell="B1" sqref="B1"/>
    </sheetView>
  </sheetViews>
  <sheetFormatPr defaultColWidth="9.1796875" defaultRowHeight="13" x14ac:dyDescent="0.3"/>
  <cols>
    <col min="1" max="1" width="58.81640625" style="32" customWidth="1"/>
    <col min="2" max="2" width="14.81640625" style="32" customWidth="1"/>
    <col min="3" max="16384" width="9.1796875" style="32"/>
  </cols>
  <sheetData>
    <row r="1" spans="1:2" x14ac:dyDescent="0.3">
      <c r="B1" s="32" t="s">
        <v>1356</v>
      </c>
    </row>
    <row r="2" spans="1:2" ht="16.5" customHeight="1" x14ac:dyDescent="0.3">
      <c r="A2" s="999" t="s">
        <v>181</v>
      </c>
      <c r="B2" s="999"/>
    </row>
    <row r="3" spans="1:2" ht="25.5" customHeight="1" x14ac:dyDescent="0.3">
      <c r="A3" s="1057" t="s">
        <v>2</v>
      </c>
      <c r="B3" s="353" t="s">
        <v>1105</v>
      </c>
    </row>
    <row r="4" spans="1:2" x14ac:dyDescent="0.3">
      <c r="A4" s="1057"/>
      <c r="B4" s="353" t="s">
        <v>197</v>
      </c>
    </row>
    <row r="5" spans="1:2" ht="26" x14ac:dyDescent="0.3">
      <c r="A5" s="350" t="s">
        <v>181</v>
      </c>
      <c r="B5" s="351">
        <v>150000</v>
      </c>
    </row>
    <row r="6" spans="1:2" x14ac:dyDescent="0.3">
      <c r="A6" s="379" t="s">
        <v>311</v>
      </c>
      <c r="B6" s="380">
        <f>B5</f>
        <v>150000</v>
      </c>
    </row>
    <row r="7" spans="1:2" ht="57" customHeight="1" x14ac:dyDescent="0.3">
      <c r="A7" s="995" t="s">
        <v>847</v>
      </c>
      <c r="B7" s="995"/>
    </row>
  </sheetData>
  <mergeCells count="3">
    <mergeCell ref="A2:B2"/>
    <mergeCell ref="A3:A4"/>
    <mergeCell ref="A7:B7"/>
  </mergeCells>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DD370-E695-4B77-A5D1-298A6B26306C}">
  <sheetPr>
    <tabColor theme="2" tint="-0.249977111117893"/>
  </sheetPr>
  <dimension ref="A1:C7"/>
  <sheetViews>
    <sheetView zoomScale="80" zoomScaleNormal="80" workbookViewId="0">
      <selection activeCell="C1" sqref="C1"/>
    </sheetView>
  </sheetViews>
  <sheetFormatPr defaultColWidth="9.1796875" defaultRowHeight="13" x14ac:dyDescent="0.3"/>
  <cols>
    <col min="1" max="1" width="58.81640625" style="32" customWidth="1"/>
    <col min="2" max="16384" width="9.1796875" style="32"/>
  </cols>
  <sheetData>
    <row r="1" spans="1:3" x14ac:dyDescent="0.3">
      <c r="C1" s="32" t="s">
        <v>1357</v>
      </c>
    </row>
    <row r="2" spans="1:3" ht="16.5" customHeight="1" x14ac:dyDescent="0.3">
      <c r="A2" s="999" t="s">
        <v>183</v>
      </c>
      <c r="B2" s="999"/>
      <c r="C2" s="999"/>
    </row>
    <row r="3" spans="1:3" ht="25.5" customHeight="1" x14ac:dyDescent="0.3">
      <c r="A3" s="1057" t="s">
        <v>2</v>
      </c>
      <c r="B3" s="1219" t="s">
        <v>1105</v>
      </c>
      <c r="C3" s="1002"/>
    </row>
    <row r="4" spans="1:3" ht="39" x14ac:dyDescent="0.3">
      <c r="A4" s="1057"/>
      <c r="B4" s="353" t="s">
        <v>197</v>
      </c>
      <c r="C4" s="353" t="s">
        <v>607</v>
      </c>
    </row>
    <row r="5" spans="1:3" x14ac:dyDescent="0.3">
      <c r="A5" s="350" t="s">
        <v>183</v>
      </c>
      <c r="B5" s="351">
        <v>165000</v>
      </c>
      <c r="C5" s="351">
        <v>26400</v>
      </c>
    </row>
    <row r="6" spans="1:3" x14ac:dyDescent="0.3">
      <c r="A6" s="379" t="s">
        <v>311</v>
      </c>
      <c r="B6" s="380">
        <f>B5</f>
        <v>165000</v>
      </c>
      <c r="C6" s="380">
        <f>C5</f>
        <v>26400</v>
      </c>
    </row>
    <row r="7" spans="1:3" ht="52.5" customHeight="1" x14ac:dyDescent="0.3">
      <c r="A7" s="995" t="s">
        <v>847</v>
      </c>
      <c r="B7" s="995"/>
      <c r="C7" s="995"/>
    </row>
  </sheetData>
  <mergeCells count="4">
    <mergeCell ref="A2:C2"/>
    <mergeCell ref="A3:A4"/>
    <mergeCell ref="B3:C3"/>
    <mergeCell ref="A7:C7"/>
  </mergeCells>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6B530-751B-4FEA-880A-E8A562AFF737}">
  <sheetPr>
    <tabColor theme="2" tint="-0.249977111117893"/>
  </sheetPr>
  <dimension ref="A1:D10"/>
  <sheetViews>
    <sheetView zoomScale="75" zoomScaleNormal="75" workbookViewId="0">
      <selection activeCell="D1" sqref="D1"/>
    </sheetView>
  </sheetViews>
  <sheetFormatPr defaultColWidth="9.1796875" defaultRowHeight="13" x14ac:dyDescent="0.3"/>
  <cols>
    <col min="1" max="1" width="71.81640625" style="32" customWidth="1"/>
    <col min="2" max="2" width="14.81640625" style="32" customWidth="1"/>
    <col min="3" max="3" width="13.453125" style="32" customWidth="1"/>
    <col min="4" max="4" width="15.26953125" style="32" customWidth="1"/>
    <col min="5" max="16384" width="9.1796875" style="32"/>
  </cols>
  <sheetData>
    <row r="1" spans="1:4" x14ac:dyDescent="0.3">
      <c r="D1" s="32" t="s">
        <v>1358</v>
      </c>
    </row>
    <row r="2" spans="1:4" ht="32.25" customHeight="1" x14ac:dyDescent="0.3">
      <c r="A2" s="999" t="s">
        <v>625</v>
      </c>
      <c r="B2" s="999"/>
      <c r="C2" s="999"/>
      <c r="D2" s="999"/>
    </row>
    <row r="3" spans="1:4" ht="25.5" customHeight="1" x14ac:dyDescent="0.3">
      <c r="A3" s="1057" t="s">
        <v>2</v>
      </c>
      <c r="B3" s="1001" t="s">
        <v>1105</v>
      </c>
      <c r="C3" s="1219"/>
      <c r="D3" s="1002"/>
    </row>
    <row r="4" spans="1:4" ht="26" x14ac:dyDescent="0.3">
      <c r="A4" s="1057"/>
      <c r="B4" s="353" t="s">
        <v>196</v>
      </c>
      <c r="C4" s="353" t="s">
        <v>197</v>
      </c>
      <c r="D4" s="353" t="s">
        <v>607</v>
      </c>
    </row>
    <row r="5" spans="1:4" x14ac:dyDescent="0.3">
      <c r="A5" s="358" t="s">
        <v>626</v>
      </c>
      <c r="B5" s="377"/>
      <c r="C5" s="377"/>
      <c r="D5" s="377"/>
    </row>
    <row r="6" spans="1:4" ht="39" x14ac:dyDescent="0.3">
      <c r="A6" s="529" t="s">
        <v>815</v>
      </c>
      <c r="B6" s="530">
        <v>125000</v>
      </c>
      <c r="C6" s="378">
        <v>125000</v>
      </c>
      <c r="D6" s="378">
        <v>40000</v>
      </c>
    </row>
    <row r="7" spans="1:4" ht="39" x14ac:dyDescent="0.3">
      <c r="A7" s="529" t="s">
        <v>816</v>
      </c>
      <c r="B7" s="530">
        <v>50000</v>
      </c>
      <c r="C7" s="378">
        <v>150000</v>
      </c>
      <c r="D7" s="378">
        <v>32000</v>
      </c>
    </row>
    <row r="8" spans="1:4" ht="26" x14ac:dyDescent="0.3">
      <c r="A8" s="529" t="s">
        <v>817</v>
      </c>
      <c r="B8" s="530">
        <v>150000</v>
      </c>
      <c r="C8" s="378">
        <v>350000</v>
      </c>
      <c r="D8" s="378">
        <v>80000</v>
      </c>
    </row>
    <row r="9" spans="1:4" x14ac:dyDescent="0.3">
      <c r="A9" s="379"/>
      <c r="B9" s="380">
        <f>B6+B7+B8</f>
        <v>325000</v>
      </c>
      <c r="C9" s="380">
        <f t="shared" ref="C9:D9" si="0">C6+C7+C8</f>
        <v>625000</v>
      </c>
      <c r="D9" s="380">
        <f t="shared" si="0"/>
        <v>152000</v>
      </c>
    </row>
    <row r="10" spans="1:4" ht="39.75" customHeight="1" x14ac:dyDescent="0.3">
      <c r="A10" s="995" t="s">
        <v>847</v>
      </c>
      <c r="B10" s="995"/>
      <c r="C10" s="995"/>
      <c r="D10" s="995"/>
    </row>
  </sheetData>
  <mergeCells count="4">
    <mergeCell ref="A3:A4"/>
    <mergeCell ref="A2:D2"/>
    <mergeCell ref="B3:D3"/>
    <mergeCell ref="A10:D10"/>
  </mergeCells>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CEEC4-220C-4993-B39C-B41093A3395C}">
  <sheetPr>
    <tabColor theme="0" tint="-4.9989318521683403E-2"/>
  </sheetPr>
  <dimension ref="A1:C6"/>
  <sheetViews>
    <sheetView tabSelected="1" zoomScale="78" zoomScaleNormal="78" workbookViewId="0">
      <selection sqref="A1:C1"/>
    </sheetView>
  </sheetViews>
  <sheetFormatPr defaultColWidth="9.1796875" defaultRowHeight="13" x14ac:dyDescent="0.3"/>
  <cols>
    <col min="1" max="1" width="85" style="32" customWidth="1"/>
    <col min="2" max="2" width="23.1796875" style="32" customWidth="1"/>
    <col min="3" max="3" width="18.26953125" style="32" customWidth="1"/>
    <col min="4" max="16384" width="9.1796875" style="32"/>
  </cols>
  <sheetData>
    <row r="1" spans="1:3" x14ac:dyDescent="0.3">
      <c r="A1" s="1081" t="s">
        <v>1359</v>
      </c>
      <c r="B1" s="1081"/>
      <c r="C1" s="1081"/>
    </row>
    <row r="2" spans="1:3" x14ac:dyDescent="0.3">
      <c r="A2" s="1080" t="s">
        <v>788</v>
      </c>
      <c r="B2" s="1080"/>
      <c r="C2" s="1080"/>
    </row>
    <row r="3" spans="1:3" ht="15" customHeight="1" x14ac:dyDescent="0.3">
      <c r="A3" s="1104" t="s">
        <v>2</v>
      </c>
      <c r="B3" s="1184" t="s">
        <v>605</v>
      </c>
      <c r="C3" s="1184"/>
    </row>
    <row r="4" spans="1:3" x14ac:dyDescent="0.3">
      <c r="A4" s="1105"/>
      <c r="B4" s="343" t="s">
        <v>195</v>
      </c>
      <c r="C4" s="427" t="s">
        <v>196</v>
      </c>
    </row>
    <row r="5" spans="1:3" x14ac:dyDescent="0.3">
      <c r="A5" s="359" t="s">
        <v>788</v>
      </c>
      <c r="B5" s="485">
        <v>2164692</v>
      </c>
      <c r="C5" s="423">
        <v>1915390</v>
      </c>
    </row>
    <row r="6" spans="1:3" ht="50.25" customHeight="1" x14ac:dyDescent="0.3">
      <c r="A6" s="995" t="s">
        <v>814</v>
      </c>
      <c r="B6" s="995"/>
      <c r="C6" s="995"/>
    </row>
  </sheetData>
  <mergeCells count="5">
    <mergeCell ref="A1:C1"/>
    <mergeCell ref="A3:A4"/>
    <mergeCell ref="B3:C3"/>
    <mergeCell ref="A2:C2"/>
    <mergeCell ref="A6:C6"/>
  </mergeCells>
  <pageMargins left="0.7" right="0.7" top="0.75" bottom="0.75" header="0.3" footer="0.3"/>
  <pageSetup paperSize="9" orientation="portrait" r:id="rId1"/>
</worksheet>
</file>

<file path=docMetadata/LabelInfo.xml><?xml version="1.0" encoding="utf-8"?>
<clbl:labelList xmlns:clbl="http://schemas.microsoft.com/office/2020/mipLabelMetadata">
  <clbl:label id="{171abc8c-0b18-4336-97d7-51d65f5c7f99}" enabled="1" method="Standard" siteId="{dbc9012d-628b-43d4-b190-8a730f7e1e96}"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68</vt:i4>
      </vt:variant>
    </vt:vector>
  </HeadingPairs>
  <TitlesOfParts>
    <vt:vector size="68" baseType="lpstr">
      <vt:lpstr>KOPSAVILKUMS</vt:lpstr>
      <vt:lpstr>1.1.</vt:lpstr>
      <vt:lpstr>1.2.</vt:lpstr>
      <vt:lpstr>1.3.</vt:lpstr>
      <vt:lpstr>1.4.</vt:lpstr>
      <vt:lpstr>1.5.</vt:lpstr>
      <vt:lpstr>1.6.</vt:lpstr>
      <vt:lpstr>1.7.</vt:lpstr>
      <vt:lpstr>1.8.1.</vt:lpstr>
      <vt:lpstr>1.10.1.</vt:lpstr>
      <vt:lpstr>1.10.4.</vt:lpstr>
      <vt:lpstr>1.13.</vt:lpstr>
      <vt:lpstr>1.14.</vt:lpstr>
      <vt:lpstr>1.16.2.</vt:lpstr>
      <vt:lpstr>1.17.</vt:lpstr>
      <vt:lpstr>1.18.2.</vt:lpstr>
      <vt:lpstr>1.18.3.</vt:lpstr>
      <vt:lpstr>1.20.1.</vt:lpstr>
      <vt:lpstr>1.20.2.</vt:lpstr>
      <vt:lpstr>1.23.3.</vt:lpstr>
      <vt:lpstr>1.28.</vt:lpstr>
      <vt:lpstr>3.3.1.</vt:lpstr>
      <vt:lpstr>3.3.2.</vt:lpstr>
      <vt:lpstr>3.4.</vt:lpstr>
      <vt:lpstr>3.5.1.</vt:lpstr>
      <vt:lpstr>3.6.1.</vt:lpstr>
      <vt:lpstr>3.6.2.</vt:lpstr>
      <vt:lpstr>3.8.</vt:lpstr>
      <vt:lpstr>3.9.2.</vt:lpstr>
      <vt:lpstr>3.10.1.</vt:lpstr>
      <vt:lpstr>3.11.1.</vt:lpstr>
      <vt:lpstr>3.11.2.</vt:lpstr>
      <vt:lpstr>3.12.</vt:lpstr>
      <vt:lpstr>3.13.1</vt:lpstr>
      <vt:lpstr>3.13.2.</vt:lpstr>
      <vt:lpstr>3.13.3</vt:lpstr>
      <vt:lpstr>3.14.1.</vt:lpstr>
      <vt:lpstr>3.14.2</vt:lpstr>
      <vt:lpstr>3.15.</vt:lpstr>
      <vt:lpstr>3.16.1.</vt:lpstr>
      <vt:lpstr>3.16.2.</vt:lpstr>
      <vt:lpstr>3.17.1.</vt:lpstr>
      <vt:lpstr>3.17.2.</vt:lpstr>
      <vt:lpstr>3.18.</vt:lpstr>
      <vt:lpstr>3.20.</vt:lpstr>
      <vt:lpstr>4.1.1.</vt:lpstr>
      <vt:lpstr>4.1.2.</vt:lpstr>
      <vt:lpstr>4.2.</vt:lpstr>
      <vt:lpstr>4.3.</vt:lpstr>
      <vt:lpstr>4.4.1.1.</vt:lpstr>
      <vt:lpstr>4.4.1.2.</vt:lpstr>
      <vt:lpstr>4.4.2.1.</vt:lpstr>
      <vt:lpstr>4.5.</vt:lpstr>
      <vt:lpstr>4.7.1.</vt:lpstr>
      <vt:lpstr>4.7.2.</vt:lpstr>
      <vt:lpstr>4.7.3.</vt:lpstr>
      <vt:lpstr>4.7.4.</vt:lpstr>
      <vt:lpstr>4.10.1.</vt:lpstr>
      <vt:lpstr>4.11.</vt:lpstr>
      <vt:lpstr>4.16.</vt:lpstr>
      <vt:lpstr>4.17.</vt:lpstr>
      <vt:lpstr>4.20.</vt:lpstr>
      <vt:lpstr>5.1.</vt:lpstr>
      <vt:lpstr>5.2.</vt:lpstr>
      <vt:lpstr>5.3.</vt:lpstr>
      <vt:lpstr>5.4.</vt:lpstr>
      <vt:lpstr>5.8.</vt:lpstr>
      <vt:lpstr>5.10.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Ivita Šņore</dc:creator>
  <cp:lastModifiedBy>Sandra Zērande</cp:lastModifiedBy>
  <dcterms:created xsi:type="dcterms:W3CDTF">2025-01-14T11:32:10Z</dcterms:created>
  <dcterms:modified xsi:type="dcterms:W3CDTF">2025-10-22T12:00:25Z</dcterms:modified>
</cp:coreProperties>
</file>