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8CF5803-C115-43CA-BEE1-3460F2708268}" xr6:coauthVersionLast="47" xr6:coauthVersionMax="47" xr10:uidLastSave="{00000000-0000-0000-0000-000000000000}"/>
  <bookViews>
    <workbookView xWindow="-108" yWindow="-108" windowWidth="23256" windowHeight="12456" tabRatio="637" xr2:uid="{00000000-000D-0000-FFFF-FFFF00000000}"/>
  </bookViews>
  <sheets>
    <sheet name="4.piel 09.2025" sheetId="86" r:id="rId1"/>
  </sheets>
  <definedNames>
    <definedName name="_xlnm.Print_Titles" localSheetId="0">'4.piel 09.2025'!$8:$8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02" i="86" l="1"/>
  <c r="N601" i="86"/>
  <c r="M601" i="86"/>
  <c r="L601" i="86"/>
  <c r="K601" i="86"/>
  <c r="J601" i="86"/>
  <c r="I601" i="86"/>
  <c r="H601" i="86"/>
  <c r="M600" i="86"/>
  <c r="O599" i="86"/>
  <c r="N599" i="86"/>
  <c r="N600" i="86" s="1"/>
  <c r="L599" i="86"/>
  <c r="L600" i="86" s="1"/>
  <c r="K599" i="86"/>
  <c r="K600" i="86" s="1"/>
  <c r="J599" i="86"/>
  <c r="J600" i="86" s="1"/>
  <c r="I599" i="86"/>
  <c r="I600" i="86" s="1"/>
  <c r="H599" i="86"/>
  <c r="O598" i="86"/>
  <c r="M597" i="86"/>
  <c r="O596" i="86"/>
  <c r="N596" i="86"/>
  <c r="N597" i="86" s="1"/>
  <c r="L596" i="86"/>
  <c r="L597" i="86" s="1"/>
  <c r="K596" i="86"/>
  <c r="K597" i="86" s="1"/>
  <c r="J596" i="86"/>
  <c r="J597" i="86" s="1"/>
  <c r="I596" i="86"/>
  <c r="I597" i="86" s="1"/>
  <c r="H596" i="86"/>
  <c r="H597" i="86" s="1"/>
  <c r="O595" i="86"/>
  <c r="O594" i="86"/>
  <c r="N594" i="86"/>
  <c r="M594" i="86"/>
  <c r="L594" i="86"/>
  <c r="K594" i="86"/>
  <c r="J594" i="86"/>
  <c r="I594" i="86"/>
  <c r="H593" i="86"/>
  <c r="P592" i="86"/>
  <c r="N591" i="86"/>
  <c r="M591" i="86"/>
  <c r="O590" i="86"/>
  <c r="L590" i="86"/>
  <c r="L591" i="86" s="1"/>
  <c r="K590" i="86"/>
  <c r="K591" i="86" s="1"/>
  <c r="J590" i="86"/>
  <c r="J591" i="86" s="1"/>
  <c r="I590" i="86"/>
  <c r="I591" i="86" s="1"/>
  <c r="H590" i="86"/>
  <c r="H591" i="86" s="1"/>
  <c r="O589" i="86"/>
  <c r="P589" i="86" s="1"/>
  <c r="M588" i="86"/>
  <c r="O587" i="86"/>
  <c r="N587" i="86"/>
  <c r="N588" i="86" s="1"/>
  <c r="L587" i="86"/>
  <c r="L588" i="86" s="1"/>
  <c r="K587" i="86"/>
  <c r="K588" i="86" s="1"/>
  <c r="J587" i="86"/>
  <c r="J588" i="86" s="1"/>
  <c r="I587" i="86"/>
  <c r="I588" i="86" s="1"/>
  <c r="H587" i="86"/>
  <c r="H588" i="86" s="1"/>
  <c r="O586" i="86"/>
  <c r="M585" i="86"/>
  <c r="O584" i="86"/>
  <c r="N584" i="86"/>
  <c r="L584" i="86"/>
  <c r="L585" i="86" s="1"/>
  <c r="K584" i="86"/>
  <c r="J584" i="86"/>
  <c r="J585" i="86" s="1"/>
  <c r="I584" i="86"/>
  <c r="I585" i="86" s="1"/>
  <c r="H584" i="86"/>
  <c r="H585" i="86" s="1"/>
  <c r="O583" i="86"/>
  <c r="P583" i="86" s="1"/>
  <c r="O582" i="86"/>
  <c r="N582" i="86"/>
  <c r="M582" i="86"/>
  <c r="L582" i="86"/>
  <c r="K582" i="86"/>
  <c r="J581" i="86"/>
  <c r="J582" i="86" s="1"/>
  <c r="I581" i="86"/>
  <c r="H581" i="86"/>
  <c r="P580" i="86"/>
  <c r="N574" i="86"/>
  <c r="O573" i="86"/>
  <c r="N573" i="86"/>
  <c r="M573" i="86"/>
  <c r="L573" i="86"/>
  <c r="K573" i="86"/>
  <c r="J573" i="86"/>
  <c r="I573" i="86"/>
  <c r="H573" i="86"/>
  <c r="P572" i="86"/>
  <c r="P571" i="86"/>
  <c r="O570" i="86"/>
  <c r="N570" i="86"/>
  <c r="M570" i="86"/>
  <c r="L570" i="86"/>
  <c r="K570" i="86"/>
  <c r="J570" i="86"/>
  <c r="I570" i="86"/>
  <c r="H570" i="86"/>
  <c r="P569" i="86"/>
  <c r="P568" i="86"/>
  <c r="O567" i="86"/>
  <c r="N567" i="86"/>
  <c r="M567" i="86"/>
  <c r="L567" i="86"/>
  <c r="K567" i="86"/>
  <c r="J567" i="86"/>
  <c r="I567" i="86"/>
  <c r="H567" i="86"/>
  <c r="P566" i="86"/>
  <c r="P565" i="86"/>
  <c r="O564" i="86"/>
  <c r="N564" i="86"/>
  <c r="M564" i="86"/>
  <c r="L564" i="86"/>
  <c r="K564" i="86"/>
  <c r="J564" i="86"/>
  <c r="I564" i="86"/>
  <c r="H564" i="86"/>
  <c r="P563" i="86"/>
  <c r="P562" i="86"/>
  <c r="N561" i="86"/>
  <c r="M561" i="86"/>
  <c r="L561" i="86"/>
  <c r="K561" i="86"/>
  <c r="J561" i="86"/>
  <c r="I561" i="86"/>
  <c r="O560" i="86"/>
  <c r="H560" i="86"/>
  <c r="O559" i="86"/>
  <c r="P559" i="86" s="1"/>
  <c r="N558" i="86"/>
  <c r="M558" i="86"/>
  <c r="L558" i="86"/>
  <c r="K558" i="86"/>
  <c r="J558" i="86"/>
  <c r="I558" i="86"/>
  <c r="O557" i="86"/>
  <c r="H557" i="86"/>
  <c r="O556" i="86"/>
  <c r="N555" i="86"/>
  <c r="M555" i="86"/>
  <c r="L555" i="86"/>
  <c r="K555" i="86"/>
  <c r="J555" i="86"/>
  <c r="I555" i="86"/>
  <c r="H555" i="86"/>
  <c r="O554" i="86"/>
  <c r="P554" i="86" s="1"/>
  <c r="O553" i="86"/>
  <c r="N552" i="86"/>
  <c r="M552" i="86"/>
  <c r="L552" i="86"/>
  <c r="K552" i="86"/>
  <c r="J552" i="86"/>
  <c r="I552" i="86"/>
  <c r="H552" i="86"/>
  <c r="O551" i="86"/>
  <c r="P551" i="86" s="1"/>
  <c r="O550" i="86"/>
  <c r="N549" i="86"/>
  <c r="M549" i="86"/>
  <c r="L549" i="86"/>
  <c r="K549" i="86"/>
  <c r="J549" i="86"/>
  <c r="I549" i="86"/>
  <c r="O548" i="86"/>
  <c r="H548" i="86"/>
  <c r="H549" i="86" s="1"/>
  <c r="O547" i="86"/>
  <c r="N546" i="86"/>
  <c r="M546" i="86"/>
  <c r="L546" i="86"/>
  <c r="K546" i="86"/>
  <c r="J546" i="86"/>
  <c r="I546" i="86"/>
  <c r="O545" i="86"/>
  <c r="H545" i="86"/>
  <c r="O544" i="86"/>
  <c r="P544" i="86" s="1"/>
  <c r="N543" i="86"/>
  <c r="M543" i="86"/>
  <c r="L543" i="86"/>
  <c r="K543" i="86"/>
  <c r="J543" i="86"/>
  <c r="I543" i="86"/>
  <c r="H543" i="86"/>
  <c r="O542" i="86"/>
  <c r="P542" i="86" s="1"/>
  <c r="O541" i="86"/>
  <c r="P541" i="86" s="1"/>
  <c r="N540" i="86"/>
  <c r="M540" i="86"/>
  <c r="L540" i="86"/>
  <c r="K540" i="86"/>
  <c r="J540" i="86"/>
  <c r="I540" i="86"/>
  <c r="H540" i="86"/>
  <c r="O539" i="86"/>
  <c r="P539" i="86" s="1"/>
  <c r="O538" i="86"/>
  <c r="N537" i="86"/>
  <c r="M537" i="86"/>
  <c r="L537" i="86"/>
  <c r="K537" i="86"/>
  <c r="J537" i="86"/>
  <c r="I537" i="86"/>
  <c r="H537" i="86"/>
  <c r="O536" i="86"/>
  <c r="P536" i="86" s="1"/>
  <c r="O535" i="86"/>
  <c r="P535" i="86" s="1"/>
  <c r="N534" i="86"/>
  <c r="M534" i="86"/>
  <c r="L534" i="86"/>
  <c r="K534" i="86"/>
  <c r="J534" i="86"/>
  <c r="I534" i="86"/>
  <c r="O533" i="86"/>
  <c r="H533" i="86"/>
  <c r="H534" i="86" s="1"/>
  <c r="O532" i="86"/>
  <c r="P532" i="86" s="1"/>
  <c r="N531" i="86"/>
  <c r="M531" i="86"/>
  <c r="L531" i="86"/>
  <c r="K531" i="86"/>
  <c r="J531" i="86"/>
  <c r="I531" i="86"/>
  <c r="O530" i="86"/>
  <c r="H530" i="86"/>
  <c r="H531" i="86" s="1"/>
  <c r="O529" i="86"/>
  <c r="N528" i="86"/>
  <c r="M528" i="86"/>
  <c r="L528" i="86"/>
  <c r="K528" i="86"/>
  <c r="J528" i="86"/>
  <c r="I528" i="86"/>
  <c r="H528" i="86"/>
  <c r="O527" i="86"/>
  <c r="P527" i="86" s="1"/>
  <c r="O526" i="86"/>
  <c r="N525" i="86"/>
  <c r="M525" i="86"/>
  <c r="L525" i="86"/>
  <c r="K525" i="86"/>
  <c r="J525" i="86"/>
  <c r="I525" i="86"/>
  <c r="O524" i="86"/>
  <c r="H524" i="86"/>
  <c r="H525" i="86" s="1"/>
  <c r="O523" i="86"/>
  <c r="N522" i="86"/>
  <c r="M522" i="86"/>
  <c r="L522" i="86"/>
  <c r="K522" i="86"/>
  <c r="J522" i="86"/>
  <c r="I522" i="86"/>
  <c r="H522" i="86"/>
  <c r="O521" i="86"/>
  <c r="O520" i="86"/>
  <c r="P520" i="86" s="1"/>
  <c r="N519" i="86"/>
  <c r="M519" i="86"/>
  <c r="L519" i="86"/>
  <c r="K519" i="86"/>
  <c r="J519" i="86"/>
  <c r="I519" i="86"/>
  <c r="H519" i="86"/>
  <c r="O518" i="86"/>
  <c r="P518" i="86" s="1"/>
  <c r="O517" i="86"/>
  <c r="N516" i="86"/>
  <c r="M516" i="86"/>
  <c r="L516" i="86"/>
  <c r="K516" i="86"/>
  <c r="J516" i="86"/>
  <c r="I516" i="86"/>
  <c r="O515" i="86"/>
  <c r="H515" i="86"/>
  <c r="O514" i="86"/>
  <c r="N513" i="86"/>
  <c r="M513" i="86"/>
  <c r="L513" i="86"/>
  <c r="K513" i="86"/>
  <c r="J513" i="86"/>
  <c r="I513" i="86"/>
  <c r="O512" i="86"/>
  <c r="H512" i="86"/>
  <c r="O511" i="86"/>
  <c r="P511" i="86" s="1"/>
  <c r="N510" i="86"/>
  <c r="M510" i="86"/>
  <c r="L510" i="86"/>
  <c r="K510" i="86"/>
  <c r="J510" i="86"/>
  <c r="I510" i="86"/>
  <c r="O509" i="86"/>
  <c r="H509" i="86"/>
  <c r="O508" i="86"/>
  <c r="N507" i="86"/>
  <c r="M507" i="86"/>
  <c r="L507" i="86"/>
  <c r="K507" i="86"/>
  <c r="J507" i="86"/>
  <c r="I507" i="86"/>
  <c r="H507" i="86"/>
  <c r="O506" i="86"/>
  <c r="P506" i="86" s="1"/>
  <c r="O505" i="86"/>
  <c r="N504" i="86"/>
  <c r="M504" i="86"/>
  <c r="L504" i="86"/>
  <c r="K504" i="86"/>
  <c r="J504" i="86"/>
  <c r="I504" i="86"/>
  <c r="O503" i="86"/>
  <c r="H503" i="86"/>
  <c r="O502" i="86"/>
  <c r="P502" i="86" s="1"/>
  <c r="O501" i="86"/>
  <c r="N501" i="86"/>
  <c r="M501" i="86"/>
  <c r="L501" i="86"/>
  <c r="K501" i="86"/>
  <c r="J501" i="86"/>
  <c r="I501" i="86"/>
  <c r="H500" i="86"/>
  <c r="P500" i="86" s="1"/>
  <c r="P499" i="86"/>
  <c r="N498" i="86"/>
  <c r="M498" i="86"/>
  <c r="L498" i="86"/>
  <c r="K498" i="86"/>
  <c r="J498" i="86"/>
  <c r="I498" i="86"/>
  <c r="O497" i="86"/>
  <c r="H497" i="86"/>
  <c r="H498" i="86" s="1"/>
  <c r="O496" i="86"/>
  <c r="N495" i="86"/>
  <c r="M495" i="86"/>
  <c r="L495" i="86"/>
  <c r="K495" i="86"/>
  <c r="J495" i="86"/>
  <c r="I495" i="86"/>
  <c r="O494" i="86"/>
  <c r="H494" i="86"/>
  <c r="O493" i="86"/>
  <c r="P493" i="86" s="1"/>
  <c r="N492" i="86"/>
  <c r="M492" i="86"/>
  <c r="L492" i="86"/>
  <c r="K492" i="86"/>
  <c r="J492" i="86"/>
  <c r="I492" i="86"/>
  <c r="O491" i="86"/>
  <c r="H491" i="86"/>
  <c r="H492" i="86" s="1"/>
  <c r="O490" i="86"/>
  <c r="P490" i="86" s="1"/>
  <c r="N489" i="86"/>
  <c r="M489" i="86"/>
  <c r="L489" i="86"/>
  <c r="K489" i="86"/>
  <c r="J489" i="86"/>
  <c r="I489" i="86"/>
  <c r="O488" i="86"/>
  <c r="H488" i="86"/>
  <c r="O487" i="86"/>
  <c r="N486" i="86"/>
  <c r="M486" i="86"/>
  <c r="L486" i="86"/>
  <c r="K486" i="86"/>
  <c r="J486" i="86"/>
  <c r="I486" i="86"/>
  <c r="O485" i="86"/>
  <c r="H485" i="86"/>
  <c r="O484" i="86"/>
  <c r="P484" i="86" s="1"/>
  <c r="N483" i="86"/>
  <c r="M483" i="86"/>
  <c r="L483" i="86"/>
  <c r="K483" i="86"/>
  <c r="J483" i="86"/>
  <c r="I483" i="86"/>
  <c r="H483" i="86"/>
  <c r="O482" i="86"/>
  <c r="P482" i="86" s="1"/>
  <c r="O481" i="86"/>
  <c r="N480" i="86"/>
  <c r="M480" i="86"/>
  <c r="L480" i="86"/>
  <c r="K480" i="86"/>
  <c r="J480" i="86"/>
  <c r="I480" i="86"/>
  <c r="H480" i="86"/>
  <c r="O479" i="86"/>
  <c r="O478" i="86"/>
  <c r="P478" i="86" s="1"/>
  <c r="N477" i="86"/>
  <c r="M477" i="86"/>
  <c r="L477" i="86"/>
  <c r="K477" i="86"/>
  <c r="J477" i="86"/>
  <c r="I477" i="86"/>
  <c r="H477" i="86"/>
  <c r="O476" i="86"/>
  <c r="P476" i="86" s="1"/>
  <c r="O475" i="86"/>
  <c r="P475" i="86" s="1"/>
  <c r="N474" i="86"/>
  <c r="M474" i="86"/>
  <c r="L474" i="86"/>
  <c r="K474" i="86"/>
  <c r="J474" i="86"/>
  <c r="I474" i="86"/>
  <c r="H474" i="86"/>
  <c r="O473" i="86"/>
  <c r="P473" i="86" s="1"/>
  <c r="O472" i="86"/>
  <c r="N471" i="86"/>
  <c r="M471" i="86"/>
  <c r="L471" i="86"/>
  <c r="K471" i="86"/>
  <c r="J471" i="86"/>
  <c r="I471" i="86"/>
  <c r="H471" i="86"/>
  <c r="O470" i="86"/>
  <c r="P470" i="86" s="1"/>
  <c r="O469" i="86"/>
  <c r="N468" i="86"/>
  <c r="M468" i="86"/>
  <c r="L468" i="86"/>
  <c r="K468" i="86"/>
  <c r="J468" i="86"/>
  <c r="I468" i="86"/>
  <c r="H468" i="86"/>
  <c r="O467" i="86"/>
  <c r="P467" i="86" s="1"/>
  <c r="O466" i="86"/>
  <c r="N465" i="86"/>
  <c r="M465" i="86"/>
  <c r="L465" i="86"/>
  <c r="K465" i="86"/>
  <c r="J465" i="86"/>
  <c r="I465" i="86"/>
  <c r="H465" i="86"/>
  <c r="O464" i="86"/>
  <c r="P464" i="86" s="1"/>
  <c r="O463" i="86"/>
  <c r="O462" i="86"/>
  <c r="N462" i="86"/>
  <c r="M462" i="86"/>
  <c r="L462" i="86"/>
  <c r="K462" i="86"/>
  <c r="J462" i="86"/>
  <c r="I462" i="86"/>
  <c r="H462" i="86"/>
  <c r="P461" i="86"/>
  <c r="P460" i="86"/>
  <c r="N459" i="86"/>
  <c r="M459" i="86"/>
  <c r="L459" i="86"/>
  <c r="K459" i="86"/>
  <c r="J459" i="86"/>
  <c r="I459" i="86"/>
  <c r="H459" i="86"/>
  <c r="O458" i="86"/>
  <c r="P458" i="86" s="1"/>
  <c r="O457" i="86"/>
  <c r="P457" i="86" s="1"/>
  <c r="N456" i="86"/>
  <c r="M456" i="86"/>
  <c r="L456" i="86"/>
  <c r="K456" i="86"/>
  <c r="J456" i="86"/>
  <c r="I456" i="86"/>
  <c r="H456" i="86"/>
  <c r="O455" i="86"/>
  <c r="P455" i="86" s="1"/>
  <c r="O454" i="86"/>
  <c r="N453" i="86"/>
  <c r="M453" i="86"/>
  <c r="L453" i="86"/>
  <c r="K453" i="86"/>
  <c r="J453" i="86"/>
  <c r="I453" i="86"/>
  <c r="H453" i="86"/>
  <c r="O452" i="86"/>
  <c r="P452" i="86" s="1"/>
  <c r="O451" i="86"/>
  <c r="P451" i="86" s="1"/>
  <c r="N450" i="86"/>
  <c r="M450" i="86"/>
  <c r="L450" i="86"/>
  <c r="K450" i="86"/>
  <c r="J450" i="86"/>
  <c r="I450" i="86"/>
  <c r="H450" i="86"/>
  <c r="O449" i="86"/>
  <c r="P449" i="86" s="1"/>
  <c r="O448" i="86"/>
  <c r="N447" i="86"/>
  <c r="M447" i="86"/>
  <c r="L447" i="86"/>
  <c r="K447" i="86"/>
  <c r="J447" i="86"/>
  <c r="I447" i="86"/>
  <c r="H447" i="86"/>
  <c r="O446" i="86"/>
  <c r="P446" i="86" s="1"/>
  <c r="O445" i="86"/>
  <c r="P445" i="86" s="1"/>
  <c r="N444" i="86"/>
  <c r="M444" i="86"/>
  <c r="O443" i="86"/>
  <c r="P443" i="86" s="1"/>
  <c r="O442" i="86"/>
  <c r="L442" i="86"/>
  <c r="L444" i="86" s="1"/>
  <c r="K442" i="86"/>
  <c r="K444" i="86" s="1"/>
  <c r="J442" i="86"/>
  <c r="J444" i="86" s="1"/>
  <c r="I442" i="86"/>
  <c r="I444" i="86" s="1"/>
  <c r="H442" i="86"/>
  <c r="N441" i="86"/>
  <c r="O440" i="86"/>
  <c r="O439" i="86"/>
  <c r="M439" i="86"/>
  <c r="M441" i="86" s="1"/>
  <c r="L439" i="86"/>
  <c r="L441" i="86" s="1"/>
  <c r="K439" i="86"/>
  <c r="K441" i="86" s="1"/>
  <c r="J439" i="86"/>
  <c r="J441" i="86" s="1"/>
  <c r="I439" i="86"/>
  <c r="I441" i="86" s="1"/>
  <c r="H439" i="86"/>
  <c r="N438" i="86"/>
  <c r="O437" i="86"/>
  <c r="O436" i="86"/>
  <c r="M436" i="86"/>
  <c r="M438" i="86" s="1"/>
  <c r="L436" i="86"/>
  <c r="L438" i="86" s="1"/>
  <c r="K436" i="86"/>
  <c r="K438" i="86" s="1"/>
  <c r="J436" i="86"/>
  <c r="J438" i="86" s="1"/>
  <c r="I436" i="86"/>
  <c r="I438" i="86" s="1"/>
  <c r="H436" i="86"/>
  <c r="N435" i="86"/>
  <c r="O434" i="86"/>
  <c r="P434" i="86" s="1"/>
  <c r="O433" i="86"/>
  <c r="M433" i="86"/>
  <c r="M435" i="86" s="1"/>
  <c r="L433" i="86"/>
  <c r="L435" i="86" s="1"/>
  <c r="K433" i="86"/>
  <c r="K435" i="86" s="1"/>
  <c r="J433" i="86"/>
  <c r="J435" i="86" s="1"/>
  <c r="I433" i="86"/>
  <c r="I435" i="86" s="1"/>
  <c r="H433" i="86"/>
  <c r="N432" i="86"/>
  <c r="M432" i="86"/>
  <c r="L432" i="86"/>
  <c r="K432" i="86"/>
  <c r="J432" i="86"/>
  <c r="I432" i="86"/>
  <c r="H432" i="86"/>
  <c r="O431" i="86"/>
  <c r="O430" i="86"/>
  <c r="P430" i="86" s="1"/>
  <c r="N429" i="86"/>
  <c r="M429" i="86"/>
  <c r="L429" i="86"/>
  <c r="K429" i="86"/>
  <c r="J429" i="86"/>
  <c r="I429" i="86"/>
  <c r="H429" i="86"/>
  <c r="O428" i="86"/>
  <c r="P428" i="86" s="1"/>
  <c r="O427" i="86"/>
  <c r="P427" i="86" s="1"/>
  <c r="N426" i="86"/>
  <c r="M426" i="86"/>
  <c r="L426" i="86"/>
  <c r="K426" i="86"/>
  <c r="J426" i="86"/>
  <c r="I426" i="86"/>
  <c r="H426" i="86"/>
  <c r="O425" i="86"/>
  <c r="O424" i="86"/>
  <c r="P424" i="86" s="1"/>
  <c r="N423" i="86"/>
  <c r="O422" i="86"/>
  <c r="P422" i="86" s="1"/>
  <c r="O421" i="86"/>
  <c r="M421" i="86"/>
  <c r="M423" i="86" s="1"/>
  <c r="L421" i="86"/>
  <c r="L423" i="86" s="1"/>
  <c r="K421" i="86"/>
  <c r="K423" i="86" s="1"/>
  <c r="J421" i="86"/>
  <c r="J423" i="86" s="1"/>
  <c r="I421" i="86"/>
  <c r="I423" i="86" s="1"/>
  <c r="H421" i="86"/>
  <c r="H423" i="86" s="1"/>
  <c r="N420" i="86"/>
  <c r="M420" i="86"/>
  <c r="L420" i="86"/>
  <c r="K420" i="86"/>
  <c r="J420" i="86"/>
  <c r="I420" i="86"/>
  <c r="H420" i="86"/>
  <c r="O419" i="86"/>
  <c r="P419" i="86" s="1"/>
  <c r="O418" i="86"/>
  <c r="N417" i="86"/>
  <c r="M417" i="86"/>
  <c r="L417" i="86"/>
  <c r="K417" i="86"/>
  <c r="J417" i="86"/>
  <c r="I417" i="86"/>
  <c r="H417" i="86"/>
  <c r="O416" i="86"/>
  <c r="O415" i="86"/>
  <c r="P415" i="86" s="1"/>
  <c r="N414" i="86"/>
  <c r="M414" i="86"/>
  <c r="L414" i="86"/>
  <c r="K414" i="86"/>
  <c r="J414" i="86"/>
  <c r="I414" i="86"/>
  <c r="H414" i="86"/>
  <c r="O413" i="86"/>
  <c r="P413" i="86" s="1"/>
  <c r="O412" i="86"/>
  <c r="P412" i="86" s="1"/>
  <c r="N411" i="86"/>
  <c r="M411" i="86"/>
  <c r="L411" i="86"/>
  <c r="K411" i="86"/>
  <c r="J411" i="86"/>
  <c r="I411" i="86"/>
  <c r="H411" i="86"/>
  <c r="O410" i="86"/>
  <c r="O409" i="86"/>
  <c r="P409" i="86" s="1"/>
  <c r="N408" i="86"/>
  <c r="M408" i="86"/>
  <c r="L408" i="86"/>
  <c r="K408" i="86"/>
  <c r="J408" i="86"/>
  <c r="I408" i="86"/>
  <c r="H408" i="86"/>
  <c r="O407" i="86"/>
  <c r="P407" i="86" s="1"/>
  <c r="O406" i="86"/>
  <c r="P406" i="86" s="1"/>
  <c r="N405" i="86"/>
  <c r="M405" i="86"/>
  <c r="L405" i="86"/>
  <c r="K405" i="86"/>
  <c r="J405" i="86"/>
  <c r="I405" i="86"/>
  <c r="H405" i="86"/>
  <c r="O404" i="86"/>
  <c r="P404" i="86" s="1"/>
  <c r="O403" i="86"/>
  <c r="P403" i="86" s="1"/>
  <c r="N402" i="86"/>
  <c r="M402" i="86"/>
  <c r="L402" i="86"/>
  <c r="K402" i="86"/>
  <c r="J402" i="86"/>
  <c r="I402" i="86"/>
  <c r="H402" i="86"/>
  <c r="O401" i="86"/>
  <c r="P401" i="86" s="1"/>
  <c r="O400" i="86"/>
  <c r="N399" i="86"/>
  <c r="M399" i="86"/>
  <c r="L399" i="86"/>
  <c r="K399" i="86"/>
  <c r="J399" i="86"/>
  <c r="I399" i="86"/>
  <c r="H399" i="86"/>
  <c r="O398" i="86"/>
  <c r="O397" i="86"/>
  <c r="P397" i="86" s="1"/>
  <c r="N396" i="86"/>
  <c r="M396" i="86"/>
  <c r="L396" i="86"/>
  <c r="K396" i="86"/>
  <c r="J396" i="86"/>
  <c r="I396" i="86"/>
  <c r="H396" i="86"/>
  <c r="O395" i="86"/>
  <c r="P395" i="86" s="1"/>
  <c r="O394" i="86"/>
  <c r="N393" i="86"/>
  <c r="M393" i="86"/>
  <c r="L393" i="86"/>
  <c r="K393" i="86"/>
  <c r="J393" i="86"/>
  <c r="I393" i="86"/>
  <c r="H393" i="86"/>
  <c r="O392" i="86"/>
  <c r="O391" i="86"/>
  <c r="P391" i="86" s="1"/>
  <c r="N390" i="86"/>
  <c r="M390" i="86"/>
  <c r="L390" i="86"/>
  <c r="K390" i="86"/>
  <c r="J390" i="86"/>
  <c r="I390" i="86"/>
  <c r="H390" i="86"/>
  <c r="O389" i="86"/>
  <c r="P389" i="86" s="1"/>
  <c r="O388" i="86"/>
  <c r="N387" i="86"/>
  <c r="M387" i="86"/>
  <c r="L387" i="86"/>
  <c r="K387" i="86"/>
  <c r="J387" i="86"/>
  <c r="I387" i="86"/>
  <c r="H387" i="86"/>
  <c r="O386" i="86"/>
  <c r="O385" i="86"/>
  <c r="P385" i="86" s="1"/>
  <c r="N384" i="86"/>
  <c r="M384" i="86"/>
  <c r="L384" i="86"/>
  <c r="K384" i="86"/>
  <c r="J384" i="86"/>
  <c r="I384" i="86"/>
  <c r="H384" i="86"/>
  <c r="O383" i="86"/>
  <c r="P383" i="86" s="1"/>
  <c r="O382" i="86"/>
  <c r="P382" i="86" s="1"/>
  <c r="N381" i="86"/>
  <c r="M381" i="86"/>
  <c r="L381" i="86"/>
  <c r="K381" i="86"/>
  <c r="J381" i="86"/>
  <c r="I381" i="86"/>
  <c r="H381" i="86"/>
  <c r="O380" i="86"/>
  <c r="P380" i="86" s="1"/>
  <c r="O379" i="86"/>
  <c r="P379" i="86" s="1"/>
  <c r="N378" i="86"/>
  <c r="M378" i="86"/>
  <c r="L378" i="86"/>
  <c r="K378" i="86"/>
  <c r="J378" i="86"/>
  <c r="I378" i="86"/>
  <c r="H378" i="86"/>
  <c r="O377" i="86"/>
  <c r="P377" i="86" s="1"/>
  <c r="O376" i="86"/>
  <c r="P376" i="86" s="1"/>
  <c r="N375" i="86"/>
  <c r="M375" i="86"/>
  <c r="L375" i="86"/>
  <c r="K375" i="86"/>
  <c r="J375" i="86"/>
  <c r="I375" i="86"/>
  <c r="H375" i="86"/>
  <c r="P374" i="86"/>
  <c r="O373" i="86"/>
  <c r="O375" i="86" s="1"/>
  <c r="N372" i="86"/>
  <c r="M372" i="86"/>
  <c r="L372" i="86"/>
  <c r="K372" i="86"/>
  <c r="J372" i="86"/>
  <c r="I372" i="86"/>
  <c r="H372" i="86"/>
  <c r="O371" i="86"/>
  <c r="O370" i="86"/>
  <c r="P370" i="86" s="1"/>
  <c r="N369" i="86"/>
  <c r="O368" i="86"/>
  <c r="P368" i="86" s="1"/>
  <c r="O367" i="86"/>
  <c r="M367" i="86"/>
  <c r="M369" i="86" s="1"/>
  <c r="L367" i="86"/>
  <c r="L369" i="86" s="1"/>
  <c r="K367" i="86"/>
  <c r="K369" i="86" s="1"/>
  <c r="J367" i="86"/>
  <c r="J369" i="86" s="1"/>
  <c r="I367" i="86"/>
  <c r="I369" i="86" s="1"/>
  <c r="H367" i="86"/>
  <c r="N366" i="86"/>
  <c r="M366" i="86"/>
  <c r="L366" i="86"/>
  <c r="K366" i="86"/>
  <c r="J366" i="86"/>
  <c r="I366" i="86"/>
  <c r="O365" i="86"/>
  <c r="H365" i="86"/>
  <c r="H366" i="86" s="1"/>
  <c r="O364" i="86"/>
  <c r="P364" i="86" s="1"/>
  <c r="N363" i="86"/>
  <c r="M363" i="86"/>
  <c r="L363" i="86"/>
  <c r="K363" i="86"/>
  <c r="J363" i="86"/>
  <c r="I363" i="86"/>
  <c r="O362" i="86"/>
  <c r="H362" i="86"/>
  <c r="O361" i="86"/>
  <c r="P361" i="86" s="1"/>
  <c r="N360" i="86"/>
  <c r="M360" i="86"/>
  <c r="L360" i="86"/>
  <c r="K360" i="86"/>
  <c r="J360" i="86"/>
  <c r="I360" i="86"/>
  <c r="H360" i="86"/>
  <c r="O359" i="86"/>
  <c r="P359" i="86" s="1"/>
  <c r="O358" i="86"/>
  <c r="O356" i="86"/>
  <c r="N356" i="86"/>
  <c r="N357" i="86" s="1"/>
  <c r="M356" i="86"/>
  <c r="M357" i="86" s="1"/>
  <c r="L356" i="86"/>
  <c r="L357" i="86" s="1"/>
  <c r="K356" i="86"/>
  <c r="K357" i="86" s="1"/>
  <c r="J356" i="86"/>
  <c r="J357" i="86" s="1"/>
  <c r="I356" i="86"/>
  <c r="I357" i="86" s="1"/>
  <c r="H356" i="86"/>
  <c r="H357" i="86" s="1"/>
  <c r="O355" i="86"/>
  <c r="P355" i="86" s="1"/>
  <c r="N354" i="86"/>
  <c r="M354" i="86"/>
  <c r="L354" i="86"/>
  <c r="K354" i="86"/>
  <c r="J354" i="86"/>
  <c r="I354" i="86"/>
  <c r="H354" i="86"/>
  <c r="O353" i="86"/>
  <c r="P353" i="86" s="1"/>
  <c r="O352" i="86"/>
  <c r="P352" i="86" s="1"/>
  <c r="N351" i="86"/>
  <c r="M351" i="86"/>
  <c r="L351" i="86"/>
  <c r="K351" i="86"/>
  <c r="J351" i="86"/>
  <c r="I351" i="86"/>
  <c r="H351" i="86"/>
  <c r="O350" i="86"/>
  <c r="P350" i="86" s="1"/>
  <c r="O349" i="86"/>
  <c r="P349" i="86" s="1"/>
  <c r="O348" i="86"/>
  <c r="N348" i="86"/>
  <c r="M348" i="86"/>
  <c r="L348" i="86"/>
  <c r="K348" i="86"/>
  <c r="J348" i="86"/>
  <c r="I348" i="86"/>
  <c r="H348" i="86"/>
  <c r="P347" i="86"/>
  <c r="P346" i="86"/>
  <c r="O345" i="86"/>
  <c r="N345" i="86"/>
  <c r="M345" i="86"/>
  <c r="L345" i="86"/>
  <c r="K345" i="86"/>
  <c r="J345" i="86"/>
  <c r="I345" i="86"/>
  <c r="H345" i="86"/>
  <c r="P344" i="86"/>
  <c r="P343" i="86"/>
  <c r="N342" i="86"/>
  <c r="M342" i="86"/>
  <c r="L342" i="86"/>
  <c r="K342" i="86"/>
  <c r="J342" i="86"/>
  <c r="I342" i="86"/>
  <c r="H342" i="86"/>
  <c r="O341" i="86"/>
  <c r="P341" i="86" s="1"/>
  <c r="O340" i="86"/>
  <c r="N339" i="86"/>
  <c r="M339" i="86"/>
  <c r="L339" i="86"/>
  <c r="K339" i="86"/>
  <c r="J339" i="86"/>
  <c r="I339" i="86"/>
  <c r="H339" i="86"/>
  <c r="O338" i="86"/>
  <c r="P338" i="86" s="1"/>
  <c r="O337" i="86"/>
  <c r="P337" i="86" s="1"/>
  <c r="N336" i="86"/>
  <c r="M336" i="86"/>
  <c r="L336" i="86"/>
  <c r="K336" i="86"/>
  <c r="J336" i="86"/>
  <c r="I336" i="86"/>
  <c r="H336" i="86"/>
  <c r="O335" i="86"/>
  <c r="P335" i="86" s="1"/>
  <c r="O334" i="86"/>
  <c r="P334" i="86" s="1"/>
  <c r="N333" i="86"/>
  <c r="M333" i="86"/>
  <c r="L333" i="86"/>
  <c r="K333" i="86"/>
  <c r="J333" i="86"/>
  <c r="I333" i="86"/>
  <c r="H333" i="86"/>
  <c r="O332" i="86"/>
  <c r="P332" i="86" s="1"/>
  <c r="O331" i="86"/>
  <c r="P331" i="86" s="1"/>
  <c r="O330" i="86"/>
  <c r="N330" i="86"/>
  <c r="M330" i="86"/>
  <c r="L330" i="86"/>
  <c r="K330" i="86"/>
  <c r="J330" i="86"/>
  <c r="I330" i="86"/>
  <c r="H330" i="86"/>
  <c r="P329" i="86"/>
  <c r="P328" i="86"/>
  <c r="O327" i="86"/>
  <c r="N327" i="86"/>
  <c r="M327" i="86"/>
  <c r="L327" i="86"/>
  <c r="K327" i="86"/>
  <c r="J326" i="86"/>
  <c r="I326" i="86"/>
  <c r="I327" i="86" s="1"/>
  <c r="H326" i="86"/>
  <c r="J325" i="86"/>
  <c r="N324" i="86"/>
  <c r="M324" i="86"/>
  <c r="L324" i="86"/>
  <c r="K324" i="86"/>
  <c r="J324" i="86"/>
  <c r="I324" i="86"/>
  <c r="O323" i="86"/>
  <c r="H323" i="86"/>
  <c r="H324" i="86" s="1"/>
  <c r="O322" i="86"/>
  <c r="P322" i="86" s="1"/>
  <c r="N321" i="86"/>
  <c r="M321" i="86"/>
  <c r="L321" i="86"/>
  <c r="K321" i="86"/>
  <c r="J321" i="86"/>
  <c r="I321" i="86"/>
  <c r="O320" i="86"/>
  <c r="H320" i="86"/>
  <c r="H321" i="86" s="1"/>
  <c r="O319" i="86"/>
  <c r="P319" i="86" s="1"/>
  <c r="N318" i="86"/>
  <c r="M318" i="86"/>
  <c r="L318" i="86"/>
  <c r="K318" i="86"/>
  <c r="J318" i="86"/>
  <c r="I318" i="86"/>
  <c r="O317" i="86"/>
  <c r="H317" i="86"/>
  <c r="O316" i="86"/>
  <c r="P316" i="86" s="1"/>
  <c r="N315" i="86"/>
  <c r="M315" i="86"/>
  <c r="L315" i="86"/>
  <c r="K315" i="86"/>
  <c r="O314" i="86"/>
  <c r="J314" i="86"/>
  <c r="J315" i="86" s="1"/>
  <c r="I314" i="86"/>
  <c r="I315" i="86" s="1"/>
  <c r="H314" i="86"/>
  <c r="O313" i="86"/>
  <c r="P313" i="86" s="1"/>
  <c r="N312" i="86"/>
  <c r="O311" i="86"/>
  <c r="J311" i="86"/>
  <c r="I311" i="86"/>
  <c r="H311" i="86"/>
  <c r="O310" i="86"/>
  <c r="O312" i="86" s="1"/>
  <c r="M310" i="86"/>
  <c r="M312" i="86" s="1"/>
  <c r="L310" i="86"/>
  <c r="L312" i="86" s="1"/>
  <c r="K310" i="86"/>
  <c r="K312" i="86" s="1"/>
  <c r="J310" i="86"/>
  <c r="I310" i="86"/>
  <c r="H310" i="86"/>
  <c r="O309" i="86"/>
  <c r="N309" i="86"/>
  <c r="M309" i="86"/>
  <c r="L309" i="86"/>
  <c r="K309" i="86"/>
  <c r="J309" i="86"/>
  <c r="I309" i="86"/>
  <c r="H309" i="86"/>
  <c r="P308" i="86"/>
  <c r="P307" i="86"/>
  <c r="O306" i="86"/>
  <c r="N306" i="86"/>
  <c r="M306" i="86"/>
  <c r="L306" i="86"/>
  <c r="K306" i="86"/>
  <c r="J306" i="86"/>
  <c r="I306" i="86"/>
  <c r="H306" i="86"/>
  <c r="P305" i="86"/>
  <c r="P304" i="86"/>
  <c r="N303" i="86"/>
  <c r="M303" i="86"/>
  <c r="L303" i="86"/>
  <c r="K303" i="86"/>
  <c r="J303" i="86"/>
  <c r="I303" i="86"/>
  <c r="H303" i="86"/>
  <c r="P302" i="86"/>
  <c r="O301" i="86"/>
  <c r="P301" i="86" s="1"/>
  <c r="N300" i="86"/>
  <c r="M300" i="86"/>
  <c r="L300" i="86"/>
  <c r="K300" i="86"/>
  <c r="J300" i="86"/>
  <c r="I300" i="86"/>
  <c r="H300" i="86"/>
  <c r="P299" i="86"/>
  <c r="O298" i="86"/>
  <c r="P298" i="86" s="1"/>
  <c r="N297" i="86"/>
  <c r="M297" i="86"/>
  <c r="L297" i="86"/>
  <c r="K297" i="86"/>
  <c r="J297" i="86"/>
  <c r="I297" i="86"/>
  <c r="H297" i="86"/>
  <c r="O296" i="86"/>
  <c r="P296" i="86" s="1"/>
  <c r="O295" i="86"/>
  <c r="O294" i="86"/>
  <c r="N294" i="86"/>
  <c r="L294" i="86"/>
  <c r="K294" i="86"/>
  <c r="J294" i="86"/>
  <c r="I294" i="86"/>
  <c r="H294" i="86"/>
  <c r="P293" i="86"/>
  <c r="M292" i="86"/>
  <c r="M294" i="86" s="1"/>
  <c r="N291" i="86"/>
  <c r="M291" i="86"/>
  <c r="L291" i="86"/>
  <c r="K291" i="86"/>
  <c r="J291" i="86"/>
  <c r="I291" i="86"/>
  <c r="H291" i="86"/>
  <c r="O290" i="86"/>
  <c r="P290" i="86" s="1"/>
  <c r="O289" i="86"/>
  <c r="P289" i="86" s="1"/>
  <c r="N288" i="86"/>
  <c r="M288" i="86"/>
  <c r="L288" i="86"/>
  <c r="K288" i="86"/>
  <c r="J288" i="86"/>
  <c r="I288" i="86"/>
  <c r="H288" i="86"/>
  <c r="P287" i="86"/>
  <c r="O286" i="86"/>
  <c r="O288" i="86" s="1"/>
  <c r="N285" i="86"/>
  <c r="M285" i="86"/>
  <c r="L285" i="86"/>
  <c r="K285" i="86"/>
  <c r="J285" i="86"/>
  <c r="I285" i="86"/>
  <c r="H285" i="86"/>
  <c r="P284" i="86"/>
  <c r="O283" i="86"/>
  <c r="N282" i="86"/>
  <c r="M282" i="86"/>
  <c r="L282" i="86"/>
  <c r="K282" i="86"/>
  <c r="J282" i="86"/>
  <c r="I282" i="86"/>
  <c r="H282" i="86"/>
  <c r="P281" i="86"/>
  <c r="O280" i="86"/>
  <c r="P280" i="86" s="1"/>
  <c r="O279" i="86"/>
  <c r="N279" i="86"/>
  <c r="M279" i="86"/>
  <c r="L279" i="86"/>
  <c r="K279" i="86"/>
  <c r="J279" i="86"/>
  <c r="I279" i="86"/>
  <c r="P278" i="86"/>
  <c r="H277" i="86"/>
  <c r="N276" i="86"/>
  <c r="M276" i="86"/>
  <c r="L276" i="86"/>
  <c r="K276" i="86"/>
  <c r="J276" i="86"/>
  <c r="I276" i="86"/>
  <c r="H276" i="86"/>
  <c r="O275" i="86"/>
  <c r="P275" i="86" s="1"/>
  <c r="O274" i="86"/>
  <c r="N273" i="86"/>
  <c r="M273" i="86"/>
  <c r="L273" i="86"/>
  <c r="K273" i="86"/>
  <c r="J273" i="86"/>
  <c r="I273" i="86"/>
  <c r="H273" i="86"/>
  <c r="O272" i="86"/>
  <c r="P272" i="86" s="1"/>
  <c r="O271" i="86"/>
  <c r="O270" i="86"/>
  <c r="N270" i="86"/>
  <c r="M270" i="86"/>
  <c r="L269" i="86"/>
  <c r="K269" i="86"/>
  <c r="K270" i="86" s="1"/>
  <c r="J269" i="86"/>
  <c r="J270" i="86" s="1"/>
  <c r="I269" i="86"/>
  <c r="I270" i="86" s="1"/>
  <c r="H269" i="86"/>
  <c r="H270" i="86" s="1"/>
  <c r="L268" i="86"/>
  <c r="P268" i="86" s="1"/>
  <c r="O266" i="86"/>
  <c r="N266" i="86"/>
  <c r="N267" i="86" s="1"/>
  <c r="M266" i="86"/>
  <c r="M267" i="86" s="1"/>
  <c r="L266" i="86"/>
  <c r="L267" i="86" s="1"/>
  <c r="K266" i="86"/>
  <c r="K267" i="86" s="1"/>
  <c r="J266" i="86"/>
  <c r="J267" i="86" s="1"/>
  <c r="I266" i="86"/>
  <c r="I267" i="86" s="1"/>
  <c r="H266" i="86"/>
  <c r="H267" i="86" s="1"/>
  <c r="O265" i="86"/>
  <c r="O264" i="86"/>
  <c r="N264" i="86"/>
  <c r="M264" i="86"/>
  <c r="L263" i="86"/>
  <c r="K263" i="86"/>
  <c r="K264" i="86" s="1"/>
  <c r="J263" i="86"/>
  <c r="J264" i="86" s="1"/>
  <c r="I263" i="86"/>
  <c r="I264" i="86" s="1"/>
  <c r="H263" i="86"/>
  <c r="H264" i="86" s="1"/>
  <c r="L262" i="86"/>
  <c r="P262" i="86" s="1"/>
  <c r="O261" i="86"/>
  <c r="N261" i="86"/>
  <c r="M261" i="86"/>
  <c r="L261" i="86"/>
  <c r="K261" i="86"/>
  <c r="J261" i="86"/>
  <c r="I261" i="86"/>
  <c r="H261" i="86"/>
  <c r="P260" i="86"/>
  <c r="P259" i="86"/>
  <c r="O258" i="86"/>
  <c r="N258" i="86"/>
  <c r="M258" i="86"/>
  <c r="L258" i="86"/>
  <c r="K258" i="86"/>
  <c r="J258" i="86"/>
  <c r="I257" i="86"/>
  <c r="I258" i="86" s="1"/>
  <c r="H257" i="86"/>
  <c r="P256" i="86"/>
  <c r="O254" i="86"/>
  <c r="N254" i="86"/>
  <c r="N255" i="86" s="1"/>
  <c r="M254" i="86"/>
  <c r="M255" i="86" s="1"/>
  <c r="L254" i="86"/>
  <c r="L255" i="86" s="1"/>
  <c r="K254" i="86"/>
  <c r="K255" i="86" s="1"/>
  <c r="J254" i="86"/>
  <c r="J255" i="86" s="1"/>
  <c r="I254" i="86"/>
  <c r="I255" i="86" s="1"/>
  <c r="H254" i="86"/>
  <c r="H255" i="86" s="1"/>
  <c r="O253" i="86"/>
  <c r="P253" i="86" s="1"/>
  <c r="O251" i="86"/>
  <c r="N251" i="86"/>
  <c r="N252" i="86" s="1"/>
  <c r="M251" i="86"/>
  <c r="M252" i="86" s="1"/>
  <c r="L251" i="86"/>
  <c r="L252" i="86" s="1"/>
  <c r="K251" i="86"/>
  <c r="K252" i="86" s="1"/>
  <c r="J251" i="86"/>
  <c r="J252" i="86" s="1"/>
  <c r="I251" i="86"/>
  <c r="I252" i="86" s="1"/>
  <c r="H251" i="86"/>
  <c r="H252" i="86" s="1"/>
  <c r="O250" i="86"/>
  <c r="O252" i="86" s="1"/>
  <c r="N249" i="86"/>
  <c r="M249" i="86"/>
  <c r="L249" i="86"/>
  <c r="K249" i="86"/>
  <c r="O248" i="86"/>
  <c r="J248" i="86"/>
  <c r="J249" i="86" s="1"/>
  <c r="I248" i="86"/>
  <c r="I249" i="86" s="1"/>
  <c r="H248" i="86"/>
  <c r="O247" i="86"/>
  <c r="O249" i="86" s="1"/>
  <c r="O246" i="86"/>
  <c r="N246" i="86"/>
  <c r="M246" i="86"/>
  <c r="L245" i="86"/>
  <c r="K245" i="86"/>
  <c r="K246" i="86" s="1"/>
  <c r="J245" i="86"/>
  <c r="J246" i="86" s="1"/>
  <c r="I245" i="86"/>
  <c r="I246" i="86" s="1"/>
  <c r="H245" i="86"/>
  <c r="H246" i="86" s="1"/>
  <c r="L244" i="86"/>
  <c r="P244" i="86" s="1"/>
  <c r="N243" i="86"/>
  <c r="M243" i="86"/>
  <c r="L243" i="86"/>
  <c r="K243" i="86"/>
  <c r="J243" i="86"/>
  <c r="I243" i="86"/>
  <c r="H243" i="86"/>
  <c r="O242" i="86"/>
  <c r="P242" i="86" s="1"/>
  <c r="O241" i="86"/>
  <c r="O240" i="86"/>
  <c r="N240" i="86"/>
  <c r="M240" i="86"/>
  <c r="L240" i="86"/>
  <c r="K240" i="86"/>
  <c r="J240" i="86"/>
  <c r="I239" i="86"/>
  <c r="I240" i="86" s="1"/>
  <c r="H239" i="86"/>
  <c r="H240" i="86" s="1"/>
  <c r="P238" i="86"/>
  <c r="O237" i="86"/>
  <c r="N237" i="86"/>
  <c r="M237" i="86"/>
  <c r="L236" i="86"/>
  <c r="K236" i="86"/>
  <c r="K237" i="86" s="1"/>
  <c r="J236" i="86"/>
  <c r="J237" i="86" s="1"/>
  <c r="I236" i="86"/>
  <c r="I237" i="86" s="1"/>
  <c r="H236" i="86"/>
  <c r="L235" i="86"/>
  <c r="P235" i="86" s="1"/>
  <c r="O234" i="86"/>
  <c r="N234" i="86"/>
  <c r="M234" i="86"/>
  <c r="L234" i="86"/>
  <c r="K233" i="86"/>
  <c r="K234" i="86" s="1"/>
  <c r="J233" i="86"/>
  <c r="J234" i="86" s="1"/>
  <c r="I233" i="86"/>
  <c r="I234" i="86" s="1"/>
  <c r="H233" i="86"/>
  <c r="P232" i="86"/>
  <c r="O231" i="86"/>
  <c r="N231" i="86"/>
  <c r="M231" i="86"/>
  <c r="L231" i="86"/>
  <c r="K230" i="86"/>
  <c r="K231" i="86" s="1"/>
  <c r="J230" i="86"/>
  <c r="J231" i="86" s="1"/>
  <c r="I230" i="86"/>
  <c r="I231" i="86" s="1"/>
  <c r="H230" i="86"/>
  <c r="H231" i="86" s="1"/>
  <c r="P229" i="86"/>
  <c r="O227" i="86"/>
  <c r="N227" i="86"/>
  <c r="N228" i="86" s="1"/>
  <c r="M227" i="86"/>
  <c r="M228" i="86" s="1"/>
  <c r="L227" i="86"/>
  <c r="L228" i="86" s="1"/>
  <c r="K227" i="86"/>
  <c r="K228" i="86" s="1"/>
  <c r="J227" i="86"/>
  <c r="J228" i="86" s="1"/>
  <c r="I227" i="86"/>
  <c r="I228" i="86" s="1"/>
  <c r="H227" i="86"/>
  <c r="H228" i="86" s="1"/>
  <c r="O226" i="86"/>
  <c r="P226" i="86" s="1"/>
  <c r="O225" i="86"/>
  <c r="N225" i="86"/>
  <c r="M225" i="86"/>
  <c r="L225" i="86"/>
  <c r="K224" i="86"/>
  <c r="J224" i="86"/>
  <c r="J225" i="86" s="1"/>
  <c r="I224" i="86"/>
  <c r="I225" i="86" s="1"/>
  <c r="H224" i="86"/>
  <c r="H225" i="86" s="1"/>
  <c r="K223" i="86"/>
  <c r="O222" i="86"/>
  <c r="N222" i="86"/>
  <c r="M222" i="86"/>
  <c r="L222" i="86"/>
  <c r="K221" i="86"/>
  <c r="J221" i="86"/>
  <c r="J222" i="86" s="1"/>
  <c r="I221" i="86"/>
  <c r="I222" i="86" s="1"/>
  <c r="H221" i="86"/>
  <c r="H222" i="86" s="1"/>
  <c r="K220" i="86"/>
  <c r="K222" i="86" s="1"/>
  <c r="N219" i="86"/>
  <c r="M219" i="86"/>
  <c r="L219" i="86"/>
  <c r="K219" i="86"/>
  <c r="O218" i="86"/>
  <c r="J218" i="86"/>
  <c r="J219" i="86" s="1"/>
  <c r="I218" i="86"/>
  <c r="I219" i="86" s="1"/>
  <c r="H218" i="86"/>
  <c r="O217" i="86"/>
  <c r="P217" i="86" s="1"/>
  <c r="O215" i="86"/>
  <c r="N215" i="86"/>
  <c r="N216" i="86" s="1"/>
  <c r="M215" i="86"/>
  <c r="M216" i="86" s="1"/>
  <c r="L215" i="86"/>
  <c r="L216" i="86" s="1"/>
  <c r="K215" i="86"/>
  <c r="K216" i="86" s="1"/>
  <c r="J215" i="86"/>
  <c r="J216" i="86" s="1"/>
  <c r="I215" i="86"/>
  <c r="I216" i="86" s="1"/>
  <c r="H215" i="86"/>
  <c r="H216" i="86" s="1"/>
  <c r="O214" i="86"/>
  <c r="O216" i="86" s="1"/>
  <c r="O212" i="86"/>
  <c r="N212" i="86"/>
  <c r="N213" i="86" s="1"/>
  <c r="M212" i="86"/>
  <c r="M213" i="86" s="1"/>
  <c r="L212" i="86"/>
  <c r="L213" i="86" s="1"/>
  <c r="K212" i="86"/>
  <c r="K213" i="86" s="1"/>
  <c r="J212" i="86"/>
  <c r="J213" i="86" s="1"/>
  <c r="I212" i="86"/>
  <c r="I213" i="86" s="1"/>
  <c r="H212" i="86"/>
  <c r="H213" i="86" s="1"/>
  <c r="O211" i="86"/>
  <c r="P211" i="86" s="1"/>
  <c r="O209" i="86"/>
  <c r="N209" i="86"/>
  <c r="N210" i="86" s="1"/>
  <c r="M209" i="86"/>
  <c r="M210" i="86" s="1"/>
  <c r="L209" i="86"/>
  <c r="L210" i="86" s="1"/>
  <c r="K209" i="86"/>
  <c r="K210" i="86" s="1"/>
  <c r="J209" i="86"/>
  <c r="J210" i="86" s="1"/>
  <c r="I209" i="86"/>
  <c r="I210" i="86" s="1"/>
  <c r="H209" i="86"/>
  <c r="H210" i="86" s="1"/>
  <c r="O208" i="86"/>
  <c r="P208" i="86" s="1"/>
  <c r="O206" i="86"/>
  <c r="N206" i="86"/>
  <c r="N207" i="86" s="1"/>
  <c r="M206" i="86"/>
  <c r="M207" i="86" s="1"/>
  <c r="L206" i="86"/>
  <c r="L207" i="86" s="1"/>
  <c r="K206" i="86"/>
  <c r="K207" i="86" s="1"/>
  <c r="J206" i="86"/>
  <c r="J207" i="86" s="1"/>
  <c r="I206" i="86"/>
  <c r="I207" i="86" s="1"/>
  <c r="H206" i="86"/>
  <c r="O205" i="86"/>
  <c r="O203" i="86"/>
  <c r="N203" i="86"/>
  <c r="N204" i="86" s="1"/>
  <c r="M203" i="86"/>
  <c r="M204" i="86" s="1"/>
  <c r="L203" i="86"/>
  <c r="L204" i="86" s="1"/>
  <c r="K203" i="86"/>
  <c r="K204" i="86" s="1"/>
  <c r="J203" i="86"/>
  <c r="J204" i="86" s="1"/>
  <c r="I203" i="86"/>
  <c r="I204" i="86" s="1"/>
  <c r="H203" i="86"/>
  <c r="H204" i="86" s="1"/>
  <c r="O202" i="86"/>
  <c r="P202" i="86" s="1"/>
  <c r="O200" i="86"/>
  <c r="N200" i="86"/>
  <c r="N201" i="86" s="1"/>
  <c r="M200" i="86"/>
  <c r="M201" i="86" s="1"/>
  <c r="L200" i="86"/>
  <c r="L201" i="86" s="1"/>
  <c r="K200" i="86"/>
  <c r="K201" i="86" s="1"/>
  <c r="J200" i="86"/>
  <c r="J201" i="86" s="1"/>
  <c r="I200" i="86"/>
  <c r="I201" i="86" s="1"/>
  <c r="H200" i="86"/>
  <c r="H201" i="86" s="1"/>
  <c r="O199" i="86"/>
  <c r="P199" i="86" s="1"/>
  <c r="O197" i="86"/>
  <c r="N197" i="86"/>
  <c r="N198" i="86" s="1"/>
  <c r="M197" i="86"/>
  <c r="M198" i="86" s="1"/>
  <c r="L197" i="86"/>
  <c r="L198" i="86" s="1"/>
  <c r="K197" i="86"/>
  <c r="K198" i="86" s="1"/>
  <c r="J197" i="86"/>
  <c r="J198" i="86" s="1"/>
  <c r="I197" i="86"/>
  <c r="I198" i="86" s="1"/>
  <c r="H197" i="86"/>
  <c r="O196" i="86"/>
  <c r="P196" i="86" s="1"/>
  <c r="O194" i="86"/>
  <c r="N194" i="86"/>
  <c r="N195" i="86" s="1"/>
  <c r="M194" i="86"/>
  <c r="M195" i="86" s="1"/>
  <c r="L194" i="86"/>
  <c r="L195" i="86" s="1"/>
  <c r="K194" i="86"/>
  <c r="K195" i="86" s="1"/>
  <c r="J194" i="86"/>
  <c r="J195" i="86" s="1"/>
  <c r="I194" i="86"/>
  <c r="I195" i="86" s="1"/>
  <c r="H194" i="86"/>
  <c r="H195" i="86" s="1"/>
  <c r="O193" i="86"/>
  <c r="O192" i="86"/>
  <c r="N192" i="86"/>
  <c r="M192" i="86"/>
  <c r="L192" i="86"/>
  <c r="K192" i="86"/>
  <c r="J191" i="86"/>
  <c r="I191" i="86"/>
  <c r="H191" i="86"/>
  <c r="H192" i="86" s="1"/>
  <c r="J190" i="86"/>
  <c r="P190" i="86" s="1"/>
  <c r="O189" i="86"/>
  <c r="N189" i="86"/>
  <c r="M189" i="86"/>
  <c r="L189" i="86"/>
  <c r="K189" i="86"/>
  <c r="J188" i="86"/>
  <c r="I188" i="86"/>
  <c r="H188" i="86"/>
  <c r="H189" i="86" s="1"/>
  <c r="J187" i="86"/>
  <c r="P187" i="86" s="1"/>
  <c r="O186" i="86"/>
  <c r="N186" i="86"/>
  <c r="M186" i="86"/>
  <c r="L186" i="86"/>
  <c r="K186" i="86"/>
  <c r="J185" i="86"/>
  <c r="I185" i="86"/>
  <c r="H185" i="86"/>
  <c r="J184" i="86"/>
  <c r="I184" i="86"/>
  <c r="H184" i="86"/>
  <c r="O182" i="86"/>
  <c r="N182" i="86"/>
  <c r="N183" i="86" s="1"/>
  <c r="M182" i="86"/>
  <c r="L182" i="86"/>
  <c r="K182" i="86"/>
  <c r="J182" i="86"/>
  <c r="I182" i="86"/>
  <c r="H182" i="86"/>
  <c r="O181" i="86"/>
  <c r="O183" i="86" s="1"/>
  <c r="M181" i="86"/>
  <c r="L181" i="86"/>
  <c r="K181" i="86"/>
  <c r="J181" i="86"/>
  <c r="I181" i="86"/>
  <c r="H181" i="86"/>
  <c r="O179" i="86"/>
  <c r="N179" i="86"/>
  <c r="N180" i="86" s="1"/>
  <c r="M179" i="86"/>
  <c r="L179" i="86"/>
  <c r="K179" i="86"/>
  <c r="J179" i="86"/>
  <c r="I179" i="86"/>
  <c r="H179" i="86"/>
  <c r="O178" i="86"/>
  <c r="M178" i="86"/>
  <c r="L178" i="86"/>
  <c r="K178" i="86"/>
  <c r="J178" i="86"/>
  <c r="I178" i="86"/>
  <c r="H178" i="86"/>
  <c r="O176" i="86"/>
  <c r="N176" i="86"/>
  <c r="N177" i="86" s="1"/>
  <c r="M176" i="86"/>
  <c r="M177" i="86" s="1"/>
  <c r="L176" i="86"/>
  <c r="L177" i="86" s="1"/>
  <c r="K176" i="86"/>
  <c r="K177" i="86" s="1"/>
  <c r="J176" i="86"/>
  <c r="J177" i="86" s="1"/>
  <c r="I176" i="86"/>
  <c r="I177" i="86" s="1"/>
  <c r="H176" i="86"/>
  <c r="O175" i="86"/>
  <c r="P175" i="86" s="1"/>
  <c r="O173" i="86"/>
  <c r="N173" i="86"/>
  <c r="N174" i="86" s="1"/>
  <c r="M173" i="86"/>
  <c r="M174" i="86" s="1"/>
  <c r="L173" i="86"/>
  <c r="L174" i="86" s="1"/>
  <c r="K173" i="86"/>
  <c r="K174" i="86" s="1"/>
  <c r="J173" i="86"/>
  <c r="J174" i="86" s="1"/>
  <c r="I173" i="86"/>
  <c r="I174" i="86" s="1"/>
  <c r="H173" i="86"/>
  <c r="O172" i="86"/>
  <c r="O170" i="86"/>
  <c r="N170" i="86"/>
  <c r="N171" i="86" s="1"/>
  <c r="M170" i="86"/>
  <c r="M171" i="86" s="1"/>
  <c r="L170" i="86"/>
  <c r="L171" i="86" s="1"/>
  <c r="K170" i="86"/>
  <c r="K171" i="86" s="1"/>
  <c r="J170" i="86"/>
  <c r="J171" i="86" s="1"/>
  <c r="I170" i="86"/>
  <c r="I171" i="86" s="1"/>
  <c r="H170" i="86"/>
  <c r="H171" i="86" s="1"/>
  <c r="O169" i="86"/>
  <c r="O171" i="86" s="1"/>
  <c r="O168" i="86"/>
  <c r="N168" i="86"/>
  <c r="M168" i="86"/>
  <c r="L168" i="86"/>
  <c r="K168" i="86"/>
  <c r="J168" i="86"/>
  <c r="I168" i="86"/>
  <c r="H167" i="86"/>
  <c r="H168" i="86" s="1"/>
  <c r="P166" i="86"/>
  <c r="O165" i="86"/>
  <c r="N165" i="86"/>
  <c r="M164" i="86"/>
  <c r="M165" i="86" s="1"/>
  <c r="L164" i="86"/>
  <c r="L165" i="86" s="1"/>
  <c r="K164" i="86"/>
  <c r="K165" i="86" s="1"/>
  <c r="J164" i="86"/>
  <c r="J165" i="86" s="1"/>
  <c r="I164" i="86"/>
  <c r="I165" i="86" s="1"/>
  <c r="H164" i="86"/>
  <c r="H165" i="86" s="1"/>
  <c r="P163" i="86"/>
  <c r="O161" i="86"/>
  <c r="N161" i="86"/>
  <c r="N162" i="86" s="1"/>
  <c r="M161" i="86"/>
  <c r="M162" i="86" s="1"/>
  <c r="L161" i="86"/>
  <c r="L162" i="86" s="1"/>
  <c r="K161" i="86"/>
  <c r="K162" i="86" s="1"/>
  <c r="J161" i="86"/>
  <c r="J162" i="86" s="1"/>
  <c r="I161" i="86"/>
  <c r="I162" i="86" s="1"/>
  <c r="H161" i="86"/>
  <c r="H162" i="86" s="1"/>
  <c r="O160" i="86"/>
  <c r="P160" i="86" s="1"/>
  <c r="O159" i="86"/>
  <c r="N159" i="86"/>
  <c r="M158" i="86"/>
  <c r="L158" i="86"/>
  <c r="L159" i="86" s="1"/>
  <c r="K158" i="86"/>
  <c r="K159" i="86" s="1"/>
  <c r="J158" i="86"/>
  <c r="J159" i="86" s="1"/>
  <c r="I158" i="86"/>
  <c r="I159" i="86" s="1"/>
  <c r="H158" i="86"/>
  <c r="H159" i="86" s="1"/>
  <c r="M157" i="86"/>
  <c r="O155" i="86"/>
  <c r="N155" i="86"/>
  <c r="N156" i="86" s="1"/>
  <c r="M155" i="86"/>
  <c r="L155" i="86"/>
  <c r="K155" i="86"/>
  <c r="J155" i="86"/>
  <c r="I155" i="86"/>
  <c r="H155" i="86"/>
  <c r="O154" i="86"/>
  <c r="O156" i="86" s="1"/>
  <c r="M154" i="86"/>
  <c r="L154" i="86"/>
  <c r="K154" i="86"/>
  <c r="J154" i="86"/>
  <c r="I154" i="86"/>
  <c r="H154" i="86"/>
  <c r="O153" i="86"/>
  <c r="N153" i="86"/>
  <c r="M152" i="86"/>
  <c r="L152" i="86"/>
  <c r="K152" i="86"/>
  <c r="J152" i="86"/>
  <c r="I152" i="86"/>
  <c r="H152" i="86"/>
  <c r="M151" i="86"/>
  <c r="L151" i="86"/>
  <c r="K151" i="86"/>
  <c r="J151" i="86"/>
  <c r="I151" i="86"/>
  <c r="H151" i="86"/>
  <c r="O149" i="86"/>
  <c r="N149" i="86"/>
  <c r="N150" i="86" s="1"/>
  <c r="M149" i="86"/>
  <c r="L149" i="86"/>
  <c r="K149" i="86"/>
  <c r="J149" i="86"/>
  <c r="I149" i="86"/>
  <c r="H149" i="86"/>
  <c r="O148" i="86"/>
  <c r="O150" i="86" s="1"/>
  <c r="M148" i="86"/>
  <c r="L148" i="86"/>
  <c r="K148" i="86"/>
  <c r="J148" i="86"/>
  <c r="I148" i="86"/>
  <c r="H148" i="86"/>
  <c r="O147" i="86"/>
  <c r="N147" i="86"/>
  <c r="M146" i="86"/>
  <c r="M147" i="86" s="1"/>
  <c r="L146" i="86"/>
  <c r="L147" i="86" s="1"/>
  <c r="K146" i="86"/>
  <c r="K147" i="86" s="1"/>
  <c r="J146" i="86"/>
  <c r="J147" i="86" s="1"/>
  <c r="I146" i="86"/>
  <c r="I147" i="86" s="1"/>
  <c r="H146" i="86"/>
  <c r="H147" i="86" s="1"/>
  <c r="P145" i="86"/>
  <c r="O143" i="86"/>
  <c r="N143" i="86"/>
  <c r="N144" i="86" s="1"/>
  <c r="M143" i="86"/>
  <c r="M144" i="86" s="1"/>
  <c r="L143" i="86"/>
  <c r="L144" i="86" s="1"/>
  <c r="K143" i="86"/>
  <c r="K144" i="86" s="1"/>
  <c r="J143" i="86"/>
  <c r="J144" i="86" s="1"/>
  <c r="I143" i="86"/>
  <c r="I144" i="86" s="1"/>
  <c r="H143" i="86"/>
  <c r="H144" i="86" s="1"/>
  <c r="O142" i="86"/>
  <c r="P142" i="86" s="1"/>
  <c r="O141" i="86"/>
  <c r="N141" i="86"/>
  <c r="M141" i="86"/>
  <c r="L140" i="86"/>
  <c r="L141" i="86" s="1"/>
  <c r="K140" i="86"/>
  <c r="K141" i="86" s="1"/>
  <c r="J140" i="86"/>
  <c r="J141" i="86" s="1"/>
  <c r="I140" i="86"/>
  <c r="I141" i="86" s="1"/>
  <c r="H140" i="86"/>
  <c r="H141" i="86" s="1"/>
  <c r="P139" i="86"/>
  <c r="O138" i="86"/>
  <c r="N138" i="86"/>
  <c r="M138" i="86"/>
  <c r="L138" i="86"/>
  <c r="K138" i="86"/>
  <c r="J138" i="86"/>
  <c r="I138" i="86"/>
  <c r="H137" i="86"/>
  <c r="H138" i="86" s="1"/>
  <c r="P136" i="86"/>
  <c r="O134" i="86"/>
  <c r="N134" i="86"/>
  <c r="N135" i="86" s="1"/>
  <c r="M134" i="86"/>
  <c r="M135" i="86" s="1"/>
  <c r="L134" i="86"/>
  <c r="L135" i="86" s="1"/>
  <c r="K134" i="86"/>
  <c r="K135" i="86" s="1"/>
  <c r="J134" i="86"/>
  <c r="J135" i="86" s="1"/>
  <c r="I134" i="86"/>
  <c r="I135" i="86" s="1"/>
  <c r="H134" i="86"/>
  <c r="O133" i="86"/>
  <c r="O131" i="86"/>
  <c r="N131" i="86"/>
  <c r="N132" i="86" s="1"/>
  <c r="M131" i="86"/>
  <c r="M132" i="86" s="1"/>
  <c r="L131" i="86"/>
  <c r="L132" i="86" s="1"/>
  <c r="K131" i="86"/>
  <c r="K132" i="86" s="1"/>
  <c r="J131" i="86"/>
  <c r="J132" i="86" s="1"/>
  <c r="I131" i="86"/>
  <c r="I132" i="86" s="1"/>
  <c r="H131" i="86"/>
  <c r="O130" i="86"/>
  <c r="O132" i="86" s="1"/>
  <c r="O128" i="86"/>
  <c r="N128" i="86"/>
  <c r="N129" i="86" s="1"/>
  <c r="M128" i="86"/>
  <c r="M129" i="86" s="1"/>
  <c r="L128" i="86"/>
  <c r="L129" i="86" s="1"/>
  <c r="K128" i="86"/>
  <c r="K129" i="86" s="1"/>
  <c r="J128" i="86"/>
  <c r="J129" i="86" s="1"/>
  <c r="I128" i="86"/>
  <c r="I129" i="86" s="1"/>
  <c r="H128" i="86"/>
  <c r="H129" i="86" s="1"/>
  <c r="O127" i="86"/>
  <c r="P127" i="86" s="1"/>
  <c r="O126" i="86"/>
  <c r="N126" i="86"/>
  <c r="M126" i="86"/>
  <c r="L125" i="86"/>
  <c r="L126" i="86" s="1"/>
  <c r="K125" i="86"/>
  <c r="K126" i="86" s="1"/>
  <c r="J125" i="86"/>
  <c r="J126" i="86" s="1"/>
  <c r="I125" i="86"/>
  <c r="I126" i="86" s="1"/>
  <c r="H125" i="86"/>
  <c r="H126" i="86" s="1"/>
  <c r="P124" i="86"/>
  <c r="O123" i="86"/>
  <c r="N123" i="86"/>
  <c r="M122" i="86"/>
  <c r="M123" i="86" s="1"/>
  <c r="L122" i="86"/>
  <c r="L123" i="86" s="1"/>
  <c r="K122" i="86"/>
  <c r="K123" i="86" s="1"/>
  <c r="J122" i="86"/>
  <c r="J123" i="86" s="1"/>
  <c r="I122" i="86"/>
  <c r="I123" i="86" s="1"/>
  <c r="H122" i="86"/>
  <c r="H123" i="86" s="1"/>
  <c r="P121" i="86"/>
  <c r="O119" i="86"/>
  <c r="N119" i="86"/>
  <c r="N120" i="86" s="1"/>
  <c r="M119" i="86"/>
  <c r="M120" i="86" s="1"/>
  <c r="L119" i="86"/>
  <c r="L120" i="86" s="1"/>
  <c r="K119" i="86"/>
  <c r="K120" i="86" s="1"/>
  <c r="J119" i="86"/>
  <c r="J120" i="86" s="1"/>
  <c r="I119" i="86"/>
  <c r="I120" i="86" s="1"/>
  <c r="H119" i="86"/>
  <c r="H120" i="86" s="1"/>
  <c r="O118" i="86"/>
  <c r="P118" i="86" s="1"/>
  <c r="O117" i="86"/>
  <c r="N117" i="86"/>
  <c r="M117" i="86"/>
  <c r="L117" i="86"/>
  <c r="K116" i="86"/>
  <c r="J116" i="86"/>
  <c r="J117" i="86" s="1"/>
  <c r="I116" i="86"/>
  <c r="I117" i="86" s="1"/>
  <c r="H116" i="86"/>
  <c r="K115" i="86"/>
  <c r="K117" i="86" s="1"/>
  <c r="O114" i="86"/>
  <c r="N114" i="86"/>
  <c r="M114" i="86"/>
  <c r="L114" i="86"/>
  <c r="K114" i="86"/>
  <c r="J113" i="86"/>
  <c r="J114" i="86" s="1"/>
  <c r="I113" i="86"/>
  <c r="I114" i="86" s="1"/>
  <c r="H113" i="86"/>
  <c r="P112" i="86"/>
  <c r="O111" i="86"/>
  <c r="N111" i="86"/>
  <c r="M111" i="86"/>
  <c r="L111" i="86"/>
  <c r="K111" i="86"/>
  <c r="J110" i="86"/>
  <c r="J111" i="86" s="1"/>
  <c r="I110" i="86"/>
  <c r="I111" i="86" s="1"/>
  <c r="H110" i="86"/>
  <c r="H111" i="86" s="1"/>
  <c r="P109" i="86"/>
  <c r="O108" i="86"/>
  <c r="N108" i="86"/>
  <c r="M108" i="86"/>
  <c r="L108" i="86"/>
  <c r="K108" i="86"/>
  <c r="J107" i="86"/>
  <c r="J108" i="86" s="1"/>
  <c r="I107" i="86"/>
  <c r="I108" i="86" s="1"/>
  <c r="H107" i="86"/>
  <c r="H108" i="86" s="1"/>
  <c r="P106" i="86"/>
  <c r="O104" i="86"/>
  <c r="N104" i="86"/>
  <c r="N105" i="86" s="1"/>
  <c r="M104" i="86"/>
  <c r="M105" i="86" s="1"/>
  <c r="L104" i="86"/>
  <c r="L105" i="86" s="1"/>
  <c r="K104" i="86"/>
  <c r="K105" i="86" s="1"/>
  <c r="J104" i="86"/>
  <c r="J105" i="86" s="1"/>
  <c r="I104" i="86"/>
  <c r="I105" i="86" s="1"/>
  <c r="H104" i="86"/>
  <c r="H105" i="86" s="1"/>
  <c r="O103" i="86"/>
  <c r="O105" i="86" s="1"/>
  <c r="O101" i="86"/>
  <c r="N101" i="86"/>
  <c r="N102" i="86" s="1"/>
  <c r="M101" i="86"/>
  <c r="M102" i="86" s="1"/>
  <c r="L101" i="86"/>
  <c r="L102" i="86" s="1"/>
  <c r="K101" i="86"/>
  <c r="K102" i="86" s="1"/>
  <c r="J101" i="86"/>
  <c r="J102" i="86" s="1"/>
  <c r="I101" i="86"/>
  <c r="I102" i="86" s="1"/>
  <c r="H101" i="86"/>
  <c r="H102" i="86" s="1"/>
  <c r="O100" i="86"/>
  <c r="O102" i="86" s="1"/>
  <c r="O98" i="86"/>
  <c r="N98" i="86"/>
  <c r="N99" i="86" s="1"/>
  <c r="M98" i="86"/>
  <c r="M99" i="86" s="1"/>
  <c r="L98" i="86"/>
  <c r="L99" i="86" s="1"/>
  <c r="K98" i="86"/>
  <c r="K99" i="86" s="1"/>
  <c r="J98" i="86"/>
  <c r="J99" i="86" s="1"/>
  <c r="I98" i="86"/>
  <c r="I99" i="86" s="1"/>
  <c r="H98" i="86"/>
  <c r="O97" i="86"/>
  <c r="P97" i="86" s="1"/>
  <c r="O95" i="86"/>
  <c r="N95" i="86"/>
  <c r="N96" i="86" s="1"/>
  <c r="M95" i="86"/>
  <c r="M96" i="86" s="1"/>
  <c r="L95" i="86"/>
  <c r="L96" i="86" s="1"/>
  <c r="K95" i="86"/>
  <c r="K96" i="86" s="1"/>
  <c r="J95" i="86"/>
  <c r="J96" i="86" s="1"/>
  <c r="I95" i="86"/>
  <c r="I96" i="86" s="1"/>
  <c r="H95" i="86"/>
  <c r="H96" i="86" s="1"/>
  <c r="O94" i="86"/>
  <c r="O93" i="86"/>
  <c r="N93" i="86"/>
  <c r="M92" i="86"/>
  <c r="M93" i="86" s="1"/>
  <c r="L92" i="86"/>
  <c r="L93" i="86" s="1"/>
  <c r="K92" i="86"/>
  <c r="K93" i="86" s="1"/>
  <c r="J92" i="86"/>
  <c r="J93" i="86" s="1"/>
  <c r="I92" i="86"/>
  <c r="I93" i="86" s="1"/>
  <c r="H92" i="86"/>
  <c r="P91" i="86"/>
  <c r="O89" i="86"/>
  <c r="N89" i="86"/>
  <c r="N90" i="86" s="1"/>
  <c r="M89" i="86"/>
  <c r="M90" i="86" s="1"/>
  <c r="L89" i="86"/>
  <c r="L90" i="86" s="1"/>
  <c r="K89" i="86"/>
  <c r="K90" i="86" s="1"/>
  <c r="J89" i="86"/>
  <c r="J90" i="86" s="1"/>
  <c r="I89" i="86"/>
  <c r="I90" i="86" s="1"/>
  <c r="H89" i="86"/>
  <c r="H90" i="86" s="1"/>
  <c r="O88" i="86"/>
  <c r="O90" i="86" s="1"/>
  <c r="O87" i="86"/>
  <c r="N87" i="86"/>
  <c r="M87" i="86"/>
  <c r="L87" i="86"/>
  <c r="K87" i="86"/>
  <c r="J87" i="86"/>
  <c r="I86" i="86"/>
  <c r="I87" i="86" s="1"/>
  <c r="H86" i="86"/>
  <c r="H87" i="86" s="1"/>
  <c r="P85" i="86"/>
  <c r="O84" i="86"/>
  <c r="N84" i="86"/>
  <c r="M84" i="86"/>
  <c r="L84" i="86"/>
  <c r="K84" i="86"/>
  <c r="J84" i="86"/>
  <c r="I83" i="86"/>
  <c r="I84" i="86" s="1"/>
  <c r="H83" i="86"/>
  <c r="H84" i="86" s="1"/>
  <c r="P82" i="86"/>
  <c r="O81" i="86"/>
  <c r="N81" i="86"/>
  <c r="M81" i="86"/>
  <c r="L81" i="86"/>
  <c r="K81" i="86"/>
  <c r="J81" i="86"/>
  <c r="I80" i="86"/>
  <c r="I81" i="86" s="1"/>
  <c r="H80" i="86"/>
  <c r="P79" i="86"/>
  <c r="O77" i="86"/>
  <c r="N77" i="86"/>
  <c r="N78" i="86" s="1"/>
  <c r="M77" i="86"/>
  <c r="M78" i="86" s="1"/>
  <c r="L77" i="86"/>
  <c r="L78" i="86" s="1"/>
  <c r="K77" i="86"/>
  <c r="K78" i="86" s="1"/>
  <c r="J77" i="86"/>
  <c r="J78" i="86" s="1"/>
  <c r="I77" i="86"/>
  <c r="I78" i="86" s="1"/>
  <c r="H77" i="86"/>
  <c r="H78" i="86" s="1"/>
  <c r="O76" i="86"/>
  <c r="P76" i="86" s="1"/>
  <c r="O75" i="86"/>
  <c r="N75" i="86"/>
  <c r="M74" i="86"/>
  <c r="M75" i="86" s="1"/>
  <c r="L74" i="86"/>
  <c r="L75" i="86" s="1"/>
  <c r="K74" i="86"/>
  <c r="K75" i="86" s="1"/>
  <c r="J74" i="86"/>
  <c r="J75" i="86" s="1"/>
  <c r="I74" i="86"/>
  <c r="I75" i="86" s="1"/>
  <c r="H74" i="86"/>
  <c r="H75" i="86" s="1"/>
  <c r="P73" i="86"/>
  <c r="O72" i="86"/>
  <c r="N72" i="86"/>
  <c r="M72" i="86"/>
  <c r="L72" i="86"/>
  <c r="K72" i="86"/>
  <c r="J72" i="86"/>
  <c r="I72" i="86"/>
  <c r="H71" i="86"/>
  <c r="P70" i="86"/>
  <c r="O68" i="86"/>
  <c r="N68" i="86"/>
  <c r="N69" i="86" s="1"/>
  <c r="M68" i="86"/>
  <c r="M69" i="86" s="1"/>
  <c r="L68" i="86"/>
  <c r="L69" i="86" s="1"/>
  <c r="K68" i="86"/>
  <c r="K69" i="86" s="1"/>
  <c r="J68" i="86"/>
  <c r="J69" i="86" s="1"/>
  <c r="I68" i="86"/>
  <c r="I69" i="86" s="1"/>
  <c r="H68" i="86"/>
  <c r="H69" i="86" s="1"/>
  <c r="O67" i="86"/>
  <c r="O69" i="86" s="1"/>
  <c r="O66" i="86"/>
  <c r="N66" i="86"/>
  <c r="M65" i="86"/>
  <c r="M66" i="86" s="1"/>
  <c r="L65" i="86"/>
  <c r="L66" i="86" s="1"/>
  <c r="K65" i="86"/>
  <c r="K66" i="86" s="1"/>
  <c r="J65" i="86"/>
  <c r="J66" i="86" s="1"/>
  <c r="I65" i="86"/>
  <c r="I66" i="86" s="1"/>
  <c r="H65" i="86"/>
  <c r="H66" i="86" s="1"/>
  <c r="P64" i="86"/>
  <c r="O63" i="86"/>
  <c r="N63" i="86"/>
  <c r="M62" i="86"/>
  <c r="M63" i="86" s="1"/>
  <c r="L62" i="86"/>
  <c r="L63" i="86" s="1"/>
  <c r="K62" i="86"/>
  <c r="K63" i="86" s="1"/>
  <c r="J62" i="86"/>
  <c r="J63" i="86" s="1"/>
  <c r="I62" i="86"/>
  <c r="I63" i="86" s="1"/>
  <c r="H62" i="86"/>
  <c r="P61" i="86"/>
  <c r="O60" i="86"/>
  <c r="N60" i="86"/>
  <c r="M60" i="86"/>
  <c r="L59" i="86"/>
  <c r="L60" i="86" s="1"/>
  <c r="K59" i="86"/>
  <c r="K60" i="86" s="1"/>
  <c r="J59" i="86"/>
  <c r="J60" i="86" s="1"/>
  <c r="I59" i="86"/>
  <c r="I60" i="86" s="1"/>
  <c r="H59" i="86"/>
  <c r="H60" i="86" s="1"/>
  <c r="P58" i="86"/>
  <c r="O57" i="86"/>
  <c r="N57" i="86"/>
  <c r="M57" i="86"/>
  <c r="L57" i="86"/>
  <c r="K56" i="86"/>
  <c r="K57" i="86" s="1"/>
  <c r="J56" i="86"/>
  <c r="J57" i="86" s="1"/>
  <c r="I56" i="86"/>
  <c r="I57" i="86" s="1"/>
  <c r="H56" i="86"/>
  <c r="H57" i="86" s="1"/>
  <c r="P55" i="86"/>
  <c r="O53" i="86"/>
  <c r="N53" i="86"/>
  <c r="N54" i="86" s="1"/>
  <c r="M53" i="86"/>
  <c r="M54" i="86" s="1"/>
  <c r="L53" i="86"/>
  <c r="L54" i="86" s="1"/>
  <c r="K53" i="86"/>
  <c r="K54" i="86" s="1"/>
  <c r="J53" i="86"/>
  <c r="J54" i="86" s="1"/>
  <c r="I53" i="86"/>
  <c r="I54" i="86" s="1"/>
  <c r="H53" i="86"/>
  <c r="H54" i="86" s="1"/>
  <c r="O52" i="86"/>
  <c r="O51" i="86"/>
  <c r="N51" i="86"/>
  <c r="M51" i="86"/>
  <c r="L50" i="86"/>
  <c r="L51" i="86" s="1"/>
  <c r="K50" i="86"/>
  <c r="J50" i="86"/>
  <c r="J51" i="86" s="1"/>
  <c r="I50" i="86"/>
  <c r="I51" i="86" s="1"/>
  <c r="H50" i="86"/>
  <c r="K49" i="86"/>
  <c r="P49" i="86" s="1"/>
  <c r="O47" i="86"/>
  <c r="N47" i="86"/>
  <c r="N48" i="86" s="1"/>
  <c r="M47" i="86"/>
  <c r="M48" i="86" s="1"/>
  <c r="L47" i="86"/>
  <c r="L48" i="86" s="1"/>
  <c r="K47" i="86"/>
  <c r="K48" i="86" s="1"/>
  <c r="J47" i="86"/>
  <c r="J48" i="86" s="1"/>
  <c r="I47" i="86"/>
  <c r="I48" i="86" s="1"/>
  <c r="H47" i="86"/>
  <c r="H48" i="86" s="1"/>
  <c r="O46" i="86"/>
  <c r="O48" i="86" s="1"/>
  <c r="O45" i="86"/>
  <c r="N45" i="86"/>
  <c r="M45" i="86"/>
  <c r="L44" i="86"/>
  <c r="L45" i="86" s="1"/>
  <c r="K44" i="86"/>
  <c r="J44" i="86"/>
  <c r="I44" i="86"/>
  <c r="H44" i="86"/>
  <c r="K43" i="86"/>
  <c r="K45" i="86" s="1"/>
  <c r="J43" i="86"/>
  <c r="I43" i="86"/>
  <c r="I45" i="86" s="1"/>
  <c r="H43" i="86"/>
  <c r="O41" i="86"/>
  <c r="N41" i="86"/>
  <c r="N42" i="86" s="1"/>
  <c r="M41" i="86"/>
  <c r="M42" i="86" s="1"/>
  <c r="L41" i="86"/>
  <c r="L42" i="86" s="1"/>
  <c r="K41" i="86"/>
  <c r="K42" i="86" s="1"/>
  <c r="J41" i="86"/>
  <c r="J42" i="86" s="1"/>
  <c r="I41" i="86"/>
  <c r="I42" i="86" s="1"/>
  <c r="H41" i="86"/>
  <c r="H42" i="86" s="1"/>
  <c r="O40" i="86"/>
  <c r="O42" i="86" s="1"/>
  <c r="O38" i="86"/>
  <c r="N38" i="86"/>
  <c r="N39" i="86" s="1"/>
  <c r="M38" i="86"/>
  <c r="M39" i="86" s="1"/>
  <c r="L38" i="86"/>
  <c r="K38" i="86"/>
  <c r="K39" i="86" s="1"/>
  <c r="J38" i="86"/>
  <c r="J39" i="86" s="1"/>
  <c r="I38" i="86"/>
  <c r="I39" i="86" s="1"/>
  <c r="H38" i="86"/>
  <c r="H39" i="86" s="1"/>
  <c r="O37" i="86"/>
  <c r="P37" i="86" s="1"/>
  <c r="O36" i="86"/>
  <c r="N36" i="86"/>
  <c r="M36" i="86"/>
  <c r="L36" i="86"/>
  <c r="K35" i="86"/>
  <c r="J35" i="86"/>
  <c r="J36" i="86" s="1"/>
  <c r="I35" i="86"/>
  <c r="I36" i="86" s="1"/>
  <c r="H35" i="86"/>
  <c r="H36" i="86" s="1"/>
  <c r="K34" i="86"/>
  <c r="K36" i="86" s="1"/>
  <c r="O33" i="86"/>
  <c r="N33" i="86"/>
  <c r="M33" i="86"/>
  <c r="L33" i="86"/>
  <c r="K33" i="86"/>
  <c r="J32" i="86"/>
  <c r="I32" i="86"/>
  <c r="I33" i="86" s="1"/>
  <c r="H32" i="86"/>
  <c r="J31" i="86"/>
  <c r="P31" i="86" s="1"/>
  <c r="O30" i="86"/>
  <c r="N30" i="86"/>
  <c r="M30" i="86"/>
  <c r="L30" i="86"/>
  <c r="K30" i="86"/>
  <c r="J29" i="86"/>
  <c r="J30" i="86" s="1"/>
  <c r="I29" i="86"/>
  <c r="I30" i="86" s="1"/>
  <c r="H29" i="86"/>
  <c r="H30" i="86" s="1"/>
  <c r="P28" i="86"/>
  <c r="O27" i="86"/>
  <c r="N27" i="86"/>
  <c r="M27" i="86"/>
  <c r="L27" i="86"/>
  <c r="K27" i="86"/>
  <c r="J27" i="86"/>
  <c r="I27" i="86"/>
  <c r="H27" i="86"/>
  <c r="P26" i="86"/>
  <c r="P25" i="86"/>
  <c r="O24" i="86"/>
  <c r="N24" i="86"/>
  <c r="M24" i="86"/>
  <c r="L24" i="86"/>
  <c r="K24" i="86"/>
  <c r="J23" i="86"/>
  <c r="J24" i="86" s="1"/>
  <c r="I23" i="86"/>
  <c r="I24" i="86" s="1"/>
  <c r="H23" i="86"/>
  <c r="H24" i="86" s="1"/>
  <c r="P22" i="86"/>
  <c r="O21" i="86"/>
  <c r="N21" i="86"/>
  <c r="M21" i="86"/>
  <c r="L21" i="86"/>
  <c r="K21" i="86"/>
  <c r="J21" i="86"/>
  <c r="I21" i="86"/>
  <c r="H21" i="86"/>
  <c r="P20" i="86"/>
  <c r="P19" i="86"/>
  <c r="O18" i="86"/>
  <c r="N18" i="86"/>
  <c r="M18" i="86"/>
  <c r="L18" i="86"/>
  <c r="K18" i="86"/>
  <c r="J17" i="86"/>
  <c r="J18" i="86" s="1"/>
  <c r="I17" i="86"/>
  <c r="I18" i="86" s="1"/>
  <c r="H17" i="86"/>
  <c r="H18" i="86" s="1"/>
  <c r="P16" i="86"/>
  <c r="O15" i="86"/>
  <c r="N15" i="86"/>
  <c r="M15" i="86"/>
  <c r="L15" i="86"/>
  <c r="K15" i="86"/>
  <c r="J14" i="86"/>
  <c r="I14" i="86"/>
  <c r="I15" i="86" s="1"/>
  <c r="H14" i="86"/>
  <c r="P13" i="86"/>
  <c r="A13" i="86"/>
  <c r="A16" i="86" s="1"/>
  <c r="A19" i="86" s="1"/>
  <c r="A22" i="86" s="1"/>
  <c r="A25" i="86" s="1"/>
  <c r="A28" i="86" s="1"/>
  <c r="A31" i="86" s="1"/>
  <c r="A34" i="86" s="1"/>
  <c r="A37" i="86" s="1"/>
  <c r="A40" i="86" s="1"/>
  <c r="A43" i="86" s="1"/>
  <c r="A46" i="86" s="1"/>
  <c r="A49" i="86" s="1"/>
  <c r="A52" i="86" s="1"/>
  <c r="A55" i="86" s="1"/>
  <c r="A58" i="86" s="1"/>
  <c r="A61" i="86" s="1"/>
  <c r="A64" i="86" s="1"/>
  <c r="A67" i="86" s="1"/>
  <c r="A70" i="86" s="1"/>
  <c r="A73" i="86" s="1"/>
  <c r="A76" i="86" s="1"/>
  <c r="A79" i="86" s="1"/>
  <c r="A82" i="86" s="1"/>
  <c r="A85" i="86" s="1"/>
  <c r="A88" i="86" s="1"/>
  <c r="A91" i="86" s="1"/>
  <c r="A94" i="86" s="1"/>
  <c r="A97" i="86" s="1"/>
  <c r="A100" i="86" s="1"/>
  <c r="A103" i="86" s="1"/>
  <c r="A106" i="86" s="1"/>
  <c r="A109" i="86" s="1"/>
  <c r="A112" i="86" s="1"/>
  <c r="A115" i="86" s="1"/>
  <c r="A118" i="86" s="1"/>
  <c r="A121" i="86" s="1"/>
  <c r="A124" i="86" s="1"/>
  <c r="A127" i="86" s="1"/>
  <c r="A130" i="86" s="1"/>
  <c r="A133" i="86" s="1"/>
  <c r="A136" i="86" s="1"/>
  <c r="A139" i="86" s="1"/>
  <c r="A142" i="86" s="1"/>
  <c r="A145" i="86" s="1"/>
  <c r="A148" i="86" s="1"/>
  <c r="A151" i="86" s="1"/>
  <c r="A154" i="86" s="1"/>
  <c r="A157" i="86" s="1"/>
  <c r="A160" i="86" s="1"/>
  <c r="A163" i="86" s="1"/>
  <c r="A166" i="86" s="1"/>
  <c r="A169" i="86" s="1"/>
  <c r="A172" i="86" s="1"/>
  <c r="A175" i="86" s="1"/>
  <c r="A178" i="86" s="1"/>
  <c r="A181" i="86" s="1"/>
  <c r="A184" i="86" s="1"/>
  <c r="A187" i="86" s="1"/>
  <c r="A190" i="86" s="1"/>
  <c r="A193" i="86" s="1"/>
  <c r="A196" i="86" s="1"/>
  <c r="A199" i="86" s="1"/>
  <c r="A202" i="86" s="1"/>
  <c r="A205" i="86" s="1"/>
  <c r="A208" i="86" s="1"/>
  <c r="A211" i="86" s="1"/>
  <c r="A214" i="86" s="1"/>
  <c r="A217" i="86" s="1"/>
  <c r="A220" i="86" s="1"/>
  <c r="A223" i="86" s="1"/>
  <c r="A226" i="86" s="1"/>
  <c r="A229" i="86" s="1"/>
  <c r="A232" i="86" s="1"/>
  <c r="A235" i="86" s="1"/>
  <c r="A238" i="86" s="1"/>
  <c r="A241" i="86" s="1"/>
  <c r="A244" i="86" s="1"/>
  <c r="A247" i="86" s="1"/>
  <c r="A250" i="86" s="1"/>
  <c r="A253" i="86" s="1"/>
  <c r="A256" i="86" s="1"/>
  <c r="A259" i="86" s="1"/>
  <c r="A262" i="86" s="1"/>
  <c r="A265" i="86" s="1"/>
  <c r="A268" i="86" s="1"/>
  <c r="A271" i="86" s="1"/>
  <c r="A274" i="86" s="1"/>
  <c r="A277" i="86" s="1"/>
  <c r="A280" i="86" s="1"/>
  <c r="A283" i="86" s="1"/>
  <c r="A286" i="86" s="1"/>
  <c r="A289" i="86" s="1"/>
  <c r="A292" i="86" s="1"/>
  <c r="A295" i="86" s="1"/>
  <c r="A298" i="86" s="1"/>
  <c r="A301" i="86" s="1"/>
  <c r="A304" i="86" s="1"/>
  <c r="A307" i="86" s="1"/>
  <c r="A310" i="86" s="1"/>
  <c r="A313" i="86" s="1"/>
  <c r="A316" i="86" s="1"/>
  <c r="A319" i="86" s="1"/>
  <c r="A322" i="86" s="1"/>
  <c r="A325" i="86" s="1"/>
  <c r="A328" i="86" s="1"/>
  <c r="A331" i="86" s="1"/>
  <c r="A334" i="86" s="1"/>
  <c r="A337" i="86" s="1"/>
  <c r="A340" i="86" s="1"/>
  <c r="A343" i="86" s="1"/>
  <c r="A346" i="86" s="1"/>
  <c r="A349" i="86" s="1"/>
  <c r="A352" i="86" s="1"/>
  <c r="A355" i="86" s="1"/>
  <c r="A358" i="86" s="1"/>
  <c r="A361" i="86" s="1"/>
  <c r="A364" i="86" s="1"/>
  <c r="A367" i="86" s="1"/>
  <c r="A370" i="86" s="1"/>
  <c r="A373" i="86" s="1"/>
  <c r="A376" i="86" s="1"/>
  <c r="A379" i="86" s="1"/>
  <c r="A382" i="86" s="1"/>
  <c r="A385" i="86" s="1"/>
  <c r="A388" i="86" s="1"/>
  <c r="A391" i="86" s="1"/>
  <c r="A394" i="86" s="1"/>
  <c r="A397" i="86" s="1"/>
  <c r="A400" i="86" s="1"/>
  <c r="A403" i="86" s="1"/>
  <c r="A406" i="86" s="1"/>
  <c r="A409" i="86" s="1"/>
  <c r="A412" i="86" s="1"/>
  <c r="A415" i="86" s="1"/>
  <c r="A418" i="86" s="1"/>
  <c r="A421" i="86" s="1"/>
  <c r="A424" i="86" s="1"/>
  <c r="A427" i="86" s="1"/>
  <c r="A430" i="86" s="1"/>
  <c r="A433" i="86" s="1"/>
  <c r="A436" i="86" s="1"/>
  <c r="A439" i="86" s="1"/>
  <c r="A442" i="86" s="1"/>
  <c r="A445" i="86" s="1"/>
  <c r="A448" i="86" s="1"/>
  <c r="A451" i="86" s="1"/>
  <c r="A454" i="86" s="1"/>
  <c r="A457" i="86" s="1"/>
  <c r="A460" i="86" s="1"/>
  <c r="A463" i="86" s="1"/>
  <c r="A466" i="86" s="1"/>
  <c r="A469" i="86" s="1"/>
  <c r="A472" i="86" s="1"/>
  <c r="A475" i="86" s="1"/>
  <c r="A478" i="86" s="1"/>
  <c r="A481" i="86" s="1"/>
  <c r="A484" i="86" s="1"/>
  <c r="A487" i="86" s="1"/>
  <c r="A490" i="86" s="1"/>
  <c r="A493" i="86" s="1"/>
  <c r="A496" i="86" s="1"/>
  <c r="A499" i="86" s="1"/>
  <c r="A502" i="86" s="1"/>
  <c r="A505" i="86" s="1"/>
  <c r="A508" i="86" s="1"/>
  <c r="A511" i="86" s="1"/>
  <c r="A514" i="86" s="1"/>
  <c r="A517" i="86" s="1"/>
  <c r="A520" i="86" s="1"/>
  <c r="A523" i="86" s="1"/>
  <c r="A526" i="86" s="1"/>
  <c r="A529" i="86" s="1"/>
  <c r="A532" i="86" s="1"/>
  <c r="A535" i="86" s="1"/>
  <c r="A538" i="86" s="1"/>
  <c r="A541" i="86" s="1"/>
  <c r="A544" i="86" s="1"/>
  <c r="A547" i="86" s="1"/>
  <c r="A550" i="86" s="1"/>
  <c r="A553" i="86" s="1"/>
  <c r="A556" i="86" s="1"/>
  <c r="A559" i="86" s="1"/>
  <c r="A562" i="86" s="1"/>
  <c r="A565" i="86" s="1"/>
  <c r="A568" i="86" s="1"/>
  <c r="N12" i="86"/>
  <c r="M12" i="86"/>
  <c r="L12" i="86"/>
  <c r="K12" i="86"/>
  <c r="J12" i="86"/>
  <c r="I12" i="86"/>
  <c r="H12" i="86"/>
  <c r="P11" i="86"/>
  <c r="O10" i="86"/>
  <c r="O600" i="86" l="1"/>
  <c r="P491" i="86"/>
  <c r="P598" i="86"/>
  <c r="J186" i="86"/>
  <c r="O444" i="86"/>
  <c r="O423" i="86"/>
  <c r="I156" i="86"/>
  <c r="M156" i="86"/>
  <c r="K180" i="86"/>
  <c r="H183" i="86"/>
  <c r="L183" i="86"/>
  <c r="O243" i="86"/>
  <c r="P243" i="86" s="1"/>
  <c r="H501" i="86"/>
  <c r="P501" i="86" s="1"/>
  <c r="O129" i="86"/>
  <c r="P129" i="86" s="1"/>
  <c r="M150" i="86"/>
  <c r="P241" i="86"/>
  <c r="O357" i="86"/>
  <c r="P357" i="86" s="1"/>
  <c r="O597" i="86"/>
  <c r="P597" i="86" s="1"/>
  <c r="O273" i="86"/>
  <c r="P273" i="86" s="1"/>
  <c r="O399" i="86"/>
  <c r="P399" i="86" s="1"/>
  <c r="O510" i="86"/>
  <c r="O588" i="86"/>
  <c r="P588" i="86" s="1"/>
  <c r="P271" i="86"/>
  <c r="O282" i="86"/>
  <c r="P282" i="86" s="1"/>
  <c r="O474" i="86"/>
  <c r="P474" i="86" s="1"/>
  <c r="O480" i="86"/>
  <c r="P480" i="86" s="1"/>
  <c r="P508" i="86"/>
  <c r="P87" i="86"/>
  <c r="P66" i="86"/>
  <c r="J180" i="86"/>
  <c r="K183" i="86"/>
  <c r="O219" i="86"/>
  <c r="O276" i="86"/>
  <c r="P276" i="86" s="1"/>
  <c r="P310" i="86"/>
  <c r="J327" i="86"/>
  <c r="P472" i="86"/>
  <c r="P586" i="86"/>
  <c r="P595" i="86"/>
  <c r="O549" i="86"/>
  <c r="P549" i="86" s="1"/>
  <c r="P138" i="86"/>
  <c r="M153" i="86"/>
  <c r="P326" i="86"/>
  <c r="O384" i="86"/>
  <c r="P384" i="86" s="1"/>
  <c r="O402" i="86"/>
  <c r="P402" i="86" s="1"/>
  <c r="P113" i="86"/>
  <c r="O120" i="86"/>
  <c r="P120" i="86" s="1"/>
  <c r="I183" i="86"/>
  <c r="M183" i="86"/>
  <c r="P240" i="86"/>
  <c r="J312" i="86"/>
  <c r="O381" i="86"/>
  <c r="P381" i="86" s="1"/>
  <c r="P400" i="86"/>
  <c r="O435" i="86"/>
  <c r="P547" i="86"/>
  <c r="O558" i="86"/>
  <c r="P75" i="86"/>
  <c r="P137" i="86"/>
  <c r="H150" i="86"/>
  <c r="L150" i="86"/>
  <c r="I150" i="86"/>
  <c r="O198" i="86"/>
  <c r="P239" i="86"/>
  <c r="P274" i="86"/>
  <c r="P292" i="86"/>
  <c r="O300" i="86"/>
  <c r="P300" i="86" s="1"/>
  <c r="O408" i="86"/>
  <c r="P408" i="86" s="1"/>
  <c r="P524" i="86"/>
  <c r="P548" i="86"/>
  <c r="P556" i="86"/>
  <c r="J575" i="86"/>
  <c r="O99" i="86"/>
  <c r="M574" i="86"/>
  <c r="O213" i="86"/>
  <c r="P213" i="86" s="1"/>
  <c r="P231" i="86"/>
  <c r="P320" i="86"/>
  <c r="P345" i="86"/>
  <c r="M603" i="86"/>
  <c r="O585" i="86"/>
  <c r="O78" i="86"/>
  <c r="P78" i="86" s="1"/>
  <c r="P98" i="86"/>
  <c r="H114" i="86"/>
  <c r="P114" i="86" s="1"/>
  <c r="P115" i="86"/>
  <c r="J150" i="86"/>
  <c r="O177" i="86"/>
  <c r="P179" i="86"/>
  <c r="H219" i="86"/>
  <c r="O303" i="86"/>
  <c r="P303" i="86" s="1"/>
  <c r="P325" i="86"/>
  <c r="P373" i="86"/>
  <c r="O411" i="86"/>
  <c r="P411" i="86" s="1"/>
  <c r="P126" i="86"/>
  <c r="O420" i="86"/>
  <c r="P420" i="86" s="1"/>
  <c r="P418" i="86"/>
  <c r="O575" i="86"/>
  <c r="P57" i="86"/>
  <c r="P67" i="86"/>
  <c r="P100" i="86"/>
  <c r="P30" i="86"/>
  <c r="P34" i="86"/>
  <c r="P134" i="86"/>
  <c r="P141" i="86"/>
  <c r="O285" i="86"/>
  <c r="P285" i="86" s="1"/>
  <c r="P283" i="86"/>
  <c r="O468" i="86"/>
  <c r="P468" i="86" s="1"/>
  <c r="P466" i="86"/>
  <c r="P538" i="86"/>
  <c r="O540" i="86"/>
  <c r="P540" i="86" s="1"/>
  <c r="P557" i="86"/>
  <c r="H558" i="86"/>
  <c r="P23" i="86"/>
  <c r="P27" i="86"/>
  <c r="P36" i="86"/>
  <c r="P46" i="86"/>
  <c r="P86" i="86"/>
  <c r="P90" i="86"/>
  <c r="P110" i="86"/>
  <c r="I153" i="86"/>
  <c r="P154" i="86"/>
  <c r="J156" i="86"/>
  <c r="O297" i="86"/>
  <c r="P297" i="86" s="1"/>
  <c r="P295" i="86"/>
  <c r="H510" i="86"/>
  <c r="P509" i="86"/>
  <c r="N585" i="86"/>
  <c r="N603" i="86" s="1"/>
  <c r="N602" i="86"/>
  <c r="P60" i="86"/>
  <c r="P88" i="86"/>
  <c r="P116" i="86"/>
  <c r="H135" i="86"/>
  <c r="P151" i="86"/>
  <c r="H153" i="86"/>
  <c r="P24" i="86"/>
  <c r="P29" i="86"/>
  <c r="P32" i="86"/>
  <c r="P48" i="86"/>
  <c r="K51" i="86"/>
  <c r="P80" i="86"/>
  <c r="P111" i="86"/>
  <c r="P131" i="86"/>
  <c r="H132" i="86"/>
  <c r="P132" i="86" s="1"/>
  <c r="L153" i="86"/>
  <c r="O255" i="86"/>
  <c r="P255" i="86" s="1"/>
  <c r="O405" i="86"/>
  <c r="P405" i="86" s="1"/>
  <c r="P423" i="86"/>
  <c r="O471" i="86"/>
  <c r="P471" i="86" s="1"/>
  <c r="P469" i="86"/>
  <c r="K150" i="86"/>
  <c r="P149" i="86"/>
  <c r="K156" i="86"/>
  <c r="P155" i="86"/>
  <c r="P165" i="86"/>
  <c r="P176" i="86"/>
  <c r="H177" i="86"/>
  <c r="H180" i="86"/>
  <c r="L180" i="86"/>
  <c r="J183" i="86"/>
  <c r="H186" i="86"/>
  <c r="P185" i="86"/>
  <c r="J189" i="86"/>
  <c r="P197" i="86"/>
  <c r="H198" i="86"/>
  <c r="O210" i="86"/>
  <c r="P210" i="86" s="1"/>
  <c r="L246" i="86"/>
  <c r="P246" i="86" s="1"/>
  <c r="P288" i="86"/>
  <c r="P294" i="86"/>
  <c r="P323" i="86"/>
  <c r="O324" i="86"/>
  <c r="P324" i="86" s="1"/>
  <c r="O414" i="86"/>
  <c r="O477" i="86"/>
  <c r="P477" i="86" s="1"/>
  <c r="O498" i="86"/>
  <c r="P498" i="86" s="1"/>
  <c r="O522" i="86"/>
  <c r="P522" i="86" s="1"/>
  <c r="O525" i="86"/>
  <c r="P525" i="86" s="1"/>
  <c r="P530" i="86"/>
  <c r="P570" i="86"/>
  <c r="J153" i="86"/>
  <c r="H156" i="86"/>
  <c r="L156" i="86"/>
  <c r="P167" i="86"/>
  <c r="P173" i="86"/>
  <c r="H174" i="86"/>
  <c r="P182" i="86"/>
  <c r="P184" i="86"/>
  <c r="O201" i="86"/>
  <c r="P201" i="86" s="1"/>
  <c r="O228" i="86"/>
  <c r="P228" i="86" s="1"/>
  <c r="P233" i="86"/>
  <c r="H234" i="86"/>
  <c r="P234" i="86" s="1"/>
  <c r="P247" i="86"/>
  <c r="P250" i="86"/>
  <c r="P261" i="86"/>
  <c r="L264" i="86"/>
  <c r="P264" i="86" s="1"/>
  <c r="P306" i="86"/>
  <c r="O339" i="86"/>
  <c r="P339" i="86" s="1"/>
  <c r="O378" i="86"/>
  <c r="P378" i="86" s="1"/>
  <c r="O387" i="86"/>
  <c r="P387" i="86" s="1"/>
  <c r="O396" i="86"/>
  <c r="P396" i="86" s="1"/>
  <c r="P414" i="86"/>
  <c r="O426" i="86"/>
  <c r="P426" i="86" s="1"/>
  <c r="O429" i="86"/>
  <c r="P429" i="86" s="1"/>
  <c r="O432" i="86"/>
  <c r="P432" i="86" s="1"/>
  <c r="O453" i="86"/>
  <c r="P453" i="86" s="1"/>
  <c r="O459" i="86"/>
  <c r="P459" i="86" s="1"/>
  <c r="O486" i="86"/>
  <c r="P496" i="86"/>
  <c r="O513" i="86"/>
  <c r="P523" i="86"/>
  <c r="O546" i="86"/>
  <c r="O602" i="86"/>
  <c r="O180" i="86"/>
  <c r="J192" i="86"/>
  <c r="P206" i="86"/>
  <c r="H207" i="86"/>
  <c r="P252" i="86"/>
  <c r="P311" i="86"/>
  <c r="O315" i="86"/>
  <c r="P567" i="86"/>
  <c r="J602" i="86"/>
  <c r="P123" i="86"/>
  <c r="P147" i="86"/>
  <c r="H574" i="86"/>
  <c r="H99" i="86"/>
  <c r="H117" i="86"/>
  <c r="P117" i="86" s="1"/>
  <c r="P77" i="86"/>
  <c r="P158" i="86"/>
  <c r="P188" i="86"/>
  <c r="I189" i="86"/>
  <c r="H237" i="86"/>
  <c r="P236" i="86"/>
  <c r="O267" i="86"/>
  <c r="P267" i="86" s="1"/>
  <c r="P265" i="86"/>
  <c r="O360" i="86"/>
  <c r="P360" i="86" s="1"/>
  <c r="P358" i="86"/>
  <c r="O366" i="86"/>
  <c r="P366" i="86" s="1"/>
  <c r="P365" i="86"/>
  <c r="O372" i="86"/>
  <c r="P372" i="86" s="1"/>
  <c r="P371" i="86"/>
  <c r="P388" i="86"/>
  <c r="O390" i="86"/>
  <c r="P390" i="86" s="1"/>
  <c r="P433" i="86"/>
  <c r="H435" i="86"/>
  <c r="O438" i="86"/>
  <c r="P437" i="86"/>
  <c r="O574" i="86"/>
  <c r="P10" i="86"/>
  <c r="P17" i="86"/>
  <c r="L575" i="86"/>
  <c r="L39" i="86"/>
  <c r="P38" i="86"/>
  <c r="P40" i="86"/>
  <c r="P43" i="86"/>
  <c r="P47" i="86"/>
  <c r="P84" i="86"/>
  <c r="P89" i="86"/>
  <c r="P128" i="86"/>
  <c r="P140" i="86"/>
  <c r="P143" i="86"/>
  <c r="M159" i="86"/>
  <c r="P159" i="86" s="1"/>
  <c r="P157" i="86"/>
  <c r="P164" i="86"/>
  <c r="P169" i="86"/>
  <c r="P245" i="86"/>
  <c r="P257" i="86"/>
  <c r="H258" i="86"/>
  <c r="P258" i="86" s="1"/>
  <c r="P348" i="86"/>
  <c r="O12" i="86"/>
  <c r="P12" i="86" s="1"/>
  <c r="P14" i="86"/>
  <c r="J15" i="86"/>
  <c r="P18" i="86"/>
  <c r="P21" i="86"/>
  <c r="P35" i="86"/>
  <c r="P41" i="86"/>
  <c r="P42" i="86"/>
  <c r="O54" i="86"/>
  <c r="P54" i="86" s="1"/>
  <c r="P52" i="86"/>
  <c r="P59" i="86"/>
  <c r="P65" i="86"/>
  <c r="H81" i="86"/>
  <c r="P81" i="86" s="1"/>
  <c r="H93" i="86"/>
  <c r="P93" i="86" s="1"/>
  <c r="P92" i="86"/>
  <c r="O96" i="86"/>
  <c r="P96" i="86" s="1"/>
  <c r="P94" i="86"/>
  <c r="P102" i="86"/>
  <c r="P101" i="86"/>
  <c r="P103" i="86"/>
  <c r="P107" i="86"/>
  <c r="P148" i="86"/>
  <c r="K153" i="86"/>
  <c r="P152" i="86"/>
  <c r="P171" i="86"/>
  <c r="I180" i="86"/>
  <c r="P178" i="86"/>
  <c r="M180" i="86"/>
  <c r="P191" i="86"/>
  <c r="I192" i="86"/>
  <c r="P214" i="86"/>
  <c r="K225" i="86"/>
  <c r="P225" i="86" s="1"/>
  <c r="P223" i="86"/>
  <c r="P254" i="86"/>
  <c r="P269" i="86"/>
  <c r="P277" i="86"/>
  <c r="H279" i="86"/>
  <c r="P279" i="86" s="1"/>
  <c r="O417" i="86"/>
  <c r="P417" i="86" s="1"/>
  <c r="P416" i="86"/>
  <c r="I575" i="86"/>
  <c r="H33" i="86"/>
  <c r="O39" i="86"/>
  <c r="J45" i="86"/>
  <c r="P44" i="86"/>
  <c r="H45" i="86"/>
  <c r="H51" i="86"/>
  <c r="P50" i="86"/>
  <c r="P53" i="86"/>
  <c r="P56" i="86"/>
  <c r="H63" i="86"/>
  <c r="P63" i="86" s="1"/>
  <c r="P62" i="86"/>
  <c r="P69" i="86"/>
  <c r="P68" i="86"/>
  <c r="H72" i="86"/>
  <c r="P72" i="86" s="1"/>
  <c r="P71" i="86"/>
  <c r="P74" i="86"/>
  <c r="P83" i="86"/>
  <c r="P95" i="86"/>
  <c r="P104" i="86"/>
  <c r="P105" i="86"/>
  <c r="P108" i="86"/>
  <c r="P119" i="86"/>
  <c r="P122" i="86"/>
  <c r="P125" i="86"/>
  <c r="P130" i="86"/>
  <c r="O135" i="86"/>
  <c r="P133" i="86"/>
  <c r="O144" i="86"/>
  <c r="P144" i="86" s="1"/>
  <c r="P146" i="86"/>
  <c r="O162" i="86"/>
  <c r="P162" i="86" s="1"/>
  <c r="P168" i="86"/>
  <c r="O174" i="86"/>
  <c r="P172" i="86"/>
  <c r="P181" i="86"/>
  <c r="P194" i="86"/>
  <c r="O204" i="86"/>
  <c r="P209" i="86"/>
  <c r="P218" i="86"/>
  <c r="P220" i="86"/>
  <c r="P227" i="86"/>
  <c r="H318" i="86"/>
  <c r="P317" i="86"/>
  <c r="H327" i="86"/>
  <c r="P330" i="86"/>
  <c r="P340" i="86"/>
  <c r="O342" i="86"/>
  <c r="P342" i="86" s="1"/>
  <c r="H516" i="86"/>
  <c r="P515" i="86"/>
  <c r="O519" i="86"/>
  <c r="P519" i="86" s="1"/>
  <c r="P517" i="86"/>
  <c r="H594" i="86"/>
  <c r="P594" i="86" s="1"/>
  <c r="P593" i="86"/>
  <c r="H363" i="86"/>
  <c r="P362" i="86"/>
  <c r="P436" i="86"/>
  <c r="H438" i="86"/>
  <c r="O441" i="86"/>
  <c r="P440" i="86"/>
  <c r="O465" i="86"/>
  <c r="P465" i="86" s="1"/>
  <c r="P463" i="86"/>
  <c r="H489" i="86"/>
  <c r="P488" i="86"/>
  <c r="O492" i="86"/>
  <c r="P492" i="86" s="1"/>
  <c r="P529" i="86"/>
  <c r="O531" i="86"/>
  <c r="P531" i="86" s="1"/>
  <c r="O534" i="86"/>
  <c r="P534" i="86" s="1"/>
  <c r="P533" i="86"/>
  <c r="N576" i="86"/>
  <c r="J574" i="86"/>
  <c r="J33" i="86"/>
  <c r="K574" i="86"/>
  <c r="M575" i="86"/>
  <c r="I574" i="86"/>
  <c r="P161" i="86"/>
  <c r="P170" i="86"/>
  <c r="P204" i="86"/>
  <c r="P216" i="86"/>
  <c r="P222" i="86"/>
  <c r="P224" i="86"/>
  <c r="P230" i="86"/>
  <c r="P251" i="86"/>
  <c r="P309" i="86"/>
  <c r="H312" i="86"/>
  <c r="H315" i="86"/>
  <c r="P314" i="86"/>
  <c r="O333" i="86"/>
  <c r="P333" i="86" s="1"/>
  <c r="O351" i="86"/>
  <c r="P351" i="86" s="1"/>
  <c r="P367" i="86"/>
  <c r="H369" i="86"/>
  <c r="O393" i="86"/>
  <c r="P393" i="86" s="1"/>
  <c r="P392" i="86"/>
  <c r="P398" i="86"/>
  <c r="P448" i="86"/>
  <c r="O450" i="86"/>
  <c r="P450" i="86" s="1"/>
  <c r="H546" i="86"/>
  <c r="P545" i="86"/>
  <c r="O561" i="86"/>
  <c r="J603" i="86"/>
  <c r="K585" i="86"/>
  <c r="K603" i="86" s="1"/>
  <c r="K602" i="86"/>
  <c r="P584" i="86"/>
  <c r="H575" i="86"/>
  <c r="H15" i="86"/>
  <c r="K575" i="86"/>
  <c r="N575" i="86"/>
  <c r="L574" i="86"/>
  <c r="I186" i="86"/>
  <c r="O195" i="86"/>
  <c r="P195" i="86" s="1"/>
  <c r="P193" i="86"/>
  <c r="P200" i="86"/>
  <c r="O207" i="86"/>
  <c r="P205" i="86"/>
  <c r="P212" i="86"/>
  <c r="L237" i="86"/>
  <c r="H249" i="86"/>
  <c r="P249" i="86" s="1"/>
  <c r="P248" i="86"/>
  <c r="P263" i="86"/>
  <c r="P266" i="86"/>
  <c r="L270" i="86"/>
  <c r="P270" i="86" s="1"/>
  <c r="P286" i="86"/>
  <c r="O291" i="86"/>
  <c r="P291" i="86" s="1"/>
  <c r="I312" i="86"/>
  <c r="O321" i="86"/>
  <c r="P321" i="86" s="1"/>
  <c r="O336" i="86"/>
  <c r="P336" i="86" s="1"/>
  <c r="O354" i="86"/>
  <c r="P354" i="86" s="1"/>
  <c r="P356" i="86"/>
  <c r="P394" i="86"/>
  <c r="P454" i="86"/>
  <c r="O456" i="86"/>
  <c r="P456" i="86" s="1"/>
  <c r="P481" i="86"/>
  <c r="O483" i="86"/>
  <c r="P483" i="86" s="1"/>
  <c r="P512" i="86"/>
  <c r="H513" i="86"/>
  <c r="P514" i="86"/>
  <c r="O516" i="86"/>
  <c r="P521" i="86"/>
  <c r="P581" i="86"/>
  <c r="P203" i="86"/>
  <c r="P215" i="86"/>
  <c r="P221" i="86"/>
  <c r="O318" i="86"/>
  <c r="O363" i="86"/>
  <c r="O369" i="86"/>
  <c r="P375" i="86"/>
  <c r="P439" i="86"/>
  <c r="H441" i="86"/>
  <c r="O447" i="86"/>
  <c r="P447" i="86" s="1"/>
  <c r="O528" i="86"/>
  <c r="P528" i="86" s="1"/>
  <c r="P526" i="86"/>
  <c r="O552" i="86"/>
  <c r="P552" i="86" s="1"/>
  <c r="P550" i="86"/>
  <c r="P599" i="86"/>
  <c r="H600" i="86"/>
  <c r="P600" i="86" s="1"/>
  <c r="P386" i="86"/>
  <c r="P410" i="86"/>
  <c r="P421" i="86"/>
  <c r="P425" i="86"/>
  <c r="P431" i="86"/>
  <c r="P442" i="86"/>
  <c r="H444" i="86"/>
  <c r="P485" i="86"/>
  <c r="H486" i="86"/>
  <c r="P487" i="86"/>
  <c r="O489" i="86"/>
  <c r="H495" i="86"/>
  <c r="P494" i="86"/>
  <c r="P503" i="86"/>
  <c r="H504" i="86"/>
  <c r="P505" i="86"/>
  <c r="O507" i="86"/>
  <c r="P507" i="86" s="1"/>
  <c r="P553" i="86"/>
  <c r="O555" i="86"/>
  <c r="P555" i="86" s="1"/>
  <c r="L603" i="86"/>
  <c r="P590" i="86"/>
  <c r="O495" i="86"/>
  <c r="P564" i="86"/>
  <c r="P573" i="86"/>
  <c r="H602" i="86"/>
  <c r="L602" i="86"/>
  <c r="P587" i="86"/>
  <c r="O591" i="86"/>
  <c r="P591" i="86" s="1"/>
  <c r="P596" i="86"/>
  <c r="P462" i="86"/>
  <c r="P479" i="86"/>
  <c r="P497" i="86"/>
  <c r="O504" i="86"/>
  <c r="O537" i="86"/>
  <c r="P537" i="86" s="1"/>
  <c r="O543" i="86"/>
  <c r="P543" i="86" s="1"/>
  <c r="H561" i="86"/>
  <c r="P560" i="86"/>
  <c r="I602" i="86"/>
  <c r="O601" i="86"/>
  <c r="H582" i="86"/>
  <c r="I582" i="86"/>
  <c r="I603" i="86" s="1"/>
  <c r="P327" i="86" l="1"/>
  <c r="P558" i="86"/>
  <c r="P444" i="86"/>
  <c r="P99" i="86"/>
  <c r="P601" i="86"/>
  <c r="P207" i="86"/>
  <c r="P513" i="86"/>
  <c r="P198" i="86"/>
  <c r="P486" i="86"/>
  <c r="P441" i="86"/>
  <c r="P189" i="86"/>
  <c r="P180" i="86"/>
  <c r="P510" i="86"/>
  <c r="P183" i="86"/>
  <c r="P51" i="86"/>
  <c r="K576" i="86"/>
  <c r="K606" i="86" s="1"/>
  <c r="K608" i="86" s="1"/>
  <c r="J576" i="86"/>
  <c r="J606" i="86" s="1"/>
  <c r="J608" i="86" s="1"/>
  <c r="P435" i="86"/>
  <c r="P174" i="86"/>
  <c r="P585" i="86"/>
  <c r="P219" i="86"/>
  <c r="O603" i="86"/>
  <c r="P135" i="86"/>
  <c r="P192" i="86"/>
  <c r="P156" i="86"/>
  <c r="P177" i="86"/>
  <c r="P15" i="86"/>
  <c r="P363" i="86"/>
  <c r="P45" i="86"/>
  <c r="M576" i="86"/>
  <c r="M606" i="86" s="1"/>
  <c r="M608" i="86" s="1"/>
  <c r="P150" i="86"/>
  <c r="P33" i="86"/>
  <c r="P546" i="86"/>
  <c r="P318" i="86"/>
  <c r="P489" i="86"/>
  <c r="P561" i="86"/>
  <c r="P495" i="86"/>
  <c r="P186" i="86"/>
  <c r="P315" i="86"/>
  <c r="I576" i="86"/>
  <c r="I606" i="86" s="1"/>
  <c r="I608" i="86" s="1"/>
  <c r="P575" i="86"/>
  <c r="L576" i="86"/>
  <c r="L606" i="86" s="1"/>
  <c r="L608" i="86" s="1"/>
  <c r="H576" i="86"/>
  <c r="P602" i="86"/>
  <c r="P312" i="86"/>
  <c r="P438" i="86"/>
  <c r="P516" i="86"/>
  <c r="P574" i="86"/>
  <c r="O576" i="86"/>
  <c r="P39" i="86"/>
  <c r="P153" i="86"/>
  <c r="P369" i="86"/>
  <c r="H603" i="86"/>
  <c r="P582" i="86"/>
  <c r="P504" i="86"/>
  <c r="N606" i="86"/>
  <c r="N608" i="86" s="1"/>
  <c r="P237" i="86"/>
  <c r="P603" i="86" l="1"/>
  <c r="P576" i="86"/>
  <c r="P606" i="86" s="1"/>
  <c r="H606" i="86"/>
  <c r="H608" i="86" s="1"/>
  <c r="O606" i="8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Inta Stefenberga</author>
  </authors>
  <commentList>
    <comment ref="P529" authorId="0" shapeId="0" xr:uid="{FFAF71E8-920D-410F-B489-C65D1783B488}">
      <text>
        <r>
          <rPr>
            <b/>
            <sz val="9"/>
            <color indexed="81"/>
            <rFont val="Tahoma"/>
            <family val="2"/>
            <charset val="186"/>
          </rPr>
          <t>Inta Stefenberga:</t>
        </r>
        <r>
          <rPr>
            <sz val="9"/>
            <color indexed="81"/>
            <rFont val="Tahoma"/>
            <family val="2"/>
            <charset val="186"/>
          </rPr>
          <t xml:space="preserve">
pēc ANMP ga;a maks. ~708457</t>
        </r>
      </text>
    </comment>
    <comment ref="P544" authorId="0" shapeId="0" xr:uid="{8009F49F-19DA-416E-A391-E0DF820F8025}">
      <text>
        <r>
          <rPr>
            <b/>
            <sz val="9"/>
            <color indexed="81"/>
            <rFont val="Tahoma"/>
            <family val="2"/>
            <charset val="186"/>
          </rPr>
          <t>Inta Stefenberga:</t>
        </r>
        <r>
          <rPr>
            <sz val="9"/>
            <color indexed="81"/>
            <rFont val="Tahoma"/>
            <family val="2"/>
            <charset val="186"/>
          </rPr>
          <t xml:space="preserve">
pēc gala maks. ~338401</t>
        </r>
      </text>
    </comment>
  </commentList>
</comments>
</file>

<file path=xl/sharedStrings.xml><?xml version="1.0" encoding="utf-8"?>
<sst xmlns="http://schemas.openxmlformats.org/spreadsheetml/2006/main" count="1638" uniqueCount="726">
  <si>
    <t>Mērķis</t>
  </si>
  <si>
    <t>Aizdevējs</t>
  </si>
  <si>
    <t>turpmākajos gados</t>
  </si>
  <si>
    <t>x</t>
  </si>
  <si>
    <t>II. Galvojumi</t>
  </si>
  <si>
    <t>pamatsumma</t>
  </si>
  <si>
    <t xml:space="preserve"> Saistību apjoms % </t>
  </si>
  <si>
    <t>no pamatbudžeta ieņēmumiem (bez mērķdotācijām un iemaksām PFIF) **</t>
  </si>
  <si>
    <t>%; apkalpošana</t>
  </si>
  <si>
    <t xml:space="preserve">Dienesta viesnīcas Ausekļa ielā energoefektivitātes paaugstināšana un pārbūve- 2.kārta, SAM 4.2.2.  </t>
  </si>
  <si>
    <t>Valmieras pirmsskolas izglītības iestādes "Varavīksne" telpu Raiņa ielā 11, Valmiera pārbūve</t>
  </si>
  <si>
    <t>Valsts kase</t>
  </si>
  <si>
    <t>J.Endzelīna Kauguru pamatskolas ēku renovācijai</t>
  </si>
  <si>
    <t>ELFLA projekts Matīšu pamatskolas āra sporta laukuma vienkāršotā rekonstrukcija</t>
  </si>
  <si>
    <t>ERAF Burtnieku novada Rencēnu sociālās dzīvojamās mājas vienkāršotā renovācija</t>
  </si>
  <si>
    <t>KPFI Matīšu bērnudārza vienkāršotā rekonstrukcija</t>
  </si>
  <si>
    <t>Burtnieku novada Burtnieku PII rekonstrukcija</t>
  </si>
  <si>
    <t>Matīšu pagasts pirmsskolas izglītības iestādes vienkāršotā rekonstrukcija</t>
  </si>
  <si>
    <t>Dzirnavu un Ozolu ielu posmu rekonstrukcija Valmiermuižā</t>
  </si>
  <si>
    <t>Pirmsskolas izglītības iestādes būvniecība ar ārējām komunikācijām Ozolu iela 2A, Valmiermuižā</t>
  </si>
  <si>
    <t>KPFI projekts Burtnieku Ausekļa vidusskolā</t>
  </si>
  <si>
    <t>KPFI projekts Rencēnu pagasta 2.bibliotēkas ēka</t>
  </si>
  <si>
    <t>Burtnieku novada pašvaldības PII "Burtiņš" III kārtas būvniecība</t>
  </si>
  <si>
    <t>Rencēnu internāta ēkas atjaunošana Valmieras ielā 23, Rencēnos</t>
  </si>
  <si>
    <t>Lauku ielas seguma pārbūves I kārta Valmieras pagastā</t>
  </si>
  <si>
    <t>Nekustamā īpašuma "Ēveles klubs" rekonstrukcija</t>
  </si>
  <si>
    <t>Prioritārā investīciju projekta "Nekustamā īpašuma "Matīšu kultūras nams" rekonstrukcija" īstenošanai</t>
  </si>
  <si>
    <t>Projekta "Burtnieku novada pašvaldības pirmsskolas izglītības iestādes "Sienāzītis" pārbūve" īstenošanai</t>
  </si>
  <si>
    <t>Projekta "Viestura ciema ielu seguma pārbūve Valmieras pagastā, Burtnieku novadā"īstenošanai</t>
  </si>
  <si>
    <t>Projekta "Dzirnavu ielas pārbūve un gājēju ietves izbūve (Alejas iela) Valmieras pagastā, Burtnieku novadā, īstenošanai</t>
  </si>
  <si>
    <t>Projekta "Nekustamā īpašuma "Matīšu kultūras nams" rekonstrukcija" īstenošanai</t>
  </si>
  <si>
    <t>Projekta "Rencēnu pamatskolas stadiona pārbūve Rencēnos, Rencēnu pagastā Burtnieku novadā" īstenošanai</t>
  </si>
  <si>
    <t>Projekta "Lauku ielas seguma pārbūves 2.kārta Valmiermuižā, Valmieras pagastā, Burtnieku novadā" īstenošanai</t>
  </si>
  <si>
    <t>Projekta "Dzirnavu ielas seguma pārbūve Valmieras pagastā, Burtnieku novadā" īstenošanai</t>
  </si>
  <si>
    <t>Projekta "Burtnieku novada pašvaldības autoceļu remontdarbi 2018.gada vasaras periodā" īstenošanai</t>
  </si>
  <si>
    <t>ELFLA projekta "Pašvaldības nozīmes koplietošanas meliorācijas sistēmas atjaunošana Burtnieku novadā</t>
  </si>
  <si>
    <t>ELFLA projekta (Nr.18-09-A00702-000108) "Grants ceļa Graudiņi - Pučurga - Matīši pārbūve 3.078 km garumā" īstenošanai</t>
  </si>
  <si>
    <t>ELFLA projekta (Nr.18-09-A00702-000085) "Grants ceļa Sauļi - Melluplūķi pārbūve 3.51 km garumā" īstenošanai</t>
  </si>
  <si>
    <t>12.07.2019</t>
  </si>
  <si>
    <t>Prioritārais investīciju projekts "Stāvlaukuma pārbūve Alejas ielā 8, Kocēnos,Kocēnu pagastā, Kocēnu novadā" īstenošanai</t>
  </si>
  <si>
    <t>ELFLA projekta (Nr.17-09-AL20-A019.2202-000012) " Tūrisma, izziņas, novadpētniecības veicināšana Kocēnu novada Zilākalna ciemā" īstenošanai"</t>
  </si>
  <si>
    <t>projekta "Vaidavas ciema centra laukuma un tam piegulošās teritorijas labiekārtošanas 1.kārta - Skolas iela Vaidavā, Vaidavas pagastā" īstenošanai</t>
  </si>
  <si>
    <t>ERAF projekta Nr.9.3.1.1/18/I007 "Pakalpojumu infrastruktūras attīstība deinstitucionalizācijas plāna īstenošanai Kocēnu novadā" īstenošanai</t>
  </si>
  <si>
    <t>ERAF projekta Nr.3.3.1.0/16/I/024 "Uzņemējdarbības attīstībai nepieciešamās infrastruktūras attīstība Kocēnu novada Kocēnu pagasta Kocēnos", īstenošanai</t>
  </si>
  <si>
    <t>17.11.2015</t>
  </si>
  <si>
    <t>09.11.2018</t>
  </si>
  <si>
    <t>Ēkas Pasta ielā 3 piemērošana Mazsalacas mūzikas un mākslas skolas vajadzībām</t>
  </si>
  <si>
    <t>Mazsalacas pilsētas kultūras centra skatuves un aktieru telpas renovācija P-178/2017</t>
  </si>
  <si>
    <t>SIA Banga KPU pamatkapitāla pelielināšanai P-162/2008</t>
  </si>
  <si>
    <t>SIA Banga KPU pamatkapitāla palielināšanai Kohēzijas fonda projekta īstenošanai (trančes Nr.P-392/2010)</t>
  </si>
  <si>
    <t>Projekta "Mazsalacā Parka ielas pārbūve posmā no Lazdu ielas līdz Muižas ielai (pārvads)" īstenošanai (tranče Nr.P-587/2017)</t>
  </si>
  <si>
    <t>Prioritārā investīciju projekta "Valtenberģu muižas jumta seguma maiņa Mazsalacā " īstenošanai P-631/2018</t>
  </si>
  <si>
    <t>Ieguldījums SIA Rūjienas Siltums pamatkapitālā</t>
  </si>
  <si>
    <t>ELFLA projekts "Autoceļa "Pagasts-Birzītes" rekonstrukcija Vilpulkas pagastā, Valmieras rajonā"</t>
  </si>
  <si>
    <t>Rūjienas vidusskolas sporta zāles projektēšana un būvniecība</t>
  </si>
  <si>
    <t>Kompleksi risinājumi siltumnīcefekta gāzu emisiju samazināšanai Rūjienas kultūras nama ēkā</t>
  </si>
  <si>
    <t>Prioritārais investīciju projekts "Rūjienas vidusskolas sporta laukuma rekonstrukcijas un teritorijas labiekārtošanas 1. kārta"</t>
  </si>
  <si>
    <t>Prioritārais investīciju projekts "Rūjienas estrādes rekonstrukcija"</t>
  </si>
  <si>
    <t>Projekta "Valdemāra ielas pārbūve posmā no Rīgas iela līdz Aldara ielai Rūjienā, Rūjienas novadā" īstenošanai</t>
  </si>
  <si>
    <t>Katlu mājas Rūjienā, Rīgas ielā 67a tehnoloģisko iekārtu un konstrukciju piegāde un montāža</t>
  </si>
  <si>
    <t>Siltumavota efektivitātes uzlabošana katlu mājā Ausekļa ielā 5, Rūjienā</t>
  </si>
  <si>
    <t>30.08.2016</t>
  </si>
  <si>
    <t>02.07.2019</t>
  </si>
  <si>
    <t>Naukšēnu novada vidusskolas nepabeigtās piebūves renovācija</t>
  </si>
  <si>
    <t>ERAF projekts Uzņēmējdarbības attīstībai nepieciešamās infrastruktūras attīstība Naukšēnu pagastā</t>
  </si>
  <si>
    <t>ERAF projekts Naukšēnu novada pašvaldības administratīvās ēkas energoefektivitātes paaugstināšana</t>
  </si>
  <si>
    <t>Dānijas Unibankas bezprocentu kredīta atmaksa</t>
  </si>
  <si>
    <t>Ūdenssaimniecības attīstība Strenču pilsētā</t>
  </si>
  <si>
    <t>Energoefektivitātes paaugstināšana pašv. ēkās</t>
  </si>
  <si>
    <t>Ūdenssaimniecības attīstība Strenču pilsētā 2 . etaps</t>
  </si>
  <si>
    <t>Sedas kultūras nama rekonstrukcija I kārta</t>
  </si>
  <si>
    <t>Ūdenssaimniecības infrastruktūras attīstība Jērcēnu pagastā</t>
  </si>
  <si>
    <t>Ūdenssaimniecības attīstība Strenču novada Plāņu pagasta Plāņu ciemā</t>
  </si>
  <si>
    <t>Ūdenssaimniecības attīstība Strenču pilsētā, 3.etaps</t>
  </si>
  <si>
    <t>Tranzītielas posma Valkas ielā rekonstrukcija Strenču pilsētā</t>
  </si>
  <si>
    <t>Ūdenssaimnicības attīstība Strenču pilsētā 4.etaps</t>
  </si>
  <si>
    <t>Strenču novada vidusskolas ēkas logu,ārdurvju un pādējā stāva pārseguma siltināšana</t>
  </si>
  <si>
    <t>"Trīsstūris", Hallartes ielas 1.kārtas izbūve Valmieras pagastā, Burtnieku novadā</t>
  </si>
  <si>
    <t>SIA "Rūjienas siltums" aizņēmumam KF projekta Nr.5.3.1.0/17/I/026 īstenošanai</t>
  </si>
  <si>
    <t>Līguma noslēgšanas datums</t>
  </si>
  <si>
    <t>Strenču kultūras nama rekonstrukcija</t>
  </si>
  <si>
    <t>Strenču kultūras nama rekonstrukcija II kārta</t>
  </si>
  <si>
    <t>Ūdenssaimniecības attīstība-rekonstrukcija Sedas pilsētā</t>
  </si>
  <si>
    <t>Zilākalna pagasta kultūras ielas un gājēju ietves rekonstrukcija</t>
  </si>
  <si>
    <t>ERAF projekta (Nr.9.3.1.1/19/I/043) "Sabiedrībā balstītu sociālo pakalpojumu centra izveide Rūjienā" īstenošanai</t>
  </si>
  <si>
    <t>07.12.2021.</t>
  </si>
  <si>
    <t>Daudzfunkcionālā sociālo pakalpojumu centra un grupu dzīvokļu izveide Valmieras pilsētā - SAM 9.3.1.1.</t>
  </si>
  <si>
    <t>A2/1/21/612</t>
  </si>
  <si>
    <t>A2/1/21/458</t>
  </si>
  <si>
    <t>A2/1/21/610</t>
  </si>
  <si>
    <t>A2/1/21/611</t>
  </si>
  <si>
    <t>Finanšu stabilizācija Strenči</t>
  </si>
  <si>
    <t>Kultūras centra rekonstrukcija, Burtnieku nov.</t>
  </si>
  <si>
    <t>PII būvniecībai Burtnieku nov.</t>
  </si>
  <si>
    <t>06.10.2021.</t>
  </si>
  <si>
    <t>23.12.2021.</t>
  </si>
  <si>
    <t>03.08.2020.</t>
  </si>
  <si>
    <t>Aizņēmuma beigu termiņš</t>
  </si>
  <si>
    <t>20.12.2035.</t>
  </si>
  <si>
    <t>0001/A666</t>
  </si>
  <si>
    <t xml:space="preserve">Kopā </t>
  </si>
  <si>
    <t>A2/1/07/130</t>
  </si>
  <si>
    <t>FS-1/2007</t>
  </si>
  <si>
    <t>22.03.2027.</t>
  </si>
  <si>
    <t>20.04.2027.</t>
  </si>
  <si>
    <t>A2/1/07/275</t>
  </si>
  <si>
    <t>P-177/2007</t>
  </si>
  <si>
    <t>A2/1/07/276</t>
  </si>
  <si>
    <t>P-178/2007</t>
  </si>
  <si>
    <t>A2/1/07/431</t>
  </si>
  <si>
    <t>P-280/2007</t>
  </si>
  <si>
    <t>21.06.2027.</t>
  </si>
  <si>
    <t>A2/1/07/430</t>
  </si>
  <si>
    <t>P-278/2007</t>
  </si>
  <si>
    <t>20.05.2027.</t>
  </si>
  <si>
    <t>A2/1/07/490</t>
  </si>
  <si>
    <t>FS-11/2007</t>
  </si>
  <si>
    <t>20.09.2027.</t>
  </si>
  <si>
    <t>20.12.2027.</t>
  </si>
  <si>
    <t>A2/1/07/662</t>
  </si>
  <si>
    <t>FS-15/2007</t>
  </si>
  <si>
    <t>A2/1/08/385</t>
  </si>
  <si>
    <t>P-90/2008</t>
  </si>
  <si>
    <t>20.04.2028.</t>
  </si>
  <si>
    <t>A2/1/08/462</t>
  </si>
  <si>
    <t>P-137/2008</t>
  </si>
  <si>
    <t>20.04.2033.</t>
  </si>
  <si>
    <t>A2/1/08/520</t>
  </si>
  <si>
    <t>P-162/2008</t>
  </si>
  <si>
    <t>A2/1/08/530</t>
  </si>
  <si>
    <t>FS-3/2008</t>
  </si>
  <si>
    <t>20.11.2028.</t>
  </si>
  <si>
    <t>20.06.2033.</t>
  </si>
  <si>
    <t>A2/1/08/623</t>
  </si>
  <si>
    <t>P-223/2008</t>
  </si>
  <si>
    <t>A2/1/08/876</t>
  </si>
  <si>
    <t>P-379/2008</t>
  </si>
  <si>
    <t>20.12.2028.</t>
  </si>
  <si>
    <t>A2/1/08/967</t>
  </si>
  <si>
    <t>P-418/2008</t>
  </si>
  <si>
    <t>20.12.2038.</t>
  </si>
  <si>
    <t>A2/1/09/94</t>
  </si>
  <si>
    <t>P-21/2009</t>
  </si>
  <si>
    <t>20.03.2029.</t>
  </si>
  <si>
    <t>A2/1/09/250</t>
  </si>
  <si>
    <t>P-126./2009</t>
  </si>
  <si>
    <t>20.05.2029.</t>
  </si>
  <si>
    <t>20.12.2030.</t>
  </si>
  <si>
    <t>A2/1/10/223</t>
  </si>
  <si>
    <t>P-41/2010</t>
  </si>
  <si>
    <t>A2/1/10/329</t>
  </si>
  <si>
    <t>P-111/2010</t>
  </si>
  <si>
    <t>20.03.2040.</t>
  </si>
  <si>
    <t>A2/1/10/507</t>
  </si>
  <si>
    <t>P-197/2010</t>
  </si>
  <si>
    <t>A2/1/10/595</t>
  </si>
  <si>
    <t>P-246/2010</t>
  </si>
  <si>
    <t>20.07.2025.</t>
  </si>
  <si>
    <t>A2/1/10/791</t>
  </si>
  <si>
    <t>P-392/2010</t>
  </si>
  <si>
    <t>20.09.2030.</t>
  </si>
  <si>
    <t>22.10.2040.</t>
  </si>
  <si>
    <t>A2/1/10/947</t>
  </si>
  <si>
    <t>P-495/2010</t>
  </si>
  <si>
    <t>20.04.2026.</t>
  </si>
  <si>
    <t>A2/1/11/128</t>
  </si>
  <si>
    <t>P-52/2011</t>
  </si>
  <si>
    <t>A2/1/11/127</t>
  </si>
  <si>
    <t>P-53/2011</t>
  </si>
  <si>
    <t>A2/1/11/722</t>
  </si>
  <si>
    <t>P-437/2011</t>
  </si>
  <si>
    <t>20.11.2026.</t>
  </si>
  <si>
    <t>20.01.2032.</t>
  </si>
  <si>
    <t>A2/1/12/21</t>
  </si>
  <si>
    <t>P-5/2012</t>
  </si>
  <si>
    <t>A2/1/12/100</t>
  </si>
  <si>
    <t>P-64/2012</t>
  </si>
  <si>
    <t>20.04.2042.</t>
  </si>
  <si>
    <t>A2/1/12/101</t>
  </si>
  <si>
    <t>P-65/2012</t>
  </si>
  <si>
    <t>A2/1/12/102</t>
  </si>
  <si>
    <t>P-66/2012</t>
  </si>
  <si>
    <t>20.07.2042.</t>
  </si>
  <si>
    <t>A2/1/12/99</t>
  </si>
  <si>
    <t>P-221/2012</t>
  </si>
  <si>
    <t>A2/1/12/413</t>
  </si>
  <si>
    <t>P-287/2012</t>
  </si>
  <si>
    <t>20.08.2042.</t>
  </si>
  <si>
    <t>A2/1/12/475</t>
  </si>
  <si>
    <t>P-318/2012</t>
  </si>
  <si>
    <t>20.08.2027.</t>
  </si>
  <si>
    <t>20.10.2027.</t>
  </si>
  <si>
    <t>A2/1/12/652</t>
  </si>
  <si>
    <t>P-419/2012.</t>
  </si>
  <si>
    <t>22.11.2027.</t>
  </si>
  <si>
    <t>A2/1/12/691</t>
  </si>
  <si>
    <t>P-430/2012</t>
  </si>
  <si>
    <t>A2/1/13/29</t>
  </si>
  <si>
    <t>P-13/2013</t>
  </si>
  <si>
    <t>20.01.2028.</t>
  </si>
  <si>
    <t>20.07.2043.</t>
  </si>
  <si>
    <t>A2/1/13/365</t>
  </si>
  <si>
    <t>P248/2013</t>
  </si>
  <si>
    <t>KPFI projekts (Nr.KPFI-15.2/131) oglekļa dioksīda emisiju samazināšana,uzlabojot Naukšēnu novada Naukšēnu vidusskolas ēkas enorgoefektivitāti"  īstenošanai</t>
  </si>
  <si>
    <t>20.12.2023.</t>
  </si>
  <si>
    <t>A2/1/14/659</t>
  </si>
  <si>
    <t>P-423/2014</t>
  </si>
  <si>
    <t>A2/1/14/97</t>
  </si>
  <si>
    <t>P-54/2014</t>
  </si>
  <si>
    <t>20.02.2029.</t>
  </si>
  <si>
    <t>20.04.2034.</t>
  </si>
  <si>
    <t>A2/1/14/252</t>
  </si>
  <si>
    <t>P-154/2014</t>
  </si>
  <si>
    <t>A2/1/14/491</t>
  </si>
  <si>
    <t>P-327/2014</t>
  </si>
  <si>
    <t>P-328/2014</t>
  </si>
  <si>
    <t>A2/1/14/492</t>
  </si>
  <si>
    <t>20.07.2044.</t>
  </si>
  <si>
    <t>A2/1/14/835</t>
  </si>
  <si>
    <t>P-545/2014</t>
  </si>
  <si>
    <t>20.12.2024.</t>
  </si>
  <si>
    <t>A2/1/14/871</t>
  </si>
  <si>
    <t>P-562/2014</t>
  </si>
  <si>
    <t>20.11.2034.</t>
  </si>
  <si>
    <t>A2/1/14/870</t>
  </si>
  <si>
    <t>P-561/2014</t>
  </si>
  <si>
    <t>20.11.2029.</t>
  </si>
  <si>
    <t>A2/1/14/964</t>
  </si>
  <si>
    <t>P-612/2014</t>
  </si>
  <si>
    <t>A2/1/15/137</t>
  </si>
  <si>
    <t>P-85/2015</t>
  </si>
  <si>
    <t>20.03.2045.</t>
  </si>
  <si>
    <t>A2/1/15/412</t>
  </si>
  <si>
    <t>P-276/2015</t>
  </si>
  <si>
    <t>22.07.2030.</t>
  </si>
  <si>
    <t>20.07.2035.</t>
  </si>
  <si>
    <t>A2/1/15/413</t>
  </si>
  <si>
    <t>P-277/2015</t>
  </si>
  <si>
    <t>A2/1/15/376</t>
  </si>
  <si>
    <t>P-251/2015</t>
  </si>
  <si>
    <t>A2/1/15/434</t>
  </si>
  <si>
    <t>P-295/2015</t>
  </si>
  <si>
    <t>20.10.2030.</t>
  </si>
  <si>
    <t>A2/1/15/591</t>
  </si>
  <si>
    <t>P-390/2015</t>
  </si>
  <si>
    <t>Pašvaldības autonomo funkciju veikšanai nepieciešamā transporta (vieglās automašīnas un operatīvā transporta) iegādei Valmiera</t>
  </si>
  <si>
    <t>A2/1/16/204</t>
  </si>
  <si>
    <t>P-110/2016</t>
  </si>
  <si>
    <t>A2/1/16/345</t>
  </si>
  <si>
    <t>P-241/2016</t>
  </si>
  <si>
    <t>20.08.2036.</t>
  </si>
  <si>
    <t>20.05.2042.</t>
  </si>
  <si>
    <t>A2/1/17/333</t>
  </si>
  <si>
    <t>P-228/2017</t>
  </si>
  <si>
    <t>A2/1/17/498</t>
  </si>
  <si>
    <t>P-365/2017</t>
  </si>
  <si>
    <t>20.07.2032.</t>
  </si>
  <si>
    <t>A2/1/17/587</t>
  </si>
  <si>
    <t>P442/2017</t>
  </si>
  <si>
    <t>20.08.2037.</t>
  </si>
  <si>
    <t>A2/1/17/661</t>
  </si>
  <si>
    <t>P-506/2017</t>
  </si>
  <si>
    <t>EFLA projekts Autoceļa Ķire-Jaunlambikas un tilta pār Rūju pārbūve / Naukšēni</t>
  </si>
  <si>
    <t>A2/1/17/672</t>
  </si>
  <si>
    <t>P-520/2017</t>
  </si>
  <si>
    <t>A2/1/17/715</t>
  </si>
  <si>
    <t>P-554/2017</t>
  </si>
  <si>
    <t>A2/1/17/758</t>
  </si>
  <si>
    <t>P-587/2017</t>
  </si>
  <si>
    <t>20.10.2032.</t>
  </si>
  <si>
    <t>A2/1/17/765</t>
  </si>
  <si>
    <t>P-595/2017</t>
  </si>
  <si>
    <t>A2/1/17/805</t>
  </si>
  <si>
    <t>P-625/2017</t>
  </si>
  <si>
    <t>A2/1/17/917</t>
  </si>
  <si>
    <t>P-687/2017</t>
  </si>
  <si>
    <t>22.12.2042.</t>
  </si>
  <si>
    <t>A2/1/18/94</t>
  </si>
  <si>
    <t>P-76/2018</t>
  </si>
  <si>
    <t>20.02.2043.</t>
  </si>
  <si>
    <t>20.05.2043.</t>
  </si>
  <si>
    <t>A2/1/18/311</t>
  </si>
  <si>
    <t>P-253/2018</t>
  </si>
  <si>
    <t>A2/1/18/402</t>
  </si>
  <si>
    <t>P-336/2018</t>
  </si>
  <si>
    <t>22.06.2043.</t>
  </si>
  <si>
    <t>20.06.2038.</t>
  </si>
  <si>
    <t>A2/1/18/404</t>
  </si>
  <si>
    <t>P-334/2018</t>
  </si>
  <si>
    <t>A2/1/18/470</t>
  </si>
  <si>
    <t>P-389/2018</t>
  </si>
  <si>
    <t>20.07.2033.</t>
  </si>
  <si>
    <t>A2/1/18/525</t>
  </si>
  <si>
    <t>P-442/2018</t>
  </si>
  <si>
    <t>A2/1/18/584</t>
  </si>
  <si>
    <t>P-496/2018</t>
  </si>
  <si>
    <t>20.08.2028.</t>
  </si>
  <si>
    <t>20.09.2028.</t>
  </si>
  <si>
    <t>A2/1/18/686</t>
  </si>
  <si>
    <t>P-592/2018</t>
  </si>
  <si>
    <t>A2/1/18/733</t>
  </si>
  <si>
    <t>P-615/2018</t>
  </si>
  <si>
    <t>20.10.2033.</t>
  </si>
  <si>
    <t>A2/1/18/766</t>
  </si>
  <si>
    <t>P-631/2018</t>
  </si>
  <si>
    <t>20.10.2028.</t>
  </si>
  <si>
    <t>A2/1/18/837</t>
  </si>
  <si>
    <t>P-684/2018</t>
  </si>
  <si>
    <t>20.04.2029.</t>
  </si>
  <si>
    <t>A2/1/18/836</t>
  </si>
  <si>
    <t>P-685/2018</t>
  </si>
  <si>
    <t>A2/1/18/857</t>
  </si>
  <si>
    <t>P-711/2018</t>
  </si>
  <si>
    <t>22.12.2025.</t>
  </si>
  <si>
    <t>A2/1/19/53</t>
  </si>
  <si>
    <t>P-22/2019</t>
  </si>
  <si>
    <t>21.03.2044.</t>
  </si>
  <si>
    <t>A2/1/19/119</t>
  </si>
  <si>
    <t>P-60/2019</t>
  </si>
  <si>
    <t>A2/1/19/155</t>
  </si>
  <si>
    <t>P-109/2019</t>
  </si>
  <si>
    <t>20.04.2049.</t>
  </si>
  <si>
    <t>A2/1/19/218</t>
  </si>
  <si>
    <t>P-128/2019</t>
  </si>
  <si>
    <t>20.05.2039.</t>
  </si>
  <si>
    <t>A2/1/19/240</t>
  </si>
  <si>
    <t>P-163/2019</t>
  </si>
  <si>
    <t>20.06.2034.</t>
  </si>
  <si>
    <t>A2/1/19/242</t>
  </si>
  <si>
    <t>P-152/2019</t>
  </si>
  <si>
    <t>A2/1/19/260</t>
  </si>
  <si>
    <t>P-172/2019</t>
  </si>
  <si>
    <t>A2/1/19/350</t>
  </si>
  <si>
    <t>P-230/2019</t>
  </si>
  <si>
    <t>20.09.2029.</t>
  </si>
  <si>
    <t>20.10.2034.</t>
  </si>
  <si>
    <t>A2/1/19/382</t>
  </si>
  <si>
    <t>P-250/2019</t>
  </si>
  <si>
    <t>A2/1/19/464</t>
  </si>
  <si>
    <t>P-294/2019</t>
  </si>
  <si>
    <t>20.04.2045.</t>
  </si>
  <si>
    <t>A2/1/20/362</t>
  </si>
  <si>
    <t>P-149/2020</t>
  </si>
  <si>
    <t>A2/1/20/439</t>
  </si>
  <si>
    <t>P-184/2020</t>
  </si>
  <si>
    <t>20.07.2045.</t>
  </si>
  <si>
    <t>A2/1/20/484</t>
  </si>
  <si>
    <t>P-220/2020</t>
  </si>
  <si>
    <t>A2/1/20/535</t>
  </si>
  <si>
    <t>P-233/2020</t>
  </si>
  <si>
    <t>A2/1/20/534</t>
  </si>
  <si>
    <t>P-234/2020</t>
  </si>
  <si>
    <t>20.08.2035.</t>
  </si>
  <si>
    <t>A2/1/20/619</t>
  </si>
  <si>
    <t>P-288/2020</t>
  </si>
  <si>
    <t>A2/1/20/728</t>
  </si>
  <si>
    <t>P-379/2020</t>
  </si>
  <si>
    <t>20.09.2045.</t>
  </si>
  <si>
    <t>A2/1/20/749</t>
  </si>
  <si>
    <t>P-388/2020</t>
  </si>
  <si>
    <t>A2/1/20/855</t>
  </si>
  <si>
    <t>P-475/2020</t>
  </si>
  <si>
    <t>20.11.2035.</t>
  </si>
  <si>
    <t>20.11.2040.</t>
  </si>
  <si>
    <t>A2/1/20/856</t>
  </si>
  <si>
    <t>P-474/2020</t>
  </si>
  <si>
    <t>A2/1/20/884</t>
  </si>
  <si>
    <t>P-486/2020</t>
  </si>
  <si>
    <t>20.11.2030.</t>
  </si>
  <si>
    <t>A2/1/20/893</t>
  </si>
  <si>
    <t>P-496/2020</t>
  </si>
  <si>
    <t>A2/1/20/892</t>
  </si>
  <si>
    <t>P-497/2020</t>
  </si>
  <si>
    <t>A2/1/21/15</t>
  </si>
  <si>
    <t>P-6/2021</t>
  </si>
  <si>
    <t>21.01.2041.</t>
  </si>
  <si>
    <t>A2/1/21/25</t>
  </si>
  <si>
    <t>PP-2/2021</t>
  </si>
  <si>
    <t>20.11.2043.</t>
  </si>
  <si>
    <t>A2/1/21/40</t>
  </si>
  <si>
    <t>P-13/2021</t>
  </si>
  <si>
    <t>20.02.2041.</t>
  </si>
  <si>
    <t>A2/1/21/93</t>
  </si>
  <si>
    <t>P-47/2021</t>
  </si>
  <si>
    <t>20.03.2036.</t>
  </si>
  <si>
    <t>A2/1/21/151</t>
  </si>
  <si>
    <t>P-101/2021</t>
  </si>
  <si>
    <t>23.04.2041.</t>
  </si>
  <si>
    <t>A2/1/21/200</t>
  </si>
  <si>
    <t>PP-15/2021</t>
  </si>
  <si>
    <t>A2/1/21/293</t>
  </si>
  <si>
    <t>P-199/2021</t>
  </si>
  <si>
    <t>20.05.2041.</t>
  </si>
  <si>
    <t>20.05.2031.</t>
  </si>
  <si>
    <t>P-197/2021</t>
  </si>
  <si>
    <t>A2/1/21/292</t>
  </si>
  <si>
    <t>A2/1/21/341</t>
  </si>
  <si>
    <t>P-229/2021</t>
  </si>
  <si>
    <t>20.06.2036</t>
  </si>
  <si>
    <t>20.06.2036.</t>
  </si>
  <si>
    <t>A2/1/21/356</t>
  </si>
  <si>
    <t>P-251/2021</t>
  </si>
  <si>
    <t>20.07.2051.</t>
  </si>
  <si>
    <t>P-332/2021</t>
  </si>
  <si>
    <t>P-449/2021</t>
  </si>
  <si>
    <t>22.09.2031.</t>
  </si>
  <si>
    <t>P-448/2021</t>
  </si>
  <si>
    <t>20.09.2041.</t>
  </si>
  <si>
    <t>P-428/2021</t>
  </si>
  <si>
    <t>A2/1/21/743</t>
  </si>
  <si>
    <t>P-565/2021</t>
  </si>
  <si>
    <t>20.11.2046.</t>
  </si>
  <si>
    <t>A2/1/21/777</t>
  </si>
  <si>
    <t>P-582/2021</t>
  </si>
  <si>
    <t>20.12.2041.</t>
  </si>
  <si>
    <t>A2/1/21/778</t>
  </si>
  <si>
    <t>P-581/2021</t>
  </si>
  <si>
    <t>Valmieras valsts ģimnāzijas mācību vides uzlabošana un dienesta viesnīcas Ausekļa ielā pārbūve 2.kārta , SAM 8.1.2.</t>
  </si>
  <si>
    <t>28.02.2022.</t>
  </si>
  <si>
    <t>20.02.2047.</t>
  </si>
  <si>
    <t>20.02.2042.</t>
  </si>
  <si>
    <t>A2/1/22/32</t>
  </si>
  <si>
    <t>P -10/ 2022</t>
  </si>
  <si>
    <t>A2/1/22/33</t>
  </si>
  <si>
    <t>P - 9 /2022</t>
  </si>
  <si>
    <t>Latvijas - Krievijas pārrobežu sadarbības programmas projekta (Nr.LV-RU-016) "Ilgtspējīgas zaļās infrastruktūras un pievilcīgu atpūtas zonu attīstība dabā" (Zaļie torņi)" investīciju daļas īstenošanai</t>
  </si>
  <si>
    <t>Ūdens ielas (posmā no Smiltenes līdz Pleskavas ielai) Valmierā pārbūve</t>
  </si>
  <si>
    <t>Ielu divkārtu virsmu apstrāde Valmierā 1.kārta</t>
  </si>
  <si>
    <t>Ielu divkārtu virsmu apstrāde Valmierā 2.kārta</t>
  </si>
  <si>
    <t>Gājēju ietvju atjaunošana Ādama Alkšņa ielā un Raiņa ielā Rūjienā, Valmieras novadā</t>
  </si>
  <si>
    <t>Raiņa ielas divkārtu asfalta seguma atjaunošana Rūjienā, Valmieras novadā</t>
  </si>
  <si>
    <t>Projekta "Valmieras pilsētas pašvaldības transporta infrastruktūras attīstība - kopējo gājēju un velosipēdistu ceļu izbūve Valkas ielā un Rubenes ielā, Valmierā" īstenošanai</t>
  </si>
  <si>
    <t>Pašvaldības ēkas Palejas ielā 5, Valmierā energoefektivitātes paaugstināšana - SAM 4.2.2.</t>
  </si>
  <si>
    <t>A2/1/22/167</t>
  </si>
  <si>
    <t>P -111/2022</t>
  </si>
  <si>
    <t>04.07.2022.</t>
  </si>
  <si>
    <t>20.06.2042.</t>
  </si>
  <si>
    <t>Līguma Nr.; Trančes Nr.</t>
  </si>
  <si>
    <t xml:space="preserve">Valmieras novada pašvaldības aizņēmumi </t>
  </si>
  <si>
    <t>Kopā</t>
  </si>
  <si>
    <t>ERAF projekta (Nr.8.1.2.0/18/I/004) "Valmieras Pārgaujas ģimnāzijas un Valmieras Viestura vidusskolas mācību vides uzlabošana un Dienesta viesīcas Ausekļa ielā pārbūve" īstenošanai</t>
  </si>
  <si>
    <t>Satiksmes drošības uzlabošana Pulkveža Zemitāna ielā Strenčos ( posmā no 0,005 km līdz krustojumam ar Miera ielu)</t>
  </si>
  <si>
    <t xml:space="preserve">20.11.2018. </t>
  </si>
  <si>
    <t>Ēkas iegāde, Burtnieku novads</t>
  </si>
  <si>
    <t>5</t>
  </si>
  <si>
    <t xml:space="preserve">Pavisam </t>
  </si>
  <si>
    <t>ERAF projektu Nr.8.1.2.0/18/I/004; Nr.4.2.2.0/18/I/ 002 Dienesta viesnīcas Ausekļa ielā 25 C, Valmierā pārbūves uzsākšanai</t>
  </si>
  <si>
    <t>ERAF projekta Nr.8.1.2.0/18/I/004 daļas Valmieras Pārgaujas ģimnāzija Zvaigžņu ielā 4, Valmierā pārbūve, mācību vides uzlabošana</t>
  </si>
  <si>
    <t>Valsts nozīmes sporta infrasruktūras attīstības projekta Vidzemes Olimpiskā centra Valmierā attīstības projekta daļas BMX trases būvniecības daļēja finansēšana</t>
  </si>
  <si>
    <t>Valsts nozīmes sporta infrastruktūras attīstības projekta "J.Daliņa stadiona rekonstrukcija un vieglatlētikas manēžas būvniecība" īstenošanai"</t>
  </si>
  <si>
    <t>ERAF projekta (Nr.3.3.1.0/19/I/001) "Atbalsts komercdarbībai - Kauguru ielas pārbūve" īstenošanai</t>
  </si>
  <si>
    <t>ERAF projekta (Nr.4.2.2.0/18/I/002) "Dienesta viesnīcas Ausekļa ielā energoefektivitātes paaugstināšana un pārbūve  īstenošanai</t>
  </si>
  <si>
    <t>EKII projekta (Nr.EKII-3/30) "Viedo tehnoloģiju ieviešana Valmieras pilsētas apgaismojuma sistēmā" īstenošanai</t>
  </si>
  <si>
    <t>Investīciju projektu īstenošanai (saistību pārjaunojums)</t>
  </si>
  <si>
    <t>Prioritārā investīciju projekta "Aktīvās atpūtas un sporta parka izbūve Rīgas ielā 43A, Valmierā" īstenošanai</t>
  </si>
  <si>
    <t>Projekta "Arāju ielas pārbūve Kocēnos" īstenošanai</t>
  </si>
  <si>
    <t>Projekta "Bērzu  ielas pārbūve Kocēnos" īstenošanai</t>
  </si>
  <si>
    <t>Investīciju projektu īstenošanai (saistību pārjaunojums- Kocēnu novada aizņēmumiem)</t>
  </si>
  <si>
    <t>ERAF projekta " Industriālo teritoriju attīstība Valmierā - 1.kārta " SAM 5.6.2. ar komercdarbības atbalstu</t>
  </si>
  <si>
    <t>17.08.2022.</t>
  </si>
  <si>
    <t>20.07.2037.</t>
  </si>
  <si>
    <t>A2/1/22/315</t>
  </si>
  <si>
    <t>P -227/2022</t>
  </si>
  <si>
    <t>A2/1/22/316</t>
  </si>
  <si>
    <t>P -228/2022</t>
  </si>
  <si>
    <t>A2/1/22/317</t>
  </si>
  <si>
    <t>P -229/2022</t>
  </si>
  <si>
    <t>A2/1/22/318</t>
  </si>
  <si>
    <t>P -230/2022</t>
  </si>
  <si>
    <t>A2/1/22/319</t>
  </si>
  <si>
    <t>P -231/2022</t>
  </si>
  <si>
    <t>12.09.2022.</t>
  </si>
  <si>
    <t>A2/1/22/376</t>
  </si>
  <si>
    <t>P -260/2022</t>
  </si>
  <si>
    <t>24.10.2022.</t>
  </si>
  <si>
    <t>20.10.2037.</t>
  </si>
  <si>
    <t>A2/1/22/462</t>
  </si>
  <si>
    <t>P -321/2022</t>
  </si>
  <si>
    <t>ERAF projekta (Nr.4.2.2.0/19/I/002) "Ēkas Stacijas ielā 26, Valmierā energoefektivitātes paaugstināšana" īstenošanai</t>
  </si>
  <si>
    <t>ERAF projekta (Nr.5.5.1.0/20/I/001) "Valmieras Vēsturiskā centra attīstība" īstenošanai</t>
  </si>
  <si>
    <t>ERAF projekta (Nr.5.5.1.0/20/I/001) "Valmieras Vēsturiskā centra attīstība" papildus finansēšanai</t>
  </si>
  <si>
    <t>ERAF projekta" Industriālo teritoriju attīstība Valmierā - 1.kārta" - SAM 5.6.2.</t>
  </si>
  <si>
    <t>EKII projekta (Nr.EKII-7/26) "Publisko teritoriju ielu apgaismojuma inženiertīklu pārbūve Valmierā, Valmieras novadā" īstenošanai</t>
  </si>
  <si>
    <t>Valmieras 2.vidusskolas investīciju projekts "Mazās sporta zāles pārbūve"</t>
  </si>
  <si>
    <t>Ceļa darbu un apgaismojuma pārbūve Ozolu ielā un Iršuparka alejā, Valmiermuiža, Valmieras pag., valmieras novadā</t>
  </si>
  <si>
    <t>Dārza ielas pārbūve, Kocēnu pagastā, Valmieras novadā</t>
  </si>
  <si>
    <t>Grantēto ielu divkārtu virsmas pastrāde Kalna iela un Jāņa Lielā iela, Mazsalacā</t>
  </si>
  <si>
    <t xml:space="preserve">Tērbatas iela posmā no apaļā veikala līdz Viestura alejai, ieskaitot krustojumus, Valmierā asfalta virskārtas nomaiņa </t>
  </si>
  <si>
    <t>Ķieģeļu ielas , Valmierā, izbūvei posmā no Dzegu ielas līdz Parka ielai,</t>
  </si>
  <si>
    <t xml:space="preserve">Lietus ūdens atvades izbūve Uzvaras un Dārza ielās, Sedas pilsētā </t>
  </si>
  <si>
    <t>Rubenes, Raiņa, Valkas ielu rotācijas aplis, Valmierā pārbūve</t>
  </si>
  <si>
    <t>1.06.2023.</t>
  </si>
  <si>
    <t>20.05.2033.</t>
  </si>
  <si>
    <t>A2/1/23/127</t>
  </si>
  <si>
    <t>A2/1/23/128</t>
  </si>
  <si>
    <t xml:space="preserve">Gājēju ietves un lietus ūdens atvades risinājuma būvniecība Trikātas ielā un Pulkveža Brieža ielā, Strenčos </t>
  </si>
  <si>
    <t xml:space="preserve">Gājēju ietves pārbūve Rubenes ciemā, Kocēnu pagastā </t>
  </si>
  <si>
    <t xml:space="preserve">Vanšu tilta atjaunošana Valmierā </t>
  </si>
  <si>
    <t>19.06.2023.</t>
  </si>
  <si>
    <t>A2/1/23/144</t>
  </si>
  <si>
    <t>P -94/2023</t>
  </si>
  <si>
    <t xml:space="preserve">Ielas un ietves atjaunošana Rīgas iela, Rūjienā (posmā no Blaumaņa līdz Pērnavas ielai) </t>
  </si>
  <si>
    <t xml:space="preserve">Ielu un ietvju atjaunošana Skolas iela (posmā no Dārza līdz Viestura ielai, Viestura iela (posmā no Skolas līdz Lāčplēša ielai), Stacijas iela (posmā no Skolas līdz Viestura ielai) , Rūjienā </t>
  </si>
  <si>
    <t>Georga Apiņa ielas, Valmierā (posmā no Rīgas ielas līdz Beātes ielai)  remontam</t>
  </si>
  <si>
    <t>A2/1/23/222</t>
  </si>
  <si>
    <t>P -160/2023</t>
  </si>
  <si>
    <t>31.07.2023.</t>
  </si>
  <si>
    <t>20.07.2038.</t>
  </si>
  <si>
    <t>P -81/2023</t>
  </si>
  <si>
    <t>P -82/2023</t>
  </si>
  <si>
    <t>13.07.2023.</t>
  </si>
  <si>
    <t>A2/1/23/206</t>
  </si>
  <si>
    <t>P-146/2023</t>
  </si>
  <si>
    <t>12.07.2023.</t>
  </si>
  <si>
    <t>A2/1/23/197</t>
  </si>
  <si>
    <t>P-141/2023</t>
  </si>
  <si>
    <t>21.06.2038.</t>
  </si>
  <si>
    <t>A2/1/23/198</t>
  </si>
  <si>
    <t>P-142/2023</t>
  </si>
  <si>
    <t>A2/1/23/196</t>
  </si>
  <si>
    <t>P-140/2023</t>
  </si>
  <si>
    <t>A2/1/23/194</t>
  </si>
  <si>
    <t>P-138/2023</t>
  </si>
  <si>
    <t>A2/1/23/195</t>
  </si>
  <si>
    <t>P-139/2023</t>
  </si>
  <si>
    <t>A2/1/23/192</t>
  </si>
  <si>
    <t>P-137/2023</t>
  </si>
  <si>
    <t xml:space="preserve">Valmieras novada pašvaldības saistības  kopā </t>
  </si>
  <si>
    <t>Eiropas Savienības Kohēzijas fonda projektu īstenošanai / SIA Kocēnu komunālā saimniecība</t>
  </si>
  <si>
    <t>A1/1/18/812</t>
  </si>
  <si>
    <t>Valmieras novada pašvaldības galvojumi</t>
  </si>
  <si>
    <t>A1/1/19/262; A1/1/19/263; A1/1/19/265</t>
  </si>
  <si>
    <t>A1/1/15/613</t>
  </si>
  <si>
    <t>A1/1/18/760</t>
  </si>
  <si>
    <t>A1/1/16/317</t>
  </si>
  <si>
    <t>A1/1/19/246</t>
  </si>
  <si>
    <t>A2/1/21/749;   K-20/2021</t>
  </si>
  <si>
    <t>20.06.2039.</t>
  </si>
  <si>
    <t>20.10.2035.</t>
  </si>
  <si>
    <t>20.10.2038.</t>
  </si>
  <si>
    <t>20.08.2026.</t>
  </si>
  <si>
    <t>A2/1/23/352</t>
  </si>
  <si>
    <t>P-274/2023</t>
  </si>
  <si>
    <t>11.09.2023.</t>
  </si>
  <si>
    <t>20.08.2038.</t>
  </si>
  <si>
    <t>A2/1/23/356</t>
  </si>
  <si>
    <t>P-278/2023</t>
  </si>
  <si>
    <t>20.08.2033.</t>
  </si>
  <si>
    <t>A2/1/23/355</t>
  </si>
  <si>
    <t>P-277/2023</t>
  </si>
  <si>
    <t>A2/1/23/354</t>
  </si>
  <si>
    <t>P-276/2023</t>
  </si>
  <si>
    <t>A2/1/23/353</t>
  </si>
  <si>
    <t>P-275/2023</t>
  </si>
  <si>
    <t>A2/1/23/350</t>
  </si>
  <si>
    <t>P-273/2023</t>
  </si>
  <si>
    <t>26.09.2023.</t>
  </si>
  <si>
    <t>20.09.2043.</t>
  </si>
  <si>
    <t>A2/1/23/402</t>
  </si>
  <si>
    <t>P - 327/2023</t>
  </si>
  <si>
    <t>04.12.2023.</t>
  </si>
  <si>
    <t>22.11.2038.</t>
  </si>
  <si>
    <t>A2/1/23/479</t>
  </si>
  <si>
    <t>P -390/2023</t>
  </si>
  <si>
    <t>A2/1/23/436</t>
  </si>
  <si>
    <t>P-349/2023</t>
  </si>
  <si>
    <t>01.11.2023.</t>
  </si>
  <si>
    <t>apkalpošana</t>
  </si>
  <si>
    <t>Projekti</t>
  </si>
  <si>
    <t>ANMP projekts Industriālās teritorijas attīstība Valmierā</t>
  </si>
  <si>
    <t>Autoceļa Breidas - Zemgaļi, Naukšēnu ter. pārbūves 2.kārta</t>
  </si>
  <si>
    <t>Pansionāta "Valmiera" investīciju projektu īstenošanai</t>
  </si>
  <si>
    <t>Tranzītielas posma Rīgas-Valkas ielā rekonstrukcija Strenču pilsētā</t>
  </si>
  <si>
    <t>Ozolu ielas, Valmiermuižā rekonstrukcija</t>
  </si>
  <si>
    <t>Gājēju ietves un apgaismojuma izbūve Zilākalnā, Zilākalna pagastā, Valmieras novadā</t>
  </si>
  <si>
    <t>Rietekļa ielas un siltumtrases Rietekļa ielā, Valmierā būvniecība</t>
  </si>
  <si>
    <t>28.06.2024.</t>
  </si>
  <si>
    <t>Valmieras novada pašvaldības budžeta un finanšu vadībai</t>
  </si>
  <si>
    <t>A2/1/24/105</t>
  </si>
  <si>
    <t>Strauta ielas, Valmierā, Valmieras novadā, pārbūve</t>
  </si>
  <si>
    <t>P-100/2024</t>
  </si>
  <si>
    <t>A2/1/24/124</t>
  </si>
  <si>
    <t>P-119/2024</t>
  </si>
  <si>
    <t>30.07.2024.</t>
  </si>
  <si>
    <t>20.07.2039.</t>
  </si>
  <si>
    <t>A2/1/24/125</t>
  </si>
  <si>
    <t>P-120/2024</t>
  </si>
  <si>
    <t>Skolas ielas (posmā no Viestura ielas līdz Dzirnavu ielai) un Skolas ielas gājēju ietves (posmā no Viestura ielas līdz Bērzu ielai) pārbūve Rūjienā, Valmieras novadā</t>
  </si>
  <si>
    <t>A2/1/24/126</t>
  </si>
  <si>
    <t>P-121/2024</t>
  </si>
  <si>
    <t>20.07.2027.</t>
  </si>
  <si>
    <t>Cēsu ielas (posmā no Rīgas ielas līdz Linarda Laicena, Stacijas, Mazās Stacijas ielas rotācijas aplim) asfalta dilumkārtas atjaunošana, Valmierā, Valmieras novadā</t>
  </si>
  <si>
    <t>Beātes ielas (posmā no Raiņa ielas līdz Kārļa Baumaņa ielai) asfalta dilumkārtas atjaunošana, Valmierā, Valmieras novadā</t>
  </si>
  <si>
    <t>Parka ielas (posmā no Gustava Ērenpreisa ielas līdz Lazdu ielai), asfalta virskārtas atjaunošana Mazsalacā, Valmieras nov</t>
  </si>
  <si>
    <t>05.09.2024.</t>
  </si>
  <si>
    <t>20.08.2039.</t>
  </si>
  <si>
    <t>A2/1/24/195</t>
  </si>
  <si>
    <t>P-183/2024</t>
  </si>
  <si>
    <t>A2/1/24/196</t>
  </si>
  <si>
    <t>P-184/2024</t>
  </si>
  <si>
    <t>A2/1/24/197</t>
  </si>
  <si>
    <t>P-185/2024</t>
  </si>
  <si>
    <t>A2/1/24/198</t>
  </si>
  <si>
    <t>P-186/2024</t>
  </si>
  <si>
    <t>20.08.2034.</t>
  </si>
  <si>
    <t>A2/1/24/199</t>
  </si>
  <si>
    <t>P-187/2024</t>
  </si>
  <si>
    <t>10.09.2024.</t>
  </si>
  <si>
    <t>A2/1/24/218</t>
  </si>
  <si>
    <t>P-206/2024</t>
  </si>
  <si>
    <t>29.10.2024.</t>
  </si>
  <si>
    <t>20.10.2039.</t>
  </si>
  <si>
    <t>A2/1/24/279</t>
  </si>
  <si>
    <t>P-258/2024</t>
  </si>
  <si>
    <t>ANMP projekts Industriālās teritorijas attīstība Valmierā / ar riska procenta likmi/</t>
  </si>
  <si>
    <t>22.11.2024.</t>
  </si>
  <si>
    <t>20.11.2054.</t>
  </si>
  <si>
    <t>A2/1/24/296</t>
  </si>
  <si>
    <t>P-274/2024</t>
  </si>
  <si>
    <t>A2/1/24/297</t>
  </si>
  <si>
    <t>P-275/2024</t>
  </si>
  <si>
    <t>Projekta "Liepu ielas pārbūve Kocēnos" īstenošanai</t>
  </si>
  <si>
    <t>Projekta "Vidus ielas pārbūve Kocēnos, 2.kārta" īstenošanai</t>
  </si>
  <si>
    <t>Industriālās teritorijas attīstība Valmieras valstspilsētā -3.kārta / SAM 5.1.1.1.</t>
  </si>
  <si>
    <t>06.2025.</t>
  </si>
  <si>
    <t>06.2040.</t>
  </si>
  <si>
    <t>ANMP 3.1.1.5. projekts Mācību vides uzlabošana vispārējās izglītības iestādēs Valmieras novadā</t>
  </si>
  <si>
    <t>09.2025.</t>
  </si>
  <si>
    <t>08.2050.</t>
  </si>
  <si>
    <t>ANMP 3.1.1.5. projekts Mācību vides uzlabošana vispārējās izglītības iestādēs Valmieras novadā papildus izmaksas / prioritārais projekts</t>
  </si>
  <si>
    <t>Industriālās teritorijas attīstība Valmieras valstspilsētā -3.kārta  ārpusprojekta izmaksas / prioritārais projekts</t>
  </si>
  <si>
    <t>SAM 5.1.1.3.projekts Valmieras valstspilsētas Gaujas krasta promenāde</t>
  </si>
  <si>
    <t>SAM 5.1.1.3.projekts Valmieras valstspilsētas Gaujas krasta promenāde papildus izmaksas / prioritārais projekts</t>
  </si>
  <si>
    <t>08.2025.</t>
  </si>
  <si>
    <t>07.2045.</t>
  </si>
  <si>
    <t>SAM 6.1.1.6. projekts Bezemisijas transportlīdzekļu izmantošanas veicināšana Valmieras novadā</t>
  </si>
  <si>
    <t>Ausekļa ielas (posmā no Rīgas ielas līdz Voldemāra Baloža ielai), Valmierā dilumkārtas atjaunošana</t>
  </si>
  <si>
    <t>Pašvaldības autoceļa Burtnieki - Pintes (5,42 km) seguma atjaunošana</t>
  </si>
  <si>
    <t>Gājēju ietves Pulkveža Brieža ielā (posmā no Beverīnas ielas līdz Smilšu ielai), Strenčos izbūve</t>
  </si>
  <si>
    <t>Semināra ielas no Pāvila Rozīša ielas līdz  Smilšu ielai pārbūve un transportlīdzekļu novietnes izbūve Valmierā, Valmieras novadā</t>
  </si>
  <si>
    <t>Trikātas pamatskolas sporta halles jumta remonts Trikātā, Trikātas pagasts, Valmieras novadā</t>
  </si>
  <si>
    <t>06.05.2025.</t>
  </si>
  <si>
    <t>20.04.2040.</t>
  </si>
  <si>
    <t>A2/1/25/93</t>
  </si>
  <si>
    <t>P-89/2025</t>
  </si>
  <si>
    <t>Pērnavas ielas (P17) asfalta dilumkārtas atjaunošana Rūjienā,  Valmieras novadā</t>
  </si>
  <si>
    <t>Rīgas ielas (P22) posmā no Valdemāra ielas līdz Blaumaņa ielai asfalta dilumkārtas atjaunošana, Rūjienā,  Valmieras novadā</t>
  </si>
  <si>
    <t>Valkas ielas (A3) no Slimnīcas ielas līdz pilsētas robežai asfalta dilumkārtas atjaunošana Strenčos, Valmieras novads</t>
  </si>
  <si>
    <t>08.2040.</t>
  </si>
  <si>
    <t>08.2035.</t>
  </si>
  <si>
    <t>Rīgas ielas (P22) posmā no Pērnavas ielas līdz Rūjienas pilsētas robežai asfalta dilumkārtas atjaunošana, Rūjienā,  Valmieras novadā</t>
  </si>
  <si>
    <t>Rūjienas ielas (P21) asfalta dilumkārtas atjaunošana Mazsalacā, Valmieras novadā</t>
  </si>
  <si>
    <t>10.2025.</t>
  </si>
  <si>
    <t>11.2032.</t>
  </si>
  <si>
    <t>Valmieras novada pašvaldības policijas operatīvo transportlīdzekļu iegāde</t>
  </si>
  <si>
    <t>26.05.2025.</t>
  </si>
  <si>
    <t>20.05.2035.</t>
  </si>
  <si>
    <t>A2/1/25/119</t>
  </si>
  <si>
    <t>P-113/2025</t>
  </si>
  <si>
    <t>Ielu seguma atjaunošana Rūjienas pilsētā (Jānu, Kalēju, Aspazijas, Bērzu), Valmieras novadā</t>
  </si>
  <si>
    <t>20.05.2040.</t>
  </si>
  <si>
    <t>A2/1/25/120</t>
  </si>
  <si>
    <t>P-114/2025</t>
  </si>
  <si>
    <t>20.05.2032.</t>
  </si>
  <si>
    <t>A2/1/25/121</t>
  </si>
  <si>
    <t>P-115/2025</t>
  </si>
  <si>
    <t>Rūjienas vidusskolas ēkas vienkāršota pārbūve , Rīgas ielā 30, Rūjienā, Valmieras novadā</t>
  </si>
  <si>
    <t>A2/1/25/122</t>
  </si>
  <si>
    <t>P-116/2025</t>
  </si>
  <si>
    <t>Parka ielas (posmā no Muižas ielas līdz Parka 30) asfalta virskārtas atjaunošana Mazsalacā, Valmieras novadā</t>
  </si>
  <si>
    <t>26.06.2025.</t>
  </si>
  <si>
    <t>20.06.2035.</t>
  </si>
  <si>
    <t>A2/1/25/174</t>
  </si>
  <si>
    <t>P-168/2025</t>
  </si>
  <si>
    <t>20.06.2045.</t>
  </si>
  <si>
    <t>A2/1/25/175</t>
  </si>
  <si>
    <t>P-169/2025</t>
  </si>
  <si>
    <t>Izglītības iestādes ēkas jumta seguma nomaiņa Skolas iela 11, Matīši, Valmieras novadā</t>
  </si>
  <si>
    <t>A2/1/25/176</t>
  </si>
  <si>
    <t>P-170/2025</t>
  </si>
  <si>
    <t>25.07.2025.</t>
  </si>
  <si>
    <t>A2/1/25/264</t>
  </si>
  <si>
    <t>P-256/2025</t>
  </si>
  <si>
    <t>A2/1/25/265</t>
  </si>
  <si>
    <t>P-257/2025</t>
  </si>
  <si>
    <t>A2/1/25/266</t>
  </si>
  <si>
    <t>P-258/2025</t>
  </si>
  <si>
    <t>Ošu ielas pārbūve, Kocēnos, Kocēnu pagastā, Valmieras novadā</t>
  </si>
  <si>
    <t>20.07.2040.</t>
  </si>
  <si>
    <t>A2/1/25/267</t>
  </si>
  <si>
    <t>P-259/2025</t>
  </si>
  <si>
    <t>Valkas ielas (posmā no Raiņa ielas līdz Tērbatas ielai) asfalta dilumkārtas nomaiņa Valmierā, Valmieras novadā</t>
  </si>
  <si>
    <t>A2/1/25/268</t>
  </si>
  <si>
    <t>P-260/2025</t>
  </si>
  <si>
    <t>A2/1/25/269</t>
  </si>
  <si>
    <t>P-261/2025</t>
  </si>
  <si>
    <t>4. pielikums</t>
  </si>
  <si>
    <t>Valmieras novada pašvaldības saistošajiem noteikumiem Nr. 161</t>
  </si>
  <si>
    <t>"Grozījumi Valmieras novada pašvladības saistošajos noteikumos Nr. 146</t>
  </si>
  <si>
    <t>"Par Valmieras novada pašvaldības 2025. gada budžetu""</t>
  </si>
  <si>
    <t>Valmieras novada pašvaldības aizņēmumu, galvojumu un ilgtermiņa saistību apmērs 2025. gadā  un turpmākajos gados</t>
  </si>
  <si>
    <t>Informācijas, izglītības, sporta un sociālās aprūpes dienas centra " Kaimiņi" būvniecībai</t>
  </si>
  <si>
    <t>Informācijas, izglītības, sporta un sociālās aprūpes dienas centra "Kaimiņi" būvniecības pabeigšanai</t>
  </si>
  <si>
    <t>Latvijas-Šveices projekts Multifunkcionālā jaunatnes iniciatīvu centra izveide Burtniekos</t>
  </si>
  <si>
    <t>Ūdenssaimniecības attīstība-rekonstrukcija Sedas pilsētā, 2.etaps</t>
  </si>
  <si>
    <t>ERAF projekta Nr.8.1.2.0/18/I/004 daļas - Valmieras Viestura vidusskolas pārbūve, mācību vides uzlabošana īstenošanai</t>
  </si>
  <si>
    <t>Igaunijas-Latvijas pārrobežu sadarbības programmas projekta "Zaļais dzelzceļš-bijušo dzelzceļa līniju pielāgošana videi draudzīgā tūrisma maršrutā (investīciju daļas) īstenošanai"</t>
  </si>
  <si>
    <t>ERAF projekta (Nr.4.2.2.0/17/I/096) "Energoefektivitātes paaugstināšana izglītības iestādē, Nākotnes ielā 1, Vaidava" īstenošanai</t>
  </si>
  <si>
    <t>KF projekta (Nr.6.1.4.2/17/I/007) "Valmieras pilsētas Rietumu industriālās maģistrāles attīstība-L.Paegles ielas savienojums ar TNT-T tīklu" īstenošanai</t>
  </si>
  <si>
    <t>ERAF projekta (Nr.4.2.2.0/17/I/095) "Energoefektivitātes paaugstināšana Kocēnu inovada domes ēkā Alejas iela 8,Kocēni" īstenošanai</t>
  </si>
  <si>
    <t>Projekta "Mālu ielas Valmierā (posmā no Beātes ielas līdz Matīšu šosejai)pārbūve" īstenošanai</t>
  </si>
  <si>
    <t>Projekta "Teodora Ūdera un Tālavas ielas Valmierā pārbūve" īstenošanai</t>
  </si>
  <si>
    <t>ERAF projekta (Nr.5.5.1.0/17/I/004) "Kultūra, vēsture, arhitektūra Gaujas un laika lokos" īstenošanai</t>
  </si>
  <si>
    <t xml:space="preserve">ERAF projekta (Nr.9.3.1.1/18/I/027) "Sabiedrības balstītu sociālo pakalpojumu infrastruktūras izveide Mazsalacas novadā" īstenošanai </t>
  </si>
  <si>
    <t>Projekta "Cietā kurināmā apkures katla ar granulu degli piegāde un uzstādīšana Burtnieku ciema un Burtnieku skolas katlu mājās / SIA Kocēnu komunālā saimniecība" (no 28.12.2022.)</t>
  </si>
  <si>
    <t xml:space="preserve">Pašvaldības autoceļa "Rūjienas šoseja - Slaunes - Valkas šoseja" posma pārbūve (0.00 līdz 0.680 km </t>
  </si>
  <si>
    <t>"Divkārtu virsmas apstrāde autoceļu posmos "Mūrmuižas-Bāle-Brieži ceļš" un "Bāles stacija-Cēsu ceļš", Kauguru pagastā, Valmieras novadā</t>
  </si>
  <si>
    <t>ELFLA projekta (Nr.18-09-A00702-000106) "Pašvaldības grantētā ceļa "Jaunmakuļi - Zilaiskalns" pārbūve" īstenošanai</t>
  </si>
  <si>
    <t>PSIA "Banga KPU" pamatkapitāla palielināšanai prioritārā investīciju projekta "Objekta "Ūdensapgādes un kanalizācijas tīkli R.Dārziņa, Lielajā, Dzirnavu, Aurupītes ielās, Mazsalacā, Mazsalacas novadā, 2.līdz 7. kārtas" būvniecība" īstenošanai</t>
  </si>
  <si>
    <t>Ceļa "Apvedceļš - Sapas" divkārtu virsmu apstrāde Kauguru pagastā, Valmieras novadā</t>
  </si>
  <si>
    <t xml:space="preserve">ERAF projekta "Pašvaldības pakalpojuma centra Valmieras ielā 13, Rencēnos energoefektivitātes paaugstināšana" </t>
  </si>
  <si>
    <t>ERAF SAM 4.2.2. projekta "Pašvaldības ēkas Vaidavā, Skolas ielā 1 energoefektivitātes uzlabošana"</t>
  </si>
  <si>
    <t>ERAF SAM 5.4.3. projekta "Antropogēnās slodzes samazināšana un kompleksu apsaimniekošanas pasākumu īstenošana dabas liegumā "Zilaiskalns""</t>
  </si>
  <si>
    <t>SAM 6.1.4. projekta "Dienvidu industriālās maģistrāles attīstība - L.Laicena iela līdz zemes vienībai "Vecais dzelzceļš" pārbūve/izbūve, Cēsu ielas pārbūve no zemes vien. "Vecais dzelzceļš" līdz Valmieras pilsētas robežai</t>
  </si>
  <si>
    <t>Autoceļa "Doktorāts – Silavas" asfaltseguma atjaunošana Naukšēnos, Naukšēnu pagastā, Valmieras novadā</t>
  </si>
  <si>
    <t>Prioritārā investīciju projekta "Rūjienas pirmsskolas izglītības iestādes "Vārpiņa" teritroijas labiekārtošanas darbu 4.kārtas un 5.kārtas realizēšanas"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</si>
</sst>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8" x14ac:knownFonts="1">
    <font>
      <sz val="10"/>
      <name val="Arial"/>
    </font>
    <font>
      <sz val="10"/>
      <name val="Arial"/>
      <family val="2"/>
      <charset val="186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9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i/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b/>
      <sz val="11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8"/>
      <name val="Tahoma"/>
      <family val="2"/>
      <charset val="186"/>
    </font>
    <font>
      <sz val="8"/>
      <name val="Arial"/>
      <family val="2"/>
      <charset val="186"/>
    </font>
    <font>
      <b/>
      <sz val="10"/>
      <color indexed="8"/>
      <name val="Arial"/>
      <family val="2"/>
      <charset val="186"/>
    </font>
    <font>
      <sz val="9.5"/>
      <name val="Arial"/>
      <family val="2"/>
      <charset val="186"/>
    </font>
    <font>
      <sz val="8"/>
      <color indexed="8"/>
      <name val="Arial"/>
      <family val="2"/>
      <charset val="186"/>
    </font>
    <font>
      <b/>
      <sz val="9"/>
      <name val="Arial"/>
      <family val="2"/>
      <charset val="186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rgb="FF00B050"/>
      <name val="Arial"/>
      <family val="2"/>
      <charset val="186"/>
    </font>
    <font>
      <b/>
      <sz val="11"/>
      <color rgb="FF00B050"/>
      <name val="Arial"/>
      <family val="2"/>
      <charset val="186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4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6FBFC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9" fillId="0" borderId="0"/>
    <xf numFmtId="0" fontId="8" fillId="0" borderId="0"/>
    <xf numFmtId="0" fontId="1" fillId="0" borderId="0"/>
    <xf numFmtId="0" fontId="9" fillId="0" borderId="0"/>
    <xf numFmtId="0" fontId="12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2" fillId="0" borderId="0"/>
    <xf numFmtId="0" fontId="1" fillId="0" borderId="0"/>
    <xf numFmtId="0" fontId="2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4" fontId="3" fillId="2" borderId="1" applyNumberFormat="0" applyProtection="0">
      <alignment horizontal="left" vertical="center" indent="1"/>
    </xf>
    <xf numFmtId="4" fontId="3" fillId="0" borderId="1" applyNumberFormat="0" applyProtection="0">
      <alignment horizontal="right" vertical="center"/>
    </xf>
    <xf numFmtId="4" fontId="3" fillId="2" borderId="1" applyNumberFormat="0" applyProtection="0">
      <alignment horizontal="left" vertical="center" indent="1"/>
    </xf>
  </cellStyleXfs>
  <cellXfs count="21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1" fillId="0" borderId="3" xfId="0" applyFont="1" applyBorder="1"/>
    <xf numFmtId="2" fontId="1" fillId="0" borderId="3" xfId="0" applyNumberFormat="1" applyFont="1" applyBorder="1"/>
    <xf numFmtId="0" fontId="7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 vertical="center" wrapText="1"/>
    </xf>
    <xf numFmtId="3" fontId="11" fillId="0" borderId="3" xfId="0" applyNumberFormat="1" applyFont="1" applyBorder="1"/>
    <xf numFmtId="3" fontId="11" fillId="0" borderId="3" xfId="37" applyNumberFormat="1" applyFont="1" applyBorder="1" applyAlignment="1">
      <alignment horizontal="right" vertical="center" wrapText="1"/>
    </xf>
    <xf numFmtId="3" fontId="23" fillId="0" borderId="0" xfId="0" applyNumberFormat="1" applyFont="1"/>
    <xf numFmtId="0" fontId="1" fillId="0" borderId="4" xfId="0" applyFont="1" applyBorder="1"/>
    <xf numFmtId="3" fontId="0" fillId="0" borderId="4" xfId="0" applyNumberFormat="1" applyBorder="1" applyAlignment="1">
      <alignment vertical="center" wrapText="1"/>
    </xf>
    <xf numFmtId="14" fontId="1" fillId="0" borderId="5" xfId="0" applyNumberFormat="1" applyFont="1" applyBorder="1" applyAlignment="1">
      <alignment vertical="center" wrapText="1"/>
    </xf>
    <xf numFmtId="3" fontId="0" fillId="0" borderId="5" xfId="0" applyNumberFormat="1" applyBorder="1" applyAlignment="1">
      <alignment vertical="center" wrapText="1"/>
    </xf>
    <xf numFmtId="0" fontId="1" fillId="0" borderId="6" xfId="0" applyFont="1" applyBorder="1"/>
    <xf numFmtId="3" fontId="0" fillId="0" borderId="6" xfId="0" applyNumberForma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4" fontId="1" fillId="0" borderId="6" xfId="0" applyNumberFormat="1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3" fontId="11" fillId="0" borderId="7" xfId="37" applyNumberFormat="1" applyFont="1" applyBorder="1" applyAlignment="1">
      <alignment horizontal="right" vertical="center" wrapText="1"/>
    </xf>
    <xf numFmtId="0" fontId="0" fillId="0" borderId="3" xfId="0" applyBorder="1"/>
    <xf numFmtId="14" fontId="1" fillId="0" borderId="4" xfId="0" applyNumberFormat="1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  <xf numFmtId="0" fontId="11" fillId="0" borderId="4" xfId="0" applyFont="1" applyBorder="1"/>
    <xf numFmtId="0" fontId="11" fillId="0" borderId="6" xfId="0" applyFont="1" applyBorder="1"/>
    <xf numFmtId="14" fontId="11" fillId="0" borderId="5" xfId="0" applyNumberFormat="1" applyFont="1" applyBorder="1" applyAlignment="1">
      <alignment vertical="center" wrapText="1"/>
    </xf>
    <xf numFmtId="0" fontId="0" fillId="0" borderId="0" xfId="0" applyAlignment="1">
      <alignment horizontal="center"/>
    </xf>
    <xf numFmtId="0" fontId="11" fillId="0" borderId="3" xfId="0" applyFont="1" applyBorder="1" applyAlignment="1">
      <alignment vertical="center" wrapText="1"/>
    </xf>
    <xf numFmtId="49" fontId="17" fillId="4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49" fontId="19" fillId="4" borderId="3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3" fontId="11" fillId="0" borderId="4" xfId="0" applyNumberFormat="1" applyFont="1" applyBorder="1"/>
    <xf numFmtId="0" fontId="20" fillId="0" borderId="3" xfId="0" applyFont="1" applyBorder="1" applyAlignment="1">
      <alignment vertical="center" wrapText="1"/>
    </xf>
    <xf numFmtId="49" fontId="14" fillId="3" borderId="4" xfId="0" applyNumberFormat="1" applyFont="1" applyFill="1" applyBorder="1" applyAlignment="1">
      <alignment horizontal="left" vertical="top" wrapText="1"/>
    </xf>
    <xf numFmtId="49" fontId="14" fillId="3" borderId="6" xfId="0" applyNumberFormat="1" applyFont="1" applyFill="1" applyBorder="1" applyAlignment="1">
      <alignment horizontal="left" vertical="top" wrapText="1"/>
    </xf>
    <xf numFmtId="0" fontId="1" fillId="0" borderId="5" xfId="0" applyFont="1" applyBorder="1"/>
    <xf numFmtId="3" fontId="10" fillId="0" borderId="6" xfId="0" applyNumberFormat="1" applyFont="1" applyBorder="1"/>
    <xf numFmtId="0" fontId="10" fillId="0" borderId="6" xfId="0" applyFont="1" applyBorder="1"/>
    <xf numFmtId="0" fontId="10" fillId="0" borderId="4" xfId="0" applyFont="1" applyBorder="1"/>
    <xf numFmtId="14" fontId="10" fillId="0" borderId="5" xfId="0" applyNumberFormat="1" applyFont="1" applyBorder="1" applyAlignment="1">
      <alignment vertical="center" wrapText="1"/>
    </xf>
    <xf numFmtId="3" fontId="10" fillId="0" borderId="5" xfId="0" applyNumberFormat="1" applyFont="1" applyBorder="1" applyAlignment="1">
      <alignment vertical="center" wrapText="1"/>
    </xf>
    <xf numFmtId="0" fontId="10" fillId="0" borderId="0" xfId="0" applyFont="1"/>
    <xf numFmtId="2" fontId="10" fillId="0" borderId="0" xfId="0" applyNumberFormat="1" applyFont="1"/>
    <xf numFmtId="0" fontId="24" fillId="0" borderId="0" xfId="0" applyFont="1" applyAlignment="1">
      <alignment horizontal="center" vertical="center" wrapText="1"/>
    </xf>
    <xf numFmtId="3" fontId="24" fillId="0" borderId="0" xfId="0" applyNumberFormat="1" applyFont="1" applyAlignment="1">
      <alignment vertical="center" wrapText="1"/>
    </xf>
    <xf numFmtId="3" fontId="24" fillId="0" borderId="0" xfId="0" applyNumberFormat="1" applyFont="1"/>
    <xf numFmtId="0" fontId="25" fillId="0" borderId="0" xfId="0" applyFont="1" applyAlignment="1">
      <alignment horizontal="right" vertical="center" wrapText="1"/>
    </xf>
    <xf numFmtId="3" fontId="1" fillId="0" borderId="2" xfId="37" applyNumberFormat="1" applyBorder="1" applyAlignment="1" applyProtection="1">
      <alignment horizontal="right" vertical="center"/>
      <protection locked="0"/>
    </xf>
    <xf numFmtId="3" fontId="1" fillId="0" borderId="10" xfId="37" applyNumberFormat="1" applyBorder="1" applyAlignment="1" applyProtection="1">
      <alignment horizontal="right" vertical="center"/>
      <protection locked="0"/>
    </xf>
    <xf numFmtId="0" fontId="0" fillId="0" borderId="2" xfId="0" applyBorder="1" applyAlignment="1">
      <alignment horizontal="center" vertical="center"/>
    </xf>
    <xf numFmtId="3" fontId="1" fillId="0" borderId="6" xfId="37" applyNumberFormat="1" applyBorder="1" applyAlignment="1" applyProtection="1">
      <alignment horizontal="right" vertical="center"/>
      <protection locked="0"/>
    </xf>
    <xf numFmtId="3" fontId="1" fillId="0" borderId="11" xfId="37" applyNumberFormat="1" applyBorder="1" applyAlignment="1" applyProtection="1">
      <alignment horizontal="right" vertical="center"/>
      <protection locked="0"/>
    </xf>
    <xf numFmtId="3" fontId="1" fillId="0" borderId="4" xfId="37" applyNumberFormat="1" applyBorder="1" applyAlignment="1" applyProtection="1">
      <alignment horizontal="right" vertical="center"/>
      <protection locked="0"/>
    </xf>
    <xf numFmtId="3" fontId="11" fillId="0" borderId="5" xfId="37" applyNumberFormat="1" applyFont="1" applyBorder="1" applyAlignment="1">
      <alignment horizontal="right" vertical="center" wrapText="1"/>
    </xf>
    <xf numFmtId="3" fontId="1" fillId="0" borderId="12" xfId="37" applyNumberFormat="1" applyBorder="1" applyAlignment="1" applyProtection="1">
      <alignment horizontal="right" vertical="center"/>
      <protection locked="0"/>
    </xf>
    <xf numFmtId="3" fontId="1" fillId="5" borderId="10" xfId="37" applyNumberFormat="1" applyFill="1" applyBorder="1" applyAlignment="1" applyProtection="1">
      <alignment horizontal="right" vertical="center"/>
      <protection locked="0"/>
    </xf>
    <xf numFmtId="3" fontId="1" fillId="5" borderId="6" xfId="37" applyNumberFormat="1" applyFill="1" applyBorder="1" applyAlignment="1" applyProtection="1">
      <alignment horizontal="right" vertical="center"/>
      <protection locked="0"/>
    </xf>
    <xf numFmtId="3" fontId="0" fillId="0" borderId="12" xfId="0" applyNumberFormat="1" applyBorder="1" applyAlignment="1">
      <alignment horizontal="right" vertical="center"/>
    </xf>
    <xf numFmtId="3" fontId="1" fillId="5" borderId="6" xfId="0" applyNumberFormat="1" applyFont="1" applyFill="1" applyBorder="1"/>
    <xf numFmtId="3" fontId="0" fillId="5" borderId="4" xfId="0" applyNumberFormat="1" applyFill="1" applyBorder="1" applyAlignment="1">
      <alignment vertical="center" wrapText="1"/>
    </xf>
    <xf numFmtId="3" fontId="0" fillId="5" borderId="6" xfId="0" applyNumberFormat="1" applyFill="1" applyBorder="1" applyAlignment="1">
      <alignment vertical="center" wrapText="1"/>
    </xf>
    <xf numFmtId="3" fontId="1" fillId="5" borderId="6" xfId="0" applyNumberFormat="1" applyFont="1" applyFill="1" applyBorder="1" applyAlignment="1">
      <alignment vertical="center" wrapText="1"/>
    </xf>
    <xf numFmtId="3" fontId="1" fillId="0" borderId="13" xfId="37" applyNumberFormat="1" applyBorder="1" applyAlignment="1" applyProtection="1">
      <alignment horizontal="right" vertical="center"/>
      <protection locked="0"/>
    </xf>
    <xf numFmtId="3" fontId="1" fillId="0" borderId="8" xfId="37" applyNumberFormat="1" applyBorder="1" applyAlignment="1" applyProtection="1">
      <alignment horizontal="right" vertical="center"/>
      <protection locked="0"/>
    </xf>
    <xf numFmtId="3" fontId="1" fillId="0" borderId="14" xfId="37" applyNumberFormat="1" applyBorder="1" applyAlignment="1" applyProtection="1">
      <alignment horizontal="right" vertical="center"/>
      <protection locked="0"/>
    </xf>
    <xf numFmtId="0" fontId="0" fillId="0" borderId="8" xfId="0" applyBorder="1" applyAlignment="1">
      <alignment horizontal="center" vertical="center"/>
    </xf>
    <xf numFmtId="3" fontId="11" fillId="0" borderId="4" xfId="37" applyNumberFormat="1" applyFont="1" applyBorder="1" applyAlignment="1" applyProtection="1">
      <alignment horizontal="right" vertical="center"/>
      <protection locked="0"/>
    </xf>
    <xf numFmtId="3" fontId="11" fillId="0" borderId="6" xfId="37" applyNumberFormat="1" applyFont="1" applyBorder="1" applyAlignment="1" applyProtection="1">
      <alignment horizontal="right" vertical="center"/>
      <protection locked="0"/>
    </xf>
    <xf numFmtId="3" fontId="1" fillId="5" borderId="4" xfId="0" applyNumberFormat="1" applyFont="1" applyFill="1" applyBorder="1"/>
    <xf numFmtId="3" fontId="10" fillId="0" borderId="4" xfId="0" applyNumberFormat="1" applyFont="1" applyBorder="1"/>
    <xf numFmtId="3" fontId="1" fillId="0" borderId="11" xfId="37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vertical="center"/>
    </xf>
    <xf numFmtId="3" fontId="1" fillId="0" borderId="2" xfId="37" applyNumberFormat="1" applyBorder="1" applyAlignment="1" applyProtection="1">
      <alignment vertical="center"/>
      <protection locked="0"/>
    </xf>
    <xf numFmtId="3" fontId="1" fillId="0" borderId="0" xfId="37" applyNumberFormat="1" applyAlignment="1" applyProtection="1">
      <alignment vertical="center"/>
      <protection locked="0"/>
    </xf>
    <xf numFmtId="3" fontId="1" fillId="0" borderId="6" xfId="37" applyNumberFormat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3" fontId="10" fillId="5" borderId="4" xfId="0" applyNumberFormat="1" applyFont="1" applyFill="1" applyBorder="1"/>
    <xf numFmtId="3" fontId="0" fillId="0" borderId="2" xfId="0" applyNumberFormat="1" applyBorder="1" applyAlignment="1">
      <alignment vertical="center" wrapText="1"/>
    </xf>
    <xf numFmtId="3" fontId="11" fillId="0" borderId="9" xfId="0" applyNumberFormat="1" applyFont="1" applyBorder="1" applyAlignment="1">
      <alignment horizontal="right" vertical="center"/>
    </xf>
    <xf numFmtId="3" fontId="11" fillId="0" borderId="11" xfId="0" applyNumberFormat="1" applyFont="1" applyBorder="1" applyAlignment="1">
      <alignment horizontal="right" vertical="center"/>
    </xf>
    <xf numFmtId="3" fontId="0" fillId="0" borderId="0" xfId="0" applyNumberFormat="1"/>
    <xf numFmtId="0" fontId="10" fillId="5" borderId="4" xfId="0" applyFont="1" applyFill="1" applyBorder="1"/>
    <xf numFmtId="0" fontId="10" fillId="5" borderId="6" xfId="0" applyFont="1" applyFill="1" applyBorder="1"/>
    <xf numFmtId="3" fontId="10" fillId="5" borderId="6" xfId="0" applyNumberFormat="1" applyFont="1" applyFill="1" applyBorder="1"/>
    <xf numFmtId="0" fontId="1" fillId="5" borderId="5" xfId="0" applyFont="1" applyFill="1" applyBorder="1"/>
    <xf numFmtId="14" fontId="1" fillId="5" borderId="5" xfId="0" applyNumberFormat="1" applyFont="1" applyFill="1" applyBorder="1" applyAlignment="1">
      <alignment vertical="center" wrapText="1"/>
    </xf>
    <xf numFmtId="3" fontId="10" fillId="5" borderId="5" xfId="0" applyNumberFormat="1" applyFont="1" applyFill="1" applyBorder="1" applyAlignment="1">
      <alignment vertical="center" wrapText="1"/>
    </xf>
    <xf numFmtId="3" fontId="1" fillId="5" borderId="5" xfId="0" applyNumberFormat="1" applyFont="1" applyFill="1" applyBorder="1" applyAlignment="1">
      <alignment vertical="center" wrapText="1"/>
    </xf>
    <xf numFmtId="3" fontId="0" fillId="5" borderId="2" xfId="0" applyNumberFormat="1" applyFill="1" applyBorder="1" applyAlignment="1">
      <alignment vertical="center" wrapText="1"/>
    </xf>
    <xf numFmtId="0" fontId="0" fillId="5" borderId="6" xfId="0" applyFill="1" applyBorder="1" applyAlignment="1">
      <alignment vertical="center" wrapText="1"/>
    </xf>
    <xf numFmtId="3" fontId="0" fillId="5" borderId="5" xfId="0" applyNumberFormat="1" applyFill="1" applyBorder="1" applyAlignment="1">
      <alignment vertical="center" wrapText="1"/>
    </xf>
    <xf numFmtId="0" fontId="0" fillId="5" borderId="4" xfId="0" applyFill="1" applyBorder="1" applyAlignment="1">
      <alignment vertical="center" wrapText="1"/>
    </xf>
    <xf numFmtId="3" fontId="10" fillId="5" borderId="6" xfId="0" applyNumberFormat="1" applyFont="1" applyFill="1" applyBorder="1" applyAlignment="1">
      <alignment vertical="center" wrapText="1"/>
    </xf>
    <xf numFmtId="3" fontId="1" fillId="5" borderId="4" xfId="0" applyNumberFormat="1" applyFont="1" applyFill="1" applyBorder="1" applyAlignment="1">
      <alignment vertical="center" wrapText="1"/>
    </xf>
    <xf numFmtId="3" fontId="0" fillId="5" borderId="4" xfId="0" applyNumberFormat="1" applyFill="1" applyBorder="1"/>
    <xf numFmtId="3" fontId="0" fillId="5" borderId="6" xfId="0" applyNumberFormat="1" applyFill="1" applyBorder="1"/>
    <xf numFmtId="3" fontId="1" fillId="5" borderId="2" xfId="0" applyNumberFormat="1" applyFont="1" applyFill="1" applyBorder="1" applyAlignment="1">
      <alignment vertical="center" wrapText="1"/>
    </xf>
    <xf numFmtId="3" fontId="1" fillId="5" borderId="8" xfId="0" applyNumberFormat="1" applyFont="1" applyFill="1" applyBorder="1"/>
    <xf numFmtId="3" fontId="1" fillId="5" borderId="11" xfId="0" applyNumberFormat="1" applyFont="1" applyFill="1" applyBorder="1" applyAlignment="1">
      <alignment vertical="center" wrapText="1"/>
    </xf>
    <xf numFmtId="3" fontId="0" fillId="5" borderId="11" xfId="0" applyNumberFormat="1" applyFill="1" applyBorder="1" applyAlignment="1">
      <alignment vertical="center" wrapText="1"/>
    </xf>
    <xf numFmtId="3" fontId="1" fillId="5" borderId="2" xfId="0" applyNumberFormat="1" applyFont="1" applyFill="1" applyBorder="1"/>
    <xf numFmtId="3" fontId="11" fillId="5" borderId="3" xfId="0" applyNumberFormat="1" applyFont="1" applyFill="1" applyBorder="1"/>
    <xf numFmtId="0" fontId="4" fillId="7" borderId="3" xfId="0" applyFon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49" fontId="11" fillId="5" borderId="4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2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5" xfId="37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37" applyNumberFormat="1" applyBorder="1" applyAlignment="1" applyProtection="1">
      <alignment horizontal="center" vertical="center" wrapText="1"/>
      <protection locked="0"/>
    </xf>
    <xf numFmtId="49" fontId="1" fillId="0" borderId="2" xfId="37" applyNumberFormat="1" applyBorder="1" applyAlignment="1" applyProtection="1">
      <alignment horizontal="center" vertical="center" wrapText="1"/>
      <protection locked="0"/>
    </xf>
    <xf numFmtId="49" fontId="1" fillId="0" borderId="5" xfId="37" applyNumberFormat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1" fillId="0" borderId="3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9" fillId="0" borderId="7" xfId="0" applyFont="1" applyBorder="1" applyAlignment="1">
      <alignment horizontal="left" wrapText="1"/>
    </xf>
    <xf numFmtId="0" fontId="9" fillId="0" borderId="17" xfId="0" applyFont="1" applyBorder="1" applyAlignment="1">
      <alignment horizontal="left" wrapText="1"/>
    </xf>
    <xf numFmtId="0" fontId="9" fillId="0" borderId="18" xfId="0" applyFont="1" applyBorder="1" applyAlignment="1">
      <alignment horizontal="left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3" fillId="0" borderId="13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4" xfId="10" applyFont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  <xf numFmtId="0" fontId="9" fillId="0" borderId="5" xfId="10" applyFont="1" applyBorder="1" applyAlignment="1">
      <alignment horizontal="center" vertical="center" wrapText="1"/>
    </xf>
    <xf numFmtId="49" fontId="1" fillId="0" borderId="4" xfId="37" applyNumberFormat="1" applyBorder="1" applyAlignment="1" applyProtection="1">
      <alignment horizontal="left" vertical="center" wrapText="1"/>
      <protection locked="0"/>
    </xf>
    <xf numFmtId="49" fontId="1" fillId="0" borderId="2" xfId="37" applyNumberFormat="1" applyBorder="1" applyAlignment="1" applyProtection="1">
      <alignment horizontal="left" vertical="center" wrapText="1"/>
      <protection locked="0"/>
    </xf>
    <xf numFmtId="49" fontId="1" fillId="0" borderId="5" xfId="37" applyNumberFormat="1" applyBorder="1" applyAlignment="1" applyProtection="1">
      <alignment horizontal="left" vertical="center" wrapText="1"/>
      <protection locked="0"/>
    </xf>
    <xf numFmtId="14" fontId="1" fillId="5" borderId="4" xfId="0" applyNumberFormat="1" applyFont="1" applyFill="1" applyBorder="1" applyAlignment="1">
      <alignment horizontal="center" vertical="center" wrapText="1"/>
    </xf>
    <xf numFmtId="14" fontId="1" fillId="5" borderId="2" xfId="0" applyNumberFormat="1" applyFont="1" applyFill="1" applyBorder="1" applyAlignment="1">
      <alignment horizontal="center" vertical="center" wrapText="1"/>
    </xf>
    <xf numFmtId="14" fontId="1" fillId="5" borderId="5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7" fillId="0" borderId="15" xfId="37" applyNumberFormat="1" applyFont="1" applyBorder="1" applyAlignment="1" applyProtection="1">
      <alignment horizontal="left" vertical="center" wrapText="1"/>
      <protection locked="0"/>
    </xf>
    <xf numFmtId="49" fontId="7" fillId="0" borderId="13" xfId="37" applyNumberFormat="1" applyFont="1" applyBorder="1" applyAlignment="1" applyProtection="1">
      <alignment horizontal="left" vertical="center" wrapText="1"/>
      <protection locked="0"/>
    </xf>
    <xf numFmtId="49" fontId="7" fillId="0" borderId="16" xfId="37" applyNumberFormat="1" applyFont="1" applyBorder="1" applyAlignment="1" applyProtection="1">
      <alignment horizontal="left" vertical="center" wrapText="1"/>
      <protection locked="0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14" fontId="0" fillId="0" borderId="3" xfId="0" applyNumberFormat="1" applyBorder="1" applyAlignment="1">
      <alignment horizontal="center" vertical="center" wrapText="1"/>
    </xf>
    <xf numFmtId="14" fontId="1" fillId="0" borderId="3" xfId="0" quotePrefix="1" applyNumberFormat="1" applyFon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4" fontId="0" fillId="5" borderId="3" xfId="0" applyNumberFormat="1" applyFill="1" applyBorder="1" applyAlignment="1">
      <alignment horizontal="center" vertical="center" wrapText="1"/>
    </xf>
    <xf numFmtId="14" fontId="0" fillId="5" borderId="4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wrapText="1"/>
    </xf>
    <xf numFmtId="49" fontId="15" fillId="3" borderId="3" xfId="0" applyNumberFormat="1" applyFont="1" applyFill="1" applyBorder="1" applyAlignment="1">
      <alignment horizontal="center" vertical="center" wrapText="1"/>
    </xf>
    <xf numFmtId="49" fontId="1" fillId="5" borderId="3" xfId="37" applyNumberFormat="1" applyFill="1" applyBorder="1" applyAlignment="1" applyProtection="1">
      <alignment horizontal="left" vertical="center" wrapText="1"/>
      <protection locked="0"/>
    </xf>
    <xf numFmtId="0" fontId="1" fillId="5" borderId="3" xfId="0" applyFont="1" applyFill="1" applyBorder="1" applyAlignment="1">
      <alignment horizontal="left" vertical="center" wrapText="1"/>
    </xf>
    <xf numFmtId="0" fontId="1" fillId="5" borderId="3" xfId="10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49" fontId="18" fillId="0" borderId="4" xfId="37" applyNumberFormat="1" applyFont="1" applyBorder="1" applyAlignment="1" applyProtection="1">
      <alignment horizontal="left" vertical="center" wrapText="1"/>
      <protection locked="0"/>
    </xf>
    <xf numFmtId="49" fontId="18" fillId="0" borderId="2" xfId="37" applyNumberFormat="1" applyFont="1" applyBorder="1" applyAlignment="1" applyProtection="1">
      <alignment horizontal="left" vertical="center" wrapText="1"/>
      <protection locked="0"/>
    </xf>
    <xf numFmtId="49" fontId="18" fillId="0" borderId="5" xfId="37" applyNumberFormat="1" applyFont="1" applyBorder="1" applyAlignment="1" applyProtection="1">
      <alignment horizontal="left" vertical="center" wrapText="1"/>
      <protection locked="0"/>
    </xf>
    <xf numFmtId="49" fontId="1" fillId="5" borderId="4" xfId="37" applyNumberFormat="1" applyFill="1" applyBorder="1" applyAlignment="1" applyProtection="1">
      <alignment horizontal="left" vertical="center" wrapText="1"/>
      <protection locked="0"/>
    </xf>
    <xf numFmtId="49" fontId="1" fillId="5" borderId="2" xfId="37" applyNumberFormat="1" applyFill="1" applyBorder="1" applyAlignment="1" applyProtection="1">
      <alignment horizontal="left" vertical="center" wrapText="1"/>
      <protection locked="0"/>
    </xf>
    <xf numFmtId="49" fontId="1" fillId="5" borderId="5" xfId="37" applyNumberFormat="1" applyFill="1" applyBorder="1" applyAlignment="1" applyProtection="1">
      <alignment horizontal="left" vertical="center" wrapText="1"/>
      <protection locked="0"/>
    </xf>
    <xf numFmtId="0" fontId="1" fillId="5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3" fontId="23" fillId="0" borderId="0" xfId="0" applyNumberFormat="1" applyFont="1" applyAlignment="1">
      <alignment horizontal="right"/>
    </xf>
  </cellXfs>
  <cellStyles count="46">
    <cellStyle name="Comma 2" xfId="1" xr:uid="{00000000-0005-0000-0000-000000000000}"/>
    <cellStyle name="Comma 2 2" xfId="2" xr:uid="{00000000-0005-0000-0000-000001000000}"/>
    <cellStyle name="Comma 2 2 2" xfId="3" xr:uid="{00000000-0005-0000-0000-000002000000}"/>
    <cellStyle name="Comma 2 3" xfId="4" xr:uid="{00000000-0005-0000-0000-000003000000}"/>
    <cellStyle name="Comma 2 3 2" xfId="5" xr:uid="{00000000-0005-0000-0000-000004000000}"/>
    <cellStyle name="Comma 3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2 2" xfId="9" xr:uid="{00000000-0005-0000-0000-000009000000}"/>
    <cellStyle name="Normal 2 2 2 2" xfId="10" xr:uid="{00000000-0005-0000-0000-00000A000000}"/>
    <cellStyle name="Normal 2 2 3" xfId="11" xr:uid="{00000000-0005-0000-0000-00000B000000}"/>
    <cellStyle name="Normal 2 2 3 2" xfId="12" xr:uid="{00000000-0005-0000-0000-00000C000000}"/>
    <cellStyle name="Normal 2 2 4" xfId="13" xr:uid="{00000000-0005-0000-0000-00000D000000}"/>
    <cellStyle name="Normal 2 3" xfId="14" xr:uid="{00000000-0005-0000-0000-00000E000000}"/>
    <cellStyle name="Normal 2 3 2" xfId="15" xr:uid="{00000000-0005-0000-0000-00000F000000}"/>
    <cellStyle name="Normal 2 4" xfId="16" xr:uid="{00000000-0005-0000-0000-000010000000}"/>
    <cellStyle name="Normal 2 5" xfId="17" xr:uid="{00000000-0005-0000-0000-000011000000}"/>
    <cellStyle name="Normal 2 5 2" xfId="18" xr:uid="{00000000-0005-0000-0000-000012000000}"/>
    <cellStyle name="Normal 3" xfId="19" xr:uid="{00000000-0005-0000-0000-000013000000}"/>
    <cellStyle name="Normal 3 2" xfId="20" xr:uid="{00000000-0005-0000-0000-000014000000}"/>
    <cellStyle name="Normal 3 2 2" xfId="21" xr:uid="{00000000-0005-0000-0000-000015000000}"/>
    <cellStyle name="Normal 3 3" xfId="22" xr:uid="{00000000-0005-0000-0000-000016000000}"/>
    <cellStyle name="Normal 3 4" xfId="23" xr:uid="{00000000-0005-0000-0000-000017000000}"/>
    <cellStyle name="Normal 3 4 2" xfId="24" xr:uid="{00000000-0005-0000-0000-000018000000}"/>
    <cellStyle name="Normal 4" xfId="25" xr:uid="{00000000-0005-0000-0000-000019000000}"/>
    <cellStyle name="Normal 4 2" xfId="26" xr:uid="{00000000-0005-0000-0000-00001A000000}"/>
    <cellStyle name="Normal 4 2 2" xfId="27" xr:uid="{00000000-0005-0000-0000-00001B000000}"/>
    <cellStyle name="Normal 4 3" xfId="28" xr:uid="{00000000-0005-0000-0000-00001C000000}"/>
    <cellStyle name="Normal 5" xfId="29" xr:uid="{00000000-0005-0000-0000-00001D000000}"/>
    <cellStyle name="Normal 5 2" xfId="30" xr:uid="{00000000-0005-0000-0000-00001E000000}"/>
    <cellStyle name="Normal 5 2 2" xfId="31" xr:uid="{00000000-0005-0000-0000-00001F000000}"/>
    <cellStyle name="Normal 5 3" xfId="32" xr:uid="{00000000-0005-0000-0000-000020000000}"/>
    <cellStyle name="Normal 5 3 2" xfId="33" xr:uid="{00000000-0005-0000-0000-000021000000}"/>
    <cellStyle name="Normal 6" xfId="34" xr:uid="{00000000-0005-0000-0000-000022000000}"/>
    <cellStyle name="Normal 6 2" xfId="35" xr:uid="{00000000-0005-0000-0000-000023000000}"/>
    <cellStyle name="Normal 7" xfId="36" xr:uid="{00000000-0005-0000-0000-000024000000}"/>
    <cellStyle name="Normal_Pamatformas" xfId="37" xr:uid="{00000000-0005-0000-0000-000025000000}"/>
    <cellStyle name="Percent 2" xfId="38" xr:uid="{00000000-0005-0000-0000-000026000000}"/>
    <cellStyle name="Percent 2 2" xfId="39" xr:uid="{00000000-0005-0000-0000-000027000000}"/>
    <cellStyle name="Percent 2 2 2" xfId="40" xr:uid="{00000000-0005-0000-0000-000028000000}"/>
    <cellStyle name="Percent 2 3" xfId="41" xr:uid="{00000000-0005-0000-0000-000029000000}"/>
    <cellStyle name="Percent 2 3 2" xfId="42" xr:uid="{00000000-0005-0000-0000-00002A000000}"/>
    <cellStyle name="SAPBEXchaText" xfId="43" xr:uid="{00000000-0005-0000-0000-00002B000000}"/>
    <cellStyle name="SAPBEXstdData" xfId="44" xr:uid="{00000000-0005-0000-0000-00002C000000}"/>
    <cellStyle name="SAPBEXstdItem" xfId="45" xr:uid="{00000000-0005-0000-0000-00002D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3081E-F5F7-47C7-BBC0-8C8301B7B4D0}">
  <dimension ref="A1:R612"/>
  <sheetViews>
    <sheetView tabSelected="1" zoomScale="90" zoomScaleNormal="90" workbookViewId="0">
      <pane xSplit="6" ySplit="9" topLeftCell="G59" activePane="bottomRight" state="frozen"/>
      <selection pane="topRight" activeCell="G1" sqref="G1"/>
      <selection pane="bottomLeft" activeCell="A8" sqref="A8"/>
      <selection pane="bottomRight" activeCell="C262" sqref="C262:C264"/>
    </sheetView>
  </sheetViews>
  <sheetFormatPr defaultRowHeight="13.2" outlineLevelRow="1" outlineLevelCol="1" x14ac:dyDescent="0.25"/>
  <cols>
    <col min="1" max="1" width="6.44140625" customWidth="1"/>
    <col min="2" max="2" width="10.88671875" customWidth="1"/>
    <col min="3" max="3" width="45.33203125" customWidth="1"/>
    <col min="4" max="4" width="12.109375" customWidth="1"/>
    <col min="5" max="5" width="11.6640625" customWidth="1"/>
    <col min="6" max="6" width="13" style="1" customWidth="1"/>
    <col min="7" max="7" width="15.33203125" customWidth="1"/>
    <col min="8" max="8" width="11.6640625" customWidth="1" outlineLevel="1"/>
    <col min="9" max="10" width="11" customWidth="1" outlineLevel="1"/>
    <col min="11" max="11" width="10.88671875" customWidth="1" outlineLevel="1"/>
    <col min="12" max="14" width="11.109375" customWidth="1" outlineLevel="1"/>
    <col min="15" max="15" width="12.109375" customWidth="1" outlineLevel="1"/>
    <col min="16" max="16" width="12.88671875" customWidth="1" outlineLevel="1"/>
    <col min="17" max="17" width="10.6640625" customWidth="1"/>
  </cols>
  <sheetData>
    <row r="1" spans="1:16" x14ac:dyDescent="0.25">
      <c r="K1" s="209" t="s">
        <v>696</v>
      </c>
      <c r="L1" s="209"/>
      <c r="M1" s="209"/>
      <c r="N1" s="209"/>
      <c r="O1" s="209"/>
      <c r="P1" s="209"/>
    </row>
    <row r="2" spans="1:16" x14ac:dyDescent="0.25">
      <c r="K2" s="209" t="s">
        <v>697</v>
      </c>
      <c r="L2" s="209"/>
      <c r="M2" s="209"/>
      <c r="N2" s="209"/>
      <c r="O2" s="209"/>
      <c r="P2" s="209"/>
    </row>
    <row r="3" spans="1:16" x14ac:dyDescent="0.25">
      <c r="K3" s="209" t="s">
        <v>698</v>
      </c>
      <c r="L3" s="209"/>
      <c r="M3" s="209"/>
      <c r="N3" s="209"/>
      <c r="O3" s="209"/>
      <c r="P3" s="209"/>
    </row>
    <row r="4" spans="1:16" x14ac:dyDescent="0.25">
      <c r="K4" s="209" t="s">
        <v>699</v>
      </c>
      <c r="L4" s="209"/>
      <c r="M4" s="209"/>
      <c r="N4" s="209"/>
      <c r="O4" s="209"/>
      <c r="P4" s="209"/>
    </row>
    <row r="5" spans="1:16" x14ac:dyDescent="0.25">
      <c r="I5" s="10"/>
    </row>
    <row r="6" spans="1:16" ht="15.6" x14ac:dyDescent="0.3">
      <c r="C6" s="2" t="s">
        <v>700</v>
      </c>
    </row>
    <row r="7" spans="1:16" ht="7.5" customHeight="1" x14ac:dyDescent="0.25"/>
    <row r="8" spans="1:16" ht="42.6" customHeight="1" x14ac:dyDescent="0.25">
      <c r="A8" s="21"/>
      <c r="B8" s="28" t="s">
        <v>1</v>
      </c>
      <c r="C8" s="28" t="s">
        <v>0</v>
      </c>
      <c r="D8" s="28" t="s">
        <v>79</v>
      </c>
      <c r="E8" s="29" t="s">
        <v>97</v>
      </c>
      <c r="F8" s="28" t="s">
        <v>437</v>
      </c>
      <c r="G8" s="28"/>
      <c r="H8" s="33">
        <v>2025</v>
      </c>
      <c r="I8" s="33">
        <v>2026</v>
      </c>
      <c r="J8" s="33">
        <v>2027</v>
      </c>
      <c r="K8" s="33">
        <v>2028</v>
      </c>
      <c r="L8" s="33">
        <v>2029</v>
      </c>
      <c r="M8" s="33">
        <v>2030</v>
      </c>
      <c r="N8" s="33">
        <v>2031</v>
      </c>
      <c r="O8" s="35" t="s">
        <v>2</v>
      </c>
      <c r="P8" s="33" t="s">
        <v>445</v>
      </c>
    </row>
    <row r="9" spans="1:16" ht="12.6" customHeight="1" x14ac:dyDescent="0.25">
      <c r="A9" s="30">
        <v>1</v>
      </c>
      <c r="B9" s="7">
        <v>2</v>
      </c>
      <c r="C9" s="7">
        <v>3</v>
      </c>
      <c r="D9" s="7">
        <v>4</v>
      </c>
      <c r="E9" s="31" t="s">
        <v>444</v>
      </c>
      <c r="F9" s="7">
        <v>6</v>
      </c>
      <c r="G9" s="32">
        <v>7</v>
      </c>
      <c r="H9" s="32">
        <v>8</v>
      </c>
      <c r="I9" s="32">
        <v>9</v>
      </c>
      <c r="J9" s="32">
        <v>10</v>
      </c>
      <c r="K9" s="32">
        <v>11</v>
      </c>
      <c r="L9" s="32">
        <v>12</v>
      </c>
      <c r="M9" s="32">
        <v>13</v>
      </c>
      <c r="N9" s="32">
        <v>14</v>
      </c>
      <c r="O9" s="32">
        <v>15</v>
      </c>
      <c r="P9" s="32">
        <v>16</v>
      </c>
    </row>
    <row r="10" spans="1:16" ht="18" customHeight="1" x14ac:dyDescent="0.25">
      <c r="A10" s="130">
        <v>1</v>
      </c>
      <c r="B10" s="155" t="s">
        <v>11</v>
      </c>
      <c r="C10" s="156" t="s">
        <v>66</v>
      </c>
      <c r="D10" s="157">
        <v>36607</v>
      </c>
      <c r="E10" s="157" t="s">
        <v>98</v>
      </c>
      <c r="F10" s="158" t="s">
        <v>99</v>
      </c>
      <c r="G10" s="11" t="s">
        <v>5</v>
      </c>
      <c r="H10" s="12">
        <v>68349</v>
      </c>
      <c r="I10" s="12">
        <v>68349</v>
      </c>
      <c r="J10" s="12">
        <v>68349</v>
      </c>
      <c r="K10" s="12">
        <v>68349</v>
      </c>
      <c r="L10" s="12">
        <v>68349</v>
      </c>
      <c r="M10" s="12">
        <v>68349</v>
      </c>
      <c r="N10" s="12">
        <v>68349</v>
      </c>
      <c r="O10" s="12">
        <f>468779-68349-68349-68349</f>
        <v>263732</v>
      </c>
      <c r="P10" s="12">
        <f>SUM(H10:O10)</f>
        <v>742175</v>
      </c>
    </row>
    <row r="11" spans="1:16" ht="15.75" customHeight="1" x14ac:dyDescent="0.25">
      <c r="A11" s="130"/>
      <c r="B11" s="155"/>
      <c r="C11" s="156"/>
      <c r="D11" s="157"/>
      <c r="E11" s="157"/>
      <c r="F11" s="158"/>
      <c r="G11" s="15" t="s">
        <v>8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f t="shared" ref="P11:P68" si="0">SUM(H11:O11)</f>
        <v>0</v>
      </c>
    </row>
    <row r="12" spans="1:16" ht="15.75" customHeight="1" x14ac:dyDescent="0.25">
      <c r="A12" s="130"/>
      <c r="B12" s="155"/>
      <c r="C12" s="156"/>
      <c r="D12" s="157"/>
      <c r="E12" s="157"/>
      <c r="F12" s="158"/>
      <c r="G12" s="13" t="s">
        <v>100</v>
      </c>
      <c r="H12" s="14">
        <f t="shared" ref="H12:O12" si="1">SUM(H10:H11)</f>
        <v>68349</v>
      </c>
      <c r="I12" s="14">
        <f t="shared" si="1"/>
        <v>68349</v>
      </c>
      <c r="J12" s="14">
        <f t="shared" si="1"/>
        <v>68349</v>
      </c>
      <c r="K12" s="14">
        <f t="shared" si="1"/>
        <v>68349</v>
      </c>
      <c r="L12" s="14">
        <f t="shared" si="1"/>
        <v>68349</v>
      </c>
      <c r="M12" s="14">
        <f t="shared" si="1"/>
        <v>68349</v>
      </c>
      <c r="N12" s="14">
        <f t="shared" si="1"/>
        <v>68349</v>
      </c>
      <c r="O12" s="14">
        <f t="shared" si="1"/>
        <v>263732</v>
      </c>
      <c r="P12" s="80">
        <f t="shared" si="0"/>
        <v>742175</v>
      </c>
    </row>
    <row r="13" spans="1:16" ht="19.5" customHeight="1" x14ac:dyDescent="0.25">
      <c r="A13" s="130">
        <f>A10+1</f>
        <v>2</v>
      </c>
      <c r="B13" s="155" t="s">
        <v>11</v>
      </c>
      <c r="C13" s="156" t="s">
        <v>67</v>
      </c>
      <c r="D13" s="159">
        <v>39191</v>
      </c>
      <c r="E13" s="152" t="s">
        <v>103</v>
      </c>
      <c r="F13" s="22" t="s">
        <v>101</v>
      </c>
      <c r="G13" s="11" t="s">
        <v>5</v>
      </c>
      <c r="H13" s="12">
        <v>8488</v>
      </c>
      <c r="I13" s="12">
        <v>8488</v>
      </c>
      <c r="J13" s="12">
        <v>2116</v>
      </c>
      <c r="K13" s="12">
        <v>0</v>
      </c>
      <c r="L13" s="12">
        <v>0</v>
      </c>
      <c r="M13" s="12">
        <v>0</v>
      </c>
      <c r="N13" s="12">
        <v>0</v>
      </c>
      <c r="O13" s="17">
        <v>0</v>
      </c>
      <c r="P13" s="12">
        <f>SUM(H13:O13)</f>
        <v>19092</v>
      </c>
    </row>
    <row r="14" spans="1:16" ht="15.75" customHeight="1" x14ac:dyDescent="0.25">
      <c r="A14" s="130"/>
      <c r="B14" s="155"/>
      <c r="C14" s="156"/>
      <c r="D14" s="160"/>
      <c r="E14" s="153"/>
      <c r="F14" s="18" t="s">
        <v>102</v>
      </c>
      <c r="G14" s="15" t="s">
        <v>8</v>
      </c>
      <c r="H14" s="63">
        <f>573-33+45</f>
        <v>585</v>
      </c>
      <c r="I14" s="63">
        <f>269-63+24</f>
        <v>230</v>
      </c>
      <c r="J14" s="63">
        <f>46-10</f>
        <v>36</v>
      </c>
      <c r="K14" s="63">
        <v>0</v>
      </c>
      <c r="L14" s="63">
        <v>0</v>
      </c>
      <c r="M14" s="63">
        <v>0</v>
      </c>
      <c r="N14" s="63">
        <v>0</v>
      </c>
      <c r="O14" s="92">
        <v>0</v>
      </c>
      <c r="P14" s="63">
        <f t="shared" si="0"/>
        <v>851</v>
      </c>
    </row>
    <row r="15" spans="1:16" ht="15.75" customHeight="1" x14ac:dyDescent="0.25">
      <c r="A15" s="130"/>
      <c r="B15" s="155"/>
      <c r="C15" s="156"/>
      <c r="D15" s="161"/>
      <c r="E15" s="154"/>
      <c r="F15" s="13"/>
      <c r="G15" s="13" t="s">
        <v>100</v>
      </c>
      <c r="H15" s="93">
        <f t="shared" ref="H15:O15" si="2">SUM(H13:H14)</f>
        <v>9073</v>
      </c>
      <c r="I15" s="93">
        <f t="shared" si="2"/>
        <v>8718</v>
      </c>
      <c r="J15" s="93">
        <f t="shared" si="2"/>
        <v>2152</v>
      </c>
      <c r="K15" s="93">
        <f t="shared" si="2"/>
        <v>0</v>
      </c>
      <c r="L15" s="93">
        <f>SUM(L13:L14)</f>
        <v>0</v>
      </c>
      <c r="M15" s="93">
        <f>SUM(M13:M14)</f>
        <v>0</v>
      </c>
      <c r="N15" s="93">
        <f>SUM(N13:N14)</f>
        <v>0</v>
      </c>
      <c r="O15" s="93">
        <f t="shared" si="2"/>
        <v>0</v>
      </c>
      <c r="P15" s="91">
        <f t="shared" si="0"/>
        <v>19943</v>
      </c>
    </row>
    <row r="16" spans="1:16" ht="15" customHeight="1" x14ac:dyDescent="0.25">
      <c r="A16" s="130">
        <f>A13+1</f>
        <v>3</v>
      </c>
      <c r="B16" s="155" t="s">
        <v>11</v>
      </c>
      <c r="C16" s="156" t="s">
        <v>46</v>
      </c>
      <c r="D16" s="159">
        <v>39238</v>
      </c>
      <c r="E16" s="152" t="s">
        <v>104</v>
      </c>
      <c r="F16" s="22" t="s">
        <v>105</v>
      </c>
      <c r="G16" s="11" t="s">
        <v>5</v>
      </c>
      <c r="H16" s="62">
        <v>17044</v>
      </c>
      <c r="I16" s="62">
        <v>17044</v>
      </c>
      <c r="J16" s="62">
        <v>8515</v>
      </c>
      <c r="K16" s="62">
        <v>0</v>
      </c>
      <c r="L16" s="62">
        <v>0</v>
      </c>
      <c r="M16" s="62">
        <v>0</v>
      </c>
      <c r="N16" s="62">
        <v>0</v>
      </c>
      <c r="O16" s="94">
        <v>0</v>
      </c>
      <c r="P16" s="62">
        <f>SUM(H16:O16)</f>
        <v>42603</v>
      </c>
    </row>
    <row r="17" spans="1:16" ht="14.25" customHeight="1" x14ac:dyDescent="0.25">
      <c r="A17" s="130"/>
      <c r="B17" s="155"/>
      <c r="C17" s="156"/>
      <c r="D17" s="160"/>
      <c r="E17" s="153"/>
      <c r="F17" s="18" t="s">
        <v>106</v>
      </c>
      <c r="G17" s="15" t="s">
        <v>8</v>
      </c>
      <c r="H17" s="63">
        <f>1216+101</f>
        <v>1317</v>
      </c>
      <c r="I17" s="63">
        <f>623+58</f>
        <v>681</v>
      </c>
      <c r="J17" s="63">
        <f>143+13</f>
        <v>156</v>
      </c>
      <c r="K17" s="63">
        <v>0</v>
      </c>
      <c r="L17" s="63">
        <v>0</v>
      </c>
      <c r="M17" s="63">
        <v>0</v>
      </c>
      <c r="N17" s="63">
        <v>0</v>
      </c>
      <c r="O17" s="92">
        <v>0</v>
      </c>
      <c r="P17" s="63">
        <f t="shared" si="0"/>
        <v>2154</v>
      </c>
    </row>
    <row r="18" spans="1:16" ht="14.25" customHeight="1" x14ac:dyDescent="0.25">
      <c r="A18" s="130"/>
      <c r="B18" s="155"/>
      <c r="C18" s="156"/>
      <c r="D18" s="161"/>
      <c r="E18" s="154"/>
      <c r="F18" s="13"/>
      <c r="G18" s="13" t="s">
        <v>100</v>
      </c>
      <c r="H18" s="93">
        <f t="shared" ref="H18:O18" si="3">SUM(H16:H17)</f>
        <v>18361</v>
      </c>
      <c r="I18" s="93">
        <f t="shared" si="3"/>
        <v>17725</v>
      </c>
      <c r="J18" s="93">
        <f t="shared" si="3"/>
        <v>8671</v>
      </c>
      <c r="K18" s="93">
        <f t="shared" si="3"/>
        <v>0</v>
      </c>
      <c r="L18" s="93">
        <f>SUM(L16:L17)</f>
        <v>0</v>
      </c>
      <c r="M18" s="93">
        <f>SUM(M16:M17)</f>
        <v>0</v>
      </c>
      <c r="N18" s="93">
        <f>SUM(N16:N17)</f>
        <v>0</v>
      </c>
      <c r="O18" s="93">
        <f t="shared" si="3"/>
        <v>0</v>
      </c>
      <c r="P18" s="91">
        <f t="shared" si="0"/>
        <v>44757</v>
      </c>
    </row>
    <row r="19" spans="1:16" ht="17.25" customHeight="1" x14ac:dyDescent="0.25">
      <c r="A19" s="130">
        <f>A16+1</f>
        <v>4</v>
      </c>
      <c r="B19" s="155" t="s">
        <v>11</v>
      </c>
      <c r="C19" s="156" t="s">
        <v>47</v>
      </c>
      <c r="D19" s="157">
        <v>39238</v>
      </c>
      <c r="E19" s="162" t="s">
        <v>104</v>
      </c>
      <c r="F19" s="22" t="s">
        <v>107</v>
      </c>
      <c r="G19" s="11" t="s">
        <v>5</v>
      </c>
      <c r="H19" s="62">
        <v>3412</v>
      </c>
      <c r="I19" s="62">
        <v>3412</v>
      </c>
      <c r="J19" s="94">
        <v>1696</v>
      </c>
      <c r="K19" s="94">
        <v>0</v>
      </c>
      <c r="L19" s="94">
        <v>0</v>
      </c>
      <c r="M19" s="94">
        <v>0</v>
      </c>
      <c r="N19" s="94">
        <v>0</v>
      </c>
      <c r="O19" s="94">
        <v>0</v>
      </c>
      <c r="P19" s="62">
        <f>SUM(H19:O19)</f>
        <v>8520</v>
      </c>
    </row>
    <row r="20" spans="1:16" ht="15.75" customHeight="1" x14ac:dyDescent="0.25">
      <c r="A20" s="130"/>
      <c r="B20" s="155"/>
      <c r="C20" s="156"/>
      <c r="D20" s="157"/>
      <c r="E20" s="162"/>
      <c r="F20" s="18" t="s">
        <v>108</v>
      </c>
      <c r="G20" s="15" t="s">
        <v>8</v>
      </c>
      <c r="H20" s="63">
        <v>263</v>
      </c>
      <c r="I20" s="63">
        <v>136</v>
      </c>
      <c r="J20" s="92">
        <v>31</v>
      </c>
      <c r="K20" s="92">
        <v>0</v>
      </c>
      <c r="L20" s="92">
        <v>0</v>
      </c>
      <c r="M20" s="92">
        <v>0</v>
      </c>
      <c r="N20" s="92">
        <v>0</v>
      </c>
      <c r="O20" s="92">
        <v>0</v>
      </c>
      <c r="P20" s="63">
        <f t="shared" si="0"/>
        <v>430</v>
      </c>
    </row>
    <row r="21" spans="1:16" ht="15.75" customHeight="1" x14ac:dyDescent="0.25">
      <c r="A21" s="130"/>
      <c r="B21" s="155"/>
      <c r="C21" s="156"/>
      <c r="D21" s="157"/>
      <c r="E21" s="162"/>
      <c r="F21" s="13"/>
      <c r="G21" s="13" t="s">
        <v>100</v>
      </c>
      <c r="H21" s="93">
        <f t="shared" ref="H21:O21" si="4">SUM(H19:H20)</f>
        <v>3675</v>
      </c>
      <c r="I21" s="93">
        <f t="shared" si="4"/>
        <v>3548</v>
      </c>
      <c r="J21" s="93">
        <f t="shared" si="4"/>
        <v>1727</v>
      </c>
      <c r="K21" s="93">
        <f t="shared" si="4"/>
        <v>0</v>
      </c>
      <c r="L21" s="93">
        <f>SUM(L19:L20)</f>
        <v>0</v>
      </c>
      <c r="M21" s="93">
        <f>SUM(M19:M20)</f>
        <v>0</v>
      </c>
      <c r="N21" s="93">
        <f>SUM(N19:N20)</f>
        <v>0</v>
      </c>
      <c r="O21" s="93">
        <f t="shared" si="4"/>
        <v>0</v>
      </c>
      <c r="P21" s="91">
        <f t="shared" si="0"/>
        <v>8950</v>
      </c>
    </row>
    <row r="22" spans="1:16" ht="16.5" customHeight="1" x14ac:dyDescent="0.25">
      <c r="A22" s="130">
        <f>A19+1</f>
        <v>5</v>
      </c>
      <c r="B22" s="155" t="s">
        <v>11</v>
      </c>
      <c r="C22" s="156" t="s">
        <v>12</v>
      </c>
      <c r="D22" s="157">
        <v>39328</v>
      </c>
      <c r="E22" s="162" t="s">
        <v>111</v>
      </c>
      <c r="F22" s="22" t="s">
        <v>109</v>
      </c>
      <c r="G22" s="11" t="s">
        <v>5</v>
      </c>
      <c r="H22" s="62">
        <v>23523</v>
      </c>
      <c r="I22" s="62">
        <v>23523</v>
      </c>
      <c r="J22" s="62">
        <v>11684</v>
      </c>
      <c r="K22" s="62">
        <v>0</v>
      </c>
      <c r="L22" s="62">
        <v>0</v>
      </c>
      <c r="M22" s="62">
        <v>0</v>
      </c>
      <c r="N22" s="62">
        <v>0</v>
      </c>
      <c r="O22" s="94">
        <v>0</v>
      </c>
      <c r="P22" s="62">
        <f>SUM(H22:O22)</f>
        <v>58730</v>
      </c>
    </row>
    <row r="23" spans="1:16" ht="16.5" customHeight="1" x14ac:dyDescent="0.25">
      <c r="A23" s="130"/>
      <c r="B23" s="155"/>
      <c r="C23" s="156"/>
      <c r="D23" s="157"/>
      <c r="E23" s="162"/>
      <c r="F23" s="18" t="s">
        <v>110</v>
      </c>
      <c r="G23" s="15" t="s">
        <v>8</v>
      </c>
      <c r="H23" s="63">
        <f>1332+15+140</f>
        <v>1487</v>
      </c>
      <c r="I23" s="63">
        <f>1095+16+80</f>
        <v>1191</v>
      </c>
      <c r="J23" s="63">
        <f>307+4</f>
        <v>311</v>
      </c>
      <c r="K23" s="63">
        <v>0</v>
      </c>
      <c r="L23" s="63">
        <v>0</v>
      </c>
      <c r="M23" s="63">
        <v>0</v>
      </c>
      <c r="N23" s="63">
        <v>0</v>
      </c>
      <c r="O23" s="92">
        <v>0</v>
      </c>
      <c r="P23" s="63">
        <f t="shared" si="0"/>
        <v>2989</v>
      </c>
    </row>
    <row r="24" spans="1:16" ht="15.75" customHeight="1" x14ac:dyDescent="0.25">
      <c r="A24" s="130"/>
      <c r="B24" s="155"/>
      <c r="C24" s="156"/>
      <c r="D24" s="157"/>
      <c r="E24" s="162"/>
      <c r="F24" s="13"/>
      <c r="G24" s="13" t="s">
        <v>100</v>
      </c>
      <c r="H24" s="93">
        <f t="shared" ref="H24:O24" si="5">SUM(H22:H23)</f>
        <v>25010</v>
      </c>
      <c r="I24" s="93">
        <f t="shared" si="5"/>
        <v>24714</v>
      </c>
      <c r="J24" s="93">
        <f t="shared" si="5"/>
        <v>11995</v>
      </c>
      <c r="K24" s="93">
        <f t="shared" si="5"/>
        <v>0</v>
      </c>
      <c r="L24" s="93">
        <f>SUM(L22:L23)</f>
        <v>0</v>
      </c>
      <c r="M24" s="93">
        <f>SUM(M22:M23)</f>
        <v>0</v>
      </c>
      <c r="N24" s="93">
        <f>SUM(N22:N23)</f>
        <v>0</v>
      </c>
      <c r="O24" s="93">
        <f t="shared" si="5"/>
        <v>0</v>
      </c>
      <c r="P24" s="91">
        <f t="shared" si="0"/>
        <v>61719</v>
      </c>
    </row>
    <row r="25" spans="1:16" ht="17.25" customHeight="1" x14ac:dyDescent="0.25">
      <c r="A25" s="130">
        <f>A22+1</f>
        <v>6</v>
      </c>
      <c r="B25" s="155" t="s">
        <v>11</v>
      </c>
      <c r="C25" s="163" t="s">
        <v>92</v>
      </c>
      <c r="D25" s="157">
        <v>39328</v>
      </c>
      <c r="E25" s="162" t="s">
        <v>114</v>
      </c>
      <c r="F25" s="22" t="s">
        <v>112</v>
      </c>
      <c r="G25" s="11" t="s">
        <v>5</v>
      </c>
      <c r="H25" s="62">
        <v>34128</v>
      </c>
      <c r="I25" s="62">
        <v>34128</v>
      </c>
      <c r="J25" s="62">
        <v>17060</v>
      </c>
      <c r="K25" s="62">
        <v>0</v>
      </c>
      <c r="L25" s="62">
        <v>0</v>
      </c>
      <c r="M25" s="62">
        <v>0</v>
      </c>
      <c r="N25" s="62">
        <v>0</v>
      </c>
      <c r="O25" s="94">
        <v>0</v>
      </c>
      <c r="P25" s="62">
        <f>SUM(H25:O25)</f>
        <v>85316</v>
      </c>
    </row>
    <row r="26" spans="1:16" ht="15.75" customHeight="1" x14ac:dyDescent="0.25">
      <c r="A26" s="130"/>
      <c r="B26" s="155"/>
      <c r="C26" s="163"/>
      <c r="D26" s="157"/>
      <c r="E26" s="162"/>
      <c r="F26" s="18" t="s">
        <v>113</v>
      </c>
      <c r="G26" s="15" t="s">
        <v>8</v>
      </c>
      <c r="H26" s="63">
        <v>3277</v>
      </c>
      <c r="I26" s="63">
        <v>1886</v>
      </c>
      <c r="J26" s="63">
        <v>465</v>
      </c>
      <c r="K26" s="63">
        <v>0</v>
      </c>
      <c r="L26" s="63">
        <v>0</v>
      </c>
      <c r="M26" s="63">
        <v>0</v>
      </c>
      <c r="N26" s="63">
        <v>0</v>
      </c>
      <c r="O26" s="92">
        <v>0</v>
      </c>
      <c r="P26" s="63">
        <f t="shared" si="0"/>
        <v>5628</v>
      </c>
    </row>
    <row r="27" spans="1:16" ht="15" customHeight="1" x14ac:dyDescent="0.25">
      <c r="A27" s="130"/>
      <c r="B27" s="155"/>
      <c r="C27" s="163"/>
      <c r="D27" s="157"/>
      <c r="E27" s="162"/>
      <c r="F27" s="13"/>
      <c r="G27" s="13" t="s">
        <v>100</v>
      </c>
      <c r="H27" s="93">
        <f t="shared" ref="H27:O27" si="6">SUM(H25:H26)</f>
        <v>37405</v>
      </c>
      <c r="I27" s="93">
        <f t="shared" si="6"/>
        <v>36014</v>
      </c>
      <c r="J27" s="93">
        <f t="shared" si="6"/>
        <v>17525</v>
      </c>
      <c r="K27" s="93">
        <f t="shared" si="6"/>
        <v>0</v>
      </c>
      <c r="L27" s="93">
        <f>SUM(L25:L26)</f>
        <v>0</v>
      </c>
      <c r="M27" s="93">
        <f>SUM(M25:M26)</f>
        <v>0</v>
      </c>
      <c r="N27" s="93">
        <f>SUM(N25:N26)</f>
        <v>0</v>
      </c>
      <c r="O27" s="93">
        <f t="shared" si="6"/>
        <v>0</v>
      </c>
      <c r="P27" s="91">
        <f t="shared" si="0"/>
        <v>90944</v>
      </c>
    </row>
    <row r="28" spans="1:16" ht="17.25" customHeight="1" x14ac:dyDescent="0.25">
      <c r="A28" s="130">
        <f>A25+1</f>
        <v>7</v>
      </c>
      <c r="B28" s="155" t="s">
        <v>11</v>
      </c>
      <c r="C28" s="156" t="s">
        <v>67</v>
      </c>
      <c r="D28" s="157">
        <v>39356</v>
      </c>
      <c r="E28" s="162" t="s">
        <v>117</v>
      </c>
      <c r="F28" s="22" t="s">
        <v>115</v>
      </c>
      <c r="G28" s="11" t="s">
        <v>5</v>
      </c>
      <c r="H28" s="62">
        <v>16376</v>
      </c>
      <c r="I28" s="62">
        <v>16376</v>
      </c>
      <c r="J28" s="62">
        <v>12275</v>
      </c>
      <c r="K28" s="62">
        <v>0</v>
      </c>
      <c r="L28" s="62">
        <v>0</v>
      </c>
      <c r="M28" s="62">
        <v>0</v>
      </c>
      <c r="N28" s="62">
        <v>0</v>
      </c>
      <c r="O28" s="94">
        <v>0</v>
      </c>
      <c r="P28" s="62">
        <f>SUM(H28:O28)</f>
        <v>45027</v>
      </c>
    </row>
    <row r="29" spans="1:16" ht="15.75" customHeight="1" x14ac:dyDescent="0.25">
      <c r="A29" s="130"/>
      <c r="B29" s="155"/>
      <c r="C29" s="156"/>
      <c r="D29" s="157"/>
      <c r="E29" s="162"/>
      <c r="F29" s="18" t="s">
        <v>116</v>
      </c>
      <c r="G29" s="15" t="s">
        <v>8</v>
      </c>
      <c r="H29" s="63">
        <f>1285-37+108</f>
        <v>1356</v>
      </c>
      <c r="I29" s="63">
        <f>707-137+66</f>
        <v>636</v>
      </c>
      <c r="J29" s="63">
        <f>264-51+24</f>
        <v>237</v>
      </c>
      <c r="K29" s="63">
        <v>0</v>
      </c>
      <c r="L29" s="63">
        <v>0</v>
      </c>
      <c r="M29" s="63">
        <v>0</v>
      </c>
      <c r="N29" s="63">
        <v>0</v>
      </c>
      <c r="O29" s="92">
        <v>0</v>
      </c>
      <c r="P29" s="63">
        <f t="shared" si="0"/>
        <v>2229</v>
      </c>
    </row>
    <row r="30" spans="1:16" ht="15" customHeight="1" x14ac:dyDescent="0.25">
      <c r="A30" s="130"/>
      <c r="B30" s="155"/>
      <c r="C30" s="156"/>
      <c r="D30" s="157"/>
      <c r="E30" s="162"/>
      <c r="F30" s="13"/>
      <c r="G30" s="13" t="s">
        <v>100</v>
      </c>
      <c r="H30" s="93">
        <f t="shared" ref="H30:O30" si="7">SUM(H28:H29)</f>
        <v>17732</v>
      </c>
      <c r="I30" s="93">
        <f t="shared" si="7"/>
        <v>17012</v>
      </c>
      <c r="J30" s="93">
        <f t="shared" si="7"/>
        <v>12512</v>
      </c>
      <c r="K30" s="93">
        <f t="shared" si="7"/>
        <v>0</v>
      </c>
      <c r="L30" s="93">
        <f>SUM(L28:L29)</f>
        <v>0</v>
      </c>
      <c r="M30" s="93">
        <f>SUM(M28:M29)</f>
        <v>0</v>
      </c>
      <c r="N30" s="93">
        <f>SUM(N28:N29)</f>
        <v>0</v>
      </c>
      <c r="O30" s="93">
        <f t="shared" si="7"/>
        <v>0</v>
      </c>
      <c r="P30" s="91">
        <f t="shared" si="0"/>
        <v>47256</v>
      </c>
    </row>
    <row r="31" spans="1:16" ht="17.25" customHeight="1" x14ac:dyDescent="0.25">
      <c r="A31" s="130">
        <f>A28+1</f>
        <v>8</v>
      </c>
      <c r="B31" s="155" t="s">
        <v>11</v>
      </c>
      <c r="C31" s="163" t="s">
        <v>91</v>
      </c>
      <c r="D31" s="157">
        <v>39434</v>
      </c>
      <c r="E31" s="162" t="s">
        <v>118</v>
      </c>
      <c r="F31" s="36" t="s">
        <v>119</v>
      </c>
      <c r="G31" s="11" t="s">
        <v>5</v>
      </c>
      <c r="H31" s="62">
        <v>56148</v>
      </c>
      <c r="I31" s="62">
        <v>56148</v>
      </c>
      <c r="J31" s="62">
        <f>56139+1</f>
        <v>56140</v>
      </c>
      <c r="K31" s="62">
        <v>0</v>
      </c>
      <c r="L31" s="62">
        <v>0</v>
      </c>
      <c r="M31" s="62">
        <v>0</v>
      </c>
      <c r="N31" s="62">
        <v>0</v>
      </c>
      <c r="O31" s="94">
        <v>0</v>
      </c>
      <c r="P31" s="62">
        <f>SUM(H31:O31)</f>
        <v>168436</v>
      </c>
    </row>
    <row r="32" spans="1:16" ht="16.5" customHeight="1" x14ac:dyDescent="0.25">
      <c r="A32" s="130"/>
      <c r="B32" s="155"/>
      <c r="C32" s="163"/>
      <c r="D32" s="157"/>
      <c r="E32" s="162"/>
      <c r="F32" s="18" t="s">
        <v>120</v>
      </c>
      <c r="G32" s="15" t="s">
        <v>8</v>
      </c>
      <c r="H32" s="63">
        <f>5114-309+403</f>
        <v>5208</v>
      </c>
      <c r="I32" s="63">
        <f>3004-697+263</f>
        <v>2570</v>
      </c>
      <c r="J32" s="63">
        <f>1376-319+120</f>
        <v>1177</v>
      </c>
      <c r="K32" s="63">
        <v>97</v>
      </c>
      <c r="L32" s="63">
        <v>0</v>
      </c>
      <c r="M32" s="63">
        <v>0</v>
      </c>
      <c r="N32" s="63">
        <v>0</v>
      </c>
      <c r="O32" s="92">
        <v>0</v>
      </c>
      <c r="P32" s="63">
        <f t="shared" si="0"/>
        <v>9052</v>
      </c>
    </row>
    <row r="33" spans="1:16" ht="15" customHeight="1" x14ac:dyDescent="0.25">
      <c r="A33" s="130"/>
      <c r="B33" s="164"/>
      <c r="C33" s="165"/>
      <c r="D33" s="159"/>
      <c r="E33" s="152"/>
      <c r="F33" s="23"/>
      <c r="G33" s="23" t="s">
        <v>100</v>
      </c>
      <c r="H33" s="93">
        <f t="shared" ref="H33:O33" si="8">SUM(H31:H32)</f>
        <v>61356</v>
      </c>
      <c r="I33" s="93">
        <f t="shared" si="8"/>
        <v>58718</v>
      </c>
      <c r="J33" s="93">
        <f t="shared" si="8"/>
        <v>57317</v>
      </c>
      <c r="K33" s="93">
        <f t="shared" si="8"/>
        <v>97</v>
      </c>
      <c r="L33" s="93">
        <f>SUM(L31:L32)</f>
        <v>0</v>
      </c>
      <c r="M33" s="93">
        <f t="shared" ref="M33:N33" si="9">SUM(M31:M32)</f>
        <v>0</v>
      </c>
      <c r="N33" s="93">
        <f t="shared" si="9"/>
        <v>0</v>
      </c>
      <c r="O33" s="93">
        <f t="shared" si="8"/>
        <v>0</v>
      </c>
      <c r="P33" s="91">
        <f t="shared" si="0"/>
        <v>177488</v>
      </c>
    </row>
    <row r="34" spans="1:16" ht="17.25" customHeight="1" x14ac:dyDescent="0.25">
      <c r="A34" s="130">
        <f>A31+1</f>
        <v>9</v>
      </c>
      <c r="B34" s="155" t="s">
        <v>11</v>
      </c>
      <c r="C34" s="163" t="s">
        <v>93</v>
      </c>
      <c r="D34" s="157">
        <v>39556</v>
      </c>
      <c r="E34" s="162" t="s">
        <v>123</v>
      </c>
      <c r="F34" s="36" t="s">
        <v>121</v>
      </c>
      <c r="G34" s="11" t="s">
        <v>5</v>
      </c>
      <c r="H34" s="62">
        <v>105836</v>
      </c>
      <c r="I34" s="62">
        <v>105836</v>
      </c>
      <c r="J34" s="62">
        <v>105836</v>
      </c>
      <c r="K34" s="62">
        <f>26459+26449</f>
        <v>52908</v>
      </c>
      <c r="L34" s="62">
        <v>0</v>
      </c>
      <c r="M34" s="62">
        <v>0</v>
      </c>
      <c r="N34" s="62">
        <v>0</v>
      </c>
      <c r="O34" s="62">
        <v>0</v>
      </c>
      <c r="P34" s="62">
        <f>SUM(H34:O34)</f>
        <v>370416</v>
      </c>
    </row>
    <row r="35" spans="1:16" ht="17.25" customHeight="1" x14ac:dyDescent="0.25">
      <c r="A35" s="130"/>
      <c r="B35" s="155"/>
      <c r="C35" s="163"/>
      <c r="D35" s="157"/>
      <c r="E35" s="162"/>
      <c r="F35" s="18" t="s">
        <v>122</v>
      </c>
      <c r="G35" s="15" t="s">
        <v>8</v>
      </c>
      <c r="H35" s="63">
        <f>13623+896</f>
        <v>14519</v>
      </c>
      <c r="I35" s="63">
        <f>9566+629</f>
        <v>10195</v>
      </c>
      <c r="J35" s="63">
        <f>5486+361</f>
        <v>5847</v>
      </c>
      <c r="K35" s="63">
        <f>1265+83</f>
        <v>1348</v>
      </c>
      <c r="L35" s="63">
        <v>0</v>
      </c>
      <c r="M35" s="63">
        <v>0</v>
      </c>
      <c r="N35" s="63">
        <v>0</v>
      </c>
      <c r="O35" s="63"/>
      <c r="P35" s="63">
        <f t="shared" si="0"/>
        <v>31909</v>
      </c>
    </row>
    <row r="36" spans="1:16" ht="17.25" customHeight="1" x14ac:dyDescent="0.25">
      <c r="A36" s="130"/>
      <c r="B36" s="155"/>
      <c r="C36" s="163"/>
      <c r="D36" s="157"/>
      <c r="E36" s="162"/>
      <c r="F36" s="13"/>
      <c r="G36" s="13" t="s">
        <v>100</v>
      </c>
      <c r="H36" s="93">
        <f t="shared" ref="H36:O36" si="10">SUM(H34:H35)</f>
        <v>120355</v>
      </c>
      <c r="I36" s="93">
        <f t="shared" si="10"/>
        <v>116031</v>
      </c>
      <c r="J36" s="93">
        <f t="shared" si="10"/>
        <v>111683</v>
      </c>
      <c r="K36" s="93">
        <f t="shared" si="10"/>
        <v>54256</v>
      </c>
      <c r="L36" s="93">
        <f>SUM(L34:L35)</f>
        <v>0</v>
      </c>
      <c r="M36" s="93">
        <f t="shared" ref="M36:N36" si="11">SUM(M34:M35)</f>
        <v>0</v>
      </c>
      <c r="N36" s="93">
        <f t="shared" si="11"/>
        <v>0</v>
      </c>
      <c r="O36" s="93">
        <f t="shared" si="10"/>
        <v>0</v>
      </c>
      <c r="P36" s="91">
        <f t="shared" si="0"/>
        <v>402325</v>
      </c>
    </row>
    <row r="37" spans="1:16" ht="17.25" customHeight="1" x14ac:dyDescent="0.25">
      <c r="A37" s="130">
        <f>A34+1</f>
        <v>10</v>
      </c>
      <c r="B37" s="155" t="s">
        <v>11</v>
      </c>
      <c r="C37" s="156" t="s">
        <v>701</v>
      </c>
      <c r="D37" s="157">
        <v>39575</v>
      </c>
      <c r="E37" s="162" t="s">
        <v>126</v>
      </c>
      <c r="F37" s="22" t="s">
        <v>124</v>
      </c>
      <c r="G37" s="11" t="s">
        <v>5</v>
      </c>
      <c r="H37" s="62">
        <v>40654</v>
      </c>
      <c r="I37" s="62">
        <v>40654</v>
      </c>
      <c r="J37" s="62">
        <v>40654</v>
      </c>
      <c r="K37" s="62">
        <v>40654</v>
      </c>
      <c r="L37" s="62">
        <v>40654</v>
      </c>
      <c r="M37" s="62">
        <v>40654</v>
      </c>
      <c r="N37" s="62">
        <v>40654</v>
      </c>
      <c r="O37" s="62">
        <f>142272-40654-40654</f>
        <v>60964</v>
      </c>
      <c r="P37" s="62">
        <f>SUM(H37:O37)</f>
        <v>345542</v>
      </c>
    </row>
    <row r="38" spans="1:16" ht="17.25" customHeight="1" x14ac:dyDescent="0.25">
      <c r="A38" s="130"/>
      <c r="B38" s="155"/>
      <c r="C38" s="156"/>
      <c r="D38" s="157"/>
      <c r="E38" s="162"/>
      <c r="F38" s="18" t="s">
        <v>125</v>
      </c>
      <c r="G38" s="15" t="s">
        <v>8</v>
      </c>
      <c r="H38" s="63">
        <f>8489+99+860</f>
        <v>9448</v>
      </c>
      <c r="I38" s="63">
        <f>10350+148+757</f>
        <v>11255</v>
      </c>
      <c r="J38" s="63">
        <f>8940+128+654</f>
        <v>9722</v>
      </c>
      <c r="K38" s="63">
        <f>7548+552</f>
        <v>8100</v>
      </c>
      <c r="L38" s="63">
        <f>6118+447</f>
        <v>6565</v>
      </c>
      <c r="M38" s="63">
        <f>4710+344</f>
        <v>5054</v>
      </c>
      <c r="N38" s="63">
        <f>3302+242</f>
        <v>3544</v>
      </c>
      <c r="O38" s="63">
        <f>2316+171</f>
        <v>2487</v>
      </c>
      <c r="P38" s="63">
        <f t="shared" si="0"/>
        <v>56175</v>
      </c>
    </row>
    <row r="39" spans="1:16" ht="17.25" customHeight="1" x14ac:dyDescent="0.25">
      <c r="A39" s="130"/>
      <c r="B39" s="164"/>
      <c r="C39" s="166"/>
      <c r="D39" s="159"/>
      <c r="E39" s="152"/>
      <c r="F39" s="23"/>
      <c r="G39" s="23" t="s">
        <v>100</v>
      </c>
      <c r="H39" s="93">
        <f t="shared" ref="H39:O39" si="12">SUM(H37:H38)</f>
        <v>50102</v>
      </c>
      <c r="I39" s="93">
        <f t="shared" si="12"/>
        <v>51909</v>
      </c>
      <c r="J39" s="93">
        <f t="shared" si="12"/>
        <v>50376</v>
      </c>
      <c r="K39" s="93">
        <f t="shared" si="12"/>
        <v>48754</v>
      </c>
      <c r="L39" s="93">
        <f t="shared" si="12"/>
        <v>47219</v>
      </c>
      <c r="M39" s="93">
        <f t="shared" si="12"/>
        <v>45708</v>
      </c>
      <c r="N39" s="93">
        <f t="shared" si="12"/>
        <v>44198</v>
      </c>
      <c r="O39" s="93">
        <f t="shared" si="12"/>
        <v>63451</v>
      </c>
      <c r="P39" s="91">
        <f t="shared" si="0"/>
        <v>401717</v>
      </c>
    </row>
    <row r="40" spans="1:16" ht="17.25" customHeight="1" x14ac:dyDescent="0.25">
      <c r="A40" s="130">
        <f>A37+1</f>
        <v>11</v>
      </c>
      <c r="B40" s="155" t="s">
        <v>11</v>
      </c>
      <c r="C40" s="156" t="s">
        <v>48</v>
      </c>
      <c r="D40" s="157">
        <v>39596</v>
      </c>
      <c r="E40" s="162" t="s">
        <v>126</v>
      </c>
      <c r="F40" s="22" t="s">
        <v>127</v>
      </c>
      <c r="G40" s="11" t="s">
        <v>5</v>
      </c>
      <c r="H40" s="62">
        <v>17012</v>
      </c>
      <c r="I40" s="62">
        <v>17012</v>
      </c>
      <c r="J40" s="62">
        <v>17012</v>
      </c>
      <c r="K40" s="62">
        <v>17012</v>
      </c>
      <c r="L40" s="62">
        <v>17012</v>
      </c>
      <c r="M40" s="62">
        <v>17012</v>
      </c>
      <c r="N40" s="62">
        <v>17012</v>
      </c>
      <c r="O40" s="62">
        <f>42520-1-17012</f>
        <v>25507</v>
      </c>
      <c r="P40" s="62">
        <f>SUM(H40:O40)</f>
        <v>144591</v>
      </c>
    </row>
    <row r="41" spans="1:16" ht="17.25" customHeight="1" x14ac:dyDescent="0.25">
      <c r="A41" s="130"/>
      <c r="B41" s="155"/>
      <c r="C41" s="156"/>
      <c r="D41" s="157"/>
      <c r="E41" s="162"/>
      <c r="F41" s="18" t="s">
        <v>128</v>
      </c>
      <c r="G41" s="15" t="s">
        <v>8</v>
      </c>
      <c r="H41" s="63">
        <f>4305+360</f>
        <v>4665</v>
      </c>
      <c r="I41" s="63">
        <f>3388+317</f>
        <v>3705</v>
      </c>
      <c r="J41" s="63">
        <f>2920+274</f>
        <v>3194</v>
      </c>
      <c r="K41" s="63">
        <f>2466+231</f>
        <v>2697</v>
      </c>
      <c r="L41" s="63">
        <f>1998+188</f>
        <v>2186</v>
      </c>
      <c r="M41" s="63">
        <f>1538+144</f>
        <v>1682</v>
      </c>
      <c r="N41" s="63">
        <f>1079+101</f>
        <v>1180</v>
      </c>
      <c r="O41" s="63">
        <f>773</f>
        <v>773</v>
      </c>
      <c r="P41" s="63">
        <f t="shared" si="0"/>
        <v>20082</v>
      </c>
    </row>
    <row r="42" spans="1:16" ht="17.25" customHeight="1" x14ac:dyDescent="0.25">
      <c r="A42" s="130"/>
      <c r="B42" s="155"/>
      <c r="C42" s="156"/>
      <c r="D42" s="157"/>
      <c r="E42" s="162"/>
      <c r="F42" s="13"/>
      <c r="G42" s="13" t="s">
        <v>100</v>
      </c>
      <c r="H42" s="93">
        <f t="shared" ref="H42:O42" si="13">SUM(H40:H41)</f>
        <v>21677</v>
      </c>
      <c r="I42" s="93">
        <f t="shared" si="13"/>
        <v>20717</v>
      </c>
      <c r="J42" s="93">
        <f t="shared" si="13"/>
        <v>20206</v>
      </c>
      <c r="K42" s="93">
        <f t="shared" si="13"/>
        <v>19709</v>
      </c>
      <c r="L42" s="93">
        <f t="shared" si="13"/>
        <v>19198</v>
      </c>
      <c r="M42" s="93">
        <f t="shared" si="13"/>
        <v>18694</v>
      </c>
      <c r="N42" s="93">
        <f t="shared" si="13"/>
        <v>18192</v>
      </c>
      <c r="O42" s="93">
        <f t="shared" si="13"/>
        <v>26280</v>
      </c>
      <c r="P42" s="91">
        <f t="shared" si="0"/>
        <v>164673</v>
      </c>
    </row>
    <row r="43" spans="1:16" ht="16.5" customHeight="1" x14ac:dyDescent="0.25">
      <c r="A43" s="130">
        <f>A40+1</f>
        <v>12</v>
      </c>
      <c r="B43" s="155" t="s">
        <v>11</v>
      </c>
      <c r="C43" s="163" t="s">
        <v>91</v>
      </c>
      <c r="D43" s="157">
        <v>39597</v>
      </c>
      <c r="E43" s="162" t="s">
        <v>131</v>
      </c>
      <c r="F43" s="22" t="s">
        <v>129</v>
      </c>
      <c r="G43" s="11" t="s">
        <v>5</v>
      </c>
      <c r="H43" s="62">
        <f>28457+423</f>
        <v>28880</v>
      </c>
      <c r="I43" s="62">
        <f>28457+423</f>
        <v>28880</v>
      </c>
      <c r="J43" s="62">
        <f>34149+419</f>
        <v>34568</v>
      </c>
      <c r="K43" s="62">
        <f>43540+424</f>
        <v>43964</v>
      </c>
      <c r="L43" s="62">
        <v>0</v>
      </c>
      <c r="M43" s="62">
        <v>0</v>
      </c>
      <c r="N43" s="62">
        <v>0</v>
      </c>
      <c r="O43" s="62">
        <v>0</v>
      </c>
      <c r="P43" s="62">
        <f>SUM(H43:O43)</f>
        <v>136292</v>
      </c>
    </row>
    <row r="44" spans="1:16" ht="16.5" customHeight="1" x14ac:dyDescent="0.25">
      <c r="A44" s="130"/>
      <c r="B44" s="155"/>
      <c r="C44" s="163"/>
      <c r="D44" s="157"/>
      <c r="E44" s="162"/>
      <c r="F44" s="18" t="s">
        <v>130</v>
      </c>
      <c r="G44" s="15" t="s">
        <v>8</v>
      </c>
      <c r="H44" s="63">
        <f>4222-264+333</f>
        <v>4291</v>
      </c>
      <c r="I44" s="63">
        <f>2984-692+261</f>
        <v>2553</v>
      </c>
      <c r="J44" s="63">
        <f>2112-490+185</f>
        <v>1807</v>
      </c>
      <c r="K44" s="63">
        <f>1063+93</f>
        <v>1156</v>
      </c>
      <c r="L44" s="63">
        <f>44+4</f>
        <v>48</v>
      </c>
      <c r="M44" s="63">
        <v>0</v>
      </c>
      <c r="N44" s="63">
        <v>0</v>
      </c>
      <c r="O44" s="63">
        <v>0</v>
      </c>
      <c r="P44" s="63">
        <f t="shared" si="0"/>
        <v>9855</v>
      </c>
    </row>
    <row r="45" spans="1:16" ht="16.5" customHeight="1" x14ac:dyDescent="0.25">
      <c r="A45" s="130"/>
      <c r="B45" s="155"/>
      <c r="C45" s="163"/>
      <c r="D45" s="157"/>
      <c r="E45" s="162"/>
      <c r="F45" s="13"/>
      <c r="G45" s="13" t="s">
        <v>100</v>
      </c>
      <c r="H45" s="93">
        <f t="shared" ref="H45:O45" si="14">SUM(H43:H44)</f>
        <v>33171</v>
      </c>
      <c r="I45" s="93">
        <f t="shared" si="14"/>
        <v>31433</v>
      </c>
      <c r="J45" s="93">
        <f t="shared" si="14"/>
        <v>36375</v>
      </c>
      <c r="K45" s="93">
        <f t="shared" si="14"/>
        <v>45120</v>
      </c>
      <c r="L45" s="93">
        <f t="shared" si="14"/>
        <v>48</v>
      </c>
      <c r="M45" s="93">
        <f t="shared" si="14"/>
        <v>0</v>
      </c>
      <c r="N45" s="93">
        <f t="shared" si="14"/>
        <v>0</v>
      </c>
      <c r="O45" s="93">
        <f t="shared" si="14"/>
        <v>0</v>
      </c>
      <c r="P45" s="91">
        <f t="shared" si="0"/>
        <v>146147</v>
      </c>
    </row>
    <row r="46" spans="1:16" ht="19.5" customHeight="1" x14ac:dyDescent="0.25">
      <c r="A46" s="130">
        <f>A43+1</f>
        <v>13</v>
      </c>
      <c r="B46" s="155" t="s">
        <v>11</v>
      </c>
      <c r="C46" s="163" t="s">
        <v>443</v>
      </c>
      <c r="D46" s="157">
        <v>39632</v>
      </c>
      <c r="E46" s="162" t="s">
        <v>132</v>
      </c>
      <c r="F46" s="36" t="s">
        <v>133</v>
      </c>
      <c r="G46" s="11" t="s">
        <v>5</v>
      </c>
      <c r="H46" s="62">
        <v>9052</v>
      </c>
      <c r="I46" s="62">
        <v>9052</v>
      </c>
      <c r="J46" s="62">
        <v>9052</v>
      </c>
      <c r="K46" s="62">
        <v>9052</v>
      </c>
      <c r="L46" s="62">
        <v>9052</v>
      </c>
      <c r="M46" s="62">
        <v>9052</v>
      </c>
      <c r="N46" s="62">
        <v>9052</v>
      </c>
      <c r="O46" s="62">
        <f>22040+585-9052</f>
        <v>13573</v>
      </c>
      <c r="P46" s="62">
        <f>SUM(H46:O46)</f>
        <v>76937</v>
      </c>
    </row>
    <row r="47" spans="1:16" ht="16.95" customHeight="1" x14ac:dyDescent="0.25">
      <c r="A47" s="130"/>
      <c r="B47" s="155"/>
      <c r="C47" s="156"/>
      <c r="D47" s="157"/>
      <c r="E47" s="162"/>
      <c r="F47" s="18" t="s">
        <v>134</v>
      </c>
      <c r="G47" s="15" t="s">
        <v>8</v>
      </c>
      <c r="H47" s="63">
        <f>2905+191</f>
        <v>3096</v>
      </c>
      <c r="I47" s="63">
        <f>2561+169</f>
        <v>2730</v>
      </c>
      <c r="J47" s="63">
        <f>2212+146</f>
        <v>2358</v>
      </c>
      <c r="K47" s="63">
        <f>1775+123</f>
        <v>1898</v>
      </c>
      <c r="L47" s="63">
        <f>1192+100</f>
        <v>1292</v>
      </c>
      <c r="M47" s="63">
        <f>917+77</f>
        <v>994</v>
      </c>
      <c r="N47" s="63">
        <f>643+54</f>
        <v>697</v>
      </c>
      <c r="O47" s="63">
        <f>469+39</f>
        <v>508</v>
      </c>
      <c r="P47" s="63">
        <f t="shared" si="0"/>
        <v>13573</v>
      </c>
    </row>
    <row r="48" spans="1:16" ht="16.2" customHeight="1" x14ac:dyDescent="0.25">
      <c r="A48" s="130"/>
      <c r="B48" s="155"/>
      <c r="C48" s="156"/>
      <c r="D48" s="157"/>
      <c r="E48" s="162"/>
      <c r="F48" s="13"/>
      <c r="G48" s="13" t="s">
        <v>100</v>
      </c>
      <c r="H48" s="93">
        <f t="shared" ref="H48:O48" si="15">SUM(H46:H47)</f>
        <v>12148</v>
      </c>
      <c r="I48" s="93">
        <f t="shared" si="15"/>
        <v>11782</v>
      </c>
      <c r="J48" s="93">
        <f t="shared" si="15"/>
        <v>11410</v>
      </c>
      <c r="K48" s="93">
        <f t="shared" si="15"/>
        <v>10950</v>
      </c>
      <c r="L48" s="93">
        <f t="shared" si="15"/>
        <v>10344</v>
      </c>
      <c r="M48" s="93">
        <f t="shared" si="15"/>
        <v>10046</v>
      </c>
      <c r="N48" s="93">
        <f t="shared" si="15"/>
        <v>9749</v>
      </c>
      <c r="O48" s="93">
        <f t="shared" si="15"/>
        <v>14081</v>
      </c>
      <c r="P48" s="91">
        <f t="shared" si="0"/>
        <v>90510</v>
      </c>
    </row>
    <row r="49" spans="1:16" ht="19.5" customHeight="1" x14ac:dyDescent="0.25">
      <c r="A49" s="130">
        <f>A46+1</f>
        <v>14</v>
      </c>
      <c r="B49" s="155" t="s">
        <v>11</v>
      </c>
      <c r="C49" s="156" t="s">
        <v>52</v>
      </c>
      <c r="D49" s="157">
        <v>39749</v>
      </c>
      <c r="E49" s="162" t="s">
        <v>137</v>
      </c>
      <c r="F49" s="36" t="s">
        <v>135</v>
      </c>
      <c r="G49" s="11" t="s">
        <v>5</v>
      </c>
      <c r="H49" s="62">
        <v>60276</v>
      </c>
      <c r="I49" s="62">
        <v>60276</v>
      </c>
      <c r="J49" s="62">
        <v>60276</v>
      </c>
      <c r="K49" s="62">
        <f>60269+1</f>
        <v>60270</v>
      </c>
      <c r="L49" s="62">
        <v>0</v>
      </c>
      <c r="M49" s="62">
        <v>0</v>
      </c>
      <c r="N49" s="62">
        <v>0</v>
      </c>
      <c r="O49" s="62">
        <v>0</v>
      </c>
      <c r="P49" s="62">
        <f>SUM(H49:O49)</f>
        <v>241098</v>
      </c>
    </row>
    <row r="50" spans="1:16" ht="16.95" customHeight="1" x14ac:dyDescent="0.25">
      <c r="A50" s="130"/>
      <c r="B50" s="155"/>
      <c r="C50" s="156"/>
      <c r="D50" s="157"/>
      <c r="E50" s="162"/>
      <c r="F50" s="18" t="s">
        <v>136</v>
      </c>
      <c r="G50" s="15" t="s">
        <v>8</v>
      </c>
      <c r="H50" s="63">
        <f>7430-458+587</f>
        <v>7559</v>
      </c>
      <c r="I50" s="63">
        <f>4972-1154+435</f>
        <v>4253</v>
      </c>
      <c r="J50" s="63">
        <f>3224-748+282</f>
        <v>2758</v>
      </c>
      <c r="K50" s="63">
        <f>1477+129</f>
        <v>1606</v>
      </c>
      <c r="L50" s="63">
        <f>96+8</f>
        <v>104</v>
      </c>
      <c r="M50" s="63">
        <v>0</v>
      </c>
      <c r="N50" s="63">
        <v>0</v>
      </c>
      <c r="O50" s="63">
        <v>0</v>
      </c>
      <c r="P50" s="63">
        <f t="shared" si="0"/>
        <v>16280</v>
      </c>
    </row>
    <row r="51" spans="1:16" ht="18" customHeight="1" x14ac:dyDescent="0.25">
      <c r="A51" s="130"/>
      <c r="B51" s="155"/>
      <c r="C51" s="156"/>
      <c r="D51" s="157"/>
      <c r="E51" s="162"/>
      <c r="F51" s="13"/>
      <c r="G51" s="13" t="s">
        <v>100</v>
      </c>
      <c r="H51" s="93">
        <f t="shared" ref="H51:O51" si="16">SUM(H49:H50)</f>
        <v>67835</v>
      </c>
      <c r="I51" s="93">
        <f t="shared" si="16"/>
        <v>64529</v>
      </c>
      <c r="J51" s="93">
        <f t="shared" si="16"/>
        <v>63034</v>
      </c>
      <c r="K51" s="93">
        <f t="shared" si="16"/>
        <v>61876</v>
      </c>
      <c r="L51" s="93">
        <f t="shared" si="16"/>
        <v>104</v>
      </c>
      <c r="M51" s="93">
        <f>SUM(M49:M50)</f>
        <v>0</v>
      </c>
      <c r="N51" s="93">
        <f t="shared" ref="N51" si="17">SUM(N49:N50)</f>
        <v>0</v>
      </c>
      <c r="O51" s="93">
        <f t="shared" si="16"/>
        <v>0</v>
      </c>
      <c r="P51" s="91">
        <f t="shared" si="0"/>
        <v>257378</v>
      </c>
    </row>
    <row r="52" spans="1:16" ht="17.399999999999999" customHeight="1" x14ac:dyDescent="0.25">
      <c r="A52" s="133">
        <f>A49+1</f>
        <v>15</v>
      </c>
      <c r="B52" s="164" t="s">
        <v>11</v>
      </c>
      <c r="C52" s="166" t="s">
        <v>702</v>
      </c>
      <c r="D52" s="159">
        <v>39794</v>
      </c>
      <c r="E52" s="152" t="s">
        <v>140</v>
      </c>
      <c r="F52" s="36" t="s">
        <v>138</v>
      </c>
      <c r="G52" s="11" t="s">
        <v>5</v>
      </c>
      <c r="H52" s="62">
        <v>5538</v>
      </c>
      <c r="I52" s="62">
        <v>5538</v>
      </c>
      <c r="J52" s="62">
        <v>5538</v>
      </c>
      <c r="K52" s="62">
        <v>5538</v>
      </c>
      <c r="L52" s="62">
        <v>5538</v>
      </c>
      <c r="M52" s="62">
        <v>5538</v>
      </c>
      <c r="N52" s="62">
        <v>5538</v>
      </c>
      <c r="O52" s="62">
        <f>49720-5538-5538</f>
        <v>38644</v>
      </c>
      <c r="P52" s="62">
        <f>SUM(H52:O52)</f>
        <v>77410</v>
      </c>
    </row>
    <row r="53" spans="1:16" ht="17.25" customHeight="1" x14ac:dyDescent="0.25">
      <c r="A53" s="134"/>
      <c r="B53" s="167"/>
      <c r="C53" s="169"/>
      <c r="D53" s="160"/>
      <c r="E53" s="153"/>
      <c r="F53" s="18" t="s">
        <v>139</v>
      </c>
      <c r="G53" s="15" t="s">
        <v>8</v>
      </c>
      <c r="H53" s="63">
        <f>1926+22+194</f>
        <v>2142</v>
      </c>
      <c r="I53" s="63">
        <f>2461+36+180</f>
        <v>2677</v>
      </c>
      <c r="J53" s="63">
        <f>2269+33+166</f>
        <v>2468</v>
      </c>
      <c r="K53" s="63">
        <f>2083+152</f>
        <v>2235</v>
      </c>
      <c r="L53" s="63">
        <f>1885+138</f>
        <v>2023</v>
      </c>
      <c r="M53" s="63">
        <f>1692+124</f>
        <v>1816</v>
      </c>
      <c r="N53" s="63">
        <f>1501+110</f>
        <v>1611</v>
      </c>
      <c r="O53" s="63">
        <f>5103+377</f>
        <v>5480</v>
      </c>
      <c r="P53" s="63">
        <f t="shared" si="0"/>
        <v>20452</v>
      </c>
    </row>
    <row r="54" spans="1:16" ht="17.25" customHeight="1" x14ac:dyDescent="0.25">
      <c r="A54" s="135"/>
      <c r="B54" s="168"/>
      <c r="C54" s="170"/>
      <c r="D54" s="161"/>
      <c r="E54" s="154"/>
      <c r="F54" s="23"/>
      <c r="G54" s="23" t="s">
        <v>100</v>
      </c>
      <c r="H54" s="93">
        <f t="shared" ref="H54:O54" si="18">SUM(H52:H53)</f>
        <v>7680</v>
      </c>
      <c r="I54" s="93">
        <f t="shared" si="18"/>
        <v>8215</v>
      </c>
      <c r="J54" s="93">
        <f t="shared" si="18"/>
        <v>8006</v>
      </c>
      <c r="K54" s="93">
        <f t="shared" si="18"/>
        <v>7773</v>
      </c>
      <c r="L54" s="93">
        <f t="shared" si="18"/>
        <v>7561</v>
      </c>
      <c r="M54" s="93">
        <f t="shared" si="18"/>
        <v>7354</v>
      </c>
      <c r="N54" s="93">
        <f t="shared" si="18"/>
        <v>7149</v>
      </c>
      <c r="O54" s="93">
        <f t="shared" si="18"/>
        <v>44124</v>
      </c>
      <c r="P54" s="91">
        <f t="shared" si="0"/>
        <v>97862</v>
      </c>
    </row>
    <row r="55" spans="1:16" ht="18.600000000000001" customHeight="1" x14ac:dyDescent="0.25">
      <c r="A55" s="133">
        <f>A52+1</f>
        <v>16</v>
      </c>
      <c r="B55" s="164" t="s">
        <v>11</v>
      </c>
      <c r="C55" s="166" t="s">
        <v>83</v>
      </c>
      <c r="D55" s="159">
        <v>39920</v>
      </c>
      <c r="E55" s="152" t="s">
        <v>143</v>
      </c>
      <c r="F55" s="36" t="s">
        <v>141</v>
      </c>
      <c r="G55" s="11" t="s">
        <v>5</v>
      </c>
      <c r="H55" s="62">
        <v>3136</v>
      </c>
      <c r="I55" s="62">
        <v>3136</v>
      </c>
      <c r="J55" s="62">
        <v>3136</v>
      </c>
      <c r="K55" s="62">
        <v>3136</v>
      </c>
      <c r="L55" s="62">
        <v>784</v>
      </c>
      <c r="M55" s="94">
        <v>0</v>
      </c>
      <c r="N55" s="62">
        <v>0</v>
      </c>
      <c r="O55" s="94">
        <v>0</v>
      </c>
      <c r="P55" s="62">
        <f>SUM(H55:O55)</f>
        <v>13328</v>
      </c>
    </row>
    <row r="56" spans="1:16" ht="16.5" customHeight="1" x14ac:dyDescent="0.25">
      <c r="A56" s="134"/>
      <c r="B56" s="167"/>
      <c r="C56" s="169"/>
      <c r="D56" s="160"/>
      <c r="E56" s="153"/>
      <c r="F56" s="18" t="s">
        <v>142</v>
      </c>
      <c r="G56" s="15" t="s">
        <v>8</v>
      </c>
      <c r="H56" s="63">
        <f>551+33</f>
        <v>584</v>
      </c>
      <c r="I56" s="63">
        <f>417+25</f>
        <v>442</v>
      </c>
      <c r="J56" s="63">
        <f>282+17</f>
        <v>299</v>
      </c>
      <c r="K56" s="63">
        <f>148+8</f>
        <v>156</v>
      </c>
      <c r="L56" s="63">
        <v>24</v>
      </c>
      <c r="M56" s="92">
        <v>0</v>
      </c>
      <c r="N56" s="63">
        <v>0</v>
      </c>
      <c r="O56" s="92">
        <v>0</v>
      </c>
      <c r="P56" s="63">
        <f t="shared" si="0"/>
        <v>1505</v>
      </c>
    </row>
    <row r="57" spans="1:16" ht="16.5" customHeight="1" x14ac:dyDescent="0.25">
      <c r="A57" s="135"/>
      <c r="B57" s="168"/>
      <c r="C57" s="170"/>
      <c r="D57" s="161"/>
      <c r="E57" s="154"/>
      <c r="F57" s="13"/>
      <c r="G57" s="13" t="s">
        <v>100</v>
      </c>
      <c r="H57" s="93">
        <f t="shared" ref="H57:O57" si="19">SUM(H55:H56)</f>
        <v>3720</v>
      </c>
      <c r="I57" s="93">
        <f t="shared" si="19"/>
        <v>3578</v>
      </c>
      <c r="J57" s="93">
        <f t="shared" si="19"/>
        <v>3435</v>
      </c>
      <c r="K57" s="93">
        <f t="shared" si="19"/>
        <v>3292</v>
      </c>
      <c r="L57" s="93">
        <f t="shared" si="19"/>
        <v>808</v>
      </c>
      <c r="M57" s="93">
        <f t="shared" si="19"/>
        <v>0</v>
      </c>
      <c r="N57" s="93">
        <f t="shared" si="19"/>
        <v>0</v>
      </c>
      <c r="O57" s="93">
        <f t="shared" si="19"/>
        <v>0</v>
      </c>
      <c r="P57" s="91">
        <f t="shared" si="0"/>
        <v>14833</v>
      </c>
    </row>
    <row r="58" spans="1:16" ht="18" customHeight="1" x14ac:dyDescent="0.25">
      <c r="A58" s="133">
        <f t="shared" ref="A58" si="20">A55+1</f>
        <v>17</v>
      </c>
      <c r="B58" s="155" t="s">
        <v>11</v>
      </c>
      <c r="C58" s="156" t="s">
        <v>53</v>
      </c>
      <c r="D58" s="157">
        <v>39994</v>
      </c>
      <c r="E58" s="162" t="s">
        <v>146</v>
      </c>
      <c r="F58" s="36" t="s">
        <v>144</v>
      </c>
      <c r="G58" s="11" t="s">
        <v>5</v>
      </c>
      <c r="H58" s="62">
        <v>3724</v>
      </c>
      <c r="I58" s="62">
        <v>3724</v>
      </c>
      <c r="J58" s="62">
        <v>3724</v>
      </c>
      <c r="K58" s="62">
        <v>3724</v>
      </c>
      <c r="L58" s="62">
        <v>1851</v>
      </c>
      <c r="M58" s="62">
        <v>0</v>
      </c>
      <c r="N58" s="62">
        <v>0</v>
      </c>
      <c r="O58" s="62">
        <v>0</v>
      </c>
      <c r="P58" s="62">
        <f>SUM(H58:O58)</f>
        <v>16747</v>
      </c>
    </row>
    <row r="59" spans="1:16" ht="17.399999999999999" customHeight="1" x14ac:dyDescent="0.25">
      <c r="A59" s="134"/>
      <c r="B59" s="155"/>
      <c r="C59" s="156"/>
      <c r="D59" s="157"/>
      <c r="E59" s="162"/>
      <c r="F59" s="18" t="s">
        <v>145</v>
      </c>
      <c r="G59" s="15" t="s">
        <v>8</v>
      </c>
      <c r="H59" s="63">
        <f>518-32+41</f>
        <v>527</v>
      </c>
      <c r="I59" s="63">
        <f>361-84+32</f>
        <v>309</v>
      </c>
      <c r="J59" s="63">
        <f>253-59+22</f>
        <v>216</v>
      </c>
      <c r="K59" s="63">
        <f>145+13</f>
        <v>158</v>
      </c>
      <c r="L59" s="63">
        <f>35+3</f>
        <v>38</v>
      </c>
      <c r="M59" s="63">
        <v>0</v>
      </c>
      <c r="N59" s="63">
        <v>0</v>
      </c>
      <c r="O59" s="63">
        <v>0</v>
      </c>
      <c r="P59" s="63">
        <f t="shared" si="0"/>
        <v>1248</v>
      </c>
    </row>
    <row r="60" spans="1:16" ht="16.95" customHeight="1" x14ac:dyDescent="0.25">
      <c r="A60" s="135"/>
      <c r="B60" s="155"/>
      <c r="C60" s="156"/>
      <c r="D60" s="157"/>
      <c r="E60" s="162"/>
      <c r="F60" s="13"/>
      <c r="G60" s="13" t="s">
        <v>100</v>
      </c>
      <c r="H60" s="93">
        <f t="shared" ref="H60:O60" si="21">SUM(H58:H59)</f>
        <v>4251</v>
      </c>
      <c r="I60" s="93">
        <f t="shared" si="21"/>
        <v>4033</v>
      </c>
      <c r="J60" s="93">
        <f t="shared" si="21"/>
        <v>3940</v>
      </c>
      <c r="K60" s="93">
        <f t="shared" si="21"/>
        <v>3882</v>
      </c>
      <c r="L60" s="93">
        <f t="shared" si="21"/>
        <v>1889</v>
      </c>
      <c r="M60" s="93">
        <f t="shared" si="21"/>
        <v>0</v>
      </c>
      <c r="N60" s="93">
        <f t="shared" si="21"/>
        <v>0</v>
      </c>
      <c r="O60" s="93">
        <f t="shared" si="21"/>
        <v>0</v>
      </c>
      <c r="P60" s="91">
        <f t="shared" si="0"/>
        <v>17995</v>
      </c>
    </row>
    <row r="61" spans="1:16" ht="18.75" customHeight="1" x14ac:dyDescent="0.25">
      <c r="A61" s="133">
        <f t="shared" ref="A61" si="22">A58+1</f>
        <v>18</v>
      </c>
      <c r="B61" s="155" t="s">
        <v>11</v>
      </c>
      <c r="C61" s="156" t="s">
        <v>80</v>
      </c>
      <c r="D61" s="157">
        <v>40262</v>
      </c>
      <c r="E61" s="162" t="s">
        <v>147</v>
      </c>
      <c r="F61" s="36" t="s">
        <v>148</v>
      </c>
      <c r="G61" s="11" t="s">
        <v>5</v>
      </c>
      <c r="H61" s="62">
        <v>1856</v>
      </c>
      <c r="I61" s="62">
        <v>1856</v>
      </c>
      <c r="J61" s="62">
        <v>1856</v>
      </c>
      <c r="K61" s="62">
        <v>1856</v>
      </c>
      <c r="L61" s="62">
        <v>1856</v>
      </c>
      <c r="M61" s="62">
        <v>1851</v>
      </c>
      <c r="N61" s="62">
        <v>0</v>
      </c>
      <c r="O61" s="62">
        <v>0</v>
      </c>
      <c r="P61" s="62">
        <f>SUM(H61:O61)</f>
        <v>11131</v>
      </c>
    </row>
    <row r="62" spans="1:16" ht="17.399999999999999" customHeight="1" x14ac:dyDescent="0.25">
      <c r="A62" s="134"/>
      <c r="B62" s="155"/>
      <c r="C62" s="156"/>
      <c r="D62" s="157"/>
      <c r="E62" s="162"/>
      <c r="F62" s="18" t="s">
        <v>149</v>
      </c>
      <c r="G62" s="15" t="s">
        <v>8</v>
      </c>
      <c r="H62" s="63">
        <f>326-10+27</f>
        <v>343</v>
      </c>
      <c r="I62" s="63">
        <f>243-47+23</f>
        <v>219</v>
      </c>
      <c r="J62" s="63">
        <f>193-38+18</f>
        <v>173</v>
      </c>
      <c r="K62" s="63">
        <f>143+13</f>
        <v>156</v>
      </c>
      <c r="L62" s="63">
        <f>92+9</f>
        <v>101</v>
      </c>
      <c r="M62" s="63">
        <f>42+4</f>
        <v>46</v>
      </c>
      <c r="N62" s="63">
        <v>3</v>
      </c>
      <c r="O62" s="63">
        <v>0</v>
      </c>
      <c r="P62" s="63">
        <f t="shared" si="0"/>
        <v>1041</v>
      </c>
    </row>
    <row r="63" spans="1:16" ht="18" customHeight="1" x14ac:dyDescent="0.25">
      <c r="A63" s="135"/>
      <c r="B63" s="155"/>
      <c r="C63" s="156"/>
      <c r="D63" s="157"/>
      <c r="E63" s="162"/>
      <c r="F63" s="13"/>
      <c r="G63" s="13" t="s">
        <v>100</v>
      </c>
      <c r="H63" s="93">
        <f t="shared" ref="H63:O63" si="23">SUM(H61:H62)</f>
        <v>2199</v>
      </c>
      <c r="I63" s="93">
        <f t="shared" si="23"/>
        <v>2075</v>
      </c>
      <c r="J63" s="93">
        <f t="shared" si="23"/>
        <v>2029</v>
      </c>
      <c r="K63" s="93">
        <f t="shared" si="23"/>
        <v>2012</v>
      </c>
      <c r="L63" s="93">
        <f t="shared" si="23"/>
        <v>1957</v>
      </c>
      <c r="M63" s="93">
        <f t="shared" si="23"/>
        <v>1897</v>
      </c>
      <c r="N63" s="93">
        <f t="shared" si="23"/>
        <v>3</v>
      </c>
      <c r="O63" s="93">
        <f t="shared" si="23"/>
        <v>0</v>
      </c>
      <c r="P63" s="91">
        <f t="shared" si="0"/>
        <v>12172</v>
      </c>
    </row>
    <row r="64" spans="1:16" ht="18.75" customHeight="1" x14ac:dyDescent="0.25">
      <c r="A64" s="133">
        <f t="shared" ref="A64" si="24">A61+1</f>
        <v>19</v>
      </c>
      <c r="B64" s="155" t="s">
        <v>11</v>
      </c>
      <c r="C64" s="156" t="s">
        <v>68</v>
      </c>
      <c r="D64" s="157">
        <v>40316</v>
      </c>
      <c r="E64" s="162" t="s">
        <v>147</v>
      </c>
      <c r="F64" s="36" t="s">
        <v>150</v>
      </c>
      <c r="G64" s="11" t="s">
        <v>5</v>
      </c>
      <c r="H64" s="62">
        <v>1368</v>
      </c>
      <c r="I64" s="62">
        <v>1368</v>
      </c>
      <c r="J64" s="62">
        <v>1368</v>
      </c>
      <c r="K64" s="62">
        <v>1368</v>
      </c>
      <c r="L64" s="62">
        <v>1368</v>
      </c>
      <c r="M64" s="62">
        <v>1368</v>
      </c>
      <c r="N64" s="62">
        <v>0</v>
      </c>
      <c r="O64" s="62">
        <v>0</v>
      </c>
      <c r="P64" s="62">
        <f>SUM(H64:O64)</f>
        <v>8208</v>
      </c>
    </row>
    <row r="65" spans="1:16" ht="17.399999999999999" customHeight="1" x14ac:dyDescent="0.25">
      <c r="A65" s="134"/>
      <c r="B65" s="155"/>
      <c r="C65" s="156"/>
      <c r="D65" s="157"/>
      <c r="E65" s="162"/>
      <c r="F65" s="18" t="s">
        <v>151</v>
      </c>
      <c r="G65" s="15" t="s">
        <v>8</v>
      </c>
      <c r="H65" s="63">
        <f>256-16+20</f>
        <v>260</v>
      </c>
      <c r="I65" s="63">
        <f>192-44+17</f>
        <v>165</v>
      </c>
      <c r="J65" s="63">
        <f>153-36+13</f>
        <v>130</v>
      </c>
      <c r="K65" s="63">
        <f>113+10</f>
        <v>123</v>
      </c>
      <c r="L65" s="63">
        <f>73+6</f>
        <v>79</v>
      </c>
      <c r="M65" s="63">
        <f>33+3</f>
        <v>36</v>
      </c>
      <c r="N65" s="63">
        <v>2</v>
      </c>
      <c r="O65" s="63">
        <v>0</v>
      </c>
      <c r="P65" s="63">
        <f t="shared" si="0"/>
        <v>795</v>
      </c>
    </row>
    <row r="66" spans="1:16" ht="18.75" customHeight="1" x14ac:dyDescent="0.25">
      <c r="A66" s="135"/>
      <c r="B66" s="164"/>
      <c r="C66" s="166"/>
      <c r="D66" s="159"/>
      <c r="E66" s="152"/>
      <c r="F66" s="23"/>
      <c r="G66" s="23" t="s">
        <v>100</v>
      </c>
      <c r="H66" s="93">
        <f t="shared" ref="H66:O66" si="25">SUM(H64:H65)</f>
        <v>1628</v>
      </c>
      <c r="I66" s="93">
        <f t="shared" si="25"/>
        <v>1533</v>
      </c>
      <c r="J66" s="93">
        <f t="shared" si="25"/>
        <v>1498</v>
      </c>
      <c r="K66" s="93">
        <f t="shared" si="25"/>
        <v>1491</v>
      </c>
      <c r="L66" s="93">
        <f t="shared" si="25"/>
        <v>1447</v>
      </c>
      <c r="M66" s="93">
        <f t="shared" si="25"/>
        <v>1404</v>
      </c>
      <c r="N66" s="93">
        <f t="shared" si="25"/>
        <v>2</v>
      </c>
      <c r="O66" s="93">
        <f t="shared" si="25"/>
        <v>0</v>
      </c>
      <c r="P66" s="91">
        <f t="shared" si="0"/>
        <v>9003</v>
      </c>
    </row>
    <row r="67" spans="1:16" ht="20.399999999999999" customHeight="1" x14ac:dyDescent="0.25">
      <c r="A67" s="133">
        <f t="shared" ref="A67" si="26">A64+1</f>
        <v>20</v>
      </c>
      <c r="B67" s="155" t="s">
        <v>11</v>
      </c>
      <c r="C67" s="156" t="s">
        <v>69</v>
      </c>
      <c r="D67" s="157">
        <v>40365</v>
      </c>
      <c r="E67" s="162" t="s">
        <v>152</v>
      </c>
      <c r="F67" s="36" t="s">
        <v>153</v>
      </c>
      <c r="G67" s="11" t="s">
        <v>5</v>
      </c>
      <c r="H67" s="62">
        <v>14168</v>
      </c>
      <c r="I67" s="62">
        <v>14168</v>
      </c>
      <c r="J67" s="62">
        <v>14168</v>
      </c>
      <c r="K67" s="62">
        <v>14168</v>
      </c>
      <c r="L67" s="62">
        <v>14168</v>
      </c>
      <c r="M67" s="62">
        <v>14168</v>
      </c>
      <c r="N67" s="62">
        <v>14168</v>
      </c>
      <c r="O67" s="62">
        <f>142229-13876+2664-14168</f>
        <v>116849</v>
      </c>
      <c r="P67" s="62">
        <f>SUM(H67:O67)</f>
        <v>216025</v>
      </c>
    </row>
    <row r="68" spans="1:16" ht="17.399999999999999" customHeight="1" x14ac:dyDescent="0.25">
      <c r="A68" s="134"/>
      <c r="B68" s="155"/>
      <c r="C68" s="156"/>
      <c r="D68" s="157"/>
      <c r="E68" s="162"/>
      <c r="F68" s="18" t="s">
        <v>154</v>
      </c>
      <c r="G68" s="15" t="s">
        <v>8</v>
      </c>
      <c r="H68" s="63">
        <f>7451+541</f>
        <v>7992</v>
      </c>
      <c r="I68" s="63">
        <f>5402+506</f>
        <v>5908</v>
      </c>
      <c r="J68" s="63">
        <f>5018+470</f>
        <v>5488</v>
      </c>
      <c r="K68" s="63">
        <f>4646+435</f>
        <v>5081</v>
      </c>
      <c r="L68" s="63">
        <f>4251+398</f>
        <v>4649</v>
      </c>
      <c r="M68" s="63">
        <f>3867+362</f>
        <v>4229</v>
      </c>
      <c r="N68" s="63">
        <f>3484+327</f>
        <v>3811</v>
      </c>
      <c r="O68" s="63">
        <f>13006+1327</f>
        <v>14333</v>
      </c>
      <c r="P68" s="63">
        <f t="shared" si="0"/>
        <v>51491</v>
      </c>
    </row>
    <row r="69" spans="1:16" ht="16.95" customHeight="1" x14ac:dyDescent="0.25">
      <c r="A69" s="135"/>
      <c r="B69" s="155"/>
      <c r="C69" s="156"/>
      <c r="D69" s="157"/>
      <c r="E69" s="162"/>
      <c r="F69" s="13"/>
      <c r="G69" s="13" t="s">
        <v>100</v>
      </c>
      <c r="H69" s="93">
        <f t="shared" ref="H69:O69" si="27">SUM(H67:H68)</f>
        <v>22160</v>
      </c>
      <c r="I69" s="93">
        <f t="shared" si="27"/>
        <v>20076</v>
      </c>
      <c r="J69" s="93">
        <f t="shared" si="27"/>
        <v>19656</v>
      </c>
      <c r="K69" s="93">
        <f t="shared" si="27"/>
        <v>19249</v>
      </c>
      <c r="L69" s="93">
        <f t="shared" si="27"/>
        <v>18817</v>
      </c>
      <c r="M69" s="93">
        <f t="shared" si="27"/>
        <v>18397</v>
      </c>
      <c r="N69" s="93">
        <f t="shared" si="27"/>
        <v>17979</v>
      </c>
      <c r="O69" s="93">
        <f t="shared" si="27"/>
        <v>131182</v>
      </c>
      <c r="P69" s="91">
        <f t="shared" ref="P69:P75" si="28">SUM(H69:O69)</f>
        <v>267516</v>
      </c>
    </row>
    <row r="70" spans="1:16" ht="16.95" customHeight="1" x14ac:dyDescent="0.25">
      <c r="A70" s="133">
        <f t="shared" ref="A70" si="29">A67+1</f>
        <v>21</v>
      </c>
      <c r="B70" s="164" t="s">
        <v>11</v>
      </c>
      <c r="C70" s="166" t="s">
        <v>13</v>
      </c>
      <c r="D70" s="159">
        <v>40388</v>
      </c>
      <c r="E70" s="152" t="s">
        <v>157</v>
      </c>
      <c r="F70" s="36" t="s">
        <v>155</v>
      </c>
      <c r="G70" s="11" t="s">
        <v>5</v>
      </c>
      <c r="H70" s="62">
        <v>2341</v>
      </c>
      <c r="I70" s="94">
        <v>0</v>
      </c>
      <c r="J70" s="94">
        <v>0</v>
      </c>
      <c r="K70" s="94">
        <v>0</v>
      </c>
      <c r="L70" s="94">
        <v>0</v>
      </c>
      <c r="M70" s="94">
        <v>0</v>
      </c>
      <c r="N70" s="62">
        <v>0</v>
      </c>
      <c r="O70" s="94">
        <v>0</v>
      </c>
      <c r="P70" s="62">
        <f>SUM(H70:O70)</f>
        <v>2341</v>
      </c>
    </row>
    <row r="71" spans="1:16" ht="16.5" customHeight="1" x14ac:dyDescent="0.25">
      <c r="A71" s="134"/>
      <c r="B71" s="167"/>
      <c r="C71" s="169"/>
      <c r="D71" s="160"/>
      <c r="E71" s="153"/>
      <c r="F71" s="18" t="s">
        <v>156</v>
      </c>
      <c r="G71" s="15" t="s">
        <v>8</v>
      </c>
      <c r="H71" s="63">
        <f>63+4</f>
        <v>67</v>
      </c>
      <c r="I71" s="92">
        <v>0</v>
      </c>
      <c r="J71" s="92">
        <v>0</v>
      </c>
      <c r="K71" s="92">
        <v>0</v>
      </c>
      <c r="L71" s="92">
        <v>0</v>
      </c>
      <c r="M71" s="92">
        <v>0</v>
      </c>
      <c r="N71" s="63">
        <v>0</v>
      </c>
      <c r="O71" s="92">
        <v>0</v>
      </c>
      <c r="P71" s="63">
        <f t="shared" si="28"/>
        <v>67</v>
      </c>
    </row>
    <row r="72" spans="1:16" ht="16.5" customHeight="1" x14ac:dyDescent="0.25">
      <c r="A72" s="135"/>
      <c r="B72" s="168"/>
      <c r="C72" s="170"/>
      <c r="D72" s="161"/>
      <c r="E72" s="154"/>
      <c r="F72" s="13"/>
      <c r="G72" s="13" t="s">
        <v>100</v>
      </c>
      <c r="H72" s="93">
        <f t="shared" ref="H72:O72" si="30">SUM(H70:H71)</f>
        <v>2408</v>
      </c>
      <c r="I72" s="93">
        <f t="shared" si="30"/>
        <v>0</v>
      </c>
      <c r="J72" s="93">
        <f t="shared" si="30"/>
        <v>0</v>
      </c>
      <c r="K72" s="93">
        <f t="shared" si="30"/>
        <v>0</v>
      </c>
      <c r="L72" s="93">
        <f t="shared" si="30"/>
        <v>0</v>
      </c>
      <c r="M72" s="93">
        <f>SUM(M70:M71)</f>
        <v>0</v>
      </c>
      <c r="N72" s="93">
        <f t="shared" ref="N72" si="31">SUM(N70:N71)</f>
        <v>0</v>
      </c>
      <c r="O72" s="93">
        <f t="shared" si="30"/>
        <v>0</v>
      </c>
      <c r="P72" s="91">
        <f t="shared" si="28"/>
        <v>2408</v>
      </c>
    </row>
    <row r="73" spans="1:16" ht="15" customHeight="1" x14ac:dyDescent="0.25">
      <c r="A73" s="133">
        <f t="shared" ref="A73" si="32">A70+1</f>
        <v>22</v>
      </c>
      <c r="B73" s="155" t="s">
        <v>11</v>
      </c>
      <c r="C73" s="156" t="s">
        <v>49</v>
      </c>
      <c r="D73" s="157">
        <v>40452</v>
      </c>
      <c r="E73" s="162" t="s">
        <v>160</v>
      </c>
      <c r="F73" s="36" t="s">
        <v>158</v>
      </c>
      <c r="G73" s="11" t="s">
        <v>5</v>
      </c>
      <c r="H73" s="62">
        <v>29364</v>
      </c>
      <c r="I73" s="62">
        <v>29364</v>
      </c>
      <c r="J73" s="62">
        <v>29364</v>
      </c>
      <c r="K73" s="62">
        <v>29364</v>
      </c>
      <c r="L73" s="62">
        <v>29364</v>
      </c>
      <c r="M73" s="62">
        <v>22011</v>
      </c>
      <c r="N73" s="62">
        <v>0</v>
      </c>
      <c r="O73" s="62">
        <v>0</v>
      </c>
      <c r="P73" s="62">
        <f>SUM(H73:O73)</f>
        <v>168831</v>
      </c>
    </row>
    <row r="74" spans="1:16" ht="15.75" customHeight="1" x14ac:dyDescent="0.25">
      <c r="A74" s="134"/>
      <c r="B74" s="155"/>
      <c r="C74" s="156"/>
      <c r="D74" s="157"/>
      <c r="E74" s="162"/>
      <c r="F74" s="18" t="s">
        <v>159</v>
      </c>
      <c r="G74" s="15" t="s">
        <v>8</v>
      </c>
      <c r="H74" s="63">
        <f>5027+416</f>
        <v>5443</v>
      </c>
      <c r="I74" s="63">
        <f>3651+342</f>
        <v>3993</v>
      </c>
      <c r="J74" s="63">
        <f>2856+268</f>
        <v>3124</v>
      </c>
      <c r="K74" s="63">
        <f>2065+194</f>
        <v>2259</v>
      </c>
      <c r="L74" s="63">
        <f>1265+119</f>
        <v>1384</v>
      </c>
      <c r="M74" s="63">
        <f>471+44</f>
        <v>515</v>
      </c>
      <c r="N74" s="63">
        <v>0</v>
      </c>
      <c r="O74" s="63">
        <v>0</v>
      </c>
      <c r="P74" s="63">
        <f t="shared" si="28"/>
        <v>16718</v>
      </c>
    </row>
    <row r="75" spans="1:16" ht="15.75" customHeight="1" x14ac:dyDescent="0.25">
      <c r="A75" s="135"/>
      <c r="B75" s="155"/>
      <c r="C75" s="156"/>
      <c r="D75" s="157"/>
      <c r="E75" s="162"/>
      <c r="F75" s="13"/>
      <c r="G75" s="13" t="s">
        <v>100</v>
      </c>
      <c r="H75" s="93">
        <f t="shared" ref="H75:O75" si="33">SUM(H73:H74)</f>
        <v>34807</v>
      </c>
      <c r="I75" s="93">
        <f t="shared" si="33"/>
        <v>33357</v>
      </c>
      <c r="J75" s="93">
        <f t="shared" si="33"/>
        <v>32488</v>
      </c>
      <c r="K75" s="93">
        <f t="shared" si="33"/>
        <v>31623</v>
      </c>
      <c r="L75" s="93">
        <f t="shared" si="33"/>
        <v>30748</v>
      </c>
      <c r="M75" s="93">
        <f t="shared" si="33"/>
        <v>22526</v>
      </c>
      <c r="N75" s="93">
        <f t="shared" si="33"/>
        <v>0</v>
      </c>
      <c r="O75" s="93">
        <f t="shared" si="33"/>
        <v>0</v>
      </c>
      <c r="P75" s="91">
        <f t="shared" si="28"/>
        <v>185549</v>
      </c>
    </row>
    <row r="76" spans="1:16" ht="18" customHeight="1" x14ac:dyDescent="0.25">
      <c r="A76" s="133">
        <f t="shared" ref="A76" si="34">A73+1</f>
        <v>23</v>
      </c>
      <c r="B76" s="155" t="s">
        <v>11</v>
      </c>
      <c r="C76" s="156" t="s">
        <v>81</v>
      </c>
      <c r="D76" s="157">
        <v>40471</v>
      </c>
      <c r="E76" s="162" t="s">
        <v>161</v>
      </c>
      <c r="F76" s="22" t="s">
        <v>162</v>
      </c>
      <c r="G76" s="11" t="s">
        <v>5</v>
      </c>
      <c r="H76" s="62">
        <v>2128</v>
      </c>
      <c r="I76" s="62">
        <v>2128</v>
      </c>
      <c r="J76" s="62">
        <v>2128</v>
      </c>
      <c r="K76" s="62">
        <v>2128</v>
      </c>
      <c r="L76" s="62">
        <v>2128</v>
      </c>
      <c r="M76" s="62">
        <v>2128</v>
      </c>
      <c r="N76" s="62">
        <v>2128</v>
      </c>
      <c r="O76" s="62">
        <f>23100-2100+276-2128</f>
        <v>19148</v>
      </c>
      <c r="P76" s="62">
        <f>SUM(H76:O76)</f>
        <v>34044</v>
      </c>
    </row>
    <row r="77" spans="1:16" ht="18" customHeight="1" x14ac:dyDescent="0.25">
      <c r="A77" s="134"/>
      <c r="B77" s="155"/>
      <c r="C77" s="156"/>
      <c r="D77" s="157"/>
      <c r="E77" s="162"/>
      <c r="F77" s="18" t="s">
        <v>163</v>
      </c>
      <c r="G77" s="15" t="s">
        <v>8</v>
      </c>
      <c r="H77" s="63">
        <f>1017+85</f>
        <v>1102</v>
      </c>
      <c r="I77" s="63">
        <f>860+80</f>
        <v>940</v>
      </c>
      <c r="J77" s="63">
        <f>796+75</f>
        <v>871</v>
      </c>
      <c r="K77" s="63">
        <f>741+69</f>
        <v>810</v>
      </c>
      <c r="L77" s="63">
        <f>682+64</f>
        <v>746</v>
      </c>
      <c r="M77" s="63">
        <f>624+59</f>
        <v>683</v>
      </c>
      <c r="N77" s="63">
        <f>567+53</f>
        <v>620</v>
      </c>
      <c r="O77" s="63">
        <f>2308+235</f>
        <v>2543</v>
      </c>
      <c r="P77" s="63">
        <f t="shared" ref="P77:P140" si="35">SUM(H77:O77)</f>
        <v>8315</v>
      </c>
    </row>
    <row r="78" spans="1:16" ht="18" customHeight="1" x14ac:dyDescent="0.25">
      <c r="A78" s="135"/>
      <c r="B78" s="155"/>
      <c r="C78" s="156"/>
      <c r="D78" s="157"/>
      <c r="E78" s="162"/>
      <c r="F78" s="13"/>
      <c r="G78" s="13" t="s">
        <v>100</v>
      </c>
      <c r="H78" s="93">
        <f t="shared" ref="H78:O78" si="36">SUM(H76:H77)</f>
        <v>3230</v>
      </c>
      <c r="I78" s="93">
        <f t="shared" si="36"/>
        <v>3068</v>
      </c>
      <c r="J78" s="93">
        <f t="shared" si="36"/>
        <v>2999</v>
      </c>
      <c r="K78" s="93">
        <f t="shared" si="36"/>
        <v>2938</v>
      </c>
      <c r="L78" s="93">
        <f t="shared" si="36"/>
        <v>2874</v>
      </c>
      <c r="M78" s="93">
        <f t="shared" si="36"/>
        <v>2811</v>
      </c>
      <c r="N78" s="93">
        <f t="shared" si="36"/>
        <v>2748</v>
      </c>
      <c r="O78" s="93">
        <f t="shared" si="36"/>
        <v>21691</v>
      </c>
      <c r="P78" s="91">
        <f t="shared" si="35"/>
        <v>42359</v>
      </c>
    </row>
    <row r="79" spans="1:16" ht="17.25" customHeight="1" x14ac:dyDescent="0.25">
      <c r="A79" s="133">
        <f t="shared" ref="A79" si="37">A76+1</f>
        <v>24</v>
      </c>
      <c r="B79" s="155" t="s">
        <v>11</v>
      </c>
      <c r="C79" s="156" t="s">
        <v>14</v>
      </c>
      <c r="D79" s="157">
        <v>40651</v>
      </c>
      <c r="E79" s="162" t="s">
        <v>164</v>
      </c>
      <c r="F79" s="22" t="s">
        <v>165</v>
      </c>
      <c r="G79" s="11" t="s">
        <v>5</v>
      </c>
      <c r="H79" s="62">
        <v>6296</v>
      </c>
      <c r="I79" s="62">
        <v>3148</v>
      </c>
      <c r="J79" s="94">
        <v>0</v>
      </c>
      <c r="K79" s="94">
        <v>0</v>
      </c>
      <c r="L79" s="94">
        <v>0</v>
      </c>
      <c r="M79" s="94">
        <v>0</v>
      </c>
      <c r="N79" s="62">
        <v>0</v>
      </c>
      <c r="O79" s="94">
        <v>0</v>
      </c>
      <c r="P79" s="62">
        <f>SUM(H79:O79)</f>
        <v>9444</v>
      </c>
    </row>
    <row r="80" spans="1:16" ht="16.2" customHeight="1" x14ac:dyDescent="0.25">
      <c r="A80" s="134"/>
      <c r="B80" s="155"/>
      <c r="C80" s="156"/>
      <c r="D80" s="157"/>
      <c r="E80" s="162"/>
      <c r="F80" s="18" t="s">
        <v>166</v>
      </c>
      <c r="G80" s="15" t="s">
        <v>8</v>
      </c>
      <c r="H80" s="63">
        <f>289-12+21</f>
        <v>298</v>
      </c>
      <c r="I80" s="63">
        <f>53-8+5</f>
        <v>50</v>
      </c>
      <c r="J80" s="92">
        <v>0</v>
      </c>
      <c r="K80" s="92">
        <v>0</v>
      </c>
      <c r="L80" s="92">
        <v>0</v>
      </c>
      <c r="M80" s="92">
        <v>0</v>
      </c>
      <c r="N80" s="63">
        <v>0</v>
      </c>
      <c r="O80" s="92">
        <v>0</v>
      </c>
      <c r="P80" s="63">
        <f t="shared" si="35"/>
        <v>348</v>
      </c>
    </row>
    <row r="81" spans="1:16" ht="16.2" customHeight="1" x14ac:dyDescent="0.25">
      <c r="A81" s="135"/>
      <c r="B81" s="164"/>
      <c r="C81" s="166"/>
      <c r="D81" s="159"/>
      <c r="E81" s="152"/>
      <c r="F81" s="23"/>
      <c r="G81" s="23" t="s">
        <v>100</v>
      </c>
      <c r="H81" s="93">
        <f t="shared" ref="H81:O81" si="38">SUM(H79:H80)</f>
        <v>6594</v>
      </c>
      <c r="I81" s="93">
        <f t="shared" si="38"/>
        <v>3198</v>
      </c>
      <c r="J81" s="93">
        <f t="shared" si="38"/>
        <v>0</v>
      </c>
      <c r="K81" s="93">
        <f t="shared" si="38"/>
        <v>0</v>
      </c>
      <c r="L81" s="93">
        <f t="shared" si="38"/>
        <v>0</v>
      </c>
      <c r="M81" s="93">
        <f t="shared" si="38"/>
        <v>0</v>
      </c>
      <c r="N81" s="93">
        <f t="shared" si="38"/>
        <v>0</v>
      </c>
      <c r="O81" s="93">
        <f t="shared" si="38"/>
        <v>0</v>
      </c>
      <c r="P81" s="91">
        <f t="shared" si="35"/>
        <v>9792</v>
      </c>
    </row>
    <row r="82" spans="1:16" ht="16.5" customHeight="1" x14ac:dyDescent="0.25">
      <c r="A82" s="133">
        <f t="shared" ref="A82" si="39">A79+1</f>
        <v>25</v>
      </c>
      <c r="B82" s="155" t="s">
        <v>11</v>
      </c>
      <c r="C82" s="156" t="s">
        <v>15</v>
      </c>
      <c r="D82" s="157">
        <v>40651</v>
      </c>
      <c r="E82" s="162" t="s">
        <v>164</v>
      </c>
      <c r="F82" s="36" t="s">
        <v>167</v>
      </c>
      <c r="G82" s="11" t="s">
        <v>5</v>
      </c>
      <c r="H82" s="62">
        <v>2447</v>
      </c>
      <c r="I82" s="62">
        <v>1224</v>
      </c>
      <c r="J82" s="94">
        <v>0</v>
      </c>
      <c r="K82" s="94">
        <v>0</v>
      </c>
      <c r="L82" s="94">
        <v>0</v>
      </c>
      <c r="M82" s="94">
        <v>0</v>
      </c>
      <c r="N82" s="62">
        <v>0</v>
      </c>
      <c r="O82" s="94">
        <v>0</v>
      </c>
      <c r="P82" s="62">
        <f>SUM(H82:O82)</f>
        <v>3671</v>
      </c>
    </row>
    <row r="83" spans="1:16" ht="17.25" customHeight="1" x14ac:dyDescent="0.25">
      <c r="A83" s="134"/>
      <c r="B83" s="155"/>
      <c r="C83" s="156"/>
      <c r="D83" s="157"/>
      <c r="E83" s="162"/>
      <c r="F83" s="18" t="s">
        <v>168</v>
      </c>
      <c r="G83" s="15" t="s">
        <v>8</v>
      </c>
      <c r="H83" s="63">
        <f>113-5+8</f>
        <v>116</v>
      </c>
      <c r="I83" s="63">
        <f>21-3+2</f>
        <v>20</v>
      </c>
      <c r="J83" s="92">
        <v>0</v>
      </c>
      <c r="K83" s="92">
        <v>0</v>
      </c>
      <c r="L83" s="92">
        <v>0</v>
      </c>
      <c r="M83" s="92">
        <v>0</v>
      </c>
      <c r="N83" s="63">
        <v>0</v>
      </c>
      <c r="O83" s="92">
        <v>0</v>
      </c>
      <c r="P83" s="63">
        <f t="shared" si="35"/>
        <v>136</v>
      </c>
    </row>
    <row r="84" spans="1:16" ht="17.25" customHeight="1" x14ac:dyDescent="0.25">
      <c r="A84" s="135"/>
      <c r="B84" s="155"/>
      <c r="C84" s="156"/>
      <c r="D84" s="157"/>
      <c r="E84" s="162"/>
      <c r="F84" s="13"/>
      <c r="G84" s="13" t="s">
        <v>100</v>
      </c>
      <c r="H84" s="93">
        <f t="shared" ref="H84:O84" si="40">SUM(H82:H83)</f>
        <v>2563</v>
      </c>
      <c r="I84" s="93">
        <f t="shared" si="40"/>
        <v>1244</v>
      </c>
      <c r="J84" s="93">
        <f t="shared" si="40"/>
        <v>0</v>
      </c>
      <c r="K84" s="93">
        <f t="shared" si="40"/>
        <v>0</v>
      </c>
      <c r="L84" s="93">
        <f t="shared" si="40"/>
        <v>0</v>
      </c>
      <c r="M84" s="93">
        <f t="shared" si="40"/>
        <v>0</v>
      </c>
      <c r="N84" s="93">
        <f t="shared" si="40"/>
        <v>0</v>
      </c>
      <c r="O84" s="93">
        <f t="shared" si="40"/>
        <v>0</v>
      </c>
      <c r="P84" s="91">
        <f t="shared" si="35"/>
        <v>3807</v>
      </c>
    </row>
    <row r="85" spans="1:16" ht="18" customHeight="1" x14ac:dyDescent="0.25">
      <c r="A85" s="133">
        <f t="shared" ref="A85" si="41">A82+1</f>
        <v>26</v>
      </c>
      <c r="B85" s="155" t="s">
        <v>11</v>
      </c>
      <c r="C85" s="163" t="s">
        <v>703</v>
      </c>
      <c r="D85" s="157">
        <v>40868</v>
      </c>
      <c r="E85" s="162" t="s">
        <v>171</v>
      </c>
      <c r="F85" s="36" t="s">
        <v>169</v>
      </c>
      <c r="G85" s="11" t="s">
        <v>5</v>
      </c>
      <c r="H85" s="62">
        <v>7308</v>
      </c>
      <c r="I85" s="62">
        <v>7306</v>
      </c>
      <c r="J85" s="94">
        <v>0</v>
      </c>
      <c r="K85" s="94">
        <v>0</v>
      </c>
      <c r="L85" s="94">
        <v>0</v>
      </c>
      <c r="M85" s="94">
        <v>0</v>
      </c>
      <c r="N85" s="62">
        <v>0</v>
      </c>
      <c r="O85" s="94">
        <v>0</v>
      </c>
      <c r="P85" s="62">
        <f>SUM(H85:O85)</f>
        <v>14614</v>
      </c>
    </row>
    <row r="86" spans="1:16" ht="15.75" customHeight="1" x14ac:dyDescent="0.25">
      <c r="A86" s="134"/>
      <c r="B86" s="155"/>
      <c r="C86" s="156"/>
      <c r="D86" s="157"/>
      <c r="E86" s="162"/>
      <c r="F86" s="18" t="s">
        <v>170</v>
      </c>
      <c r="G86" s="15" t="s">
        <v>8</v>
      </c>
      <c r="H86" s="63">
        <f>411+34</f>
        <v>445</v>
      </c>
      <c r="I86" s="63">
        <f>169+15</f>
        <v>184</v>
      </c>
      <c r="J86" s="92">
        <v>7</v>
      </c>
      <c r="K86" s="92">
        <v>0</v>
      </c>
      <c r="L86" s="92">
        <v>0</v>
      </c>
      <c r="M86" s="92">
        <v>0</v>
      </c>
      <c r="N86" s="63">
        <v>0</v>
      </c>
      <c r="O86" s="92">
        <v>0</v>
      </c>
      <c r="P86" s="63">
        <f t="shared" si="35"/>
        <v>636</v>
      </c>
    </row>
    <row r="87" spans="1:16" ht="15.75" customHeight="1" x14ac:dyDescent="0.25">
      <c r="A87" s="135"/>
      <c r="B87" s="155"/>
      <c r="C87" s="156"/>
      <c r="D87" s="157"/>
      <c r="E87" s="162"/>
      <c r="F87" s="13"/>
      <c r="G87" s="13" t="s">
        <v>100</v>
      </c>
      <c r="H87" s="93">
        <f t="shared" ref="H87:O87" si="42">SUM(H85:H86)</f>
        <v>7753</v>
      </c>
      <c r="I87" s="93">
        <f t="shared" si="42"/>
        <v>7490</v>
      </c>
      <c r="J87" s="93">
        <f t="shared" si="42"/>
        <v>7</v>
      </c>
      <c r="K87" s="93">
        <f t="shared" si="42"/>
        <v>0</v>
      </c>
      <c r="L87" s="93">
        <f t="shared" si="42"/>
        <v>0</v>
      </c>
      <c r="M87" s="93">
        <f>SUM(M85:M86)</f>
        <v>0</v>
      </c>
      <c r="N87" s="93">
        <f t="shared" ref="N87" si="43">SUM(N85:N86)</f>
        <v>0</v>
      </c>
      <c r="O87" s="93">
        <f t="shared" si="42"/>
        <v>0</v>
      </c>
      <c r="P87" s="91">
        <f t="shared" si="35"/>
        <v>15250</v>
      </c>
    </row>
    <row r="88" spans="1:16" ht="19.2" customHeight="1" x14ac:dyDescent="0.25">
      <c r="A88" s="133">
        <f t="shared" ref="A88" si="44">A85+1</f>
        <v>27</v>
      </c>
      <c r="B88" s="155" t="s">
        <v>11</v>
      </c>
      <c r="C88" s="156" t="s">
        <v>54</v>
      </c>
      <c r="D88" s="157">
        <v>40932</v>
      </c>
      <c r="E88" s="162" t="s">
        <v>172</v>
      </c>
      <c r="F88" s="36" t="s">
        <v>173</v>
      </c>
      <c r="G88" s="11" t="s">
        <v>5</v>
      </c>
      <c r="H88" s="62">
        <v>22528</v>
      </c>
      <c r="I88" s="62">
        <v>22528</v>
      </c>
      <c r="J88" s="62">
        <v>22528</v>
      </c>
      <c r="K88" s="62">
        <v>22528</v>
      </c>
      <c r="L88" s="62">
        <v>22528</v>
      </c>
      <c r="M88" s="62">
        <v>22528</v>
      </c>
      <c r="N88" s="62">
        <v>22528</v>
      </c>
      <c r="O88" s="62">
        <f>50109-22271+304-22528</f>
        <v>5614</v>
      </c>
      <c r="P88" s="62">
        <f>SUM(H88:O88)</f>
        <v>163310</v>
      </c>
    </row>
    <row r="89" spans="1:16" ht="15.6" customHeight="1" x14ac:dyDescent="0.25">
      <c r="A89" s="134"/>
      <c r="B89" s="155"/>
      <c r="C89" s="156"/>
      <c r="D89" s="157"/>
      <c r="E89" s="162"/>
      <c r="F89" s="18" t="s">
        <v>174</v>
      </c>
      <c r="G89" s="15" t="s">
        <v>8</v>
      </c>
      <c r="H89" s="63">
        <f>4846+405</f>
        <v>5251</v>
      </c>
      <c r="I89" s="63">
        <f>3715-469+348</f>
        <v>3594</v>
      </c>
      <c r="J89" s="63">
        <f>3105-603+291</f>
        <v>2793</v>
      </c>
      <c r="K89" s="63">
        <f>2501+234</f>
        <v>2735</v>
      </c>
      <c r="L89" s="63">
        <f>1884+177</f>
        <v>2061</v>
      </c>
      <c r="M89" s="63">
        <f>1275+119</f>
        <v>1394</v>
      </c>
      <c r="N89" s="63">
        <f>667+62</f>
        <v>729</v>
      </c>
      <c r="O89" s="63">
        <f>74+8</f>
        <v>82</v>
      </c>
      <c r="P89" s="63">
        <f t="shared" si="35"/>
        <v>18639</v>
      </c>
    </row>
    <row r="90" spans="1:16" ht="16.2" customHeight="1" x14ac:dyDescent="0.25">
      <c r="A90" s="135"/>
      <c r="B90" s="155"/>
      <c r="C90" s="156"/>
      <c r="D90" s="157"/>
      <c r="E90" s="162"/>
      <c r="F90" s="13"/>
      <c r="G90" s="13" t="s">
        <v>100</v>
      </c>
      <c r="H90" s="93">
        <f t="shared" ref="H90:O90" si="45">SUM(H88:H89)</f>
        <v>27779</v>
      </c>
      <c r="I90" s="93">
        <f t="shared" si="45"/>
        <v>26122</v>
      </c>
      <c r="J90" s="93">
        <f t="shared" si="45"/>
        <v>25321</v>
      </c>
      <c r="K90" s="93">
        <f t="shared" si="45"/>
        <v>25263</v>
      </c>
      <c r="L90" s="93">
        <f t="shared" si="45"/>
        <v>24589</v>
      </c>
      <c r="M90" s="93">
        <f t="shared" si="45"/>
        <v>23922</v>
      </c>
      <c r="N90" s="93">
        <f t="shared" si="45"/>
        <v>23257</v>
      </c>
      <c r="O90" s="93">
        <f t="shared" si="45"/>
        <v>5696</v>
      </c>
      <c r="P90" s="91">
        <f t="shared" si="35"/>
        <v>181949</v>
      </c>
    </row>
    <row r="91" spans="1:16" ht="14.25" customHeight="1" x14ac:dyDescent="0.25">
      <c r="A91" s="133">
        <f t="shared" ref="A91" si="46">A88+1</f>
        <v>28</v>
      </c>
      <c r="B91" s="155" t="s">
        <v>11</v>
      </c>
      <c r="C91" s="156" t="s">
        <v>70</v>
      </c>
      <c r="D91" s="171">
        <v>41019</v>
      </c>
      <c r="E91" s="162" t="s">
        <v>147</v>
      </c>
      <c r="F91" s="36" t="s">
        <v>175</v>
      </c>
      <c r="G91" s="11" t="s">
        <v>5</v>
      </c>
      <c r="H91" s="62">
        <v>2024</v>
      </c>
      <c r="I91" s="62">
        <v>2024</v>
      </c>
      <c r="J91" s="62">
        <v>2024</v>
      </c>
      <c r="K91" s="62">
        <v>2024</v>
      </c>
      <c r="L91" s="62">
        <v>2024</v>
      </c>
      <c r="M91" s="62">
        <v>2014</v>
      </c>
      <c r="N91" s="62">
        <v>0</v>
      </c>
      <c r="O91" s="62">
        <v>0</v>
      </c>
      <c r="P91" s="62">
        <f>SUM(H91:O91)</f>
        <v>12134</v>
      </c>
    </row>
    <row r="92" spans="1:16" ht="15.75" customHeight="1" x14ac:dyDescent="0.25">
      <c r="A92" s="134"/>
      <c r="B92" s="155"/>
      <c r="C92" s="156"/>
      <c r="D92" s="171"/>
      <c r="E92" s="162"/>
      <c r="F92" s="18" t="s">
        <v>176</v>
      </c>
      <c r="G92" s="15" t="s">
        <v>8</v>
      </c>
      <c r="H92" s="63">
        <f>394-19+30</f>
        <v>405</v>
      </c>
      <c r="I92" s="63">
        <f>265-43+25</f>
        <v>247</v>
      </c>
      <c r="J92" s="63">
        <f>210-41+20</f>
        <v>189</v>
      </c>
      <c r="K92" s="63">
        <f>156+14</f>
        <v>170</v>
      </c>
      <c r="L92" s="63">
        <f>101+9</f>
        <v>110</v>
      </c>
      <c r="M92" s="63">
        <f>46+4</f>
        <v>50</v>
      </c>
      <c r="N92" s="63">
        <v>3</v>
      </c>
      <c r="O92" s="63">
        <v>0</v>
      </c>
      <c r="P92" s="63">
        <f t="shared" si="35"/>
        <v>1174</v>
      </c>
    </row>
    <row r="93" spans="1:16" ht="15.75" customHeight="1" x14ac:dyDescent="0.25">
      <c r="A93" s="135"/>
      <c r="B93" s="155"/>
      <c r="C93" s="156"/>
      <c r="D93" s="171"/>
      <c r="E93" s="162"/>
      <c r="F93" s="13"/>
      <c r="G93" s="13" t="s">
        <v>100</v>
      </c>
      <c r="H93" s="93">
        <f t="shared" ref="H93:O93" si="47">SUM(H91:H92)</f>
        <v>2429</v>
      </c>
      <c r="I93" s="93">
        <f t="shared" si="47"/>
        <v>2271</v>
      </c>
      <c r="J93" s="93">
        <f t="shared" si="47"/>
        <v>2213</v>
      </c>
      <c r="K93" s="93">
        <f t="shared" si="47"/>
        <v>2194</v>
      </c>
      <c r="L93" s="93">
        <f t="shared" si="47"/>
        <v>2134</v>
      </c>
      <c r="M93" s="93">
        <f t="shared" si="47"/>
        <v>2064</v>
      </c>
      <c r="N93" s="93">
        <f t="shared" si="47"/>
        <v>3</v>
      </c>
      <c r="O93" s="93">
        <f t="shared" si="47"/>
        <v>0</v>
      </c>
      <c r="P93" s="91">
        <f t="shared" si="35"/>
        <v>13308</v>
      </c>
    </row>
    <row r="94" spans="1:16" ht="18.600000000000001" customHeight="1" x14ac:dyDescent="0.25">
      <c r="A94" s="133">
        <f t="shared" ref="A94" si="48">A91+1</f>
        <v>29</v>
      </c>
      <c r="B94" s="155" t="s">
        <v>11</v>
      </c>
      <c r="C94" s="156" t="s">
        <v>82</v>
      </c>
      <c r="D94" s="171">
        <v>41019</v>
      </c>
      <c r="E94" s="162" t="s">
        <v>177</v>
      </c>
      <c r="F94" s="36" t="s">
        <v>178</v>
      </c>
      <c r="G94" s="11" t="s">
        <v>5</v>
      </c>
      <c r="H94" s="62">
        <v>7968</v>
      </c>
      <c r="I94" s="62">
        <v>7968</v>
      </c>
      <c r="J94" s="62">
        <v>7968</v>
      </c>
      <c r="K94" s="62">
        <v>7968</v>
      </c>
      <c r="L94" s="62">
        <v>7968</v>
      </c>
      <c r="M94" s="62">
        <v>7968</v>
      </c>
      <c r="N94" s="62">
        <v>7968</v>
      </c>
      <c r="O94" s="62">
        <f>97538-7803+1890-7968</f>
        <v>83657</v>
      </c>
      <c r="P94" s="62">
        <f>SUM(H94:O94)</f>
        <v>139433</v>
      </c>
    </row>
    <row r="95" spans="1:16" ht="15.6" customHeight="1" x14ac:dyDescent="0.25">
      <c r="A95" s="134"/>
      <c r="B95" s="155"/>
      <c r="C95" s="156"/>
      <c r="D95" s="171"/>
      <c r="E95" s="162"/>
      <c r="F95" s="18" t="s">
        <v>179</v>
      </c>
      <c r="G95" s="15" t="s">
        <v>8</v>
      </c>
      <c r="H95" s="63">
        <f>4590-232+350</f>
        <v>4708</v>
      </c>
      <c r="I95" s="63">
        <f>3523-577+330</f>
        <v>3276</v>
      </c>
      <c r="J95" s="63">
        <f>3307-642+310</f>
        <v>2975</v>
      </c>
      <c r="K95" s="63">
        <f>3100+290</f>
        <v>3390</v>
      </c>
      <c r="L95" s="63">
        <f>2876+269</f>
        <v>3145</v>
      </c>
      <c r="M95" s="63">
        <f>2660+249</f>
        <v>2909</v>
      </c>
      <c r="N95" s="63">
        <f>2445+229</f>
        <v>2674</v>
      </c>
      <c r="O95" s="63">
        <f>11642+1188</f>
        <v>12830</v>
      </c>
      <c r="P95" s="63">
        <f t="shared" si="35"/>
        <v>35907</v>
      </c>
    </row>
    <row r="96" spans="1:16" ht="15" customHeight="1" x14ac:dyDescent="0.25">
      <c r="A96" s="135"/>
      <c r="B96" s="155"/>
      <c r="C96" s="156"/>
      <c r="D96" s="171"/>
      <c r="E96" s="162"/>
      <c r="F96" s="13"/>
      <c r="G96" s="13" t="s">
        <v>100</v>
      </c>
      <c r="H96" s="93">
        <f t="shared" ref="H96:O96" si="49">SUM(H94:H95)</f>
        <v>12676</v>
      </c>
      <c r="I96" s="93">
        <f t="shared" si="49"/>
        <v>11244</v>
      </c>
      <c r="J96" s="93">
        <f t="shared" si="49"/>
        <v>10943</v>
      </c>
      <c r="K96" s="93">
        <f t="shared" si="49"/>
        <v>11358</v>
      </c>
      <c r="L96" s="93">
        <f t="shared" si="49"/>
        <v>11113</v>
      </c>
      <c r="M96" s="93">
        <f t="shared" si="49"/>
        <v>10877</v>
      </c>
      <c r="N96" s="93">
        <f t="shared" si="49"/>
        <v>10642</v>
      </c>
      <c r="O96" s="93">
        <f t="shared" si="49"/>
        <v>96487</v>
      </c>
      <c r="P96" s="91">
        <f t="shared" si="35"/>
        <v>175340</v>
      </c>
    </row>
    <row r="97" spans="1:16" ht="16.2" customHeight="1" x14ac:dyDescent="0.25">
      <c r="A97" s="133">
        <f t="shared" ref="A97" si="50">A94+1</f>
        <v>30</v>
      </c>
      <c r="B97" s="155" t="s">
        <v>11</v>
      </c>
      <c r="C97" s="156" t="s">
        <v>71</v>
      </c>
      <c r="D97" s="171">
        <v>41019</v>
      </c>
      <c r="E97" s="162" t="s">
        <v>177</v>
      </c>
      <c r="F97" s="36" t="s">
        <v>180</v>
      </c>
      <c r="G97" s="11" t="s">
        <v>5</v>
      </c>
      <c r="H97" s="62">
        <v>3496</v>
      </c>
      <c r="I97" s="62">
        <v>3496</v>
      </c>
      <c r="J97" s="62">
        <v>3496</v>
      </c>
      <c r="K97" s="62">
        <v>3496</v>
      </c>
      <c r="L97" s="62">
        <v>3496</v>
      </c>
      <c r="M97" s="62">
        <v>3496</v>
      </c>
      <c r="N97" s="62">
        <v>3496</v>
      </c>
      <c r="O97" s="62">
        <f>42754-3421+814-3496</f>
        <v>36651</v>
      </c>
      <c r="P97" s="62">
        <f>SUM(H97:O97)</f>
        <v>61123</v>
      </c>
    </row>
    <row r="98" spans="1:16" ht="16.2" customHeight="1" x14ac:dyDescent="0.25">
      <c r="A98" s="134"/>
      <c r="B98" s="155"/>
      <c r="C98" s="156"/>
      <c r="D98" s="171"/>
      <c r="E98" s="162"/>
      <c r="F98" s="18" t="s">
        <v>181</v>
      </c>
      <c r="G98" s="15" t="s">
        <v>8</v>
      </c>
      <c r="H98" s="63">
        <f>2012-102+153</f>
        <v>2063</v>
      </c>
      <c r="I98" s="63">
        <f>1544-252+145</f>
        <v>1437</v>
      </c>
      <c r="J98" s="63">
        <f>1450-282+135</f>
        <v>1303</v>
      </c>
      <c r="K98" s="63">
        <f>1359+127</f>
        <v>1486</v>
      </c>
      <c r="L98" s="63">
        <f>1260+118</f>
        <v>1378</v>
      </c>
      <c r="M98" s="63">
        <f>1166+109</f>
        <v>1275</v>
      </c>
      <c r="N98" s="63">
        <f>1071+100</f>
        <v>1171</v>
      </c>
      <c r="O98" s="63">
        <f>5094+520</f>
        <v>5614</v>
      </c>
      <c r="P98" s="63">
        <f t="shared" si="35"/>
        <v>15727</v>
      </c>
    </row>
    <row r="99" spans="1:16" ht="16.2" customHeight="1" x14ac:dyDescent="0.25">
      <c r="A99" s="135"/>
      <c r="B99" s="164"/>
      <c r="C99" s="166"/>
      <c r="D99" s="172"/>
      <c r="E99" s="152"/>
      <c r="F99" s="23"/>
      <c r="G99" s="23" t="s">
        <v>100</v>
      </c>
      <c r="H99" s="93">
        <f t="shared" ref="H99:O99" si="51">SUM(H97:H98)</f>
        <v>5559</v>
      </c>
      <c r="I99" s="93">
        <f t="shared" si="51"/>
        <v>4933</v>
      </c>
      <c r="J99" s="93">
        <f t="shared" si="51"/>
        <v>4799</v>
      </c>
      <c r="K99" s="93">
        <f t="shared" si="51"/>
        <v>4982</v>
      </c>
      <c r="L99" s="93">
        <f t="shared" si="51"/>
        <v>4874</v>
      </c>
      <c r="M99" s="93">
        <f t="shared" si="51"/>
        <v>4771</v>
      </c>
      <c r="N99" s="93">
        <f t="shared" si="51"/>
        <v>4667</v>
      </c>
      <c r="O99" s="93">
        <f t="shared" si="51"/>
        <v>42265</v>
      </c>
      <c r="P99" s="91">
        <f t="shared" si="35"/>
        <v>76850</v>
      </c>
    </row>
    <row r="100" spans="1:16" ht="16.5" customHeight="1" x14ac:dyDescent="0.25">
      <c r="A100" s="133">
        <f t="shared" ref="A100" si="52">A97+1</f>
        <v>31</v>
      </c>
      <c r="B100" s="155" t="s">
        <v>11</v>
      </c>
      <c r="C100" s="156" t="s">
        <v>72</v>
      </c>
      <c r="D100" s="157">
        <v>41100</v>
      </c>
      <c r="E100" s="162" t="s">
        <v>182</v>
      </c>
      <c r="F100" s="36" t="s">
        <v>183</v>
      </c>
      <c r="G100" s="11" t="s">
        <v>5</v>
      </c>
      <c r="H100" s="62">
        <v>3648</v>
      </c>
      <c r="I100" s="62">
        <v>3648</v>
      </c>
      <c r="J100" s="62">
        <v>3648</v>
      </c>
      <c r="K100" s="62">
        <v>3648</v>
      </c>
      <c r="L100" s="62">
        <v>3648</v>
      </c>
      <c r="M100" s="62">
        <v>3648</v>
      </c>
      <c r="N100" s="62">
        <v>3648</v>
      </c>
      <c r="O100" s="62">
        <f>45426-3563+966-3648</f>
        <v>39181</v>
      </c>
      <c r="P100" s="62">
        <f>SUM(H100:O100)</f>
        <v>64717</v>
      </c>
    </row>
    <row r="101" spans="1:16" ht="15.75" customHeight="1" x14ac:dyDescent="0.25">
      <c r="A101" s="134"/>
      <c r="B101" s="155"/>
      <c r="C101" s="156"/>
      <c r="D101" s="157"/>
      <c r="E101" s="162"/>
      <c r="F101" s="18" t="s">
        <v>184</v>
      </c>
      <c r="G101" s="15" t="s">
        <v>8</v>
      </c>
      <c r="H101" s="63">
        <f>2269+162</f>
        <v>2431</v>
      </c>
      <c r="I101" s="63">
        <f>1637+153</f>
        <v>1790</v>
      </c>
      <c r="J101" s="63">
        <f>1538+144</f>
        <v>1682</v>
      </c>
      <c r="K101" s="63">
        <f>1443+135</f>
        <v>1578</v>
      </c>
      <c r="L101" s="63">
        <f>1340+126</f>
        <v>1466</v>
      </c>
      <c r="M101" s="63">
        <f>1242+116</f>
        <v>1358</v>
      </c>
      <c r="N101" s="63">
        <f>1143+107</f>
        <v>1250</v>
      </c>
      <c r="O101" s="63">
        <f>5571+568</f>
        <v>6139</v>
      </c>
      <c r="P101" s="63">
        <f t="shared" si="35"/>
        <v>17694</v>
      </c>
    </row>
    <row r="102" spans="1:16" ht="18" customHeight="1" x14ac:dyDescent="0.25">
      <c r="A102" s="135"/>
      <c r="B102" s="155"/>
      <c r="C102" s="156"/>
      <c r="D102" s="157"/>
      <c r="E102" s="162"/>
      <c r="F102" s="13"/>
      <c r="G102" s="13" t="s">
        <v>100</v>
      </c>
      <c r="H102" s="93">
        <f t="shared" ref="H102:O102" si="53">SUM(H100:H101)</f>
        <v>6079</v>
      </c>
      <c r="I102" s="93">
        <f t="shared" si="53"/>
        <v>5438</v>
      </c>
      <c r="J102" s="93">
        <f t="shared" si="53"/>
        <v>5330</v>
      </c>
      <c r="K102" s="93">
        <f t="shared" si="53"/>
        <v>5226</v>
      </c>
      <c r="L102" s="93">
        <f t="shared" si="53"/>
        <v>5114</v>
      </c>
      <c r="M102" s="93">
        <f t="shared" si="53"/>
        <v>5006</v>
      </c>
      <c r="N102" s="93">
        <f t="shared" si="53"/>
        <v>4898</v>
      </c>
      <c r="O102" s="93">
        <f t="shared" si="53"/>
        <v>45320</v>
      </c>
      <c r="P102" s="91">
        <f t="shared" si="35"/>
        <v>82411</v>
      </c>
    </row>
    <row r="103" spans="1:16" ht="15.75" customHeight="1" x14ac:dyDescent="0.25">
      <c r="A103" s="133">
        <f t="shared" ref="A103" si="54">A100+1</f>
        <v>32</v>
      </c>
      <c r="B103" s="155" t="s">
        <v>11</v>
      </c>
      <c r="C103" s="156" t="s">
        <v>73</v>
      </c>
      <c r="D103" s="157">
        <v>41142</v>
      </c>
      <c r="E103" s="162" t="s">
        <v>187</v>
      </c>
      <c r="F103" s="36" t="s">
        <v>185</v>
      </c>
      <c r="G103" s="11" t="s">
        <v>5</v>
      </c>
      <c r="H103" s="62">
        <v>5432</v>
      </c>
      <c r="I103" s="62">
        <v>5432</v>
      </c>
      <c r="J103" s="62">
        <v>5432</v>
      </c>
      <c r="K103" s="62">
        <v>5432</v>
      </c>
      <c r="L103" s="62">
        <v>5432</v>
      </c>
      <c r="M103" s="62">
        <v>5432</v>
      </c>
      <c r="N103" s="62">
        <v>5432</v>
      </c>
      <c r="O103" s="62">
        <f>67626-5304+1471-5432</f>
        <v>58361</v>
      </c>
      <c r="P103" s="62">
        <f>SUM(H103:O103)</f>
        <v>96385</v>
      </c>
    </row>
    <row r="104" spans="1:16" ht="15.75" customHeight="1" x14ac:dyDescent="0.25">
      <c r="A104" s="134"/>
      <c r="B104" s="155"/>
      <c r="C104" s="156"/>
      <c r="D104" s="157"/>
      <c r="E104" s="162"/>
      <c r="F104" s="18" t="s">
        <v>186</v>
      </c>
      <c r="G104" s="15" t="s">
        <v>8</v>
      </c>
      <c r="H104" s="63">
        <f>3287+242</f>
        <v>3529</v>
      </c>
      <c r="I104" s="63">
        <f>2438+228</f>
        <v>2666</v>
      </c>
      <c r="J104" s="63">
        <f>2291+215</f>
        <v>2506</v>
      </c>
      <c r="K104" s="63">
        <f>2149+201</f>
        <v>2350</v>
      </c>
      <c r="L104" s="63">
        <f>1997+187</f>
        <v>2184</v>
      </c>
      <c r="M104" s="63">
        <f>1850+173</f>
        <v>2023</v>
      </c>
      <c r="N104" s="63">
        <f>1703+159</f>
        <v>1862</v>
      </c>
      <c r="O104" s="63">
        <f>8302+847</f>
        <v>9149</v>
      </c>
      <c r="P104" s="63">
        <f t="shared" si="35"/>
        <v>26269</v>
      </c>
    </row>
    <row r="105" spans="1:16" ht="15.75" customHeight="1" x14ac:dyDescent="0.25">
      <c r="A105" s="135"/>
      <c r="B105" s="155"/>
      <c r="C105" s="156"/>
      <c r="D105" s="157"/>
      <c r="E105" s="162"/>
      <c r="F105" s="13"/>
      <c r="G105" s="13" t="s">
        <v>100</v>
      </c>
      <c r="H105" s="93">
        <f t="shared" ref="H105:O105" si="55">SUM(H103:H104)</f>
        <v>8961</v>
      </c>
      <c r="I105" s="93">
        <f t="shared" si="55"/>
        <v>8098</v>
      </c>
      <c r="J105" s="93">
        <f t="shared" si="55"/>
        <v>7938</v>
      </c>
      <c r="K105" s="93">
        <f t="shared" si="55"/>
        <v>7782</v>
      </c>
      <c r="L105" s="93">
        <f t="shared" si="55"/>
        <v>7616</v>
      </c>
      <c r="M105" s="93">
        <f t="shared" si="55"/>
        <v>7455</v>
      </c>
      <c r="N105" s="93">
        <f t="shared" si="55"/>
        <v>7294</v>
      </c>
      <c r="O105" s="93">
        <f t="shared" si="55"/>
        <v>67510</v>
      </c>
      <c r="P105" s="91">
        <f t="shared" si="35"/>
        <v>122654</v>
      </c>
    </row>
    <row r="106" spans="1:16" ht="17.25" customHeight="1" x14ac:dyDescent="0.25">
      <c r="A106" s="133">
        <f t="shared" ref="A106" si="56">A103+1</f>
        <v>33</v>
      </c>
      <c r="B106" s="155" t="s">
        <v>11</v>
      </c>
      <c r="C106" s="156" t="s">
        <v>16</v>
      </c>
      <c r="D106" s="157">
        <v>41150</v>
      </c>
      <c r="E106" s="162" t="s">
        <v>190</v>
      </c>
      <c r="F106" s="36" t="s">
        <v>188</v>
      </c>
      <c r="G106" s="11" t="s">
        <v>5</v>
      </c>
      <c r="H106" s="62">
        <v>6872</v>
      </c>
      <c r="I106" s="62">
        <v>6872</v>
      </c>
      <c r="J106" s="62">
        <v>5144</v>
      </c>
      <c r="K106" s="62">
        <v>0</v>
      </c>
      <c r="L106" s="62">
        <v>0</v>
      </c>
      <c r="M106" s="62">
        <v>0</v>
      </c>
      <c r="N106" s="62">
        <v>0</v>
      </c>
      <c r="O106" s="94">
        <v>0</v>
      </c>
      <c r="P106" s="62">
        <f>SUM(H106:O106)</f>
        <v>18888</v>
      </c>
    </row>
    <row r="107" spans="1:16" ht="15.75" customHeight="1" x14ac:dyDescent="0.25">
      <c r="A107" s="134"/>
      <c r="B107" s="155"/>
      <c r="C107" s="156"/>
      <c r="D107" s="157"/>
      <c r="E107" s="162"/>
      <c r="F107" s="37" t="s">
        <v>189</v>
      </c>
      <c r="G107" s="15" t="s">
        <v>8</v>
      </c>
      <c r="H107" s="63">
        <f>594+45</f>
        <v>639</v>
      </c>
      <c r="I107" s="63">
        <f>296+28</f>
        <v>324</v>
      </c>
      <c r="J107" s="63">
        <f>106+10</f>
        <v>116</v>
      </c>
      <c r="K107" s="63">
        <v>0</v>
      </c>
      <c r="L107" s="63">
        <v>0</v>
      </c>
      <c r="M107" s="63">
        <v>0</v>
      </c>
      <c r="N107" s="63">
        <v>0</v>
      </c>
      <c r="O107" s="92">
        <v>0</v>
      </c>
      <c r="P107" s="63">
        <f t="shared" si="35"/>
        <v>1079</v>
      </c>
    </row>
    <row r="108" spans="1:16" ht="16.5" customHeight="1" x14ac:dyDescent="0.25">
      <c r="A108" s="135"/>
      <c r="B108" s="155"/>
      <c r="C108" s="156"/>
      <c r="D108" s="157"/>
      <c r="E108" s="162"/>
      <c r="F108" s="13"/>
      <c r="G108" s="13" t="s">
        <v>100</v>
      </c>
      <c r="H108" s="93">
        <f t="shared" ref="H108:O108" si="57">SUM(H106:H107)</f>
        <v>7511</v>
      </c>
      <c r="I108" s="93">
        <f t="shared" si="57"/>
        <v>7196</v>
      </c>
      <c r="J108" s="93">
        <f t="shared" si="57"/>
        <v>5260</v>
      </c>
      <c r="K108" s="93">
        <f t="shared" si="57"/>
        <v>0</v>
      </c>
      <c r="L108" s="93">
        <f t="shared" si="57"/>
        <v>0</v>
      </c>
      <c r="M108" s="93">
        <f t="shared" si="57"/>
        <v>0</v>
      </c>
      <c r="N108" s="93">
        <f t="shared" si="57"/>
        <v>0</v>
      </c>
      <c r="O108" s="93">
        <f t="shared" si="57"/>
        <v>0</v>
      </c>
      <c r="P108" s="91">
        <f t="shared" si="35"/>
        <v>19967</v>
      </c>
    </row>
    <row r="109" spans="1:16" ht="16.2" customHeight="1" x14ac:dyDescent="0.25">
      <c r="A109" s="133">
        <f t="shared" ref="A109" si="58">A106+1</f>
        <v>34</v>
      </c>
      <c r="B109" s="155" t="s">
        <v>11</v>
      </c>
      <c r="C109" s="156" t="s">
        <v>17</v>
      </c>
      <c r="D109" s="157">
        <v>41211</v>
      </c>
      <c r="E109" s="162" t="s">
        <v>191</v>
      </c>
      <c r="F109" s="36" t="s">
        <v>192</v>
      </c>
      <c r="G109" s="11" t="s">
        <v>5</v>
      </c>
      <c r="H109" s="62">
        <v>6676</v>
      </c>
      <c r="I109" s="62">
        <v>6676</v>
      </c>
      <c r="J109" s="62">
        <v>6673</v>
      </c>
      <c r="K109" s="62">
        <v>0</v>
      </c>
      <c r="L109" s="62">
        <v>0</v>
      </c>
      <c r="M109" s="62">
        <v>0</v>
      </c>
      <c r="N109" s="62">
        <v>0</v>
      </c>
      <c r="O109" s="94">
        <v>0</v>
      </c>
      <c r="P109" s="62">
        <f>SUM(H109:O109)</f>
        <v>20025</v>
      </c>
    </row>
    <row r="110" spans="1:16" ht="17.25" customHeight="1" x14ac:dyDescent="0.25">
      <c r="A110" s="134"/>
      <c r="B110" s="155"/>
      <c r="C110" s="156"/>
      <c r="D110" s="157"/>
      <c r="E110" s="162"/>
      <c r="F110" s="18" t="s">
        <v>193</v>
      </c>
      <c r="G110" s="15" t="s">
        <v>8</v>
      </c>
      <c r="H110" s="63">
        <f>566+48</f>
        <v>614</v>
      </c>
      <c r="I110" s="63">
        <f>335+31</f>
        <v>366</v>
      </c>
      <c r="J110" s="63">
        <f>153+14</f>
        <v>167</v>
      </c>
      <c r="K110" s="63">
        <v>3</v>
      </c>
      <c r="L110" s="63">
        <v>0</v>
      </c>
      <c r="M110" s="63">
        <v>0</v>
      </c>
      <c r="N110" s="63">
        <v>0</v>
      </c>
      <c r="O110" s="92">
        <v>0</v>
      </c>
      <c r="P110" s="63">
        <f t="shared" si="35"/>
        <v>1150</v>
      </c>
    </row>
    <row r="111" spans="1:16" ht="17.25" customHeight="1" x14ac:dyDescent="0.25">
      <c r="A111" s="135"/>
      <c r="B111" s="164"/>
      <c r="C111" s="166"/>
      <c r="D111" s="159"/>
      <c r="E111" s="152"/>
      <c r="F111" s="23"/>
      <c r="G111" s="23" t="s">
        <v>100</v>
      </c>
      <c r="H111" s="93">
        <f t="shared" ref="H111:O111" si="59">SUM(H109:H110)</f>
        <v>7290</v>
      </c>
      <c r="I111" s="93">
        <f t="shared" si="59"/>
        <v>7042</v>
      </c>
      <c r="J111" s="93">
        <f t="shared" si="59"/>
        <v>6840</v>
      </c>
      <c r="K111" s="93">
        <f t="shared" si="59"/>
        <v>3</v>
      </c>
      <c r="L111" s="93">
        <f t="shared" si="59"/>
        <v>0</v>
      </c>
      <c r="M111" s="93">
        <f t="shared" si="59"/>
        <v>0</v>
      </c>
      <c r="N111" s="93">
        <f t="shared" si="59"/>
        <v>0</v>
      </c>
      <c r="O111" s="93">
        <f t="shared" si="59"/>
        <v>0</v>
      </c>
      <c r="P111" s="91">
        <f t="shared" si="35"/>
        <v>21175</v>
      </c>
    </row>
    <row r="112" spans="1:16" ht="19.95" customHeight="1" x14ac:dyDescent="0.25">
      <c r="A112" s="133">
        <f t="shared" ref="A112" si="60">A109+1</f>
        <v>35</v>
      </c>
      <c r="B112" s="155" t="s">
        <v>11</v>
      </c>
      <c r="C112" s="156" t="s">
        <v>18</v>
      </c>
      <c r="D112" s="157">
        <v>41229</v>
      </c>
      <c r="E112" s="162" t="s">
        <v>194</v>
      </c>
      <c r="F112" s="36" t="s">
        <v>195</v>
      </c>
      <c r="G112" s="11" t="s">
        <v>5</v>
      </c>
      <c r="H112" s="62">
        <v>7528</v>
      </c>
      <c r="I112" s="62">
        <v>7528</v>
      </c>
      <c r="J112" s="62">
        <v>7527</v>
      </c>
      <c r="K112" s="62">
        <v>0</v>
      </c>
      <c r="L112" s="62">
        <v>0</v>
      </c>
      <c r="M112" s="62">
        <v>0</v>
      </c>
      <c r="N112" s="62">
        <v>0</v>
      </c>
      <c r="O112" s="94">
        <v>0</v>
      </c>
      <c r="P112" s="62">
        <f>SUM(H112:O112)</f>
        <v>22583</v>
      </c>
    </row>
    <row r="113" spans="1:16" ht="15.75" customHeight="1" x14ac:dyDescent="0.25">
      <c r="A113" s="134"/>
      <c r="B113" s="155"/>
      <c r="C113" s="156"/>
      <c r="D113" s="157"/>
      <c r="E113" s="162"/>
      <c r="F113" s="18" t="s">
        <v>196</v>
      </c>
      <c r="G113" s="15" t="s">
        <v>8</v>
      </c>
      <c r="H113" s="63">
        <f>622+54</f>
        <v>676</v>
      </c>
      <c r="I113" s="63">
        <f>376+35</f>
        <v>411</v>
      </c>
      <c r="J113" s="63">
        <f>172+16</f>
        <v>188</v>
      </c>
      <c r="K113" s="63">
        <v>11</v>
      </c>
      <c r="L113" s="63">
        <v>0</v>
      </c>
      <c r="M113" s="63">
        <v>0</v>
      </c>
      <c r="N113" s="63">
        <v>0</v>
      </c>
      <c r="O113" s="92">
        <v>0</v>
      </c>
      <c r="P113" s="63">
        <f t="shared" si="35"/>
        <v>1286</v>
      </c>
    </row>
    <row r="114" spans="1:16" ht="15.75" customHeight="1" x14ac:dyDescent="0.25">
      <c r="A114" s="135"/>
      <c r="B114" s="155"/>
      <c r="C114" s="156"/>
      <c r="D114" s="157"/>
      <c r="E114" s="162"/>
      <c r="F114" s="13"/>
      <c r="G114" s="13" t="s">
        <v>100</v>
      </c>
      <c r="H114" s="93">
        <f t="shared" ref="H114:O114" si="61">SUM(H112:H113)</f>
        <v>8204</v>
      </c>
      <c r="I114" s="93">
        <f t="shared" si="61"/>
        <v>7939</v>
      </c>
      <c r="J114" s="93">
        <f t="shared" si="61"/>
        <v>7715</v>
      </c>
      <c r="K114" s="93">
        <f t="shared" si="61"/>
        <v>11</v>
      </c>
      <c r="L114" s="93">
        <f t="shared" si="61"/>
        <v>0</v>
      </c>
      <c r="M114" s="93">
        <f t="shared" si="61"/>
        <v>0</v>
      </c>
      <c r="N114" s="93">
        <f t="shared" si="61"/>
        <v>0</v>
      </c>
      <c r="O114" s="93">
        <f t="shared" si="61"/>
        <v>0</v>
      </c>
      <c r="P114" s="91">
        <f t="shared" si="35"/>
        <v>23869</v>
      </c>
    </row>
    <row r="115" spans="1:16" ht="16.5" customHeight="1" x14ac:dyDescent="0.25">
      <c r="A115" s="133">
        <f t="shared" ref="A115" si="62">A112+1</f>
        <v>36</v>
      </c>
      <c r="B115" s="155" t="s">
        <v>11</v>
      </c>
      <c r="C115" s="156" t="s">
        <v>17</v>
      </c>
      <c r="D115" s="157">
        <v>41311</v>
      </c>
      <c r="E115" s="162" t="s">
        <v>199</v>
      </c>
      <c r="F115" s="36" t="s">
        <v>197</v>
      </c>
      <c r="G115" s="11" t="s">
        <v>5</v>
      </c>
      <c r="H115" s="62">
        <v>22428</v>
      </c>
      <c r="I115" s="62">
        <v>22428</v>
      </c>
      <c r="J115" s="62">
        <v>22428</v>
      </c>
      <c r="K115" s="62">
        <f>5544+62</f>
        <v>5606</v>
      </c>
      <c r="L115" s="62">
        <v>0</v>
      </c>
      <c r="M115" s="62">
        <v>0</v>
      </c>
      <c r="N115" s="62">
        <v>0</v>
      </c>
      <c r="O115" s="62">
        <v>0</v>
      </c>
      <c r="P115" s="62">
        <f>SUM(H115:O115)</f>
        <v>72890</v>
      </c>
    </row>
    <row r="116" spans="1:16" ht="15" customHeight="1" x14ac:dyDescent="0.25">
      <c r="A116" s="134"/>
      <c r="B116" s="155"/>
      <c r="C116" s="156"/>
      <c r="D116" s="157"/>
      <c r="E116" s="162"/>
      <c r="F116" s="18" t="s">
        <v>198</v>
      </c>
      <c r="G116" s="15" t="s">
        <v>8</v>
      </c>
      <c r="H116" s="63">
        <f>2172+8+176</f>
        <v>2356</v>
      </c>
      <c r="I116" s="63">
        <f>1272-145+119</f>
        <v>1246</v>
      </c>
      <c r="J116" s="63">
        <f>665-129+62</f>
        <v>598</v>
      </c>
      <c r="K116" s="63">
        <f>79+8</f>
        <v>87</v>
      </c>
      <c r="L116" s="63">
        <v>0</v>
      </c>
      <c r="M116" s="63">
        <v>0</v>
      </c>
      <c r="N116" s="63">
        <v>0</v>
      </c>
      <c r="O116" s="63">
        <v>0</v>
      </c>
      <c r="P116" s="63">
        <f t="shared" si="35"/>
        <v>4287</v>
      </c>
    </row>
    <row r="117" spans="1:16" ht="15" customHeight="1" x14ac:dyDescent="0.25">
      <c r="A117" s="135"/>
      <c r="B117" s="155"/>
      <c r="C117" s="156"/>
      <c r="D117" s="157"/>
      <c r="E117" s="162"/>
      <c r="F117" s="13"/>
      <c r="G117" s="13" t="s">
        <v>100</v>
      </c>
      <c r="H117" s="93">
        <f t="shared" ref="H117:O117" si="63">SUM(H115:H116)</f>
        <v>24784</v>
      </c>
      <c r="I117" s="93">
        <f t="shared" si="63"/>
        <v>23674</v>
      </c>
      <c r="J117" s="93">
        <f t="shared" si="63"/>
        <v>23026</v>
      </c>
      <c r="K117" s="93">
        <f t="shared" si="63"/>
        <v>5693</v>
      </c>
      <c r="L117" s="93">
        <f t="shared" si="63"/>
        <v>0</v>
      </c>
      <c r="M117" s="93">
        <f t="shared" si="63"/>
        <v>0</v>
      </c>
      <c r="N117" s="93">
        <f t="shared" si="63"/>
        <v>0</v>
      </c>
      <c r="O117" s="93">
        <f t="shared" si="63"/>
        <v>0</v>
      </c>
      <c r="P117" s="91">
        <f t="shared" si="35"/>
        <v>77177</v>
      </c>
    </row>
    <row r="118" spans="1:16" ht="16.95" customHeight="1" x14ac:dyDescent="0.25">
      <c r="A118" s="133">
        <f t="shared" ref="A118" si="64">A115+1</f>
        <v>37</v>
      </c>
      <c r="B118" s="155" t="s">
        <v>11</v>
      </c>
      <c r="C118" s="156" t="s">
        <v>74</v>
      </c>
      <c r="D118" s="157">
        <v>41474</v>
      </c>
      <c r="E118" s="162" t="s">
        <v>200</v>
      </c>
      <c r="F118" s="36" t="s">
        <v>201</v>
      </c>
      <c r="G118" s="11" t="s">
        <v>5</v>
      </c>
      <c r="H118" s="62">
        <v>4328</v>
      </c>
      <c r="I118" s="62">
        <v>4328</v>
      </c>
      <c r="J118" s="62">
        <v>4328</v>
      </c>
      <c r="K118" s="62">
        <v>4328</v>
      </c>
      <c r="L118" s="62">
        <v>4328</v>
      </c>
      <c r="M118" s="62">
        <v>4328</v>
      </c>
      <c r="N118" s="62">
        <v>4328</v>
      </c>
      <c r="O118" s="62">
        <f>58135-4228+1231-4328</f>
        <v>50810</v>
      </c>
      <c r="P118" s="62">
        <f>SUM(H118:O118)</f>
        <v>81106</v>
      </c>
    </row>
    <row r="119" spans="1:16" ht="15.75" customHeight="1" x14ac:dyDescent="0.25">
      <c r="A119" s="134"/>
      <c r="B119" s="155"/>
      <c r="C119" s="156"/>
      <c r="D119" s="157"/>
      <c r="E119" s="162"/>
      <c r="F119" s="18" t="s">
        <v>202</v>
      </c>
      <c r="G119" s="15" t="s">
        <v>8</v>
      </c>
      <c r="H119" s="63">
        <f>2833+204</f>
        <v>3037</v>
      </c>
      <c r="I119" s="63">
        <f>2059+193</f>
        <v>2252</v>
      </c>
      <c r="J119" s="63">
        <f>1942+182</f>
        <v>2124</v>
      </c>
      <c r="K119" s="63">
        <f>1829+171</f>
        <v>2000</v>
      </c>
      <c r="L119" s="63">
        <f>1707+160</f>
        <v>1867</v>
      </c>
      <c r="M119" s="63">
        <f>1590+149</f>
        <v>1739</v>
      </c>
      <c r="N119" s="63">
        <f>1473+138</f>
        <v>1611</v>
      </c>
      <c r="O119" s="64">
        <f>7855+801</f>
        <v>8656</v>
      </c>
      <c r="P119" s="63">
        <f t="shared" si="35"/>
        <v>23286</v>
      </c>
    </row>
    <row r="120" spans="1:16" ht="15.75" customHeight="1" x14ac:dyDescent="0.25">
      <c r="A120" s="135"/>
      <c r="B120" s="155"/>
      <c r="C120" s="156"/>
      <c r="D120" s="157"/>
      <c r="E120" s="162"/>
      <c r="F120" s="13"/>
      <c r="G120" s="13" t="s">
        <v>100</v>
      </c>
      <c r="H120" s="93">
        <f t="shared" ref="H120:O120" si="65">SUM(H118:H119)</f>
        <v>7365</v>
      </c>
      <c r="I120" s="93">
        <f t="shared" si="65"/>
        <v>6580</v>
      </c>
      <c r="J120" s="93">
        <f t="shared" si="65"/>
        <v>6452</v>
      </c>
      <c r="K120" s="93">
        <f t="shared" si="65"/>
        <v>6328</v>
      </c>
      <c r="L120" s="93">
        <f t="shared" si="65"/>
        <v>6195</v>
      </c>
      <c r="M120" s="93">
        <f t="shared" si="65"/>
        <v>6067</v>
      </c>
      <c r="N120" s="93">
        <f t="shared" si="65"/>
        <v>5939</v>
      </c>
      <c r="O120" s="93">
        <f t="shared" si="65"/>
        <v>59466</v>
      </c>
      <c r="P120" s="91">
        <f t="shared" si="35"/>
        <v>104392</v>
      </c>
    </row>
    <row r="121" spans="1:16" ht="18.600000000000001" customHeight="1" x14ac:dyDescent="0.25">
      <c r="A121" s="133">
        <f t="shared" ref="A121" si="66">A118+1</f>
        <v>38</v>
      </c>
      <c r="B121" s="155" t="s">
        <v>11</v>
      </c>
      <c r="C121" s="156" t="s">
        <v>76</v>
      </c>
      <c r="D121" s="171">
        <v>41897</v>
      </c>
      <c r="E121" s="162" t="s">
        <v>204</v>
      </c>
      <c r="F121" s="36" t="s">
        <v>205</v>
      </c>
      <c r="G121" s="11" t="s">
        <v>5</v>
      </c>
      <c r="H121" s="62">
        <v>2000</v>
      </c>
      <c r="I121" s="62">
        <v>2000</v>
      </c>
      <c r="J121" s="62">
        <v>2000</v>
      </c>
      <c r="K121" s="62">
        <v>2000</v>
      </c>
      <c r="L121" s="62">
        <v>2000</v>
      </c>
      <c r="M121" s="62">
        <v>1999</v>
      </c>
      <c r="N121" s="62">
        <v>0</v>
      </c>
      <c r="O121" s="62">
        <v>0</v>
      </c>
      <c r="P121" s="62">
        <f>SUM(H121:O121)</f>
        <v>11999</v>
      </c>
    </row>
    <row r="122" spans="1:16" ht="17.25" customHeight="1" x14ac:dyDescent="0.25">
      <c r="A122" s="134"/>
      <c r="B122" s="155"/>
      <c r="C122" s="156"/>
      <c r="D122" s="171"/>
      <c r="E122" s="162"/>
      <c r="F122" s="18" t="s">
        <v>206</v>
      </c>
      <c r="G122" s="15" t="s">
        <v>8</v>
      </c>
      <c r="H122" s="63">
        <f>390+30</f>
        <v>420</v>
      </c>
      <c r="I122" s="63">
        <f>262+25</f>
        <v>287</v>
      </c>
      <c r="J122" s="63">
        <f>208+20</f>
        <v>228</v>
      </c>
      <c r="K122" s="63">
        <f>154+14</f>
        <v>168</v>
      </c>
      <c r="L122" s="64">
        <f>100+9</f>
        <v>109</v>
      </c>
      <c r="M122" s="64">
        <f>46+4</f>
        <v>50</v>
      </c>
      <c r="N122" s="64">
        <v>3</v>
      </c>
      <c r="O122" s="95">
        <v>0</v>
      </c>
      <c r="P122" s="63">
        <f t="shared" si="35"/>
        <v>1265</v>
      </c>
    </row>
    <row r="123" spans="1:16" ht="15" customHeight="1" x14ac:dyDescent="0.25">
      <c r="A123" s="135"/>
      <c r="B123" s="164"/>
      <c r="C123" s="166"/>
      <c r="D123" s="172"/>
      <c r="E123" s="152"/>
      <c r="F123" s="23"/>
      <c r="G123" s="23" t="s">
        <v>100</v>
      </c>
      <c r="H123" s="93">
        <f t="shared" ref="H123:O123" si="67">SUM(H121:H122)</f>
        <v>2420</v>
      </c>
      <c r="I123" s="93">
        <f t="shared" si="67"/>
        <v>2287</v>
      </c>
      <c r="J123" s="93">
        <f t="shared" si="67"/>
        <v>2228</v>
      </c>
      <c r="K123" s="93">
        <f t="shared" si="67"/>
        <v>2168</v>
      </c>
      <c r="L123" s="93">
        <f t="shared" si="67"/>
        <v>2109</v>
      </c>
      <c r="M123" s="93">
        <f t="shared" si="67"/>
        <v>2049</v>
      </c>
      <c r="N123" s="93">
        <f t="shared" si="67"/>
        <v>3</v>
      </c>
      <c r="O123" s="93">
        <f t="shared" si="67"/>
        <v>0</v>
      </c>
      <c r="P123" s="91">
        <f t="shared" si="35"/>
        <v>13264</v>
      </c>
    </row>
    <row r="124" spans="1:16" ht="17.25" customHeight="1" x14ac:dyDescent="0.25">
      <c r="A124" s="133">
        <f t="shared" ref="A124" si="68">A121+1</f>
        <v>39</v>
      </c>
      <c r="B124" s="155" t="s">
        <v>11</v>
      </c>
      <c r="C124" s="156" t="s">
        <v>19</v>
      </c>
      <c r="D124" s="157">
        <v>41696</v>
      </c>
      <c r="E124" s="162" t="s">
        <v>209</v>
      </c>
      <c r="F124" s="36" t="s">
        <v>207</v>
      </c>
      <c r="G124" s="11" t="s">
        <v>5</v>
      </c>
      <c r="H124" s="62">
        <v>122264</v>
      </c>
      <c r="I124" s="62">
        <v>122264</v>
      </c>
      <c r="J124" s="62">
        <v>122264</v>
      </c>
      <c r="K124" s="62">
        <v>122264</v>
      </c>
      <c r="L124" s="62">
        <v>30554</v>
      </c>
      <c r="M124" s="62">
        <v>0</v>
      </c>
      <c r="N124" s="62">
        <v>0</v>
      </c>
      <c r="O124" s="62">
        <v>0</v>
      </c>
      <c r="P124" s="62">
        <f>SUM(H124:O124)</f>
        <v>519610</v>
      </c>
    </row>
    <row r="125" spans="1:16" ht="15.75" customHeight="1" x14ac:dyDescent="0.25">
      <c r="A125" s="134"/>
      <c r="B125" s="155"/>
      <c r="C125" s="156"/>
      <c r="D125" s="157"/>
      <c r="E125" s="162"/>
      <c r="F125" s="18" t="s">
        <v>208</v>
      </c>
      <c r="G125" s="15" t="s">
        <v>8</v>
      </c>
      <c r="H125" s="63">
        <f>16036-187+1268</f>
        <v>17117</v>
      </c>
      <c r="I125" s="63">
        <f>10241-1217+960</f>
        <v>9984</v>
      </c>
      <c r="J125" s="63">
        <f>6931-1345+650</f>
        <v>6236</v>
      </c>
      <c r="K125" s="63">
        <f>3626+340</f>
        <v>3966</v>
      </c>
      <c r="L125" s="64">
        <f>503+47</f>
        <v>550</v>
      </c>
      <c r="M125" s="64">
        <v>0</v>
      </c>
      <c r="N125" s="63">
        <v>0</v>
      </c>
      <c r="O125" s="63">
        <v>0</v>
      </c>
      <c r="P125" s="63">
        <f t="shared" si="35"/>
        <v>37853</v>
      </c>
    </row>
    <row r="126" spans="1:16" ht="15" customHeight="1" x14ac:dyDescent="0.25">
      <c r="A126" s="135"/>
      <c r="B126" s="155"/>
      <c r="C126" s="156"/>
      <c r="D126" s="157"/>
      <c r="E126" s="162"/>
      <c r="F126" s="13"/>
      <c r="G126" s="13" t="s">
        <v>100</v>
      </c>
      <c r="H126" s="93">
        <f t="shared" ref="H126:O126" si="69">SUM(H124:H125)</f>
        <v>139381</v>
      </c>
      <c r="I126" s="93">
        <f t="shared" si="69"/>
        <v>132248</v>
      </c>
      <c r="J126" s="93">
        <f t="shared" si="69"/>
        <v>128500</v>
      </c>
      <c r="K126" s="93">
        <f t="shared" si="69"/>
        <v>126230</v>
      </c>
      <c r="L126" s="93">
        <f t="shared" si="69"/>
        <v>31104</v>
      </c>
      <c r="M126" s="93">
        <f t="shared" si="69"/>
        <v>0</v>
      </c>
      <c r="N126" s="93">
        <f t="shared" si="69"/>
        <v>0</v>
      </c>
      <c r="O126" s="93">
        <f t="shared" si="69"/>
        <v>0</v>
      </c>
      <c r="P126" s="91">
        <f t="shared" si="35"/>
        <v>557463</v>
      </c>
    </row>
    <row r="127" spans="1:16" ht="18" customHeight="1" x14ac:dyDescent="0.25">
      <c r="A127" s="133">
        <f t="shared" ref="A127" si="70">A124+1</f>
        <v>40</v>
      </c>
      <c r="B127" s="155" t="s">
        <v>11</v>
      </c>
      <c r="C127" s="163" t="s">
        <v>203</v>
      </c>
      <c r="D127" s="157">
        <v>41752</v>
      </c>
      <c r="E127" s="162" t="s">
        <v>210</v>
      </c>
      <c r="F127" s="36" t="s">
        <v>211</v>
      </c>
      <c r="G127" s="11" t="s">
        <v>5</v>
      </c>
      <c r="H127" s="62">
        <v>11044</v>
      </c>
      <c r="I127" s="62">
        <v>11044</v>
      </c>
      <c r="J127" s="62">
        <v>11044</v>
      </c>
      <c r="K127" s="62">
        <v>11044</v>
      </c>
      <c r="L127" s="62">
        <v>11044</v>
      </c>
      <c r="M127" s="62">
        <v>11044</v>
      </c>
      <c r="N127" s="62">
        <v>11044</v>
      </c>
      <c r="O127" s="62">
        <f>48654-10812+808-11044</f>
        <v>27606</v>
      </c>
      <c r="P127" s="62">
        <f>SUM(H127:O127)</f>
        <v>104914</v>
      </c>
    </row>
    <row r="128" spans="1:16" ht="15.75" customHeight="1" x14ac:dyDescent="0.25">
      <c r="A128" s="134"/>
      <c r="B128" s="155"/>
      <c r="C128" s="163"/>
      <c r="D128" s="157"/>
      <c r="E128" s="162"/>
      <c r="F128" s="37" t="s">
        <v>212</v>
      </c>
      <c r="G128" s="15" t="s">
        <v>8</v>
      </c>
      <c r="H128" s="63">
        <f>3438-170+261</f>
        <v>3529</v>
      </c>
      <c r="I128" s="63">
        <f>2493-406+234</f>
        <v>2321</v>
      </c>
      <c r="J128" s="63">
        <f>2194-426+206</f>
        <v>1974</v>
      </c>
      <c r="K128" s="63">
        <f>1900+178</f>
        <v>2078</v>
      </c>
      <c r="L128" s="64">
        <f>1596+150</f>
        <v>1746</v>
      </c>
      <c r="M128" s="64">
        <f>1297+122</f>
        <v>1419</v>
      </c>
      <c r="N128" s="64">
        <f>999+94</f>
        <v>1093</v>
      </c>
      <c r="O128" s="64">
        <f>1099+112</f>
        <v>1211</v>
      </c>
      <c r="P128" s="63">
        <f t="shared" si="35"/>
        <v>15371</v>
      </c>
    </row>
    <row r="129" spans="1:16" ht="15.75" customHeight="1" x14ac:dyDescent="0.25">
      <c r="A129" s="135"/>
      <c r="B129" s="155"/>
      <c r="C129" s="163"/>
      <c r="D129" s="157"/>
      <c r="E129" s="162"/>
      <c r="F129" s="13"/>
      <c r="G129" s="13" t="s">
        <v>100</v>
      </c>
      <c r="H129" s="93">
        <f t="shared" ref="H129:O129" si="71">SUM(H127:H128)</f>
        <v>14573</v>
      </c>
      <c r="I129" s="93">
        <f t="shared" si="71"/>
        <v>13365</v>
      </c>
      <c r="J129" s="93">
        <f t="shared" si="71"/>
        <v>13018</v>
      </c>
      <c r="K129" s="93">
        <f t="shared" si="71"/>
        <v>13122</v>
      </c>
      <c r="L129" s="93">
        <f t="shared" si="71"/>
        <v>12790</v>
      </c>
      <c r="M129" s="93">
        <f t="shared" si="71"/>
        <v>12463</v>
      </c>
      <c r="N129" s="93">
        <f t="shared" si="71"/>
        <v>12137</v>
      </c>
      <c r="O129" s="93">
        <f t="shared" si="71"/>
        <v>28817</v>
      </c>
      <c r="P129" s="91">
        <f t="shared" si="35"/>
        <v>120285</v>
      </c>
    </row>
    <row r="130" spans="1:16" ht="18.600000000000001" customHeight="1" x14ac:dyDescent="0.25">
      <c r="A130" s="133">
        <f t="shared" ref="A130" si="72">A127+1</f>
        <v>41</v>
      </c>
      <c r="B130" s="155" t="s">
        <v>11</v>
      </c>
      <c r="C130" s="156" t="s">
        <v>572</v>
      </c>
      <c r="D130" s="157">
        <v>41851</v>
      </c>
      <c r="E130" s="162" t="s">
        <v>217</v>
      </c>
      <c r="F130" s="36" t="s">
        <v>213</v>
      </c>
      <c r="G130" s="11" t="s">
        <v>5</v>
      </c>
      <c r="H130" s="62">
        <v>12484</v>
      </c>
      <c r="I130" s="62">
        <v>12484</v>
      </c>
      <c r="J130" s="62">
        <v>12484</v>
      </c>
      <c r="K130" s="62">
        <v>12484</v>
      </c>
      <c r="L130" s="62">
        <v>12484</v>
      </c>
      <c r="M130" s="62">
        <v>12484</v>
      </c>
      <c r="N130" s="62">
        <v>12484</v>
      </c>
      <c r="O130" s="62">
        <f>180009-12204+3842-12484</f>
        <v>159163</v>
      </c>
      <c r="P130" s="62">
        <f>SUM(H130:O130)</f>
        <v>246551</v>
      </c>
    </row>
    <row r="131" spans="1:16" ht="15.75" customHeight="1" x14ac:dyDescent="0.25">
      <c r="A131" s="134"/>
      <c r="B131" s="155"/>
      <c r="C131" s="156"/>
      <c r="D131" s="157"/>
      <c r="E131" s="162"/>
      <c r="F131" s="18" t="s">
        <v>214</v>
      </c>
      <c r="G131" s="15" t="s">
        <v>8</v>
      </c>
      <c r="H131" s="63">
        <f>8518+619</f>
        <v>9137</v>
      </c>
      <c r="I131" s="63">
        <f>6280+588</f>
        <v>6868</v>
      </c>
      <c r="J131" s="63">
        <f>5942+557</f>
        <v>6499</v>
      </c>
      <c r="K131" s="63">
        <f>5619+526</f>
        <v>6145</v>
      </c>
      <c r="L131" s="63">
        <f>5266+493</f>
        <v>5759</v>
      </c>
      <c r="M131" s="63">
        <f>4928+461</f>
        <v>5389</v>
      </c>
      <c r="N131" s="63">
        <f>4591+430</f>
        <v>5021</v>
      </c>
      <c r="O131" s="64">
        <f>26604+2713</f>
        <v>29317</v>
      </c>
      <c r="P131" s="63">
        <f t="shared" si="35"/>
        <v>74135</v>
      </c>
    </row>
    <row r="132" spans="1:16" ht="15.75" customHeight="1" x14ac:dyDescent="0.25">
      <c r="A132" s="135"/>
      <c r="B132" s="155"/>
      <c r="C132" s="156"/>
      <c r="D132" s="157"/>
      <c r="E132" s="162"/>
      <c r="F132" s="13"/>
      <c r="G132" s="13" t="s">
        <v>100</v>
      </c>
      <c r="H132" s="93">
        <f t="shared" ref="H132:O132" si="73">SUM(H130:H131)</f>
        <v>21621</v>
      </c>
      <c r="I132" s="93">
        <f t="shared" si="73"/>
        <v>19352</v>
      </c>
      <c r="J132" s="93">
        <f t="shared" si="73"/>
        <v>18983</v>
      </c>
      <c r="K132" s="93">
        <f t="shared" si="73"/>
        <v>18629</v>
      </c>
      <c r="L132" s="93">
        <f t="shared" si="73"/>
        <v>18243</v>
      </c>
      <c r="M132" s="93">
        <f t="shared" si="73"/>
        <v>17873</v>
      </c>
      <c r="N132" s="93">
        <f t="shared" si="73"/>
        <v>17505</v>
      </c>
      <c r="O132" s="93">
        <f t="shared" si="73"/>
        <v>188480</v>
      </c>
      <c r="P132" s="91">
        <f t="shared" si="35"/>
        <v>320686</v>
      </c>
    </row>
    <row r="133" spans="1:16" ht="16.5" customHeight="1" x14ac:dyDescent="0.25">
      <c r="A133" s="133">
        <f t="shared" ref="A133" si="74">A130+1</f>
        <v>42</v>
      </c>
      <c r="B133" s="155" t="s">
        <v>11</v>
      </c>
      <c r="C133" s="156" t="s">
        <v>75</v>
      </c>
      <c r="D133" s="157">
        <v>41851</v>
      </c>
      <c r="E133" s="162" t="s">
        <v>217</v>
      </c>
      <c r="F133" s="36" t="s">
        <v>216</v>
      </c>
      <c r="G133" s="11" t="s">
        <v>5</v>
      </c>
      <c r="H133" s="62">
        <v>5864</v>
      </c>
      <c r="I133" s="62">
        <v>5864</v>
      </c>
      <c r="J133" s="62">
        <v>5864</v>
      </c>
      <c r="K133" s="62">
        <v>5864</v>
      </c>
      <c r="L133" s="62">
        <v>5864</v>
      </c>
      <c r="M133" s="62">
        <v>5864</v>
      </c>
      <c r="N133" s="62">
        <v>5864</v>
      </c>
      <c r="O133" s="62">
        <f>84547-5732+1802-5864</f>
        <v>74753</v>
      </c>
      <c r="P133" s="62">
        <f>SUM(H133:O133)</f>
        <v>115801</v>
      </c>
    </row>
    <row r="134" spans="1:16" ht="15" customHeight="1" x14ac:dyDescent="0.25">
      <c r="A134" s="134"/>
      <c r="B134" s="155"/>
      <c r="C134" s="156"/>
      <c r="D134" s="157"/>
      <c r="E134" s="162"/>
      <c r="F134" s="18" t="s">
        <v>215</v>
      </c>
      <c r="G134" s="15" t="s">
        <v>8</v>
      </c>
      <c r="H134" s="63">
        <f>4001+291</f>
        <v>4292</v>
      </c>
      <c r="I134" s="63">
        <f>2950+277</f>
        <v>3227</v>
      </c>
      <c r="J134" s="63">
        <f>2791+261</f>
        <v>3052</v>
      </c>
      <c r="K134" s="63">
        <f>2639+247</f>
        <v>2886</v>
      </c>
      <c r="L134" s="64">
        <f>2473+232</f>
        <v>2705</v>
      </c>
      <c r="M134" s="64">
        <f>2314+217</f>
        <v>2531</v>
      </c>
      <c r="N134" s="64">
        <f>2156+202</f>
        <v>2358</v>
      </c>
      <c r="O134" s="64">
        <f>12493+1274</f>
        <v>13767</v>
      </c>
      <c r="P134" s="63">
        <f t="shared" si="35"/>
        <v>34818</v>
      </c>
    </row>
    <row r="135" spans="1:16" ht="15" customHeight="1" x14ac:dyDescent="0.25">
      <c r="A135" s="135"/>
      <c r="B135" s="155"/>
      <c r="C135" s="156"/>
      <c r="D135" s="157"/>
      <c r="E135" s="162"/>
      <c r="F135" s="13"/>
      <c r="G135" s="13" t="s">
        <v>100</v>
      </c>
      <c r="H135" s="93">
        <f t="shared" ref="H135:O135" si="75">SUM(H133:H134)</f>
        <v>10156</v>
      </c>
      <c r="I135" s="93">
        <f t="shared" si="75"/>
        <v>9091</v>
      </c>
      <c r="J135" s="93">
        <f t="shared" si="75"/>
        <v>8916</v>
      </c>
      <c r="K135" s="93">
        <f t="shared" si="75"/>
        <v>8750</v>
      </c>
      <c r="L135" s="93">
        <f t="shared" si="75"/>
        <v>8569</v>
      </c>
      <c r="M135" s="93">
        <f t="shared" si="75"/>
        <v>8395</v>
      </c>
      <c r="N135" s="93">
        <f t="shared" si="75"/>
        <v>8222</v>
      </c>
      <c r="O135" s="93">
        <f t="shared" si="75"/>
        <v>88520</v>
      </c>
      <c r="P135" s="91">
        <f t="shared" si="35"/>
        <v>150619</v>
      </c>
    </row>
    <row r="136" spans="1:16" ht="14.25" customHeight="1" x14ac:dyDescent="0.25">
      <c r="A136" s="133">
        <f t="shared" ref="A136" si="76">A133+1</f>
        <v>43</v>
      </c>
      <c r="B136" s="155" t="s">
        <v>11</v>
      </c>
      <c r="C136" s="156" t="s">
        <v>55</v>
      </c>
      <c r="D136" s="157">
        <v>41942</v>
      </c>
      <c r="E136" s="162" t="s">
        <v>220</v>
      </c>
      <c r="F136" s="36" t="s">
        <v>218</v>
      </c>
      <c r="G136" s="11" t="s">
        <v>5</v>
      </c>
      <c r="H136" s="94">
        <v>0</v>
      </c>
      <c r="I136" s="94">
        <v>0</v>
      </c>
      <c r="J136" s="94">
        <v>0</v>
      </c>
      <c r="K136" s="94">
        <v>0</v>
      </c>
      <c r="L136" s="94">
        <v>0</v>
      </c>
      <c r="M136" s="94">
        <v>0</v>
      </c>
      <c r="N136" s="62">
        <v>0</v>
      </c>
      <c r="O136" s="94">
        <v>0</v>
      </c>
      <c r="P136" s="62">
        <f>SUM(H136:O136)</f>
        <v>0</v>
      </c>
    </row>
    <row r="137" spans="1:16" ht="15" customHeight="1" x14ac:dyDescent="0.25">
      <c r="A137" s="134"/>
      <c r="B137" s="155"/>
      <c r="C137" s="156"/>
      <c r="D137" s="157"/>
      <c r="E137" s="162"/>
      <c r="F137" s="18" t="s">
        <v>219</v>
      </c>
      <c r="G137" s="15" t="s">
        <v>8</v>
      </c>
      <c r="H137" s="92">
        <f>17+2</f>
        <v>19</v>
      </c>
      <c r="I137" s="92">
        <v>0</v>
      </c>
      <c r="J137" s="92">
        <v>0</v>
      </c>
      <c r="K137" s="92">
        <v>0</v>
      </c>
      <c r="L137" s="92">
        <v>0</v>
      </c>
      <c r="M137" s="92">
        <v>0</v>
      </c>
      <c r="N137" s="63">
        <v>0</v>
      </c>
      <c r="O137" s="92">
        <v>0</v>
      </c>
      <c r="P137" s="63">
        <f t="shared" si="35"/>
        <v>19</v>
      </c>
    </row>
    <row r="138" spans="1:16" ht="15" customHeight="1" x14ac:dyDescent="0.25">
      <c r="A138" s="135"/>
      <c r="B138" s="155"/>
      <c r="C138" s="156"/>
      <c r="D138" s="157"/>
      <c r="E138" s="162"/>
      <c r="F138" s="13"/>
      <c r="G138" s="13" t="s">
        <v>100</v>
      </c>
      <c r="H138" s="93">
        <f t="shared" ref="H138:O138" si="77">SUM(H136:H137)</f>
        <v>19</v>
      </c>
      <c r="I138" s="93">
        <f t="shared" si="77"/>
        <v>0</v>
      </c>
      <c r="J138" s="93">
        <f t="shared" si="77"/>
        <v>0</v>
      </c>
      <c r="K138" s="93">
        <f t="shared" si="77"/>
        <v>0</v>
      </c>
      <c r="L138" s="93">
        <f t="shared" si="77"/>
        <v>0</v>
      </c>
      <c r="M138" s="93">
        <f>SUM(M136:M137)</f>
        <v>0</v>
      </c>
      <c r="N138" s="93">
        <f t="shared" ref="N138" si="78">SUM(N136:N137)</f>
        <v>0</v>
      </c>
      <c r="O138" s="93">
        <f t="shared" si="77"/>
        <v>0</v>
      </c>
      <c r="P138" s="91">
        <f t="shared" si="35"/>
        <v>19</v>
      </c>
    </row>
    <row r="139" spans="1:16" ht="14.25" customHeight="1" x14ac:dyDescent="0.25">
      <c r="A139" s="133">
        <f t="shared" ref="A139" si="79">A136+1</f>
        <v>44</v>
      </c>
      <c r="B139" s="155" t="s">
        <v>11</v>
      </c>
      <c r="C139" s="156" t="s">
        <v>20</v>
      </c>
      <c r="D139" s="157">
        <v>41962</v>
      </c>
      <c r="E139" s="162" t="s">
        <v>137</v>
      </c>
      <c r="F139" s="36" t="s">
        <v>221</v>
      </c>
      <c r="G139" s="11" t="s">
        <v>5</v>
      </c>
      <c r="H139" s="62">
        <v>17932</v>
      </c>
      <c r="I139" s="62">
        <v>17932</v>
      </c>
      <c r="J139" s="62">
        <v>17932</v>
      </c>
      <c r="K139" s="62">
        <v>17917</v>
      </c>
      <c r="L139" s="62">
        <v>0</v>
      </c>
      <c r="M139" s="94">
        <v>0</v>
      </c>
      <c r="N139" s="62">
        <v>0</v>
      </c>
      <c r="O139" s="62">
        <v>0</v>
      </c>
      <c r="P139" s="62">
        <f>SUM(H139:O139)</f>
        <v>71713</v>
      </c>
    </row>
    <row r="140" spans="1:16" ht="14.25" customHeight="1" x14ac:dyDescent="0.25">
      <c r="A140" s="134"/>
      <c r="B140" s="155"/>
      <c r="C140" s="156"/>
      <c r="D140" s="157"/>
      <c r="E140" s="162"/>
      <c r="F140" s="18" t="s">
        <v>222</v>
      </c>
      <c r="G140" s="15" t="s">
        <v>8</v>
      </c>
      <c r="H140" s="63">
        <f>2098+174</f>
        <v>2272</v>
      </c>
      <c r="I140" s="63">
        <f>1392+129</f>
        <v>1521</v>
      </c>
      <c r="J140" s="63">
        <f>895+84</f>
        <v>979</v>
      </c>
      <c r="K140" s="63">
        <f>410+38</f>
        <v>448</v>
      </c>
      <c r="L140" s="95">
        <f>27+2</f>
        <v>29</v>
      </c>
      <c r="M140" s="92">
        <v>0</v>
      </c>
      <c r="N140" s="63">
        <v>0</v>
      </c>
      <c r="O140" s="63">
        <v>0</v>
      </c>
      <c r="P140" s="63">
        <f t="shared" si="35"/>
        <v>5249</v>
      </c>
    </row>
    <row r="141" spans="1:16" ht="14.25" customHeight="1" x14ac:dyDescent="0.25">
      <c r="A141" s="135"/>
      <c r="B141" s="164"/>
      <c r="C141" s="166"/>
      <c r="D141" s="159"/>
      <c r="E141" s="152"/>
      <c r="F141" s="23"/>
      <c r="G141" s="23" t="s">
        <v>100</v>
      </c>
      <c r="H141" s="93">
        <f t="shared" ref="H141:O141" si="80">SUM(H139:H140)</f>
        <v>20204</v>
      </c>
      <c r="I141" s="93">
        <f t="shared" si="80"/>
        <v>19453</v>
      </c>
      <c r="J141" s="93">
        <f t="shared" si="80"/>
        <v>18911</v>
      </c>
      <c r="K141" s="93">
        <f t="shared" si="80"/>
        <v>18365</v>
      </c>
      <c r="L141" s="93">
        <f t="shared" si="80"/>
        <v>29</v>
      </c>
      <c r="M141" s="93">
        <f t="shared" si="80"/>
        <v>0</v>
      </c>
      <c r="N141" s="93">
        <f t="shared" si="80"/>
        <v>0</v>
      </c>
      <c r="O141" s="93">
        <f t="shared" si="80"/>
        <v>0</v>
      </c>
      <c r="P141" s="91">
        <f t="shared" ref="P141:P144" si="81">SUM(H141:O141)</f>
        <v>76962</v>
      </c>
    </row>
    <row r="142" spans="1:16" ht="14.25" customHeight="1" x14ac:dyDescent="0.25">
      <c r="A142" s="133">
        <f t="shared" ref="A142" si="82">A139+1</f>
        <v>45</v>
      </c>
      <c r="B142" s="155" t="s">
        <v>11</v>
      </c>
      <c r="C142" s="163" t="s">
        <v>573</v>
      </c>
      <c r="D142" s="157">
        <v>41962</v>
      </c>
      <c r="E142" s="162" t="s">
        <v>223</v>
      </c>
      <c r="F142" s="36" t="s">
        <v>224</v>
      </c>
      <c r="G142" s="11" t="s">
        <v>5</v>
      </c>
      <c r="H142" s="62">
        <v>13868</v>
      </c>
      <c r="I142" s="62">
        <v>13868</v>
      </c>
      <c r="J142" s="62">
        <v>13868</v>
      </c>
      <c r="K142" s="62">
        <v>13868</v>
      </c>
      <c r="L142" s="62">
        <v>13868</v>
      </c>
      <c r="M142" s="62">
        <v>13868</v>
      </c>
      <c r="N142" s="62">
        <v>13868</v>
      </c>
      <c r="O142" s="62">
        <f>68460-13692+669-13868</f>
        <v>41569</v>
      </c>
      <c r="P142" s="62">
        <f>SUM(H142:O142)</f>
        <v>138645</v>
      </c>
    </row>
    <row r="143" spans="1:16" ht="14.25" customHeight="1" x14ac:dyDescent="0.25">
      <c r="A143" s="134"/>
      <c r="B143" s="155"/>
      <c r="C143" s="156"/>
      <c r="D143" s="157"/>
      <c r="E143" s="162"/>
      <c r="F143" s="18" t="s">
        <v>225</v>
      </c>
      <c r="G143" s="15" t="s">
        <v>8</v>
      </c>
      <c r="H143" s="63">
        <f>4140+346</f>
        <v>4486</v>
      </c>
      <c r="I143" s="63">
        <f>3343+311</f>
        <v>3654</v>
      </c>
      <c r="J143" s="63">
        <f>2942+276</f>
        <v>3218</v>
      </c>
      <c r="K143" s="63">
        <f>2573+241</f>
        <v>2814</v>
      </c>
      <c r="L143" s="64">
        <f>2191+205</f>
        <v>2396</v>
      </c>
      <c r="M143" s="64">
        <f>1816+170</f>
        <v>1986</v>
      </c>
      <c r="N143" s="64">
        <f>1441+135</f>
        <v>1576</v>
      </c>
      <c r="O143" s="64">
        <f>1919+196</f>
        <v>2115</v>
      </c>
      <c r="P143" s="63">
        <f t="shared" si="81"/>
        <v>22245</v>
      </c>
    </row>
    <row r="144" spans="1:16" ht="14.25" customHeight="1" x14ac:dyDescent="0.25">
      <c r="A144" s="135"/>
      <c r="B144" s="155"/>
      <c r="C144" s="156"/>
      <c r="D144" s="157"/>
      <c r="E144" s="162"/>
      <c r="F144" s="13"/>
      <c r="G144" s="13" t="s">
        <v>100</v>
      </c>
      <c r="H144" s="93">
        <f t="shared" ref="H144:O144" si="83">SUM(H142:H143)</f>
        <v>18354</v>
      </c>
      <c r="I144" s="93">
        <f t="shared" si="83"/>
        <v>17522</v>
      </c>
      <c r="J144" s="93">
        <f t="shared" si="83"/>
        <v>17086</v>
      </c>
      <c r="K144" s="93">
        <f t="shared" si="83"/>
        <v>16682</v>
      </c>
      <c r="L144" s="93">
        <f t="shared" si="83"/>
        <v>16264</v>
      </c>
      <c r="M144" s="93">
        <f t="shared" si="83"/>
        <v>15854</v>
      </c>
      <c r="N144" s="93">
        <f t="shared" si="83"/>
        <v>15444</v>
      </c>
      <c r="O144" s="93">
        <f t="shared" si="83"/>
        <v>43684</v>
      </c>
      <c r="P144" s="91">
        <f t="shared" si="81"/>
        <v>160890</v>
      </c>
    </row>
    <row r="145" spans="1:16" ht="16.5" customHeight="1" x14ac:dyDescent="0.25">
      <c r="A145" s="133">
        <f t="shared" ref="A145" si="84">A142+1</f>
        <v>46</v>
      </c>
      <c r="B145" s="155" t="s">
        <v>11</v>
      </c>
      <c r="C145" s="156" t="s">
        <v>21</v>
      </c>
      <c r="D145" s="157">
        <v>41989</v>
      </c>
      <c r="E145" s="162" t="s">
        <v>226</v>
      </c>
      <c r="F145" s="36" t="s">
        <v>227</v>
      </c>
      <c r="G145" s="11" t="s">
        <v>5</v>
      </c>
      <c r="H145" s="62">
        <v>6180</v>
      </c>
      <c r="I145" s="62">
        <v>6180</v>
      </c>
      <c r="J145" s="62">
        <v>6180</v>
      </c>
      <c r="K145" s="62">
        <v>6180</v>
      </c>
      <c r="L145" s="62">
        <v>6173</v>
      </c>
      <c r="M145" s="62">
        <v>0</v>
      </c>
      <c r="N145" s="62">
        <v>0</v>
      </c>
      <c r="O145" s="62">
        <v>0</v>
      </c>
      <c r="P145" s="62">
        <f>SUM(H145:O145)</f>
        <v>30893</v>
      </c>
    </row>
    <row r="146" spans="1:16" ht="16.95" customHeight="1" x14ac:dyDescent="0.25">
      <c r="A146" s="134"/>
      <c r="B146" s="155"/>
      <c r="C146" s="156"/>
      <c r="D146" s="157"/>
      <c r="E146" s="162"/>
      <c r="F146" s="18" t="s">
        <v>228</v>
      </c>
      <c r="G146" s="15" t="s">
        <v>8</v>
      </c>
      <c r="H146" s="63">
        <f>888+76</f>
        <v>964</v>
      </c>
      <c r="I146" s="63">
        <f>640+60</f>
        <v>700</v>
      </c>
      <c r="J146" s="63">
        <f>476+44</f>
        <v>520</v>
      </c>
      <c r="K146" s="63">
        <f>309+28</f>
        <v>337</v>
      </c>
      <c r="L146" s="64">
        <f>141+13</f>
        <v>154</v>
      </c>
      <c r="M146" s="64">
        <f>6+1</f>
        <v>7</v>
      </c>
      <c r="N146" s="63">
        <v>0</v>
      </c>
      <c r="O146" s="64">
        <v>0</v>
      </c>
      <c r="P146" s="63">
        <f t="shared" ref="P146:P209" si="85">SUM(H146:O146)</f>
        <v>2682</v>
      </c>
    </row>
    <row r="147" spans="1:16" ht="16.5" customHeight="1" x14ac:dyDescent="0.25">
      <c r="A147" s="135"/>
      <c r="B147" s="155"/>
      <c r="C147" s="156"/>
      <c r="D147" s="157"/>
      <c r="E147" s="162"/>
      <c r="F147" s="13"/>
      <c r="G147" s="13" t="s">
        <v>100</v>
      </c>
      <c r="H147" s="93">
        <f t="shared" ref="H147:O147" si="86">SUM(H145:H146)</f>
        <v>7144</v>
      </c>
      <c r="I147" s="93">
        <f t="shared" si="86"/>
        <v>6880</v>
      </c>
      <c r="J147" s="93">
        <f t="shared" si="86"/>
        <v>6700</v>
      </c>
      <c r="K147" s="93">
        <f t="shared" si="86"/>
        <v>6517</v>
      </c>
      <c r="L147" s="90">
        <f t="shared" si="86"/>
        <v>6327</v>
      </c>
      <c r="M147" s="90">
        <f t="shared" si="86"/>
        <v>7</v>
      </c>
      <c r="N147" s="93">
        <f t="shared" si="86"/>
        <v>0</v>
      </c>
      <c r="O147" s="90">
        <f t="shared" si="86"/>
        <v>0</v>
      </c>
      <c r="P147" s="91">
        <f t="shared" si="85"/>
        <v>33575</v>
      </c>
    </row>
    <row r="148" spans="1:16" ht="15" customHeight="1" x14ac:dyDescent="0.25">
      <c r="A148" s="133">
        <f t="shared" ref="A148" si="87">A145+1</f>
        <v>47</v>
      </c>
      <c r="B148" s="155" t="s">
        <v>11</v>
      </c>
      <c r="C148" s="156" t="s">
        <v>704</v>
      </c>
      <c r="D148" s="157">
        <v>42103</v>
      </c>
      <c r="E148" s="162" t="s">
        <v>231</v>
      </c>
      <c r="F148" s="36" t="s">
        <v>229</v>
      </c>
      <c r="G148" s="11" t="s">
        <v>5</v>
      </c>
      <c r="H148" s="62">
        <f>2188+44</f>
        <v>2232</v>
      </c>
      <c r="I148" s="62">
        <f t="shared" ref="I148:M148" si="88">2188+44</f>
        <v>2232</v>
      </c>
      <c r="J148" s="62">
        <f t="shared" si="88"/>
        <v>2232</v>
      </c>
      <c r="K148" s="62">
        <f t="shared" si="88"/>
        <v>2232</v>
      </c>
      <c r="L148" s="62">
        <f t="shared" si="88"/>
        <v>2232</v>
      </c>
      <c r="M148" s="62">
        <f t="shared" si="88"/>
        <v>2232</v>
      </c>
      <c r="N148" s="62">
        <v>2232</v>
      </c>
      <c r="O148" s="62">
        <f>33367-2188+617-2232</f>
        <v>29564</v>
      </c>
      <c r="P148" s="62">
        <f>SUM(H148:O148)</f>
        <v>45188</v>
      </c>
    </row>
    <row r="149" spans="1:16" ht="15.75" customHeight="1" x14ac:dyDescent="0.25">
      <c r="A149" s="134"/>
      <c r="B149" s="155"/>
      <c r="C149" s="156"/>
      <c r="D149" s="157"/>
      <c r="E149" s="162"/>
      <c r="F149" s="18" t="s">
        <v>230</v>
      </c>
      <c r="G149" s="15" t="s">
        <v>8</v>
      </c>
      <c r="H149" s="63">
        <f>1465-68+113</f>
        <v>1510</v>
      </c>
      <c r="I149" s="63">
        <f>1153-178+108</f>
        <v>1083</v>
      </c>
      <c r="J149" s="63">
        <f>1092-212+102</f>
        <v>982</v>
      </c>
      <c r="K149" s="63">
        <f>1035+97</f>
        <v>1132</v>
      </c>
      <c r="L149" s="64">
        <f>971+91</f>
        <v>1062</v>
      </c>
      <c r="M149" s="64">
        <f>911+85</f>
        <v>996</v>
      </c>
      <c r="N149" s="64">
        <f>851+79</f>
        <v>930</v>
      </c>
      <c r="O149" s="64">
        <f>5056+516</f>
        <v>5572</v>
      </c>
      <c r="P149" s="63">
        <f t="shared" si="85"/>
        <v>13267</v>
      </c>
    </row>
    <row r="150" spans="1:16" ht="15.75" customHeight="1" x14ac:dyDescent="0.25">
      <c r="A150" s="135"/>
      <c r="B150" s="155"/>
      <c r="C150" s="156"/>
      <c r="D150" s="157"/>
      <c r="E150" s="162"/>
      <c r="F150" s="13"/>
      <c r="G150" s="13" t="s">
        <v>100</v>
      </c>
      <c r="H150" s="93">
        <f t="shared" ref="H150:O150" si="89">SUM(H148:H149)</f>
        <v>3742</v>
      </c>
      <c r="I150" s="93">
        <f t="shared" si="89"/>
        <v>3315</v>
      </c>
      <c r="J150" s="93">
        <f t="shared" si="89"/>
        <v>3214</v>
      </c>
      <c r="K150" s="93">
        <f t="shared" si="89"/>
        <v>3364</v>
      </c>
      <c r="L150" s="93">
        <f t="shared" si="89"/>
        <v>3294</v>
      </c>
      <c r="M150" s="93">
        <f t="shared" si="89"/>
        <v>3228</v>
      </c>
      <c r="N150" s="93">
        <f t="shared" si="89"/>
        <v>3162</v>
      </c>
      <c r="O150" s="93">
        <f t="shared" si="89"/>
        <v>35136</v>
      </c>
      <c r="P150" s="91">
        <f t="shared" si="85"/>
        <v>58455</v>
      </c>
    </row>
    <row r="151" spans="1:16" ht="18.600000000000001" customHeight="1" x14ac:dyDescent="0.25">
      <c r="A151" s="133">
        <f t="shared" ref="A151" si="90">A148+1</f>
        <v>48</v>
      </c>
      <c r="B151" s="155" t="s">
        <v>11</v>
      </c>
      <c r="C151" s="156" t="s">
        <v>22</v>
      </c>
      <c r="D151" s="157">
        <v>42207</v>
      </c>
      <c r="E151" s="162" t="s">
        <v>234</v>
      </c>
      <c r="F151" s="36" t="s">
        <v>232</v>
      </c>
      <c r="G151" s="11" t="s">
        <v>5</v>
      </c>
      <c r="H151" s="62">
        <f>24780+572</f>
        <v>25352</v>
      </c>
      <c r="I151" s="62">
        <f t="shared" ref="I151:L151" si="91">24780+572</f>
        <v>25352</v>
      </c>
      <c r="J151" s="62">
        <f t="shared" si="91"/>
        <v>25352</v>
      </c>
      <c r="K151" s="62">
        <f t="shared" si="91"/>
        <v>25352</v>
      </c>
      <c r="L151" s="62">
        <f t="shared" si="91"/>
        <v>25352</v>
      </c>
      <c r="M151" s="62">
        <f>18585+413</f>
        <v>18998</v>
      </c>
      <c r="N151" s="62">
        <v>0</v>
      </c>
      <c r="O151" s="62">
        <v>0</v>
      </c>
      <c r="P151" s="62">
        <f>SUM(H151:O151)</f>
        <v>145758</v>
      </c>
    </row>
    <row r="152" spans="1:16" ht="15.75" customHeight="1" x14ac:dyDescent="0.25">
      <c r="A152" s="134"/>
      <c r="B152" s="155"/>
      <c r="C152" s="156"/>
      <c r="D152" s="157"/>
      <c r="E152" s="162"/>
      <c r="F152" s="18" t="s">
        <v>233</v>
      </c>
      <c r="G152" s="15" t="s">
        <v>8</v>
      </c>
      <c r="H152" s="63">
        <f>4950+359</f>
        <v>5309</v>
      </c>
      <c r="I152" s="63">
        <f>3152+295</f>
        <v>3447</v>
      </c>
      <c r="J152" s="63">
        <f>2466+231</f>
        <v>2697</v>
      </c>
      <c r="K152" s="63">
        <f>1783+167</f>
        <v>1950</v>
      </c>
      <c r="L152" s="64">
        <f>1092+102</f>
        <v>1194</v>
      </c>
      <c r="M152" s="64">
        <f>378+35</f>
        <v>413</v>
      </c>
      <c r="N152" s="64">
        <v>0</v>
      </c>
      <c r="O152" s="64">
        <v>0</v>
      </c>
      <c r="P152" s="63">
        <f t="shared" si="85"/>
        <v>15010</v>
      </c>
    </row>
    <row r="153" spans="1:16" ht="15.75" customHeight="1" x14ac:dyDescent="0.25">
      <c r="A153" s="135"/>
      <c r="B153" s="155"/>
      <c r="C153" s="156"/>
      <c r="D153" s="157"/>
      <c r="E153" s="162"/>
      <c r="F153" s="13"/>
      <c r="G153" s="13" t="s">
        <v>100</v>
      </c>
      <c r="H153" s="93">
        <f t="shared" ref="H153:O153" si="92">SUM(H151:H152)</f>
        <v>30661</v>
      </c>
      <c r="I153" s="93">
        <f t="shared" si="92"/>
        <v>28799</v>
      </c>
      <c r="J153" s="93">
        <f t="shared" si="92"/>
        <v>28049</v>
      </c>
      <c r="K153" s="93">
        <f t="shared" si="92"/>
        <v>27302</v>
      </c>
      <c r="L153" s="93">
        <f t="shared" si="92"/>
        <v>26546</v>
      </c>
      <c r="M153" s="93">
        <f t="shared" si="92"/>
        <v>19411</v>
      </c>
      <c r="N153" s="93">
        <f t="shared" si="92"/>
        <v>0</v>
      </c>
      <c r="O153" s="93">
        <f t="shared" si="92"/>
        <v>0</v>
      </c>
      <c r="P153" s="91">
        <f t="shared" si="85"/>
        <v>160768</v>
      </c>
    </row>
    <row r="154" spans="1:16" ht="16.95" customHeight="1" x14ac:dyDescent="0.25">
      <c r="A154" s="133">
        <f t="shared" ref="A154" si="93">A151+1</f>
        <v>49</v>
      </c>
      <c r="B154" s="155" t="s">
        <v>11</v>
      </c>
      <c r="C154" s="156" t="s">
        <v>23</v>
      </c>
      <c r="D154" s="157">
        <v>42207</v>
      </c>
      <c r="E154" s="162" t="s">
        <v>235</v>
      </c>
      <c r="F154" s="36" t="s">
        <v>236</v>
      </c>
      <c r="G154" s="11" t="s">
        <v>5</v>
      </c>
      <c r="H154" s="62">
        <f>4760+112</f>
        <v>4872</v>
      </c>
      <c r="I154" s="62">
        <f t="shared" ref="I154:M154" si="94">4760+112</f>
        <v>4872</v>
      </c>
      <c r="J154" s="62">
        <f t="shared" si="94"/>
        <v>4872</v>
      </c>
      <c r="K154" s="62">
        <f t="shared" si="94"/>
        <v>4872</v>
      </c>
      <c r="L154" s="62">
        <f t="shared" si="94"/>
        <v>4872</v>
      </c>
      <c r="M154" s="62">
        <f t="shared" si="94"/>
        <v>4872</v>
      </c>
      <c r="N154" s="62">
        <v>4872</v>
      </c>
      <c r="O154" s="62">
        <f>27370-4760+501-4872</f>
        <v>18239</v>
      </c>
      <c r="P154" s="62">
        <f>SUM(H154:O154)</f>
        <v>52343</v>
      </c>
    </row>
    <row r="155" spans="1:16" ht="16.5" customHeight="1" x14ac:dyDescent="0.25">
      <c r="A155" s="134"/>
      <c r="B155" s="155"/>
      <c r="C155" s="156"/>
      <c r="D155" s="157"/>
      <c r="E155" s="162"/>
      <c r="F155" s="18" t="s">
        <v>237</v>
      </c>
      <c r="G155" s="15" t="s">
        <v>8</v>
      </c>
      <c r="H155" s="63">
        <f>1798+130</f>
        <v>1928</v>
      </c>
      <c r="I155" s="63">
        <f>1264+118</f>
        <v>1382</v>
      </c>
      <c r="J155" s="63">
        <f>1132+106</f>
        <v>1238</v>
      </c>
      <c r="K155" s="63">
        <f>1003+93</f>
        <v>1096</v>
      </c>
      <c r="L155" s="64">
        <f>868+81</f>
        <v>949</v>
      </c>
      <c r="M155" s="64">
        <f>736+69</f>
        <v>805</v>
      </c>
      <c r="N155" s="64">
        <f>604+57</f>
        <v>661</v>
      </c>
      <c r="O155" s="64">
        <f>1007+103</f>
        <v>1110</v>
      </c>
      <c r="P155" s="63">
        <f t="shared" si="85"/>
        <v>9169</v>
      </c>
    </row>
    <row r="156" spans="1:16" ht="16.5" customHeight="1" x14ac:dyDescent="0.25">
      <c r="A156" s="135"/>
      <c r="B156" s="164"/>
      <c r="C156" s="166"/>
      <c r="D156" s="159"/>
      <c r="E156" s="152"/>
      <c r="F156" s="23"/>
      <c r="G156" s="23" t="s">
        <v>100</v>
      </c>
      <c r="H156" s="93">
        <f t="shared" ref="H156:O156" si="95">SUM(H154:H155)</f>
        <v>6800</v>
      </c>
      <c r="I156" s="93">
        <f t="shared" si="95"/>
        <v>6254</v>
      </c>
      <c r="J156" s="93">
        <f t="shared" si="95"/>
        <v>6110</v>
      </c>
      <c r="K156" s="93">
        <f t="shared" si="95"/>
        <v>5968</v>
      </c>
      <c r="L156" s="93">
        <f t="shared" si="95"/>
        <v>5821</v>
      </c>
      <c r="M156" s="93">
        <f t="shared" si="95"/>
        <v>5677</v>
      </c>
      <c r="N156" s="93">
        <f t="shared" si="95"/>
        <v>5533</v>
      </c>
      <c r="O156" s="93">
        <f t="shared" si="95"/>
        <v>19349</v>
      </c>
      <c r="P156" s="91">
        <f t="shared" si="85"/>
        <v>61512</v>
      </c>
    </row>
    <row r="157" spans="1:16" ht="15" customHeight="1" x14ac:dyDescent="0.25">
      <c r="A157" s="133">
        <f t="shared" ref="A157" si="96">A154+1</f>
        <v>50</v>
      </c>
      <c r="B157" s="155" t="s">
        <v>11</v>
      </c>
      <c r="C157" s="156" t="s">
        <v>56</v>
      </c>
      <c r="D157" s="157">
        <v>42214</v>
      </c>
      <c r="E157" s="162" t="s">
        <v>234</v>
      </c>
      <c r="F157" s="36" t="s">
        <v>238</v>
      </c>
      <c r="G157" s="11" t="s">
        <v>5</v>
      </c>
      <c r="H157" s="62">
        <v>17356</v>
      </c>
      <c r="I157" s="62">
        <v>17356</v>
      </c>
      <c r="J157" s="62">
        <v>17356</v>
      </c>
      <c r="K157" s="62">
        <v>17356</v>
      </c>
      <c r="L157" s="62">
        <v>17356</v>
      </c>
      <c r="M157" s="62">
        <f>13013</f>
        <v>13013</v>
      </c>
      <c r="N157" s="62">
        <v>0</v>
      </c>
      <c r="O157" s="62">
        <v>0</v>
      </c>
      <c r="P157" s="62">
        <f>SUM(H157:O157)</f>
        <v>99793</v>
      </c>
    </row>
    <row r="158" spans="1:16" ht="15" customHeight="1" x14ac:dyDescent="0.25">
      <c r="A158" s="134"/>
      <c r="B158" s="155"/>
      <c r="C158" s="156"/>
      <c r="D158" s="157"/>
      <c r="E158" s="162"/>
      <c r="F158" s="37" t="s">
        <v>239</v>
      </c>
      <c r="G158" s="15" t="s">
        <v>8</v>
      </c>
      <c r="H158" s="63">
        <f>3385+246</f>
        <v>3631</v>
      </c>
      <c r="I158" s="63">
        <f>2158+202</f>
        <v>2360</v>
      </c>
      <c r="J158" s="63">
        <f>1688+158</f>
        <v>1846</v>
      </c>
      <c r="K158" s="63">
        <f>1221+114</f>
        <v>1335</v>
      </c>
      <c r="L158" s="64">
        <f>748+70</f>
        <v>818</v>
      </c>
      <c r="M158" s="64">
        <f>259+24</f>
        <v>283</v>
      </c>
      <c r="N158" s="64">
        <v>0</v>
      </c>
      <c r="O158" s="64">
        <v>0</v>
      </c>
      <c r="P158" s="63">
        <f t="shared" si="85"/>
        <v>10273</v>
      </c>
    </row>
    <row r="159" spans="1:16" ht="15" customHeight="1" x14ac:dyDescent="0.25">
      <c r="A159" s="135"/>
      <c r="B159" s="155"/>
      <c r="C159" s="156"/>
      <c r="D159" s="157"/>
      <c r="E159" s="162"/>
      <c r="F159" s="13"/>
      <c r="G159" s="13" t="s">
        <v>100</v>
      </c>
      <c r="H159" s="93">
        <f t="shared" ref="H159:O159" si="97">SUM(H157:H158)</f>
        <v>20987</v>
      </c>
      <c r="I159" s="93">
        <f t="shared" si="97"/>
        <v>19716</v>
      </c>
      <c r="J159" s="93">
        <f t="shared" si="97"/>
        <v>19202</v>
      </c>
      <c r="K159" s="93">
        <f t="shared" si="97"/>
        <v>18691</v>
      </c>
      <c r="L159" s="93">
        <f t="shared" si="97"/>
        <v>18174</v>
      </c>
      <c r="M159" s="93">
        <f t="shared" si="97"/>
        <v>13296</v>
      </c>
      <c r="N159" s="93">
        <f t="shared" si="97"/>
        <v>0</v>
      </c>
      <c r="O159" s="93">
        <f t="shared" si="97"/>
        <v>0</v>
      </c>
      <c r="P159" s="91">
        <f t="shared" si="85"/>
        <v>110066</v>
      </c>
    </row>
    <row r="160" spans="1:16" ht="15.75" customHeight="1" x14ac:dyDescent="0.25">
      <c r="A160" s="133">
        <f t="shared" ref="A160" si="98">A157+1</f>
        <v>51</v>
      </c>
      <c r="B160" s="155" t="s">
        <v>11</v>
      </c>
      <c r="C160" s="156" t="s">
        <v>63</v>
      </c>
      <c r="D160" s="157">
        <v>42215</v>
      </c>
      <c r="E160" s="162" t="s">
        <v>235</v>
      </c>
      <c r="F160" s="36" t="s">
        <v>240</v>
      </c>
      <c r="G160" s="11" t="s">
        <v>5</v>
      </c>
      <c r="H160" s="62">
        <v>14224</v>
      </c>
      <c r="I160" s="62">
        <v>14224</v>
      </c>
      <c r="J160" s="62">
        <v>14224</v>
      </c>
      <c r="K160" s="62">
        <v>14224</v>
      </c>
      <c r="L160" s="62">
        <v>14224</v>
      </c>
      <c r="M160" s="62">
        <v>14224</v>
      </c>
      <c r="N160" s="62">
        <v>14224</v>
      </c>
      <c r="O160" s="62">
        <f>79856-13888+1574-14224</f>
        <v>53318</v>
      </c>
      <c r="P160" s="62">
        <f>SUM(H160:O160)</f>
        <v>152886</v>
      </c>
    </row>
    <row r="161" spans="1:16" ht="12.75" customHeight="1" x14ac:dyDescent="0.25">
      <c r="A161" s="134"/>
      <c r="B161" s="155"/>
      <c r="C161" s="156"/>
      <c r="D161" s="157"/>
      <c r="E161" s="162"/>
      <c r="F161" s="18" t="s">
        <v>241</v>
      </c>
      <c r="G161" s="15" t="s">
        <v>8</v>
      </c>
      <c r="H161" s="63">
        <f>5254+381</f>
        <v>5635</v>
      </c>
      <c r="I161" s="63">
        <f>3692+346</f>
        <v>4038</v>
      </c>
      <c r="J161" s="63">
        <f>3307+310</f>
        <v>3617</v>
      </c>
      <c r="K161" s="63">
        <f>2929+275</f>
        <v>3204</v>
      </c>
      <c r="L161" s="64">
        <f>2536+238</f>
        <v>2774</v>
      </c>
      <c r="M161" s="64">
        <f>2151+202</f>
        <v>2353</v>
      </c>
      <c r="N161" s="64">
        <f>1767+166</f>
        <v>1933</v>
      </c>
      <c r="O161" s="64">
        <f>2947+301</f>
        <v>3248</v>
      </c>
      <c r="P161" s="63">
        <f t="shared" si="85"/>
        <v>26802</v>
      </c>
    </row>
    <row r="162" spans="1:16" ht="17.25" customHeight="1" x14ac:dyDescent="0.25">
      <c r="A162" s="135"/>
      <c r="B162" s="155"/>
      <c r="C162" s="156"/>
      <c r="D162" s="157"/>
      <c r="E162" s="162"/>
      <c r="F162" s="13"/>
      <c r="G162" s="13" t="s">
        <v>100</v>
      </c>
      <c r="H162" s="93">
        <f t="shared" ref="H162:O162" si="99">SUM(H160:H161)</f>
        <v>19859</v>
      </c>
      <c r="I162" s="93">
        <f t="shared" si="99"/>
        <v>18262</v>
      </c>
      <c r="J162" s="93">
        <f t="shared" si="99"/>
        <v>17841</v>
      </c>
      <c r="K162" s="93">
        <f t="shared" si="99"/>
        <v>17428</v>
      </c>
      <c r="L162" s="93">
        <f t="shared" si="99"/>
        <v>16998</v>
      </c>
      <c r="M162" s="93">
        <f t="shared" si="99"/>
        <v>16577</v>
      </c>
      <c r="N162" s="93">
        <f t="shared" si="99"/>
        <v>16157</v>
      </c>
      <c r="O162" s="93">
        <f t="shared" si="99"/>
        <v>56566</v>
      </c>
      <c r="P162" s="91">
        <f t="shared" si="85"/>
        <v>179688</v>
      </c>
    </row>
    <row r="163" spans="1:16" ht="15.75" customHeight="1" x14ac:dyDescent="0.25">
      <c r="A163" s="133">
        <f t="shared" ref="A163" si="100">A160+1</f>
        <v>52</v>
      </c>
      <c r="B163" s="155" t="s">
        <v>11</v>
      </c>
      <c r="C163" s="156" t="s">
        <v>24</v>
      </c>
      <c r="D163" s="171">
        <v>42298</v>
      </c>
      <c r="E163" s="162" t="s">
        <v>242</v>
      </c>
      <c r="F163" s="36" t="s">
        <v>243</v>
      </c>
      <c r="G163" s="11" t="s">
        <v>5</v>
      </c>
      <c r="H163" s="62">
        <v>2780</v>
      </c>
      <c r="I163" s="62">
        <v>2780</v>
      </c>
      <c r="J163" s="62">
        <v>2780</v>
      </c>
      <c r="K163" s="62">
        <v>2780</v>
      </c>
      <c r="L163" s="62">
        <v>2780</v>
      </c>
      <c r="M163" s="62">
        <v>2769</v>
      </c>
      <c r="N163" s="62">
        <v>0</v>
      </c>
      <c r="O163" s="62">
        <v>0</v>
      </c>
      <c r="P163" s="62">
        <f>SUM(H163:O163)</f>
        <v>16669</v>
      </c>
    </row>
    <row r="164" spans="1:16" ht="15.75" customHeight="1" x14ac:dyDescent="0.25">
      <c r="A164" s="134"/>
      <c r="B164" s="155"/>
      <c r="C164" s="156"/>
      <c r="D164" s="171"/>
      <c r="E164" s="162"/>
      <c r="F164" s="18" t="s">
        <v>244</v>
      </c>
      <c r="G164" s="15" t="s">
        <v>8</v>
      </c>
      <c r="H164" s="63">
        <f>491+41</f>
        <v>532</v>
      </c>
      <c r="I164" s="63">
        <f>366+34</f>
        <v>400</v>
      </c>
      <c r="J164" s="63">
        <f>289+27</f>
        <v>316</v>
      </c>
      <c r="K164" s="63">
        <f>214+20</f>
        <v>234</v>
      </c>
      <c r="L164" s="64">
        <f>138+13</f>
        <v>151</v>
      </c>
      <c r="M164" s="64">
        <f>63+6</f>
        <v>69</v>
      </c>
      <c r="N164" s="64">
        <v>1</v>
      </c>
      <c r="O164" s="64">
        <v>0</v>
      </c>
      <c r="P164" s="63">
        <f t="shared" si="85"/>
        <v>1703</v>
      </c>
    </row>
    <row r="165" spans="1:16" ht="15.75" customHeight="1" x14ac:dyDescent="0.25">
      <c r="A165" s="135"/>
      <c r="B165" s="155"/>
      <c r="C165" s="156"/>
      <c r="D165" s="171"/>
      <c r="E165" s="162"/>
      <c r="F165" s="13"/>
      <c r="G165" s="13" t="s">
        <v>100</v>
      </c>
      <c r="H165" s="93">
        <f t="shared" ref="H165:O165" si="101">SUM(H163:H164)</f>
        <v>3312</v>
      </c>
      <c r="I165" s="93">
        <f t="shared" si="101"/>
        <v>3180</v>
      </c>
      <c r="J165" s="93">
        <f t="shared" si="101"/>
        <v>3096</v>
      </c>
      <c r="K165" s="93">
        <f t="shared" si="101"/>
        <v>3014</v>
      </c>
      <c r="L165" s="93">
        <f t="shared" si="101"/>
        <v>2931</v>
      </c>
      <c r="M165" s="93">
        <f t="shared" si="101"/>
        <v>2838</v>
      </c>
      <c r="N165" s="93">
        <f t="shared" si="101"/>
        <v>1</v>
      </c>
      <c r="O165" s="93">
        <f t="shared" si="101"/>
        <v>0</v>
      </c>
      <c r="P165" s="91">
        <f t="shared" si="85"/>
        <v>18372</v>
      </c>
    </row>
    <row r="166" spans="1:16" ht="14.25" customHeight="1" x14ac:dyDescent="0.25">
      <c r="A166" s="133">
        <f t="shared" ref="A166" si="102">A163+1</f>
        <v>53</v>
      </c>
      <c r="B166" s="155" t="s">
        <v>11</v>
      </c>
      <c r="C166" s="163" t="s">
        <v>245</v>
      </c>
      <c r="D166" s="171">
        <v>42552</v>
      </c>
      <c r="E166" s="157">
        <v>45828</v>
      </c>
      <c r="F166" s="36" t="s">
        <v>246</v>
      </c>
      <c r="G166" s="11" t="s">
        <v>5</v>
      </c>
      <c r="H166" s="62">
        <v>6748</v>
      </c>
      <c r="I166" s="94">
        <v>0</v>
      </c>
      <c r="J166" s="94">
        <v>0</v>
      </c>
      <c r="K166" s="94">
        <v>0</v>
      </c>
      <c r="L166" s="94">
        <v>0</v>
      </c>
      <c r="M166" s="94">
        <v>0</v>
      </c>
      <c r="N166" s="62">
        <v>0</v>
      </c>
      <c r="O166" s="94">
        <v>0</v>
      </c>
      <c r="P166" s="62">
        <f>SUM(H166:O166)</f>
        <v>6748</v>
      </c>
    </row>
    <row r="167" spans="1:16" ht="14.25" customHeight="1" x14ac:dyDescent="0.25">
      <c r="A167" s="134"/>
      <c r="B167" s="155"/>
      <c r="C167" s="163"/>
      <c r="D167" s="171"/>
      <c r="E167" s="157"/>
      <c r="F167" s="18" t="s">
        <v>247</v>
      </c>
      <c r="G167" s="15" t="s">
        <v>8</v>
      </c>
      <c r="H167" s="63">
        <f>177+12</f>
        <v>189</v>
      </c>
      <c r="I167" s="92">
        <v>0</v>
      </c>
      <c r="J167" s="92">
        <v>0</v>
      </c>
      <c r="K167" s="92">
        <v>0</v>
      </c>
      <c r="L167" s="92">
        <v>0</v>
      </c>
      <c r="M167" s="92">
        <v>0</v>
      </c>
      <c r="N167" s="63">
        <v>0</v>
      </c>
      <c r="O167" s="92">
        <v>0</v>
      </c>
      <c r="P167" s="63">
        <f t="shared" si="85"/>
        <v>189</v>
      </c>
    </row>
    <row r="168" spans="1:16" ht="14.25" customHeight="1" x14ac:dyDescent="0.25">
      <c r="A168" s="135"/>
      <c r="B168" s="155"/>
      <c r="C168" s="163"/>
      <c r="D168" s="171"/>
      <c r="E168" s="157"/>
      <c r="F168" s="13"/>
      <c r="G168" s="13" t="s">
        <v>100</v>
      </c>
      <c r="H168" s="93">
        <f t="shared" ref="H168:O168" si="103">SUM(H166:H167)</f>
        <v>6937</v>
      </c>
      <c r="I168" s="93">
        <f t="shared" si="103"/>
        <v>0</v>
      </c>
      <c r="J168" s="93">
        <f t="shared" si="103"/>
        <v>0</v>
      </c>
      <c r="K168" s="93">
        <f t="shared" si="103"/>
        <v>0</v>
      </c>
      <c r="L168" s="93">
        <f t="shared" si="103"/>
        <v>0</v>
      </c>
      <c r="M168" s="93">
        <f>SUM(M166:M167)</f>
        <v>0</v>
      </c>
      <c r="N168" s="93">
        <f t="shared" ref="N168" si="104">SUM(N166:N167)</f>
        <v>0</v>
      </c>
      <c r="O168" s="93">
        <f t="shared" si="103"/>
        <v>0</v>
      </c>
      <c r="P168" s="91">
        <f t="shared" si="85"/>
        <v>6937</v>
      </c>
    </row>
    <row r="169" spans="1:16" ht="17.25" customHeight="1" x14ac:dyDescent="0.25">
      <c r="A169" s="133">
        <f t="shared" ref="A169" si="105">A166+1</f>
        <v>54</v>
      </c>
      <c r="B169" s="155" t="s">
        <v>11</v>
      </c>
      <c r="C169" s="156" t="s">
        <v>25</v>
      </c>
      <c r="D169" s="157">
        <v>42612</v>
      </c>
      <c r="E169" s="162" t="s">
        <v>250</v>
      </c>
      <c r="F169" s="36" t="s">
        <v>248</v>
      </c>
      <c r="G169" s="11" t="s">
        <v>5</v>
      </c>
      <c r="H169" s="62">
        <v>20432</v>
      </c>
      <c r="I169" s="62">
        <v>20432</v>
      </c>
      <c r="J169" s="62">
        <v>20432</v>
      </c>
      <c r="K169" s="62">
        <v>20432</v>
      </c>
      <c r="L169" s="62">
        <v>20432</v>
      </c>
      <c r="M169" s="62">
        <v>20432</v>
      </c>
      <c r="N169" s="62">
        <v>20432</v>
      </c>
      <c r="O169" s="62">
        <f>134622-19944+2784-20432</f>
        <v>97030</v>
      </c>
      <c r="P169" s="62">
        <f>SUM(H169:O169)</f>
        <v>240054</v>
      </c>
    </row>
    <row r="170" spans="1:16" ht="16.5" customHeight="1" x14ac:dyDescent="0.25">
      <c r="A170" s="134"/>
      <c r="B170" s="155"/>
      <c r="C170" s="156"/>
      <c r="D170" s="157"/>
      <c r="E170" s="162"/>
      <c r="F170" s="18" t="s">
        <v>249</v>
      </c>
      <c r="G170" s="15" t="s">
        <v>8</v>
      </c>
      <c r="H170" s="63">
        <f>7880+600</f>
        <v>8480</v>
      </c>
      <c r="I170" s="63">
        <f>5856+549</f>
        <v>6405</v>
      </c>
      <c r="J170" s="63">
        <f>5303+497</f>
        <v>5800</v>
      </c>
      <c r="K170" s="63">
        <f>4762+446</f>
        <v>5208</v>
      </c>
      <c r="L170" s="64">
        <f>4196+393</f>
        <v>4589</v>
      </c>
      <c r="M170" s="64">
        <f>3643+341</f>
        <v>3984</v>
      </c>
      <c r="N170" s="64">
        <f>3091+290</f>
        <v>3381</v>
      </c>
      <c r="O170" s="64">
        <f>6580+671</f>
        <v>7251</v>
      </c>
      <c r="P170" s="63">
        <f t="shared" si="85"/>
        <v>45098</v>
      </c>
    </row>
    <row r="171" spans="1:16" ht="15.75" customHeight="1" x14ac:dyDescent="0.25">
      <c r="A171" s="135"/>
      <c r="B171" s="155"/>
      <c r="C171" s="156"/>
      <c r="D171" s="157"/>
      <c r="E171" s="162"/>
      <c r="F171" s="13"/>
      <c r="G171" s="13" t="s">
        <v>100</v>
      </c>
      <c r="H171" s="93">
        <f t="shared" ref="H171:O171" si="106">SUM(H169:H170)</f>
        <v>28912</v>
      </c>
      <c r="I171" s="93">
        <f t="shared" si="106"/>
        <v>26837</v>
      </c>
      <c r="J171" s="93">
        <f t="shared" si="106"/>
        <v>26232</v>
      </c>
      <c r="K171" s="93">
        <f t="shared" si="106"/>
        <v>25640</v>
      </c>
      <c r="L171" s="93">
        <f t="shared" si="106"/>
        <v>25021</v>
      </c>
      <c r="M171" s="93">
        <f t="shared" si="106"/>
        <v>24416</v>
      </c>
      <c r="N171" s="93">
        <f t="shared" si="106"/>
        <v>23813</v>
      </c>
      <c r="O171" s="93">
        <f t="shared" si="106"/>
        <v>104281</v>
      </c>
      <c r="P171" s="91">
        <f t="shared" si="85"/>
        <v>285152</v>
      </c>
    </row>
    <row r="172" spans="1:16" ht="17.25" customHeight="1" x14ac:dyDescent="0.25">
      <c r="A172" s="133">
        <f t="shared" ref="A172" si="107">A169+1</f>
        <v>55</v>
      </c>
      <c r="B172" s="155" t="s">
        <v>11</v>
      </c>
      <c r="C172" s="156" t="s">
        <v>26</v>
      </c>
      <c r="D172" s="157">
        <v>42884</v>
      </c>
      <c r="E172" s="162" t="s">
        <v>251</v>
      </c>
      <c r="F172" s="36" t="s">
        <v>252</v>
      </c>
      <c r="G172" s="11" t="s">
        <v>5</v>
      </c>
      <c r="H172" s="62">
        <v>11504</v>
      </c>
      <c r="I172" s="62">
        <v>11504</v>
      </c>
      <c r="J172" s="62">
        <v>11504</v>
      </c>
      <c r="K172" s="62">
        <v>11504</v>
      </c>
      <c r="L172" s="62">
        <v>11504</v>
      </c>
      <c r="M172" s="62">
        <v>11504</v>
      </c>
      <c r="N172" s="62">
        <v>11504</v>
      </c>
      <c r="O172" s="62">
        <f>140750-11260+2742-11504</f>
        <v>120728</v>
      </c>
      <c r="P172" s="62">
        <f>SUM(H172:O172)</f>
        <v>201256</v>
      </c>
    </row>
    <row r="173" spans="1:16" ht="16.5" customHeight="1" x14ac:dyDescent="0.25">
      <c r="A173" s="134"/>
      <c r="B173" s="155"/>
      <c r="C173" s="156"/>
      <c r="D173" s="157"/>
      <c r="E173" s="162"/>
      <c r="F173" s="18" t="s">
        <v>253</v>
      </c>
      <c r="G173" s="15" t="s">
        <v>8</v>
      </c>
      <c r="H173" s="63">
        <f>6865+505</f>
        <v>7370</v>
      </c>
      <c r="I173" s="63">
        <f>5085+477</f>
        <v>5562</v>
      </c>
      <c r="J173" s="63">
        <f>4774+447</f>
        <v>5221</v>
      </c>
      <c r="K173" s="63">
        <f>4474+419</f>
        <v>4893</v>
      </c>
      <c r="L173" s="64">
        <f>4150+389</f>
        <v>4539</v>
      </c>
      <c r="M173" s="64">
        <f>3839+360</f>
        <v>4199</v>
      </c>
      <c r="N173" s="64">
        <f>3528+331</f>
        <v>3859</v>
      </c>
      <c r="O173" s="64">
        <f>16800+1714</f>
        <v>18514</v>
      </c>
      <c r="P173" s="63">
        <f t="shared" si="85"/>
        <v>54157</v>
      </c>
    </row>
    <row r="174" spans="1:16" ht="17.25" customHeight="1" x14ac:dyDescent="0.25">
      <c r="A174" s="135"/>
      <c r="B174" s="155"/>
      <c r="C174" s="156"/>
      <c r="D174" s="157"/>
      <c r="E174" s="162"/>
      <c r="F174" s="13"/>
      <c r="G174" s="13" t="s">
        <v>100</v>
      </c>
      <c r="H174" s="93">
        <f t="shared" ref="H174:O174" si="108">SUM(H172:H173)</f>
        <v>18874</v>
      </c>
      <c r="I174" s="93">
        <f t="shared" si="108"/>
        <v>17066</v>
      </c>
      <c r="J174" s="93">
        <f t="shared" si="108"/>
        <v>16725</v>
      </c>
      <c r="K174" s="93">
        <f t="shared" si="108"/>
        <v>16397</v>
      </c>
      <c r="L174" s="93">
        <f t="shared" si="108"/>
        <v>16043</v>
      </c>
      <c r="M174" s="93">
        <f t="shared" si="108"/>
        <v>15703</v>
      </c>
      <c r="N174" s="93">
        <f t="shared" si="108"/>
        <v>15363</v>
      </c>
      <c r="O174" s="93">
        <f t="shared" si="108"/>
        <v>139242</v>
      </c>
      <c r="P174" s="91">
        <f t="shared" si="85"/>
        <v>255413</v>
      </c>
    </row>
    <row r="175" spans="1:16" ht="16.5" customHeight="1" x14ac:dyDescent="0.25">
      <c r="A175" s="133">
        <f t="shared" ref="A175" si="109">A172+1</f>
        <v>56</v>
      </c>
      <c r="B175" s="155" t="s">
        <v>11</v>
      </c>
      <c r="C175" s="156" t="s">
        <v>27</v>
      </c>
      <c r="D175" s="157">
        <v>42943</v>
      </c>
      <c r="E175" s="162" t="s">
        <v>256</v>
      </c>
      <c r="F175" s="36" t="s">
        <v>254</v>
      </c>
      <c r="G175" s="11" t="s">
        <v>5</v>
      </c>
      <c r="H175" s="62">
        <v>13872</v>
      </c>
      <c r="I175" s="62">
        <v>13872</v>
      </c>
      <c r="J175" s="62">
        <v>13872</v>
      </c>
      <c r="K175" s="62">
        <v>13872</v>
      </c>
      <c r="L175" s="62">
        <v>13872</v>
      </c>
      <c r="M175" s="62">
        <v>13872</v>
      </c>
      <c r="N175" s="62">
        <v>13872</v>
      </c>
      <c r="O175" s="62">
        <f>37268-13552+559-13872</f>
        <v>10403</v>
      </c>
      <c r="P175" s="62">
        <f>SUM(H175:O175)</f>
        <v>107507</v>
      </c>
    </row>
    <row r="176" spans="1:16" ht="16.5" customHeight="1" x14ac:dyDescent="0.25">
      <c r="A176" s="134"/>
      <c r="B176" s="155"/>
      <c r="C176" s="156"/>
      <c r="D176" s="157"/>
      <c r="E176" s="162"/>
      <c r="F176" s="18" t="s">
        <v>255</v>
      </c>
      <c r="G176" s="15" t="s">
        <v>8</v>
      </c>
      <c r="H176" s="63">
        <f>3668+267</f>
        <v>3935</v>
      </c>
      <c r="I176" s="63">
        <f>2475+232</f>
        <v>2707</v>
      </c>
      <c r="J176" s="63">
        <f>2100+196</f>
        <v>2296</v>
      </c>
      <c r="K176" s="63">
        <f>1728+162</f>
        <v>1890</v>
      </c>
      <c r="L176" s="64">
        <f>1348+126</f>
        <v>1474</v>
      </c>
      <c r="M176" s="64">
        <f>973+91</f>
        <v>1064</v>
      </c>
      <c r="N176" s="64">
        <f>598+56</f>
        <v>654</v>
      </c>
      <c r="O176" s="64">
        <f>192+20</f>
        <v>212</v>
      </c>
      <c r="P176" s="63">
        <f t="shared" si="85"/>
        <v>14232</v>
      </c>
    </row>
    <row r="177" spans="1:16" ht="17.25" customHeight="1" x14ac:dyDescent="0.25">
      <c r="A177" s="135"/>
      <c r="B177" s="155"/>
      <c r="C177" s="156"/>
      <c r="D177" s="157"/>
      <c r="E177" s="162"/>
      <c r="F177" s="13"/>
      <c r="G177" s="13" t="s">
        <v>100</v>
      </c>
      <c r="H177" s="93">
        <f t="shared" ref="H177:O177" si="110">SUM(H175:H176)</f>
        <v>17807</v>
      </c>
      <c r="I177" s="93">
        <f t="shared" si="110"/>
        <v>16579</v>
      </c>
      <c r="J177" s="93">
        <f t="shared" si="110"/>
        <v>16168</v>
      </c>
      <c r="K177" s="93">
        <f t="shared" si="110"/>
        <v>15762</v>
      </c>
      <c r="L177" s="93">
        <f t="shared" si="110"/>
        <v>15346</v>
      </c>
      <c r="M177" s="93">
        <f t="shared" si="110"/>
        <v>14936</v>
      </c>
      <c r="N177" s="93">
        <f t="shared" si="110"/>
        <v>14526</v>
      </c>
      <c r="O177" s="93">
        <f t="shared" si="110"/>
        <v>10615</v>
      </c>
      <c r="P177" s="91">
        <f t="shared" si="85"/>
        <v>121739</v>
      </c>
    </row>
    <row r="178" spans="1:16" ht="17.25" customHeight="1" x14ac:dyDescent="0.25">
      <c r="A178" s="133">
        <f t="shared" ref="A178" si="111">A175+1</f>
        <v>57</v>
      </c>
      <c r="B178" s="155" t="s">
        <v>11</v>
      </c>
      <c r="C178" s="156" t="s">
        <v>28</v>
      </c>
      <c r="D178" s="157">
        <v>42957</v>
      </c>
      <c r="E178" s="162" t="s">
        <v>256</v>
      </c>
      <c r="F178" s="36" t="s">
        <v>257</v>
      </c>
      <c r="G178" s="11" t="s">
        <v>5</v>
      </c>
      <c r="H178" s="62">
        <f>7260+176</f>
        <v>7436</v>
      </c>
      <c r="I178" s="62">
        <f t="shared" ref="I178:M178" si="112">7260+176</f>
        <v>7436</v>
      </c>
      <c r="J178" s="62">
        <f t="shared" si="112"/>
        <v>7436</v>
      </c>
      <c r="K178" s="62">
        <f t="shared" si="112"/>
        <v>7436</v>
      </c>
      <c r="L178" s="62">
        <f t="shared" si="112"/>
        <v>7436</v>
      </c>
      <c r="M178" s="62">
        <f t="shared" si="112"/>
        <v>7436</v>
      </c>
      <c r="N178" s="62">
        <v>7436</v>
      </c>
      <c r="O178" s="62">
        <f>19965-7260+295-7436</f>
        <v>5564</v>
      </c>
      <c r="P178" s="62">
        <f>SUM(H178:O178)</f>
        <v>57616</v>
      </c>
    </row>
    <row r="179" spans="1:16" ht="15.75" customHeight="1" x14ac:dyDescent="0.25">
      <c r="A179" s="134"/>
      <c r="B179" s="155"/>
      <c r="C179" s="156"/>
      <c r="D179" s="157"/>
      <c r="E179" s="162"/>
      <c r="F179" s="18" t="s">
        <v>258</v>
      </c>
      <c r="G179" s="15" t="s">
        <v>8</v>
      </c>
      <c r="H179" s="63">
        <f>1895+143</f>
        <v>2038</v>
      </c>
      <c r="I179" s="63">
        <f>1327+124</f>
        <v>1451</v>
      </c>
      <c r="J179" s="63">
        <f>1125+106</f>
        <v>1231</v>
      </c>
      <c r="K179" s="63">
        <f>926+87</f>
        <v>1013</v>
      </c>
      <c r="L179" s="64">
        <f>722+68</f>
        <v>790</v>
      </c>
      <c r="M179" s="64">
        <f>521+49</f>
        <v>570</v>
      </c>
      <c r="N179" s="64">
        <f>320+30</f>
        <v>350</v>
      </c>
      <c r="O179" s="64">
        <f>103+10</f>
        <v>113</v>
      </c>
      <c r="P179" s="63">
        <f t="shared" si="85"/>
        <v>7556</v>
      </c>
    </row>
    <row r="180" spans="1:16" ht="17.25" customHeight="1" x14ac:dyDescent="0.25">
      <c r="A180" s="135"/>
      <c r="B180" s="155"/>
      <c r="C180" s="156"/>
      <c r="D180" s="157"/>
      <c r="E180" s="162"/>
      <c r="F180" s="13"/>
      <c r="G180" s="13" t="s">
        <v>100</v>
      </c>
      <c r="H180" s="93">
        <f t="shared" ref="H180:O180" si="113">SUM(H178:H179)</f>
        <v>9474</v>
      </c>
      <c r="I180" s="93">
        <f t="shared" si="113"/>
        <v>8887</v>
      </c>
      <c r="J180" s="93">
        <f t="shared" si="113"/>
        <v>8667</v>
      </c>
      <c r="K180" s="93">
        <f t="shared" si="113"/>
        <v>8449</v>
      </c>
      <c r="L180" s="93">
        <f t="shared" si="113"/>
        <v>8226</v>
      </c>
      <c r="M180" s="93">
        <f t="shared" si="113"/>
        <v>8006</v>
      </c>
      <c r="N180" s="93">
        <f t="shared" si="113"/>
        <v>7786</v>
      </c>
      <c r="O180" s="93">
        <f t="shared" si="113"/>
        <v>5677</v>
      </c>
      <c r="P180" s="91">
        <f t="shared" si="85"/>
        <v>65172</v>
      </c>
    </row>
    <row r="181" spans="1:16" ht="15.75" customHeight="1" x14ac:dyDescent="0.25">
      <c r="A181" s="133">
        <f t="shared" ref="A181" si="114">A178+1</f>
        <v>58</v>
      </c>
      <c r="B181" s="155" t="s">
        <v>11</v>
      </c>
      <c r="C181" s="163" t="s">
        <v>262</v>
      </c>
      <c r="D181" s="157">
        <v>42989</v>
      </c>
      <c r="E181" s="162" t="s">
        <v>259</v>
      </c>
      <c r="F181" s="36" t="s">
        <v>260</v>
      </c>
      <c r="G181" s="11" t="s">
        <v>5</v>
      </c>
      <c r="H181" s="62">
        <f>4568+92</f>
        <v>4660</v>
      </c>
      <c r="I181" s="62">
        <f t="shared" ref="I181:M181" si="115">4568+92</f>
        <v>4660</v>
      </c>
      <c r="J181" s="62">
        <f t="shared" si="115"/>
        <v>4660</v>
      </c>
      <c r="K181" s="62">
        <f t="shared" si="115"/>
        <v>4660</v>
      </c>
      <c r="L181" s="62">
        <f t="shared" si="115"/>
        <v>4660</v>
      </c>
      <c r="M181" s="62">
        <f t="shared" si="115"/>
        <v>4660</v>
      </c>
      <c r="N181" s="62">
        <v>4660</v>
      </c>
      <c r="O181" s="62">
        <f>35402-4568+619-4660</f>
        <v>26793</v>
      </c>
      <c r="P181" s="62">
        <f>SUM(H181:O181)</f>
        <v>59413</v>
      </c>
    </row>
    <row r="182" spans="1:16" ht="14.25" customHeight="1" x14ac:dyDescent="0.25">
      <c r="A182" s="134"/>
      <c r="B182" s="155"/>
      <c r="C182" s="163"/>
      <c r="D182" s="157"/>
      <c r="E182" s="162"/>
      <c r="F182" s="18" t="s">
        <v>261</v>
      </c>
      <c r="G182" s="15" t="s">
        <v>8</v>
      </c>
      <c r="H182" s="63">
        <f>2245+149</f>
        <v>2394</v>
      </c>
      <c r="I182" s="63">
        <f>2070+137</f>
        <v>2207</v>
      </c>
      <c r="J182" s="63">
        <f>1336+125</f>
        <v>1461</v>
      </c>
      <c r="K182" s="63">
        <f>1213+113</f>
        <v>1326</v>
      </c>
      <c r="L182" s="64">
        <f>1083+102</f>
        <v>1185</v>
      </c>
      <c r="M182" s="64">
        <f>957+90</f>
        <v>1047</v>
      </c>
      <c r="N182" s="64">
        <f>831+78</f>
        <v>909</v>
      </c>
      <c r="O182" s="64">
        <f>2150+219</f>
        <v>2369</v>
      </c>
      <c r="P182" s="63">
        <f t="shared" si="85"/>
        <v>12898</v>
      </c>
    </row>
    <row r="183" spans="1:16" ht="14.25" customHeight="1" x14ac:dyDescent="0.25">
      <c r="A183" s="135"/>
      <c r="B183" s="155"/>
      <c r="C183" s="163"/>
      <c r="D183" s="157"/>
      <c r="E183" s="162"/>
      <c r="F183" s="13"/>
      <c r="G183" s="13" t="s">
        <v>100</v>
      </c>
      <c r="H183" s="93">
        <f t="shared" ref="H183:O183" si="116">SUM(H181:H182)</f>
        <v>7054</v>
      </c>
      <c r="I183" s="93">
        <f t="shared" si="116"/>
        <v>6867</v>
      </c>
      <c r="J183" s="93">
        <f t="shared" si="116"/>
        <v>6121</v>
      </c>
      <c r="K183" s="93">
        <f t="shared" si="116"/>
        <v>5986</v>
      </c>
      <c r="L183" s="93">
        <f t="shared" si="116"/>
        <v>5845</v>
      </c>
      <c r="M183" s="93">
        <f t="shared" si="116"/>
        <v>5707</v>
      </c>
      <c r="N183" s="93">
        <f t="shared" si="116"/>
        <v>5569</v>
      </c>
      <c r="O183" s="93">
        <f t="shared" si="116"/>
        <v>29162</v>
      </c>
      <c r="P183" s="91">
        <f t="shared" si="85"/>
        <v>72311</v>
      </c>
    </row>
    <row r="184" spans="1:16" ht="18.600000000000001" customHeight="1" x14ac:dyDescent="0.25">
      <c r="A184" s="133">
        <f t="shared" ref="A184" si="117">A181+1</f>
        <v>59</v>
      </c>
      <c r="B184" s="155" t="s">
        <v>11</v>
      </c>
      <c r="C184" s="156" t="s">
        <v>64</v>
      </c>
      <c r="D184" s="157">
        <v>42993</v>
      </c>
      <c r="E184" s="129" t="s">
        <v>117</v>
      </c>
      <c r="F184" s="36" t="s">
        <v>263</v>
      </c>
      <c r="G184" s="11" t="s">
        <v>5</v>
      </c>
      <c r="H184" s="62">
        <f>4788+88</f>
        <v>4876</v>
      </c>
      <c r="I184" s="62">
        <f>4788+88</f>
        <v>4876</v>
      </c>
      <c r="J184" s="62">
        <f>3591+59</f>
        <v>3650</v>
      </c>
      <c r="K184" s="62">
        <v>0</v>
      </c>
      <c r="L184" s="62">
        <v>0</v>
      </c>
      <c r="M184" s="62">
        <v>0</v>
      </c>
      <c r="N184" s="62">
        <v>0</v>
      </c>
      <c r="O184" s="94">
        <v>0</v>
      </c>
      <c r="P184" s="62">
        <f>SUM(H184:O184)</f>
        <v>13402</v>
      </c>
    </row>
    <row r="185" spans="1:16" ht="15" customHeight="1" x14ac:dyDescent="0.25">
      <c r="A185" s="134"/>
      <c r="B185" s="155"/>
      <c r="C185" s="156"/>
      <c r="D185" s="157"/>
      <c r="E185" s="129"/>
      <c r="F185" s="18" t="s">
        <v>264</v>
      </c>
      <c r="G185" s="15" t="s">
        <v>8</v>
      </c>
      <c r="H185" s="63">
        <f>412+32</f>
        <v>444</v>
      </c>
      <c r="I185" s="63">
        <f>210+20</f>
        <v>230</v>
      </c>
      <c r="J185" s="63">
        <f>79+7</f>
        <v>86</v>
      </c>
      <c r="K185" s="63">
        <v>0</v>
      </c>
      <c r="L185" s="63">
        <v>0</v>
      </c>
      <c r="M185" s="63">
        <v>0</v>
      </c>
      <c r="N185" s="63">
        <v>0</v>
      </c>
      <c r="O185" s="92">
        <v>0</v>
      </c>
      <c r="P185" s="63">
        <f t="shared" si="85"/>
        <v>760</v>
      </c>
    </row>
    <row r="186" spans="1:16" ht="15" customHeight="1" x14ac:dyDescent="0.25">
      <c r="A186" s="135"/>
      <c r="B186" s="155"/>
      <c r="C186" s="156"/>
      <c r="D186" s="157"/>
      <c r="E186" s="129"/>
      <c r="F186" s="13"/>
      <c r="G186" s="13" t="s">
        <v>100</v>
      </c>
      <c r="H186" s="93">
        <f t="shared" ref="H186:O186" si="118">SUM(H184:H185)</f>
        <v>5320</v>
      </c>
      <c r="I186" s="93">
        <f t="shared" si="118"/>
        <v>5106</v>
      </c>
      <c r="J186" s="93">
        <f t="shared" si="118"/>
        <v>3736</v>
      </c>
      <c r="K186" s="93">
        <f t="shared" si="118"/>
        <v>0</v>
      </c>
      <c r="L186" s="93">
        <f t="shared" si="118"/>
        <v>0</v>
      </c>
      <c r="M186" s="93">
        <f>SUM(M184:M185)</f>
        <v>0</v>
      </c>
      <c r="N186" s="93">
        <f t="shared" ref="N186" si="119">SUM(N184:N185)</f>
        <v>0</v>
      </c>
      <c r="O186" s="93">
        <f t="shared" si="118"/>
        <v>0</v>
      </c>
      <c r="P186" s="91">
        <f t="shared" si="85"/>
        <v>14162</v>
      </c>
    </row>
    <row r="187" spans="1:16" ht="15" customHeight="1" x14ac:dyDescent="0.25">
      <c r="A187" s="133">
        <f t="shared" ref="A187" si="120">A184+1</f>
        <v>60</v>
      </c>
      <c r="B187" s="155" t="s">
        <v>11</v>
      </c>
      <c r="C187" s="156" t="s">
        <v>571</v>
      </c>
      <c r="D187" s="157">
        <v>43012</v>
      </c>
      <c r="E187" s="162" t="s">
        <v>117</v>
      </c>
      <c r="F187" s="36" t="s">
        <v>265</v>
      </c>
      <c r="G187" s="11" t="s">
        <v>5</v>
      </c>
      <c r="H187" s="62">
        <v>4276</v>
      </c>
      <c r="I187" s="62">
        <v>4276</v>
      </c>
      <c r="J187" s="62">
        <f>3171+28</f>
        <v>3199</v>
      </c>
      <c r="K187" s="62">
        <v>0</v>
      </c>
      <c r="L187" s="62">
        <v>0</v>
      </c>
      <c r="M187" s="62">
        <v>0</v>
      </c>
      <c r="N187" s="62">
        <v>0</v>
      </c>
      <c r="O187" s="94">
        <v>0</v>
      </c>
      <c r="P187" s="62">
        <f>SUM(H187:O187)</f>
        <v>11751</v>
      </c>
    </row>
    <row r="188" spans="1:16" ht="15" customHeight="1" x14ac:dyDescent="0.25">
      <c r="A188" s="134"/>
      <c r="B188" s="155"/>
      <c r="C188" s="156"/>
      <c r="D188" s="157"/>
      <c r="E188" s="162"/>
      <c r="F188" s="18" t="s">
        <v>266</v>
      </c>
      <c r="G188" s="15" t="s">
        <v>8</v>
      </c>
      <c r="H188" s="63">
        <f>340+28</f>
        <v>368</v>
      </c>
      <c r="I188" s="63">
        <f>185+17</f>
        <v>202</v>
      </c>
      <c r="J188" s="63">
        <f>69+6</f>
        <v>75</v>
      </c>
      <c r="K188" s="63">
        <v>0</v>
      </c>
      <c r="L188" s="63">
        <v>0</v>
      </c>
      <c r="M188" s="63">
        <v>0</v>
      </c>
      <c r="N188" s="63">
        <v>0</v>
      </c>
      <c r="O188" s="92">
        <v>0</v>
      </c>
      <c r="P188" s="63">
        <f t="shared" si="85"/>
        <v>645</v>
      </c>
    </row>
    <row r="189" spans="1:16" ht="15" customHeight="1" x14ac:dyDescent="0.25">
      <c r="A189" s="135"/>
      <c r="B189" s="155"/>
      <c r="C189" s="156"/>
      <c r="D189" s="157"/>
      <c r="E189" s="162"/>
      <c r="F189" s="13"/>
      <c r="G189" s="13" t="s">
        <v>100</v>
      </c>
      <c r="H189" s="93">
        <f t="shared" ref="H189:O189" si="121">SUM(H187:H188)</f>
        <v>4644</v>
      </c>
      <c r="I189" s="93">
        <f t="shared" si="121"/>
        <v>4478</v>
      </c>
      <c r="J189" s="93">
        <f t="shared" si="121"/>
        <v>3274</v>
      </c>
      <c r="K189" s="93">
        <f t="shared" si="121"/>
        <v>0</v>
      </c>
      <c r="L189" s="93">
        <f t="shared" si="121"/>
        <v>0</v>
      </c>
      <c r="M189" s="93">
        <f t="shared" si="121"/>
        <v>0</v>
      </c>
      <c r="N189" s="93">
        <f t="shared" si="121"/>
        <v>0</v>
      </c>
      <c r="O189" s="93">
        <f t="shared" si="121"/>
        <v>0</v>
      </c>
      <c r="P189" s="91">
        <f t="shared" si="85"/>
        <v>12396</v>
      </c>
    </row>
    <row r="190" spans="1:16" ht="15" customHeight="1" x14ac:dyDescent="0.25">
      <c r="A190" s="133">
        <f t="shared" ref="A190" si="122">A187+1</f>
        <v>61</v>
      </c>
      <c r="B190" s="155" t="s">
        <v>11</v>
      </c>
      <c r="C190" s="156" t="s">
        <v>50</v>
      </c>
      <c r="D190" s="157">
        <v>43020</v>
      </c>
      <c r="E190" s="162" t="s">
        <v>117</v>
      </c>
      <c r="F190" s="36" t="s">
        <v>267</v>
      </c>
      <c r="G190" s="11" t="s">
        <v>5</v>
      </c>
      <c r="H190" s="62">
        <v>19988</v>
      </c>
      <c r="I190" s="62">
        <v>19988</v>
      </c>
      <c r="J190" s="62">
        <f>14302+682</f>
        <v>14984</v>
      </c>
      <c r="K190" s="62">
        <v>0</v>
      </c>
      <c r="L190" s="62">
        <v>0</v>
      </c>
      <c r="M190" s="62">
        <v>0</v>
      </c>
      <c r="N190" s="62">
        <v>0</v>
      </c>
      <c r="O190" s="94">
        <v>0</v>
      </c>
      <c r="P190" s="62">
        <f>SUM(H190:O190)</f>
        <v>54960</v>
      </c>
    </row>
    <row r="191" spans="1:16" ht="15" customHeight="1" x14ac:dyDescent="0.25">
      <c r="A191" s="134"/>
      <c r="B191" s="155"/>
      <c r="C191" s="156"/>
      <c r="D191" s="157"/>
      <c r="E191" s="162"/>
      <c r="F191" s="18" t="s">
        <v>268</v>
      </c>
      <c r="G191" s="15" t="s">
        <v>8</v>
      </c>
      <c r="H191" s="63">
        <f>1578+131</f>
        <v>1709</v>
      </c>
      <c r="I191" s="63">
        <f>866+81</f>
        <v>947</v>
      </c>
      <c r="J191" s="63">
        <f>322+30</f>
        <v>352</v>
      </c>
      <c r="K191" s="63">
        <v>0</v>
      </c>
      <c r="L191" s="63">
        <v>0</v>
      </c>
      <c r="M191" s="63">
        <v>0</v>
      </c>
      <c r="N191" s="63">
        <v>0</v>
      </c>
      <c r="O191" s="92">
        <v>0</v>
      </c>
      <c r="P191" s="63">
        <f t="shared" si="85"/>
        <v>3008</v>
      </c>
    </row>
    <row r="192" spans="1:16" ht="15" customHeight="1" x14ac:dyDescent="0.25">
      <c r="A192" s="135"/>
      <c r="B192" s="164"/>
      <c r="C192" s="166"/>
      <c r="D192" s="159"/>
      <c r="E192" s="152"/>
      <c r="F192" s="23"/>
      <c r="G192" s="23" t="s">
        <v>100</v>
      </c>
      <c r="H192" s="93">
        <f t="shared" ref="H192:O192" si="123">SUM(H190:H191)</f>
        <v>21697</v>
      </c>
      <c r="I192" s="93">
        <f t="shared" si="123"/>
        <v>20935</v>
      </c>
      <c r="J192" s="93">
        <f t="shared" si="123"/>
        <v>15336</v>
      </c>
      <c r="K192" s="93">
        <f t="shared" si="123"/>
        <v>0</v>
      </c>
      <c r="L192" s="93">
        <f t="shared" si="123"/>
        <v>0</v>
      </c>
      <c r="M192" s="93">
        <f t="shared" si="123"/>
        <v>0</v>
      </c>
      <c r="N192" s="93">
        <f t="shared" si="123"/>
        <v>0</v>
      </c>
      <c r="O192" s="93">
        <f t="shared" si="123"/>
        <v>0</v>
      </c>
      <c r="P192" s="91">
        <f t="shared" si="85"/>
        <v>57968</v>
      </c>
    </row>
    <row r="193" spans="1:16" ht="15" customHeight="1" x14ac:dyDescent="0.25">
      <c r="A193" s="133">
        <f t="shared" ref="A193" si="124">A190+1</f>
        <v>62</v>
      </c>
      <c r="B193" s="155" t="s">
        <v>11</v>
      </c>
      <c r="C193" s="156" t="s">
        <v>29</v>
      </c>
      <c r="D193" s="157">
        <v>43027</v>
      </c>
      <c r="E193" s="162" t="s">
        <v>269</v>
      </c>
      <c r="F193" s="36" t="s">
        <v>270</v>
      </c>
      <c r="G193" s="11" t="s">
        <v>5</v>
      </c>
      <c r="H193" s="62">
        <v>6280</v>
      </c>
      <c r="I193" s="62">
        <v>6280</v>
      </c>
      <c r="J193" s="62">
        <v>6280</v>
      </c>
      <c r="K193" s="62">
        <v>6280</v>
      </c>
      <c r="L193" s="62">
        <v>6280</v>
      </c>
      <c r="M193" s="62">
        <v>6280</v>
      </c>
      <c r="N193" s="62">
        <v>6280</v>
      </c>
      <c r="O193" s="62">
        <f>18576-6192+152-6280</f>
        <v>6256</v>
      </c>
      <c r="P193" s="62">
        <f>SUM(H193:O193)</f>
        <v>50216</v>
      </c>
    </row>
    <row r="194" spans="1:16" ht="15" customHeight="1" x14ac:dyDescent="0.25">
      <c r="A194" s="134"/>
      <c r="B194" s="155"/>
      <c r="C194" s="156"/>
      <c r="D194" s="157"/>
      <c r="E194" s="162"/>
      <c r="F194" s="18" t="s">
        <v>271</v>
      </c>
      <c r="G194" s="15" t="s">
        <v>8</v>
      </c>
      <c r="H194" s="63">
        <f>1483+125</f>
        <v>1608</v>
      </c>
      <c r="I194" s="63">
        <f>1168+109</f>
        <v>1277</v>
      </c>
      <c r="J194" s="63">
        <f>992+93</f>
        <v>1085</v>
      </c>
      <c r="K194" s="63">
        <f>824+77</f>
        <v>901</v>
      </c>
      <c r="L194" s="64">
        <f>652+61</f>
        <v>713</v>
      </c>
      <c r="M194" s="64">
        <f>482+45</f>
        <v>527</v>
      </c>
      <c r="N194" s="64">
        <f>313+29</f>
        <v>342</v>
      </c>
      <c r="O194" s="64">
        <f>134+14</f>
        <v>148</v>
      </c>
      <c r="P194" s="63">
        <f t="shared" si="85"/>
        <v>6601</v>
      </c>
    </row>
    <row r="195" spans="1:16" ht="15" customHeight="1" x14ac:dyDescent="0.25">
      <c r="A195" s="135"/>
      <c r="B195" s="155"/>
      <c r="C195" s="156"/>
      <c r="D195" s="157"/>
      <c r="E195" s="162"/>
      <c r="F195" s="13"/>
      <c r="G195" s="13" t="s">
        <v>100</v>
      </c>
      <c r="H195" s="93">
        <f t="shared" ref="H195:O195" si="125">SUM(H193:H194)</f>
        <v>7888</v>
      </c>
      <c r="I195" s="93">
        <f t="shared" si="125"/>
        <v>7557</v>
      </c>
      <c r="J195" s="93">
        <f t="shared" si="125"/>
        <v>7365</v>
      </c>
      <c r="K195" s="93">
        <f t="shared" si="125"/>
        <v>7181</v>
      </c>
      <c r="L195" s="93">
        <f t="shared" si="125"/>
        <v>6993</v>
      </c>
      <c r="M195" s="93">
        <f t="shared" si="125"/>
        <v>6807</v>
      </c>
      <c r="N195" s="93">
        <f t="shared" si="125"/>
        <v>6622</v>
      </c>
      <c r="O195" s="93">
        <f t="shared" si="125"/>
        <v>6404</v>
      </c>
      <c r="P195" s="91">
        <f t="shared" si="85"/>
        <v>56817</v>
      </c>
    </row>
    <row r="196" spans="1:16" ht="13.5" customHeight="1" x14ac:dyDescent="0.25">
      <c r="A196" s="133">
        <f t="shared" ref="A196" si="126">A193+1</f>
        <v>63</v>
      </c>
      <c r="B196" s="155" t="s">
        <v>11</v>
      </c>
      <c r="C196" s="156" t="s">
        <v>57</v>
      </c>
      <c r="D196" s="157">
        <v>43042</v>
      </c>
      <c r="E196" s="162" t="s">
        <v>269</v>
      </c>
      <c r="F196" s="36" t="s">
        <v>272</v>
      </c>
      <c r="G196" s="11" t="s">
        <v>5</v>
      </c>
      <c r="H196" s="62">
        <v>20260</v>
      </c>
      <c r="I196" s="62">
        <v>20260</v>
      </c>
      <c r="J196" s="62">
        <v>20260</v>
      </c>
      <c r="K196" s="62">
        <v>20260</v>
      </c>
      <c r="L196" s="62">
        <v>20260</v>
      </c>
      <c r="M196" s="62">
        <v>20260</v>
      </c>
      <c r="N196" s="62">
        <v>20260</v>
      </c>
      <c r="O196" s="62">
        <f>60000-20000+489-20260</f>
        <v>20229</v>
      </c>
      <c r="P196" s="62">
        <f>SUM(H196:O196)</f>
        <v>162049</v>
      </c>
    </row>
    <row r="197" spans="1:16" ht="13.5" customHeight="1" x14ac:dyDescent="0.25">
      <c r="A197" s="134"/>
      <c r="B197" s="155"/>
      <c r="C197" s="156"/>
      <c r="D197" s="157"/>
      <c r="E197" s="162"/>
      <c r="F197" s="18" t="s">
        <v>273</v>
      </c>
      <c r="G197" s="15" t="s">
        <v>8</v>
      </c>
      <c r="H197" s="63">
        <f>4734+402</f>
        <v>5136</v>
      </c>
      <c r="I197" s="63">
        <f>3771+352</f>
        <v>4123</v>
      </c>
      <c r="J197" s="63">
        <f>3203+300</f>
        <v>3503</v>
      </c>
      <c r="K197" s="63">
        <f>2661+249</f>
        <v>2910</v>
      </c>
      <c r="L197" s="64">
        <f>2105+197</f>
        <v>2302</v>
      </c>
      <c r="M197" s="64">
        <f>1557+146</f>
        <v>1703</v>
      </c>
      <c r="N197" s="64">
        <f>1010+95</f>
        <v>1105</v>
      </c>
      <c r="O197" s="64">
        <f>433+44</f>
        <v>477</v>
      </c>
      <c r="P197" s="63">
        <f t="shared" si="85"/>
        <v>21259</v>
      </c>
    </row>
    <row r="198" spans="1:16" ht="13.5" customHeight="1" x14ac:dyDescent="0.25">
      <c r="A198" s="135"/>
      <c r="B198" s="155"/>
      <c r="C198" s="156"/>
      <c r="D198" s="157"/>
      <c r="E198" s="162"/>
      <c r="F198" s="13"/>
      <c r="G198" s="13" t="s">
        <v>100</v>
      </c>
      <c r="H198" s="93">
        <f t="shared" ref="H198:O198" si="127">SUM(H196:H197)</f>
        <v>25396</v>
      </c>
      <c r="I198" s="93">
        <f t="shared" si="127"/>
        <v>24383</v>
      </c>
      <c r="J198" s="93">
        <f t="shared" si="127"/>
        <v>23763</v>
      </c>
      <c r="K198" s="93">
        <f t="shared" si="127"/>
        <v>23170</v>
      </c>
      <c r="L198" s="93">
        <f t="shared" si="127"/>
        <v>22562</v>
      </c>
      <c r="M198" s="93">
        <f t="shared" si="127"/>
        <v>21963</v>
      </c>
      <c r="N198" s="93">
        <f t="shared" si="127"/>
        <v>21365</v>
      </c>
      <c r="O198" s="93">
        <f t="shared" si="127"/>
        <v>20706</v>
      </c>
      <c r="P198" s="91">
        <f t="shared" si="85"/>
        <v>183308</v>
      </c>
    </row>
    <row r="199" spans="1:16" ht="13.5" customHeight="1" x14ac:dyDescent="0.25">
      <c r="A199" s="133">
        <f t="shared" ref="A199" si="128">A196+1</f>
        <v>64</v>
      </c>
      <c r="B199" s="155" t="s">
        <v>11</v>
      </c>
      <c r="C199" s="156" t="s">
        <v>30</v>
      </c>
      <c r="D199" s="157">
        <v>43089</v>
      </c>
      <c r="E199" s="162" t="s">
        <v>276</v>
      </c>
      <c r="F199" s="36" t="s">
        <v>274</v>
      </c>
      <c r="G199" s="11" t="s">
        <v>5</v>
      </c>
      <c r="H199" s="62">
        <v>33888</v>
      </c>
      <c r="I199" s="62">
        <v>33888</v>
      </c>
      <c r="J199" s="62">
        <v>33888</v>
      </c>
      <c r="K199" s="62">
        <v>33888</v>
      </c>
      <c r="L199" s="62">
        <v>33888</v>
      </c>
      <c r="M199" s="62">
        <v>33888</v>
      </c>
      <c r="N199" s="62">
        <v>33888</v>
      </c>
      <c r="O199" s="62">
        <f>434148-33396+5893-33888</f>
        <v>372757</v>
      </c>
      <c r="P199" s="62">
        <f>SUM(H199:O199)</f>
        <v>609973</v>
      </c>
    </row>
    <row r="200" spans="1:16" ht="13.5" customHeight="1" x14ac:dyDescent="0.25">
      <c r="A200" s="134"/>
      <c r="B200" s="155"/>
      <c r="C200" s="156"/>
      <c r="D200" s="157"/>
      <c r="E200" s="162"/>
      <c r="F200" s="18" t="s">
        <v>275</v>
      </c>
      <c r="G200" s="15" t="s">
        <v>8</v>
      </c>
      <c r="H200" s="63">
        <f>17909+1531</f>
        <v>19440</v>
      </c>
      <c r="I200" s="63">
        <f>15384+1447</f>
        <v>16831</v>
      </c>
      <c r="J200" s="63">
        <f>14525+1361</f>
        <v>15886</v>
      </c>
      <c r="K200" s="63">
        <f>13644+1278</f>
        <v>14922</v>
      </c>
      <c r="L200" s="64">
        <f>12690+1189</f>
        <v>13879</v>
      </c>
      <c r="M200" s="64">
        <f>11773+1103</f>
        <v>12876</v>
      </c>
      <c r="N200" s="64">
        <f>10857+1017</f>
        <v>11874</v>
      </c>
      <c r="O200" s="64">
        <f>54232+5532</f>
        <v>59764</v>
      </c>
      <c r="P200" s="63">
        <f t="shared" si="85"/>
        <v>165472</v>
      </c>
    </row>
    <row r="201" spans="1:16" ht="13.5" customHeight="1" x14ac:dyDescent="0.25">
      <c r="A201" s="135"/>
      <c r="B201" s="155"/>
      <c r="C201" s="156"/>
      <c r="D201" s="157"/>
      <c r="E201" s="162"/>
      <c r="F201" s="13"/>
      <c r="G201" s="13" t="s">
        <v>100</v>
      </c>
      <c r="H201" s="93">
        <f t="shared" ref="H201:O201" si="129">SUM(H199:H200)</f>
        <v>53328</v>
      </c>
      <c r="I201" s="93">
        <f t="shared" si="129"/>
        <v>50719</v>
      </c>
      <c r="J201" s="93">
        <f t="shared" si="129"/>
        <v>49774</v>
      </c>
      <c r="K201" s="93">
        <f t="shared" si="129"/>
        <v>48810</v>
      </c>
      <c r="L201" s="93">
        <f t="shared" si="129"/>
        <v>47767</v>
      </c>
      <c r="M201" s="93">
        <f t="shared" si="129"/>
        <v>46764</v>
      </c>
      <c r="N201" s="93">
        <f t="shared" si="129"/>
        <v>45762</v>
      </c>
      <c r="O201" s="93">
        <f t="shared" si="129"/>
        <v>432521</v>
      </c>
      <c r="P201" s="91">
        <f t="shared" si="85"/>
        <v>775445</v>
      </c>
    </row>
    <row r="202" spans="1:16" ht="13.5" customHeight="1" x14ac:dyDescent="0.25">
      <c r="A202" s="133">
        <f t="shared" ref="A202" si="130">A199+1</f>
        <v>65</v>
      </c>
      <c r="B202" s="155" t="s">
        <v>11</v>
      </c>
      <c r="C202" s="163" t="s">
        <v>446</v>
      </c>
      <c r="D202" s="157">
        <v>43167</v>
      </c>
      <c r="E202" s="162" t="s">
        <v>279</v>
      </c>
      <c r="F202" s="36" t="s">
        <v>277</v>
      </c>
      <c r="G202" s="11" t="s">
        <v>5</v>
      </c>
      <c r="H202" s="62">
        <v>36892</v>
      </c>
      <c r="I202" s="62">
        <v>36892</v>
      </c>
      <c r="J202" s="62">
        <v>36892</v>
      </c>
      <c r="K202" s="62">
        <v>36892</v>
      </c>
      <c r="L202" s="62">
        <v>36892</v>
      </c>
      <c r="M202" s="62">
        <v>36892</v>
      </c>
      <c r="N202" s="62">
        <v>36892</v>
      </c>
      <c r="O202" s="62">
        <f>480922-36296+7261-36892</f>
        <v>414995</v>
      </c>
      <c r="P202" s="62">
        <f>SUM(H202:O202)</f>
        <v>673239</v>
      </c>
    </row>
    <row r="203" spans="1:16" ht="13.5" customHeight="1" x14ac:dyDescent="0.25">
      <c r="A203" s="134"/>
      <c r="B203" s="155"/>
      <c r="C203" s="156"/>
      <c r="D203" s="157"/>
      <c r="E203" s="162"/>
      <c r="F203" s="18" t="s">
        <v>278</v>
      </c>
      <c r="G203" s="15" t="s">
        <v>8</v>
      </c>
      <c r="H203" s="63">
        <f>21394-492+1690</f>
        <v>22592</v>
      </c>
      <c r="I203" s="63">
        <f>17060-2224+1599</f>
        <v>16435</v>
      </c>
      <c r="J203" s="63">
        <f>16062-3119+1505</f>
        <v>14448</v>
      </c>
      <c r="K203" s="63">
        <f>15103+1415</f>
        <v>16518</v>
      </c>
      <c r="L203" s="64">
        <f>14063+1318</f>
        <v>15381</v>
      </c>
      <c r="M203" s="64">
        <f>13065+1224</f>
        <v>14289</v>
      </c>
      <c r="N203" s="64">
        <f>12069+1131</f>
        <v>13200</v>
      </c>
      <c r="O203" s="64">
        <f>61644+6288</f>
        <v>67932</v>
      </c>
      <c r="P203" s="63">
        <f t="shared" si="85"/>
        <v>180795</v>
      </c>
    </row>
    <row r="204" spans="1:16" ht="13.5" customHeight="1" x14ac:dyDescent="0.25">
      <c r="A204" s="135"/>
      <c r="B204" s="155"/>
      <c r="C204" s="156"/>
      <c r="D204" s="157"/>
      <c r="E204" s="162"/>
      <c r="F204" s="13"/>
      <c r="G204" s="13" t="s">
        <v>100</v>
      </c>
      <c r="H204" s="93">
        <f t="shared" ref="H204:O204" si="131">SUM(H202:H203)</f>
        <v>59484</v>
      </c>
      <c r="I204" s="93">
        <f t="shared" si="131"/>
        <v>53327</v>
      </c>
      <c r="J204" s="93">
        <f t="shared" si="131"/>
        <v>51340</v>
      </c>
      <c r="K204" s="93">
        <f t="shared" si="131"/>
        <v>53410</v>
      </c>
      <c r="L204" s="93">
        <f>SUM(L202:L203)</f>
        <v>52273</v>
      </c>
      <c r="M204" s="93">
        <f>SUM(M202:M203)</f>
        <v>51181</v>
      </c>
      <c r="N204" s="93">
        <f>SUM(N202:N203)</f>
        <v>50092</v>
      </c>
      <c r="O204" s="93">
        <f t="shared" si="131"/>
        <v>482927</v>
      </c>
      <c r="P204" s="91">
        <f t="shared" si="85"/>
        <v>854034</v>
      </c>
    </row>
    <row r="205" spans="1:16" ht="15.75" customHeight="1" x14ac:dyDescent="0.25">
      <c r="A205" s="133">
        <f t="shared" ref="A205" si="132">A202+1</f>
        <v>66</v>
      </c>
      <c r="B205" s="155" t="s">
        <v>11</v>
      </c>
      <c r="C205" s="163" t="s">
        <v>447</v>
      </c>
      <c r="D205" s="157">
        <v>43255</v>
      </c>
      <c r="E205" s="162" t="s">
        <v>280</v>
      </c>
      <c r="F205" s="36" t="s">
        <v>281</v>
      </c>
      <c r="G205" s="11" t="s">
        <v>5</v>
      </c>
      <c r="H205" s="62">
        <v>67236</v>
      </c>
      <c r="I205" s="62">
        <v>67236</v>
      </c>
      <c r="J205" s="62">
        <v>67236</v>
      </c>
      <c r="K205" s="62">
        <v>67236</v>
      </c>
      <c r="L205" s="62">
        <v>67236</v>
      </c>
      <c r="M205" s="62">
        <v>67236</v>
      </c>
      <c r="N205" s="62">
        <v>67236</v>
      </c>
      <c r="O205" s="62">
        <f>888570-65820+17630-67236</f>
        <v>773144</v>
      </c>
      <c r="P205" s="62">
        <f>SUM(H205:O205)</f>
        <v>1243796</v>
      </c>
    </row>
    <row r="206" spans="1:16" ht="15.75" customHeight="1" x14ac:dyDescent="0.25">
      <c r="A206" s="134"/>
      <c r="B206" s="155"/>
      <c r="C206" s="156"/>
      <c r="D206" s="157"/>
      <c r="E206" s="162"/>
      <c r="F206" s="18" t="s">
        <v>282</v>
      </c>
      <c r="G206" s="15" t="s">
        <v>8</v>
      </c>
      <c r="H206" s="63">
        <f>42264+3122</f>
        <v>45386</v>
      </c>
      <c r="I206" s="63">
        <f>31548+2956</f>
        <v>34504</v>
      </c>
      <c r="J206" s="63">
        <f>29727+2786</f>
        <v>32513</v>
      </c>
      <c r="K206" s="63">
        <f>27981+2622</f>
        <v>30603</v>
      </c>
      <c r="L206" s="64">
        <f>26805+2444</f>
        <v>29249</v>
      </c>
      <c r="M206" s="64">
        <f>24266+2274</f>
        <v>26540</v>
      </c>
      <c r="N206" s="64">
        <f>22450+2104</f>
        <v>24554</v>
      </c>
      <c r="O206" s="64">
        <f>117241+11958</f>
        <v>129199</v>
      </c>
      <c r="P206" s="63">
        <f t="shared" si="85"/>
        <v>352548</v>
      </c>
    </row>
    <row r="207" spans="1:16" ht="15.75" customHeight="1" x14ac:dyDescent="0.25">
      <c r="A207" s="135"/>
      <c r="B207" s="155"/>
      <c r="C207" s="156"/>
      <c r="D207" s="157"/>
      <c r="E207" s="162"/>
      <c r="F207" s="13"/>
      <c r="G207" s="13" t="s">
        <v>100</v>
      </c>
      <c r="H207" s="93">
        <f t="shared" ref="H207:O207" si="133">SUM(H205:H206)</f>
        <v>112622</v>
      </c>
      <c r="I207" s="93">
        <f t="shared" si="133"/>
        <v>101740</v>
      </c>
      <c r="J207" s="93">
        <f t="shared" si="133"/>
        <v>99749</v>
      </c>
      <c r="K207" s="93">
        <f t="shared" si="133"/>
        <v>97839</v>
      </c>
      <c r="L207" s="93">
        <f t="shared" si="133"/>
        <v>96485</v>
      </c>
      <c r="M207" s="93">
        <f>SUM(M205:M206)</f>
        <v>93776</v>
      </c>
      <c r="N207" s="93">
        <f>SUM(N205:N206)</f>
        <v>91790</v>
      </c>
      <c r="O207" s="93">
        <f t="shared" si="133"/>
        <v>902343</v>
      </c>
      <c r="P207" s="91">
        <f t="shared" si="85"/>
        <v>1596344</v>
      </c>
    </row>
    <row r="208" spans="1:16" ht="15" customHeight="1" x14ac:dyDescent="0.25">
      <c r="A208" s="133">
        <f t="shared" ref="A208" si="134">A205+1</f>
        <v>67</v>
      </c>
      <c r="B208" s="155" t="s">
        <v>11</v>
      </c>
      <c r="C208" s="156" t="s">
        <v>26</v>
      </c>
      <c r="D208" s="157">
        <v>43285</v>
      </c>
      <c r="E208" s="162" t="s">
        <v>285</v>
      </c>
      <c r="F208" s="36" t="s">
        <v>283</v>
      </c>
      <c r="G208" s="11" t="s">
        <v>5</v>
      </c>
      <c r="H208" s="62">
        <v>10768</v>
      </c>
      <c r="I208" s="62">
        <v>10768</v>
      </c>
      <c r="J208" s="62">
        <v>10768</v>
      </c>
      <c r="K208" s="62">
        <v>10768</v>
      </c>
      <c r="L208" s="62">
        <v>10768</v>
      </c>
      <c r="M208" s="62">
        <v>10768</v>
      </c>
      <c r="N208" s="62">
        <v>10768</v>
      </c>
      <c r="O208" s="62">
        <f>142452-10552+2690-10768</f>
        <v>123822</v>
      </c>
      <c r="P208" s="62">
        <f>SUM(H208:O208)</f>
        <v>199198</v>
      </c>
    </row>
    <row r="209" spans="1:16" ht="14.25" customHeight="1" x14ac:dyDescent="0.25">
      <c r="A209" s="134"/>
      <c r="B209" s="155"/>
      <c r="C209" s="156"/>
      <c r="D209" s="157"/>
      <c r="E209" s="162"/>
      <c r="F209" s="18" t="s">
        <v>284</v>
      </c>
      <c r="G209" s="15" t="s">
        <v>8</v>
      </c>
      <c r="H209" s="63">
        <f>6897+500</f>
        <v>7397</v>
      </c>
      <c r="I209" s="63">
        <f>5052+473</f>
        <v>5525</v>
      </c>
      <c r="J209" s="63">
        <f>4761+446</f>
        <v>5207</v>
      </c>
      <c r="K209" s="63">
        <f>4481+420</f>
        <v>4901</v>
      </c>
      <c r="L209" s="64">
        <f>4178+391</f>
        <v>4569</v>
      </c>
      <c r="M209" s="64">
        <f>3886+364</f>
        <v>4250</v>
      </c>
      <c r="N209" s="64">
        <f>3595+337</f>
        <v>3932</v>
      </c>
      <c r="O209" s="64">
        <f>18783+1916</f>
        <v>20699</v>
      </c>
      <c r="P209" s="63">
        <f t="shared" si="85"/>
        <v>56480</v>
      </c>
    </row>
    <row r="210" spans="1:16" ht="13.5" customHeight="1" x14ac:dyDescent="0.25">
      <c r="A210" s="135"/>
      <c r="B210" s="164"/>
      <c r="C210" s="166"/>
      <c r="D210" s="159"/>
      <c r="E210" s="152"/>
      <c r="F210" s="23"/>
      <c r="G210" s="23" t="s">
        <v>100</v>
      </c>
      <c r="H210" s="93">
        <f t="shared" ref="H210:O210" si="135">SUM(H208:H209)</f>
        <v>18165</v>
      </c>
      <c r="I210" s="93">
        <f t="shared" si="135"/>
        <v>16293</v>
      </c>
      <c r="J210" s="93">
        <f t="shared" si="135"/>
        <v>15975</v>
      </c>
      <c r="K210" s="93">
        <f t="shared" si="135"/>
        <v>15669</v>
      </c>
      <c r="L210" s="93">
        <f t="shared" si="135"/>
        <v>15337</v>
      </c>
      <c r="M210" s="93">
        <f>SUM(M208:M209)</f>
        <v>15018</v>
      </c>
      <c r="N210" s="93">
        <f>SUM(N208:N209)</f>
        <v>14700</v>
      </c>
      <c r="O210" s="93">
        <f t="shared" si="135"/>
        <v>144521</v>
      </c>
      <c r="P210" s="91">
        <f t="shared" ref="P210:P216" si="136">SUM(H210:O210)</f>
        <v>255678</v>
      </c>
    </row>
    <row r="211" spans="1:16" ht="15" customHeight="1" x14ac:dyDescent="0.25">
      <c r="A211" s="133">
        <f t="shared" ref="A211" si="137">A208+1</f>
        <v>68</v>
      </c>
      <c r="B211" s="155" t="s">
        <v>11</v>
      </c>
      <c r="C211" s="173" t="s">
        <v>31</v>
      </c>
      <c r="D211" s="157">
        <v>43285</v>
      </c>
      <c r="E211" s="162" t="s">
        <v>286</v>
      </c>
      <c r="F211" s="36" t="s">
        <v>287</v>
      </c>
      <c r="G211" s="11" t="s">
        <v>5</v>
      </c>
      <c r="H211" s="62">
        <v>22268</v>
      </c>
      <c r="I211" s="62">
        <v>22268</v>
      </c>
      <c r="J211" s="62">
        <v>22268</v>
      </c>
      <c r="K211" s="62">
        <v>22268</v>
      </c>
      <c r="L211" s="62">
        <v>22268</v>
      </c>
      <c r="M211" s="62">
        <v>22268</v>
      </c>
      <c r="N211" s="62">
        <v>22268</v>
      </c>
      <c r="O211" s="62">
        <f>185470-21820+3310-22268</f>
        <v>144692</v>
      </c>
      <c r="P211" s="62">
        <f>SUM(H211:O211)</f>
        <v>300568</v>
      </c>
    </row>
    <row r="212" spans="1:16" ht="15" customHeight="1" x14ac:dyDescent="0.25">
      <c r="A212" s="134"/>
      <c r="B212" s="155"/>
      <c r="C212" s="173"/>
      <c r="D212" s="157"/>
      <c r="E212" s="162"/>
      <c r="F212" s="18" t="s">
        <v>288</v>
      </c>
      <c r="G212" s="15" t="s">
        <v>8</v>
      </c>
      <c r="H212" s="63">
        <f>10380+752</f>
        <v>11132</v>
      </c>
      <c r="I212" s="63">
        <f>7436+697</f>
        <v>8133</v>
      </c>
      <c r="J212" s="63">
        <f>6833+640</f>
        <v>7473</v>
      </c>
      <c r="K212" s="63">
        <f>6246+585</f>
        <v>6831</v>
      </c>
      <c r="L212" s="64">
        <f>5627+527</f>
        <v>6154</v>
      </c>
      <c r="M212" s="64">
        <f>5024+471</f>
        <v>5495</v>
      </c>
      <c r="N212" s="64">
        <f>4423+414</f>
        <v>4837</v>
      </c>
      <c r="O212" s="64">
        <f>12966+1323</f>
        <v>14289</v>
      </c>
      <c r="P212" s="63">
        <f t="shared" si="136"/>
        <v>64344</v>
      </c>
    </row>
    <row r="213" spans="1:16" ht="15" customHeight="1" x14ac:dyDescent="0.25">
      <c r="A213" s="135"/>
      <c r="B213" s="155"/>
      <c r="C213" s="173"/>
      <c r="D213" s="157"/>
      <c r="E213" s="162"/>
      <c r="F213" s="13"/>
      <c r="G213" s="13" t="s">
        <v>100</v>
      </c>
      <c r="H213" s="93">
        <f t="shared" ref="H213:O213" si="138">SUM(H211:H212)</f>
        <v>33400</v>
      </c>
      <c r="I213" s="93">
        <f t="shared" si="138"/>
        <v>30401</v>
      </c>
      <c r="J213" s="93">
        <f t="shared" si="138"/>
        <v>29741</v>
      </c>
      <c r="K213" s="93">
        <f t="shared" si="138"/>
        <v>29099</v>
      </c>
      <c r="L213" s="93">
        <f t="shared" si="138"/>
        <v>28422</v>
      </c>
      <c r="M213" s="93">
        <f>SUM(M211:M212)</f>
        <v>27763</v>
      </c>
      <c r="N213" s="93">
        <f>SUM(N211:N212)</f>
        <v>27105</v>
      </c>
      <c r="O213" s="93">
        <f t="shared" si="138"/>
        <v>158981</v>
      </c>
      <c r="P213" s="91">
        <f t="shared" si="136"/>
        <v>364912</v>
      </c>
    </row>
    <row r="214" spans="1:16" ht="15" customHeight="1" x14ac:dyDescent="0.25">
      <c r="A214" s="133">
        <f t="shared" ref="A214" si="139">A211+1</f>
        <v>69</v>
      </c>
      <c r="B214" s="155" t="s">
        <v>11</v>
      </c>
      <c r="C214" s="173" t="s">
        <v>32</v>
      </c>
      <c r="D214" s="157">
        <v>43299</v>
      </c>
      <c r="E214" s="162" t="s">
        <v>291</v>
      </c>
      <c r="F214" s="36" t="s">
        <v>289</v>
      </c>
      <c r="G214" s="11" t="s">
        <v>5</v>
      </c>
      <c r="H214" s="62">
        <v>5428</v>
      </c>
      <c r="I214" s="62">
        <v>5428</v>
      </c>
      <c r="J214" s="62">
        <v>5428</v>
      </c>
      <c r="K214" s="62">
        <v>5428</v>
      </c>
      <c r="L214" s="62">
        <v>5428</v>
      </c>
      <c r="M214" s="62">
        <v>5428</v>
      </c>
      <c r="N214" s="62">
        <v>5428</v>
      </c>
      <c r="O214" s="62">
        <f>19890-5304+331-5428</f>
        <v>9489</v>
      </c>
      <c r="P214" s="62">
        <f>SUM(H214:O214)</f>
        <v>47485</v>
      </c>
    </row>
    <row r="215" spans="1:16" ht="15" customHeight="1" x14ac:dyDescent="0.25">
      <c r="A215" s="134"/>
      <c r="B215" s="155"/>
      <c r="C215" s="173"/>
      <c r="D215" s="157"/>
      <c r="E215" s="162"/>
      <c r="F215" s="18" t="s">
        <v>290</v>
      </c>
      <c r="G215" s="15" t="s">
        <v>8</v>
      </c>
      <c r="H215" s="63">
        <f>1645+118</f>
        <v>1763</v>
      </c>
      <c r="I215" s="63">
        <f>1115+104</f>
        <v>1219</v>
      </c>
      <c r="J215" s="63">
        <f>968+91</f>
        <v>1059</v>
      </c>
      <c r="K215" s="63">
        <f>823+77</f>
        <v>900</v>
      </c>
      <c r="L215" s="64">
        <f>674+63</f>
        <v>737</v>
      </c>
      <c r="M215" s="64">
        <f>527+49</f>
        <v>576</v>
      </c>
      <c r="N215" s="64">
        <f>381+36</f>
        <v>417</v>
      </c>
      <c r="O215" s="64">
        <f>290+30</f>
        <v>320</v>
      </c>
      <c r="P215" s="63">
        <f t="shared" si="136"/>
        <v>6991</v>
      </c>
    </row>
    <row r="216" spans="1:16" ht="15" customHeight="1" x14ac:dyDescent="0.25">
      <c r="A216" s="135"/>
      <c r="B216" s="155"/>
      <c r="C216" s="173"/>
      <c r="D216" s="157"/>
      <c r="E216" s="162"/>
      <c r="F216" s="13"/>
      <c r="G216" s="13" t="s">
        <v>100</v>
      </c>
      <c r="H216" s="93">
        <f t="shared" ref="H216:O216" si="140">SUM(H214:H215)</f>
        <v>7191</v>
      </c>
      <c r="I216" s="93">
        <f t="shared" si="140"/>
        <v>6647</v>
      </c>
      <c r="J216" s="93">
        <f t="shared" si="140"/>
        <v>6487</v>
      </c>
      <c r="K216" s="93">
        <f t="shared" si="140"/>
        <v>6328</v>
      </c>
      <c r="L216" s="93">
        <f t="shared" si="140"/>
        <v>6165</v>
      </c>
      <c r="M216" s="93">
        <f>SUM(M214:M215)</f>
        <v>6004</v>
      </c>
      <c r="N216" s="93">
        <f>SUM(N214:N215)</f>
        <v>5845</v>
      </c>
      <c r="O216" s="93">
        <f t="shared" si="140"/>
        <v>9809</v>
      </c>
      <c r="P216" s="91">
        <f t="shared" si="136"/>
        <v>54476</v>
      </c>
    </row>
    <row r="217" spans="1:16" ht="15.75" customHeight="1" x14ac:dyDescent="0.25">
      <c r="A217" s="133">
        <f t="shared" ref="A217" si="141">A214+1</f>
        <v>70</v>
      </c>
      <c r="B217" s="155" t="s">
        <v>11</v>
      </c>
      <c r="C217" s="174" t="s">
        <v>705</v>
      </c>
      <c r="D217" s="157">
        <v>43315</v>
      </c>
      <c r="E217" s="162" t="s">
        <v>200</v>
      </c>
      <c r="F217" s="36" t="s">
        <v>292</v>
      </c>
      <c r="G217" s="11" t="s">
        <v>5</v>
      </c>
      <c r="H217" s="62"/>
      <c r="I217" s="62">
        <v>111148</v>
      </c>
      <c r="J217" s="62">
        <v>111148</v>
      </c>
      <c r="K217" s="62">
        <v>111148</v>
      </c>
      <c r="L217" s="62">
        <v>111148</v>
      </c>
      <c r="M217" s="62">
        <v>111148</v>
      </c>
      <c r="N217" s="62">
        <v>111148</v>
      </c>
      <c r="O217" s="96">
        <f>1972806-666888</f>
        <v>1305918</v>
      </c>
      <c r="P217" s="62">
        <f>SUM(H217:O217)</f>
        <v>1972806</v>
      </c>
    </row>
    <row r="218" spans="1:16" ht="15.75" customHeight="1" x14ac:dyDescent="0.25">
      <c r="A218" s="134"/>
      <c r="B218" s="155"/>
      <c r="C218" s="174"/>
      <c r="D218" s="157"/>
      <c r="E218" s="162"/>
      <c r="F218" s="18" t="s">
        <v>293</v>
      </c>
      <c r="G218" s="15" t="s">
        <v>8</v>
      </c>
      <c r="H218" s="63">
        <f>66076+5008</f>
        <v>71084</v>
      </c>
      <c r="I218" s="63">
        <f>42497+4941</f>
        <v>47438</v>
      </c>
      <c r="J218" s="63">
        <f>40208+4675</f>
        <v>44883</v>
      </c>
      <c r="K218" s="63">
        <v>66315</v>
      </c>
      <c r="L218" s="64">
        <v>62062</v>
      </c>
      <c r="M218" s="64">
        <v>57809</v>
      </c>
      <c r="N218" s="64">
        <v>53557</v>
      </c>
      <c r="O218" s="64">
        <f>310812</f>
        <v>310812</v>
      </c>
      <c r="P218" s="63">
        <f t="shared" ref="P218:P278" si="142">SUM(H218:O218)</f>
        <v>713960</v>
      </c>
    </row>
    <row r="219" spans="1:16" ht="15.75" customHeight="1" x14ac:dyDescent="0.25">
      <c r="A219" s="135"/>
      <c r="B219" s="155"/>
      <c r="C219" s="174"/>
      <c r="D219" s="157"/>
      <c r="E219" s="162"/>
      <c r="F219" s="13"/>
      <c r="G219" s="13" t="s">
        <v>100</v>
      </c>
      <c r="H219" s="93">
        <f t="shared" ref="H219:O219" si="143">SUM(H217:H218)</f>
        <v>71084</v>
      </c>
      <c r="I219" s="93">
        <f t="shared" si="143"/>
        <v>158586</v>
      </c>
      <c r="J219" s="93">
        <f t="shared" si="143"/>
        <v>156031</v>
      </c>
      <c r="K219" s="93">
        <f t="shared" si="143"/>
        <v>177463</v>
      </c>
      <c r="L219" s="93">
        <f t="shared" si="143"/>
        <v>173210</v>
      </c>
      <c r="M219" s="93">
        <f t="shared" si="143"/>
        <v>168957</v>
      </c>
      <c r="N219" s="93">
        <f t="shared" si="143"/>
        <v>164705</v>
      </c>
      <c r="O219" s="93">
        <f t="shared" si="143"/>
        <v>1616730</v>
      </c>
      <c r="P219" s="91">
        <f t="shared" si="142"/>
        <v>2686766</v>
      </c>
    </row>
    <row r="220" spans="1:16" ht="16.5" customHeight="1" x14ac:dyDescent="0.25">
      <c r="A220" s="133">
        <f t="shared" ref="A220" si="144">A217+1</f>
        <v>71</v>
      </c>
      <c r="B220" s="155" t="s">
        <v>11</v>
      </c>
      <c r="C220" s="175" t="s">
        <v>706</v>
      </c>
      <c r="D220" s="157">
        <v>43341</v>
      </c>
      <c r="E220" s="162" t="s">
        <v>296</v>
      </c>
      <c r="F220" s="36" t="s">
        <v>294</v>
      </c>
      <c r="G220" s="11" t="s">
        <v>5</v>
      </c>
      <c r="H220" s="62">
        <v>7832</v>
      </c>
      <c r="I220" s="62">
        <v>7832</v>
      </c>
      <c r="J220" s="62">
        <v>7832</v>
      </c>
      <c r="K220" s="62">
        <f>5733+137</f>
        <v>5870</v>
      </c>
      <c r="L220" s="62">
        <v>0</v>
      </c>
      <c r="M220" s="62">
        <v>0</v>
      </c>
      <c r="N220" s="62">
        <v>0</v>
      </c>
      <c r="O220" s="62">
        <v>0</v>
      </c>
      <c r="P220" s="62">
        <f>SUM(H220:O220)</f>
        <v>29366</v>
      </c>
    </row>
    <row r="221" spans="1:16" ht="14.25" customHeight="1" x14ac:dyDescent="0.25">
      <c r="A221" s="134"/>
      <c r="B221" s="155"/>
      <c r="C221" s="175"/>
      <c r="D221" s="157"/>
      <c r="E221" s="162"/>
      <c r="F221" s="18" t="s">
        <v>295</v>
      </c>
      <c r="G221" s="15" t="s">
        <v>8</v>
      </c>
      <c r="H221" s="63">
        <f>937+71</f>
        <v>1008</v>
      </c>
      <c r="I221" s="63">
        <f>550+52</f>
        <v>602</v>
      </c>
      <c r="J221" s="63">
        <f>337+32</f>
        <v>369</v>
      </c>
      <c r="K221" s="63">
        <f>122+11</f>
        <v>133</v>
      </c>
      <c r="L221" s="63">
        <v>0</v>
      </c>
      <c r="M221" s="63">
        <v>0</v>
      </c>
      <c r="N221" s="63">
        <v>0</v>
      </c>
      <c r="O221" s="63">
        <v>0</v>
      </c>
      <c r="P221" s="63">
        <f t="shared" si="142"/>
        <v>2112</v>
      </c>
    </row>
    <row r="222" spans="1:16" ht="15" customHeight="1" x14ac:dyDescent="0.25">
      <c r="A222" s="135"/>
      <c r="B222" s="155"/>
      <c r="C222" s="175"/>
      <c r="D222" s="157"/>
      <c r="E222" s="162"/>
      <c r="F222" s="13"/>
      <c r="G222" s="13" t="s">
        <v>100</v>
      </c>
      <c r="H222" s="93">
        <f t="shared" ref="H222:O222" si="145">SUM(H220:H221)</f>
        <v>8840</v>
      </c>
      <c r="I222" s="93">
        <f t="shared" si="145"/>
        <v>8434</v>
      </c>
      <c r="J222" s="93">
        <f t="shared" si="145"/>
        <v>8201</v>
      </c>
      <c r="K222" s="93">
        <f t="shared" si="145"/>
        <v>6003</v>
      </c>
      <c r="L222" s="93">
        <f t="shared" si="145"/>
        <v>0</v>
      </c>
      <c r="M222" s="93">
        <f>SUM(M220:M221)</f>
        <v>0</v>
      </c>
      <c r="N222" s="93">
        <f t="shared" ref="N222" si="146">SUM(N220:N221)</f>
        <v>0</v>
      </c>
      <c r="O222" s="93">
        <f t="shared" si="145"/>
        <v>0</v>
      </c>
      <c r="P222" s="91">
        <f t="shared" si="142"/>
        <v>31478</v>
      </c>
    </row>
    <row r="223" spans="1:16" ht="16.5" customHeight="1" x14ac:dyDescent="0.25">
      <c r="A223" s="133">
        <f t="shared" ref="A223" si="147">A220+1</f>
        <v>72</v>
      </c>
      <c r="B223" s="155" t="s">
        <v>11</v>
      </c>
      <c r="C223" s="173" t="s">
        <v>34</v>
      </c>
      <c r="D223" s="157">
        <v>43378</v>
      </c>
      <c r="E223" s="162" t="s">
        <v>297</v>
      </c>
      <c r="F223" s="36" t="s">
        <v>298</v>
      </c>
      <c r="G223" s="11" t="s">
        <v>5</v>
      </c>
      <c r="H223" s="62">
        <v>12840</v>
      </c>
      <c r="I223" s="62">
        <v>12840</v>
      </c>
      <c r="J223" s="62">
        <v>12840</v>
      </c>
      <c r="K223" s="62">
        <f>9495+126</f>
        <v>9621</v>
      </c>
      <c r="L223" s="62">
        <v>0</v>
      </c>
      <c r="M223" s="62">
        <v>0</v>
      </c>
      <c r="N223" s="62">
        <v>0</v>
      </c>
      <c r="O223" s="62">
        <v>0</v>
      </c>
      <c r="P223" s="62">
        <f>SUM(H223:O223)</f>
        <v>48141</v>
      </c>
    </row>
    <row r="224" spans="1:16" ht="14.25" customHeight="1" x14ac:dyDescent="0.25">
      <c r="A224" s="134"/>
      <c r="B224" s="155"/>
      <c r="C224" s="173"/>
      <c r="D224" s="157"/>
      <c r="E224" s="162"/>
      <c r="F224" s="18" t="s">
        <v>299</v>
      </c>
      <c r="G224" s="15" t="s">
        <v>8</v>
      </c>
      <c r="H224" s="63">
        <f>1395+117</f>
        <v>1512</v>
      </c>
      <c r="I224" s="63">
        <f>903+84</f>
        <v>987</v>
      </c>
      <c r="J224" s="63">
        <f>554+52</f>
        <v>606</v>
      </c>
      <c r="K224" s="63">
        <f>206+19</f>
        <v>225</v>
      </c>
      <c r="L224" s="63">
        <v>0</v>
      </c>
      <c r="M224" s="63">
        <v>0</v>
      </c>
      <c r="N224" s="63">
        <v>0</v>
      </c>
      <c r="O224" s="63">
        <v>0</v>
      </c>
      <c r="P224" s="63">
        <f t="shared" si="142"/>
        <v>3330</v>
      </c>
    </row>
    <row r="225" spans="1:16" ht="14.25" customHeight="1" x14ac:dyDescent="0.25">
      <c r="A225" s="135"/>
      <c r="B225" s="164"/>
      <c r="C225" s="176"/>
      <c r="D225" s="159"/>
      <c r="E225" s="152"/>
      <c r="F225" s="23"/>
      <c r="G225" s="23" t="s">
        <v>100</v>
      </c>
      <c r="H225" s="93">
        <f t="shared" ref="H225:O225" si="148">SUM(H223:H224)</f>
        <v>14352</v>
      </c>
      <c r="I225" s="93">
        <f t="shared" si="148"/>
        <v>13827</v>
      </c>
      <c r="J225" s="93">
        <f t="shared" si="148"/>
        <v>13446</v>
      </c>
      <c r="K225" s="93">
        <f t="shared" si="148"/>
        <v>9846</v>
      </c>
      <c r="L225" s="93">
        <f t="shared" si="148"/>
        <v>0</v>
      </c>
      <c r="M225" s="93">
        <f>SUM(M223:M224)</f>
        <v>0</v>
      </c>
      <c r="N225" s="93">
        <f t="shared" ref="N225" si="149">SUM(N223:N224)</f>
        <v>0</v>
      </c>
      <c r="O225" s="93">
        <f t="shared" si="148"/>
        <v>0</v>
      </c>
      <c r="P225" s="91">
        <f t="shared" si="142"/>
        <v>51471</v>
      </c>
    </row>
    <row r="226" spans="1:16" ht="14.25" customHeight="1" x14ac:dyDescent="0.25">
      <c r="A226" s="133">
        <f t="shared" ref="A226" si="150">A223+1</f>
        <v>73</v>
      </c>
      <c r="B226" s="155" t="s">
        <v>11</v>
      </c>
      <c r="C226" s="173" t="s">
        <v>33</v>
      </c>
      <c r="D226" s="157">
        <v>43391</v>
      </c>
      <c r="E226" s="162" t="s">
        <v>302</v>
      </c>
      <c r="F226" s="36" t="s">
        <v>300</v>
      </c>
      <c r="G226" s="11" t="s">
        <v>5</v>
      </c>
      <c r="H226" s="62">
        <v>8408</v>
      </c>
      <c r="I226" s="62">
        <v>8408</v>
      </c>
      <c r="J226" s="62">
        <v>8408</v>
      </c>
      <c r="K226" s="62">
        <v>8408</v>
      </c>
      <c r="L226" s="62">
        <v>8408</v>
      </c>
      <c r="M226" s="62">
        <v>8408</v>
      </c>
      <c r="N226" s="62">
        <v>8408</v>
      </c>
      <c r="O226" s="62">
        <f>33168-8292+344-8408</f>
        <v>16812</v>
      </c>
      <c r="P226" s="62">
        <f>SUM(H226:O226)</f>
        <v>75668</v>
      </c>
    </row>
    <row r="227" spans="1:16" ht="14.4" customHeight="1" x14ac:dyDescent="0.25">
      <c r="A227" s="134"/>
      <c r="B227" s="155"/>
      <c r="C227" s="173"/>
      <c r="D227" s="157"/>
      <c r="E227" s="162"/>
      <c r="F227" s="18" t="s">
        <v>301</v>
      </c>
      <c r="G227" s="15" t="s">
        <v>8</v>
      </c>
      <c r="H227" s="63">
        <f>2240+188</f>
        <v>2428</v>
      </c>
      <c r="I227" s="63">
        <f>1793+167</f>
        <v>1960</v>
      </c>
      <c r="J227" s="63">
        <f>1557+146</f>
        <v>1703</v>
      </c>
      <c r="K227" s="63">
        <f>1333+125</f>
        <v>1458</v>
      </c>
      <c r="L227" s="64">
        <f>1101+103</f>
        <v>1204</v>
      </c>
      <c r="M227" s="64">
        <f>874+82</f>
        <v>956</v>
      </c>
      <c r="N227" s="64">
        <f>646+61</f>
        <v>707</v>
      </c>
      <c r="O227" s="64">
        <f>566+58</f>
        <v>624</v>
      </c>
      <c r="P227" s="63">
        <f t="shared" si="142"/>
        <v>11040</v>
      </c>
    </row>
    <row r="228" spans="1:16" ht="15" customHeight="1" x14ac:dyDescent="0.25">
      <c r="A228" s="135"/>
      <c r="B228" s="155"/>
      <c r="C228" s="173"/>
      <c r="D228" s="157"/>
      <c r="E228" s="162"/>
      <c r="F228" s="13"/>
      <c r="G228" s="13" t="s">
        <v>100</v>
      </c>
      <c r="H228" s="93">
        <f t="shared" ref="H228:O228" si="151">SUM(H226:H227)</f>
        <v>10836</v>
      </c>
      <c r="I228" s="93">
        <f t="shared" si="151"/>
        <v>10368</v>
      </c>
      <c r="J228" s="93">
        <f t="shared" si="151"/>
        <v>10111</v>
      </c>
      <c r="K228" s="93">
        <f t="shared" si="151"/>
        <v>9866</v>
      </c>
      <c r="L228" s="93">
        <f t="shared" si="151"/>
        <v>9612</v>
      </c>
      <c r="M228" s="93">
        <f t="shared" si="151"/>
        <v>9364</v>
      </c>
      <c r="N228" s="93">
        <f t="shared" si="151"/>
        <v>9115</v>
      </c>
      <c r="O228" s="93">
        <f t="shared" si="151"/>
        <v>17436</v>
      </c>
      <c r="P228" s="91">
        <f t="shared" si="142"/>
        <v>86708</v>
      </c>
    </row>
    <row r="229" spans="1:16" ht="16.5" customHeight="1" x14ac:dyDescent="0.25">
      <c r="A229" s="133">
        <f t="shared" ref="A229" si="152">A226+1</f>
        <v>74</v>
      </c>
      <c r="B229" s="155" t="s">
        <v>11</v>
      </c>
      <c r="C229" s="156" t="s">
        <v>51</v>
      </c>
      <c r="D229" s="157">
        <v>43416</v>
      </c>
      <c r="E229" s="162" t="s">
        <v>305</v>
      </c>
      <c r="F229" s="36" t="s">
        <v>303</v>
      </c>
      <c r="G229" s="11" t="s">
        <v>5</v>
      </c>
      <c r="H229" s="62">
        <v>9664</v>
      </c>
      <c r="I229" s="62">
        <v>9664</v>
      </c>
      <c r="J229" s="62">
        <v>9664</v>
      </c>
      <c r="K229" s="62">
        <v>9664</v>
      </c>
      <c r="L229" s="62">
        <v>0</v>
      </c>
      <c r="M229" s="62">
        <v>0</v>
      </c>
      <c r="N229" s="62">
        <v>0</v>
      </c>
      <c r="O229" s="94">
        <v>0</v>
      </c>
      <c r="P229" s="62">
        <f>SUM(H229:O229)</f>
        <v>38656</v>
      </c>
    </row>
    <row r="230" spans="1:16" ht="15" customHeight="1" x14ac:dyDescent="0.25">
      <c r="A230" s="134"/>
      <c r="B230" s="155"/>
      <c r="C230" s="156"/>
      <c r="D230" s="157"/>
      <c r="E230" s="162"/>
      <c r="F230" s="18" t="s">
        <v>304</v>
      </c>
      <c r="G230" s="15" t="s">
        <v>8</v>
      </c>
      <c r="H230" s="63">
        <f>1110+94</f>
        <v>1204</v>
      </c>
      <c r="I230" s="63">
        <f>748+70</f>
        <v>818</v>
      </c>
      <c r="J230" s="63">
        <f>482+45</f>
        <v>527</v>
      </c>
      <c r="K230" s="63">
        <f>221+21</f>
        <v>242</v>
      </c>
      <c r="L230" s="63">
        <v>4</v>
      </c>
      <c r="M230" s="63">
        <v>0</v>
      </c>
      <c r="N230" s="63">
        <v>0</v>
      </c>
      <c r="O230" s="92">
        <v>0</v>
      </c>
      <c r="P230" s="63">
        <f t="shared" si="142"/>
        <v>2795</v>
      </c>
    </row>
    <row r="231" spans="1:16" ht="15.75" customHeight="1" x14ac:dyDescent="0.25">
      <c r="A231" s="135"/>
      <c r="B231" s="155"/>
      <c r="C231" s="156"/>
      <c r="D231" s="157"/>
      <c r="E231" s="162"/>
      <c r="F231" s="13"/>
      <c r="G231" s="13" t="s">
        <v>100</v>
      </c>
      <c r="H231" s="93">
        <f t="shared" ref="H231:O231" si="153">SUM(H229:H230)</f>
        <v>10868</v>
      </c>
      <c r="I231" s="93">
        <f t="shared" si="153"/>
        <v>10482</v>
      </c>
      <c r="J231" s="93">
        <f t="shared" si="153"/>
        <v>10191</v>
      </c>
      <c r="K231" s="93">
        <f t="shared" si="153"/>
        <v>9906</v>
      </c>
      <c r="L231" s="93">
        <f t="shared" si="153"/>
        <v>4</v>
      </c>
      <c r="M231" s="93">
        <f t="shared" si="153"/>
        <v>0</v>
      </c>
      <c r="N231" s="93">
        <f t="shared" si="153"/>
        <v>0</v>
      </c>
      <c r="O231" s="93">
        <f t="shared" si="153"/>
        <v>0</v>
      </c>
      <c r="P231" s="91">
        <f t="shared" si="142"/>
        <v>41451</v>
      </c>
    </row>
    <row r="232" spans="1:16" ht="16.5" customHeight="1" x14ac:dyDescent="0.25">
      <c r="A232" s="133">
        <f t="shared" ref="A232" si="154">A229+1</f>
        <v>75</v>
      </c>
      <c r="B232" s="155" t="s">
        <v>11</v>
      </c>
      <c r="C232" s="156" t="s">
        <v>40</v>
      </c>
      <c r="D232" s="157">
        <v>43431</v>
      </c>
      <c r="E232" s="162" t="s">
        <v>131</v>
      </c>
      <c r="F232" s="36" t="s">
        <v>306</v>
      </c>
      <c r="G232" s="11" t="s">
        <v>5</v>
      </c>
      <c r="H232" s="62">
        <v>16520</v>
      </c>
      <c r="I232" s="62">
        <v>16520</v>
      </c>
      <c r="J232" s="62">
        <v>16520</v>
      </c>
      <c r="K232" s="62">
        <v>16509</v>
      </c>
      <c r="L232" s="62">
        <v>0</v>
      </c>
      <c r="M232" s="62">
        <v>0</v>
      </c>
      <c r="N232" s="62">
        <v>0</v>
      </c>
      <c r="O232" s="62">
        <v>0</v>
      </c>
      <c r="P232" s="62">
        <f>SUM(H232:O232)</f>
        <v>66069</v>
      </c>
    </row>
    <row r="233" spans="1:16" ht="16.5" customHeight="1" x14ac:dyDescent="0.25">
      <c r="A233" s="134"/>
      <c r="B233" s="155"/>
      <c r="C233" s="156"/>
      <c r="D233" s="157"/>
      <c r="E233" s="162"/>
      <c r="F233" s="18" t="s">
        <v>307</v>
      </c>
      <c r="G233" s="15" t="s">
        <v>8</v>
      </c>
      <c r="H233" s="63">
        <f>1895+161</f>
        <v>2056</v>
      </c>
      <c r="I233" s="63">
        <f>1276+119</f>
        <v>1395</v>
      </c>
      <c r="J233" s="63">
        <f>824+77</f>
        <v>901</v>
      </c>
      <c r="K233" s="63">
        <f>378+35</f>
        <v>413</v>
      </c>
      <c r="L233" s="63">
        <v>17</v>
      </c>
      <c r="M233" s="63">
        <v>0</v>
      </c>
      <c r="N233" s="63">
        <v>0</v>
      </c>
      <c r="O233" s="63">
        <v>0</v>
      </c>
      <c r="P233" s="63">
        <f t="shared" si="142"/>
        <v>4782</v>
      </c>
    </row>
    <row r="234" spans="1:16" ht="16.5" customHeight="1" x14ac:dyDescent="0.25">
      <c r="A234" s="135"/>
      <c r="B234" s="155"/>
      <c r="C234" s="156"/>
      <c r="D234" s="157"/>
      <c r="E234" s="162"/>
      <c r="F234" s="13"/>
      <c r="G234" s="13" t="s">
        <v>100</v>
      </c>
      <c r="H234" s="93">
        <f t="shared" ref="H234:O234" si="155">SUM(H232:H233)</f>
        <v>18576</v>
      </c>
      <c r="I234" s="93">
        <f t="shared" si="155"/>
        <v>17915</v>
      </c>
      <c r="J234" s="93">
        <f t="shared" si="155"/>
        <v>17421</v>
      </c>
      <c r="K234" s="93">
        <f t="shared" si="155"/>
        <v>16922</v>
      </c>
      <c r="L234" s="93">
        <f t="shared" si="155"/>
        <v>17</v>
      </c>
      <c r="M234" s="93">
        <f t="shared" si="155"/>
        <v>0</v>
      </c>
      <c r="N234" s="93">
        <f t="shared" si="155"/>
        <v>0</v>
      </c>
      <c r="O234" s="93">
        <f t="shared" si="155"/>
        <v>0</v>
      </c>
      <c r="P234" s="91">
        <f t="shared" si="142"/>
        <v>70851</v>
      </c>
    </row>
    <row r="235" spans="1:16" ht="16.5" customHeight="1" x14ac:dyDescent="0.25">
      <c r="A235" s="133">
        <f t="shared" ref="A235" si="156">A232+1</f>
        <v>76</v>
      </c>
      <c r="B235" s="155" t="s">
        <v>11</v>
      </c>
      <c r="C235" s="156" t="s">
        <v>39</v>
      </c>
      <c r="D235" s="157">
        <v>43431</v>
      </c>
      <c r="E235" s="162" t="s">
        <v>308</v>
      </c>
      <c r="F235" s="36" t="s">
        <v>309</v>
      </c>
      <c r="G235" s="11" t="s">
        <v>5</v>
      </c>
      <c r="H235" s="62">
        <v>31240</v>
      </c>
      <c r="I235" s="62">
        <v>31240</v>
      </c>
      <c r="J235" s="62">
        <v>31240</v>
      </c>
      <c r="K235" s="62">
        <v>31240</v>
      </c>
      <c r="L235" s="62">
        <f>12084+3530</f>
        <v>15614</v>
      </c>
      <c r="M235" s="62">
        <v>0</v>
      </c>
      <c r="N235" s="62">
        <v>0</v>
      </c>
      <c r="O235" s="62">
        <v>0</v>
      </c>
      <c r="P235" s="62">
        <f>SUM(H235:O235)</f>
        <v>140574</v>
      </c>
    </row>
    <row r="236" spans="1:16" ht="15.75" customHeight="1" x14ac:dyDescent="0.25">
      <c r="A236" s="134"/>
      <c r="B236" s="155"/>
      <c r="C236" s="156"/>
      <c r="D236" s="157"/>
      <c r="E236" s="162"/>
      <c r="F236" s="18" t="s">
        <v>310</v>
      </c>
      <c r="G236" s="15" t="s">
        <v>8</v>
      </c>
      <c r="H236" s="63">
        <f>4048+344</f>
        <v>4392</v>
      </c>
      <c r="I236" s="63">
        <f>2836+265</f>
        <v>3101</v>
      </c>
      <c r="J236" s="63">
        <f>1982+186</f>
        <v>2168</v>
      </c>
      <c r="K236" s="63">
        <f>1138+107</f>
        <v>1245</v>
      </c>
      <c r="L236" s="64">
        <f>261+24</f>
        <v>285</v>
      </c>
      <c r="M236" s="63">
        <v>0</v>
      </c>
      <c r="N236" s="63">
        <v>0</v>
      </c>
      <c r="O236" s="63">
        <v>0</v>
      </c>
      <c r="P236" s="63">
        <f t="shared" si="142"/>
        <v>11191</v>
      </c>
    </row>
    <row r="237" spans="1:16" ht="16.5" customHeight="1" x14ac:dyDescent="0.25">
      <c r="A237" s="135"/>
      <c r="B237" s="155"/>
      <c r="C237" s="156"/>
      <c r="D237" s="157"/>
      <c r="E237" s="162"/>
      <c r="F237" s="13"/>
      <c r="G237" s="13" t="s">
        <v>100</v>
      </c>
      <c r="H237" s="93">
        <f t="shared" ref="H237:O237" si="157">SUM(H235:H236)</f>
        <v>35632</v>
      </c>
      <c r="I237" s="93">
        <f t="shared" si="157"/>
        <v>34341</v>
      </c>
      <c r="J237" s="93">
        <f t="shared" si="157"/>
        <v>33408</v>
      </c>
      <c r="K237" s="93">
        <f t="shared" si="157"/>
        <v>32485</v>
      </c>
      <c r="L237" s="93">
        <f t="shared" si="157"/>
        <v>15899</v>
      </c>
      <c r="M237" s="93">
        <f t="shared" si="157"/>
        <v>0</v>
      </c>
      <c r="N237" s="93">
        <f t="shared" si="157"/>
        <v>0</v>
      </c>
      <c r="O237" s="93">
        <f t="shared" si="157"/>
        <v>0</v>
      </c>
      <c r="P237" s="91">
        <f t="shared" si="142"/>
        <v>151765</v>
      </c>
    </row>
    <row r="238" spans="1:16" ht="15.75" customHeight="1" x14ac:dyDescent="0.25">
      <c r="A238" s="133">
        <f t="shared" ref="A238" si="158">A235+1</f>
        <v>77</v>
      </c>
      <c r="B238" s="155" t="s">
        <v>11</v>
      </c>
      <c r="C238" s="156" t="s">
        <v>35</v>
      </c>
      <c r="D238" s="157">
        <v>43433</v>
      </c>
      <c r="E238" s="162" t="s">
        <v>313</v>
      </c>
      <c r="F238" s="36" t="s">
        <v>311</v>
      </c>
      <c r="G238" s="11" t="s">
        <v>5</v>
      </c>
      <c r="H238" s="62">
        <v>3072</v>
      </c>
      <c r="I238" s="94">
        <v>0</v>
      </c>
      <c r="J238" s="94">
        <v>0</v>
      </c>
      <c r="K238" s="94">
        <v>0</v>
      </c>
      <c r="L238" s="94">
        <v>0</v>
      </c>
      <c r="M238" s="62">
        <v>0</v>
      </c>
      <c r="N238" s="62">
        <v>0</v>
      </c>
      <c r="O238" s="94">
        <v>0</v>
      </c>
      <c r="P238" s="62">
        <f>SUM(H238:O238)</f>
        <v>3072</v>
      </c>
    </row>
    <row r="239" spans="1:16" ht="15.75" customHeight="1" x14ac:dyDescent="0.25">
      <c r="A239" s="134"/>
      <c r="B239" s="155"/>
      <c r="C239" s="156"/>
      <c r="D239" s="157"/>
      <c r="E239" s="162"/>
      <c r="F239" s="18" t="s">
        <v>312</v>
      </c>
      <c r="G239" s="15" t="s">
        <v>8</v>
      </c>
      <c r="H239" s="63">
        <f>80+7</f>
        <v>87</v>
      </c>
      <c r="I239" s="92">
        <f>5+1</f>
        <v>6</v>
      </c>
      <c r="J239" s="92">
        <v>0</v>
      </c>
      <c r="K239" s="92">
        <v>0</v>
      </c>
      <c r="L239" s="92">
        <v>0</v>
      </c>
      <c r="M239" s="63">
        <v>0</v>
      </c>
      <c r="N239" s="63">
        <v>0</v>
      </c>
      <c r="O239" s="92">
        <v>0</v>
      </c>
      <c r="P239" s="63">
        <f t="shared" si="142"/>
        <v>93</v>
      </c>
    </row>
    <row r="240" spans="1:16" ht="15.75" customHeight="1" x14ac:dyDescent="0.25">
      <c r="A240" s="135"/>
      <c r="B240" s="155"/>
      <c r="C240" s="156"/>
      <c r="D240" s="157"/>
      <c r="E240" s="162"/>
      <c r="F240" s="13"/>
      <c r="G240" s="13" t="s">
        <v>100</v>
      </c>
      <c r="H240" s="93">
        <f t="shared" ref="H240:O240" si="159">SUM(H238:H239)</f>
        <v>3159</v>
      </c>
      <c r="I240" s="93">
        <f t="shared" si="159"/>
        <v>6</v>
      </c>
      <c r="J240" s="93">
        <f t="shared" si="159"/>
        <v>0</v>
      </c>
      <c r="K240" s="93">
        <f t="shared" si="159"/>
        <v>0</v>
      </c>
      <c r="L240" s="93">
        <f t="shared" si="159"/>
        <v>0</v>
      </c>
      <c r="M240" s="93">
        <f t="shared" si="159"/>
        <v>0</v>
      </c>
      <c r="N240" s="93">
        <f t="shared" si="159"/>
        <v>0</v>
      </c>
      <c r="O240" s="93">
        <f t="shared" si="159"/>
        <v>0</v>
      </c>
      <c r="P240" s="91">
        <f t="shared" si="142"/>
        <v>3165</v>
      </c>
    </row>
    <row r="241" spans="1:16" ht="15.75" customHeight="1" x14ac:dyDescent="0.25">
      <c r="A241" s="133">
        <f t="shared" ref="A241" si="160">A238+1</f>
        <v>78</v>
      </c>
      <c r="B241" s="155" t="s">
        <v>11</v>
      </c>
      <c r="C241" s="177" t="s">
        <v>448</v>
      </c>
      <c r="D241" s="157">
        <v>43529</v>
      </c>
      <c r="E241" s="162" t="s">
        <v>316</v>
      </c>
      <c r="F241" s="36" t="s">
        <v>314</v>
      </c>
      <c r="G241" s="11" t="s">
        <v>5</v>
      </c>
      <c r="H241" s="62">
        <v>54120</v>
      </c>
      <c r="I241" s="62">
        <v>54120</v>
      </c>
      <c r="J241" s="62">
        <v>54120</v>
      </c>
      <c r="K241" s="62">
        <v>54120</v>
      </c>
      <c r="L241" s="62">
        <v>54120</v>
      </c>
      <c r="M241" s="62">
        <v>54120</v>
      </c>
      <c r="N241" s="62">
        <v>54120</v>
      </c>
      <c r="O241" s="62">
        <f>771210-54120-54120</f>
        <v>662970</v>
      </c>
      <c r="P241" s="62">
        <f>SUM(H241:O241)</f>
        <v>1041810</v>
      </c>
    </row>
    <row r="242" spans="1:16" ht="15.75" customHeight="1" x14ac:dyDescent="0.25">
      <c r="A242" s="134"/>
      <c r="B242" s="155"/>
      <c r="C242" s="177"/>
      <c r="D242" s="157"/>
      <c r="E242" s="162"/>
      <c r="F242" s="18" t="s">
        <v>315</v>
      </c>
      <c r="G242" s="15" t="s">
        <v>567</v>
      </c>
      <c r="H242" s="63">
        <v>2619</v>
      </c>
      <c r="I242" s="63">
        <v>2482</v>
      </c>
      <c r="J242" s="63">
        <v>2345</v>
      </c>
      <c r="K242" s="63">
        <v>2214</v>
      </c>
      <c r="L242" s="64">
        <v>2070</v>
      </c>
      <c r="M242" s="64">
        <v>1933</v>
      </c>
      <c r="N242" s="64">
        <v>1796</v>
      </c>
      <c r="O242" s="64">
        <f>12224+462-1796</f>
        <v>10890</v>
      </c>
      <c r="P242" s="63">
        <f t="shared" si="142"/>
        <v>26349</v>
      </c>
    </row>
    <row r="243" spans="1:16" ht="15.75" customHeight="1" x14ac:dyDescent="0.25">
      <c r="A243" s="135"/>
      <c r="B243" s="155"/>
      <c r="C243" s="177"/>
      <c r="D243" s="157"/>
      <c r="E243" s="162"/>
      <c r="F243" s="13"/>
      <c r="G243" s="13" t="s">
        <v>100</v>
      </c>
      <c r="H243" s="93">
        <f t="shared" ref="H243:O243" si="161">SUM(H241:H242)</f>
        <v>56739</v>
      </c>
      <c r="I243" s="93">
        <f t="shared" si="161"/>
        <v>56602</v>
      </c>
      <c r="J243" s="93">
        <f t="shared" si="161"/>
        <v>56465</v>
      </c>
      <c r="K243" s="93">
        <f t="shared" si="161"/>
        <v>56334</v>
      </c>
      <c r="L243" s="93">
        <f t="shared" si="161"/>
        <v>56190</v>
      </c>
      <c r="M243" s="93">
        <f t="shared" si="161"/>
        <v>56053</v>
      </c>
      <c r="N243" s="93">
        <f t="shared" si="161"/>
        <v>55916</v>
      </c>
      <c r="O243" s="93">
        <f t="shared" si="161"/>
        <v>673860</v>
      </c>
      <c r="P243" s="91">
        <f t="shared" si="142"/>
        <v>1068159</v>
      </c>
    </row>
    <row r="244" spans="1:16" ht="15.75" customHeight="1" x14ac:dyDescent="0.25">
      <c r="A244" s="133">
        <f t="shared" ref="A244" si="162">A241+1</f>
        <v>79</v>
      </c>
      <c r="B244" s="155" t="s">
        <v>11</v>
      </c>
      <c r="C244" s="177" t="s">
        <v>707</v>
      </c>
      <c r="D244" s="171">
        <v>43594</v>
      </c>
      <c r="E244" s="162" t="s">
        <v>308</v>
      </c>
      <c r="F244" s="36" t="s">
        <v>317</v>
      </c>
      <c r="G244" s="11" t="s">
        <v>5</v>
      </c>
      <c r="H244" s="62">
        <v>45448</v>
      </c>
      <c r="I244" s="62">
        <v>45448</v>
      </c>
      <c r="J244" s="62">
        <v>45448</v>
      </c>
      <c r="K244" s="62">
        <v>45448</v>
      </c>
      <c r="L244" s="62">
        <f>22238+469</f>
        <v>22707</v>
      </c>
      <c r="M244" s="62">
        <v>0</v>
      </c>
      <c r="N244" s="62">
        <v>0</v>
      </c>
      <c r="O244" s="62">
        <v>0</v>
      </c>
      <c r="P244" s="62">
        <f>SUM(H244:O244)</f>
        <v>204499</v>
      </c>
    </row>
    <row r="245" spans="1:16" ht="15.75" customHeight="1" x14ac:dyDescent="0.25">
      <c r="A245" s="134"/>
      <c r="B245" s="155"/>
      <c r="C245" s="177"/>
      <c r="D245" s="171"/>
      <c r="E245" s="162"/>
      <c r="F245" s="18" t="s">
        <v>318</v>
      </c>
      <c r="G245" s="15" t="s">
        <v>8</v>
      </c>
      <c r="H245" s="63">
        <f>6665+500</f>
        <v>7165</v>
      </c>
      <c r="I245" s="63">
        <f>4114+385</f>
        <v>4499</v>
      </c>
      <c r="J245" s="63">
        <f>2884+270</f>
        <v>3154</v>
      </c>
      <c r="K245" s="63">
        <f>1656+155</f>
        <v>1811</v>
      </c>
      <c r="L245" s="64">
        <f>380+36</f>
        <v>416</v>
      </c>
      <c r="M245" s="63">
        <v>0</v>
      </c>
      <c r="N245" s="63">
        <v>0</v>
      </c>
      <c r="O245" s="63">
        <v>0</v>
      </c>
      <c r="P245" s="63">
        <f t="shared" si="142"/>
        <v>17045</v>
      </c>
    </row>
    <row r="246" spans="1:16" ht="16.95" customHeight="1" x14ac:dyDescent="0.25">
      <c r="A246" s="135"/>
      <c r="B246" s="164"/>
      <c r="C246" s="178"/>
      <c r="D246" s="172"/>
      <c r="E246" s="152"/>
      <c r="F246" s="23"/>
      <c r="G246" s="23" t="s">
        <v>100</v>
      </c>
      <c r="H246" s="93">
        <f t="shared" ref="H246:O246" si="163">SUM(H244:H245)</f>
        <v>52613</v>
      </c>
      <c r="I246" s="93">
        <f t="shared" si="163"/>
        <v>49947</v>
      </c>
      <c r="J246" s="93">
        <f t="shared" si="163"/>
        <v>48602</v>
      </c>
      <c r="K246" s="93">
        <f t="shared" si="163"/>
        <v>47259</v>
      </c>
      <c r="L246" s="93">
        <f t="shared" si="163"/>
        <v>23123</v>
      </c>
      <c r="M246" s="93">
        <f>SUM(M244:M245)</f>
        <v>0</v>
      </c>
      <c r="N246" s="93">
        <f t="shared" ref="N246" si="164">SUM(N244:N245)</f>
        <v>0</v>
      </c>
      <c r="O246" s="93">
        <f t="shared" si="163"/>
        <v>0</v>
      </c>
      <c r="P246" s="91">
        <f t="shared" si="142"/>
        <v>221544</v>
      </c>
    </row>
    <row r="247" spans="1:16" ht="15.75" customHeight="1" x14ac:dyDescent="0.25">
      <c r="A247" s="133">
        <f t="shared" ref="A247" si="165">A244+1</f>
        <v>80</v>
      </c>
      <c r="B247" s="155" t="s">
        <v>11</v>
      </c>
      <c r="C247" s="177" t="s">
        <v>449</v>
      </c>
      <c r="D247" s="157">
        <v>43602</v>
      </c>
      <c r="E247" s="162" t="s">
        <v>321</v>
      </c>
      <c r="F247" s="36" t="s">
        <v>319</v>
      </c>
      <c r="G247" s="11" t="s">
        <v>5</v>
      </c>
      <c r="H247" s="62">
        <v>6200</v>
      </c>
      <c r="I247" s="62">
        <v>464328</v>
      </c>
      <c r="J247" s="62">
        <v>464328</v>
      </c>
      <c r="K247" s="62">
        <v>464328</v>
      </c>
      <c r="L247" s="62">
        <v>464328</v>
      </c>
      <c r="M247" s="62">
        <v>464328</v>
      </c>
      <c r="N247" s="62">
        <v>464328</v>
      </c>
      <c r="O247" s="62">
        <f>10917883-2792168</f>
        <v>8125715</v>
      </c>
      <c r="P247" s="62">
        <f>SUM(H247:O247)</f>
        <v>10917883</v>
      </c>
    </row>
    <row r="248" spans="1:16" ht="14.25" customHeight="1" x14ac:dyDescent="0.25">
      <c r="A248" s="134"/>
      <c r="B248" s="155"/>
      <c r="C248" s="177"/>
      <c r="D248" s="157"/>
      <c r="E248" s="162"/>
      <c r="F248" s="18" t="s">
        <v>320</v>
      </c>
      <c r="G248" s="15" t="s">
        <v>8</v>
      </c>
      <c r="H248" s="63">
        <f>347372+27701</f>
        <v>375073</v>
      </c>
      <c r="I248" s="63">
        <f>235768+27415</f>
        <v>263183</v>
      </c>
      <c r="J248" s="63">
        <f>226178+26300</f>
        <v>252478</v>
      </c>
      <c r="K248" s="63">
        <v>400205</v>
      </c>
      <c r="L248" s="64">
        <v>381454</v>
      </c>
      <c r="M248" s="64">
        <v>362703</v>
      </c>
      <c r="N248" s="64">
        <v>343952</v>
      </c>
      <c r="O248" s="64">
        <f>2984070</f>
        <v>2984070</v>
      </c>
      <c r="P248" s="63">
        <f t="shared" si="142"/>
        <v>5363118</v>
      </c>
    </row>
    <row r="249" spans="1:16" ht="15.75" customHeight="1" x14ac:dyDescent="0.25">
      <c r="A249" s="135"/>
      <c r="B249" s="155"/>
      <c r="C249" s="177"/>
      <c r="D249" s="157"/>
      <c r="E249" s="162"/>
      <c r="F249" s="13"/>
      <c r="G249" s="13" t="s">
        <v>100</v>
      </c>
      <c r="H249" s="93">
        <f t="shared" ref="H249:O249" si="166">SUM(H247:H248)</f>
        <v>381273</v>
      </c>
      <c r="I249" s="93">
        <f t="shared" si="166"/>
        <v>727511</v>
      </c>
      <c r="J249" s="93">
        <f t="shared" si="166"/>
        <v>716806</v>
      </c>
      <c r="K249" s="93">
        <f t="shared" si="166"/>
        <v>864533</v>
      </c>
      <c r="L249" s="93">
        <f t="shared" si="166"/>
        <v>845782</v>
      </c>
      <c r="M249" s="93">
        <f t="shared" si="166"/>
        <v>827031</v>
      </c>
      <c r="N249" s="93">
        <f t="shared" si="166"/>
        <v>808280</v>
      </c>
      <c r="O249" s="93">
        <f t="shared" si="166"/>
        <v>11109785</v>
      </c>
      <c r="P249" s="91">
        <f t="shared" si="142"/>
        <v>16281001</v>
      </c>
    </row>
    <row r="250" spans="1:16" ht="15.75" customHeight="1" x14ac:dyDescent="0.25">
      <c r="A250" s="133">
        <f t="shared" ref="A250" si="167">A247+1</f>
        <v>81</v>
      </c>
      <c r="B250" s="155" t="s">
        <v>11</v>
      </c>
      <c r="C250" s="156" t="s">
        <v>65</v>
      </c>
      <c r="D250" s="157">
        <v>43623</v>
      </c>
      <c r="E250" s="162" t="s">
        <v>324</v>
      </c>
      <c r="F250" s="36" t="s">
        <v>322</v>
      </c>
      <c r="G250" s="11" t="s">
        <v>5</v>
      </c>
      <c r="H250" s="62">
        <v>7212</v>
      </c>
      <c r="I250" s="62">
        <v>7212</v>
      </c>
      <c r="J250" s="62">
        <v>7212</v>
      </c>
      <c r="K250" s="62">
        <v>7212</v>
      </c>
      <c r="L250" s="62">
        <v>7212</v>
      </c>
      <c r="M250" s="62">
        <v>7212</v>
      </c>
      <c r="N250" s="62">
        <v>7212</v>
      </c>
      <c r="O250" s="62">
        <f>67070-7060+1274-7212</f>
        <v>54072</v>
      </c>
      <c r="P250" s="62">
        <f>SUM(H250:O250)</f>
        <v>104556</v>
      </c>
    </row>
    <row r="251" spans="1:16" ht="15.75" customHeight="1" x14ac:dyDescent="0.25">
      <c r="A251" s="134"/>
      <c r="B251" s="155"/>
      <c r="C251" s="156"/>
      <c r="D251" s="157"/>
      <c r="E251" s="162"/>
      <c r="F251" s="18" t="s">
        <v>323</v>
      </c>
      <c r="G251" s="15" t="s">
        <v>8</v>
      </c>
      <c r="H251" s="63">
        <f>3561+262</f>
        <v>3823</v>
      </c>
      <c r="I251" s="63">
        <f>2603+244</f>
        <v>2847</v>
      </c>
      <c r="J251" s="63">
        <f>2408+226</f>
        <v>2634</v>
      </c>
      <c r="K251" s="63">
        <f>2219+208</f>
        <v>2427</v>
      </c>
      <c r="L251" s="64">
        <f>2017+189</f>
        <v>2206</v>
      </c>
      <c r="M251" s="64">
        <f>1822+171</f>
        <v>1993</v>
      </c>
      <c r="N251" s="64">
        <f>1627+153</f>
        <v>1780</v>
      </c>
      <c r="O251" s="64">
        <f>5512+562</f>
        <v>6074</v>
      </c>
      <c r="P251" s="63">
        <f t="shared" si="142"/>
        <v>23784</v>
      </c>
    </row>
    <row r="252" spans="1:16" ht="15.75" customHeight="1" x14ac:dyDescent="0.25">
      <c r="A252" s="135"/>
      <c r="B252" s="155"/>
      <c r="C252" s="156"/>
      <c r="D252" s="157"/>
      <c r="E252" s="162"/>
      <c r="F252" s="13"/>
      <c r="G252" s="13" t="s">
        <v>100</v>
      </c>
      <c r="H252" s="93">
        <f t="shared" ref="H252:O252" si="168">SUM(H250:H251)</f>
        <v>11035</v>
      </c>
      <c r="I252" s="93">
        <f t="shared" si="168"/>
        <v>10059</v>
      </c>
      <c r="J252" s="93">
        <f t="shared" si="168"/>
        <v>9846</v>
      </c>
      <c r="K252" s="93">
        <f t="shared" si="168"/>
        <v>9639</v>
      </c>
      <c r="L252" s="93">
        <f t="shared" si="168"/>
        <v>9418</v>
      </c>
      <c r="M252" s="93">
        <f t="shared" si="168"/>
        <v>9205</v>
      </c>
      <c r="N252" s="93">
        <f t="shared" si="168"/>
        <v>8992</v>
      </c>
      <c r="O252" s="93">
        <f t="shared" si="168"/>
        <v>60146</v>
      </c>
      <c r="P252" s="91">
        <f t="shared" si="142"/>
        <v>128340</v>
      </c>
    </row>
    <row r="253" spans="1:16" ht="16.5" customHeight="1" x14ac:dyDescent="0.25">
      <c r="A253" s="133">
        <f t="shared" ref="A253" si="169">A250+1</f>
        <v>82</v>
      </c>
      <c r="B253" s="155" t="s">
        <v>11</v>
      </c>
      <c r="C253" s="163" t="s">
        <v>708</v>
      </c>
      <c r="D253" s="157">
        <v>43641</v>
      </c>
      <c r="E253" s="162" t="s">
        <v>327</v>
      </c>
      <c r="F253" s="36" t="s">
        <v>325</v>
      </c>
      <c r="G253" s="11" t="s">
        <v>5</v>
      </c>
      <c r="H253" s="62">
        <v>37400</v>
      </c>
      <c r="I253" s="62">
        <v>37400</v>
      </c>
      <c r="J253" s="62">
        <v>37400</v>
      </c>
      <c r="K253" s="62">
        <v>37400</v>
      </c>
      <c r="L253" s="62">
        <v>37400</v>
      </c>
      <c r="M253" s="62">
        <v>37400</v>
      </c>
      <c r="N253" s="62">
        <v>37400</v>
      </c>
      <c r="O253" s="62">
        <f>165393-36754+2260-37400</f>
        <v>93499</v>
      </c>
      <c r="P253" s="62">
        <f>SUM(H253:O253)</f>
        <v>355299</v>
      </c>
    </row>
    <row r="254" spans="1:16" ht="16.5" customHeight="1" x14ac:dyDescent="0.25">
      <c r="A254" s="134"/>
      <c r="B254" s="155"/>
      <c r="C254" s="156"/>
      <c r="D254" s="157"/>
      <c r="E254" s="162"/>
      <c r="F254" s="18" t="s">
        <v>326</v>
      </c>
      <c r="G254" s="15" t="s">
        <v>8</v>
      </c>
      <c r="H254" s="63">
        <f>12242+885</f>
        <v>13127</v>
      </c>
      <c r="I254" s="63">
        <f>8444+791</f>
        <v>9235</v>
      </c>
      <c r="J254" s="63">
        <f>7432+696</f>
        <v>8128</v>
      </c>
      <c r="K254" s="63">
        <f>6435+603</f>
        <v>7038</v>
      </c>
      <c r="L254" s="64">
        <f>5405+507</f>
        <v>5912</v>
      </c>
      <c r="M254" s="64">
        <f>4394+412</f>
        <v>4806</v>
      </c>
      <c r="N254" s="64">
        <f>3383+317</f>
        <v>3700</v>
      </c>
      <c r="O254" s="64">
        <f>3762+384</f>
        <v>4146</v>
      </c>
      <c r="P254" s="63">
        <f t="shared" si="142"/>
        <v>56092</v>
      </c>
    </row>
    <row r="255" spans="1:16" ht="16.5" customHeight="1" x14ac:dyDescent="0.25">
      <c r="A255" s="135"/>
      <c r="B255" s="155"/>
      <c r="C255" s="156"/>
      <c r="D255" s="157"/>
      <c r="E255" s="162"/>
      <c r="F255" s="13"/>
      <c r="G255" s="13" t="s">
        <v>100</v>
      </c>
      <c r="H255" s="93">
        <f t="shared" ref="H255:O255" si="170">SUM(H253:H254)</f>
        <v>50527</v>
      </c>
      <c r="I255" s="93">
        <f t="shared" si="170"/>
        <v>46635</v>
      </c>
      <c r="J255" s="93">
        <f t="shared" si="170"/>
        <v>45528</v>
      </c>
      <c r="K255" s="93">
        <f t="shared" si="170"/>
        <v>44438</v>
      </c>
      <c r="L255" s="93">
        <f t="shared" si="170"/>
        <v>43312</v>
      </c>
      <c r="M255" s="93">
        <f t="shared" si="170"/>
        <v>42206</v>
      </c>
      <c r="N255" s="93">
        <f t="shared" si="170"/>
        <v>41100</v>
      </c>
      <c r="O255" s="93">
        <f t="shared" si="170"/>
        <v>97645</v>
      </c>
      <c r="P255" s="91">
        <f t="shared" si="142"/>
        <v>411391</v>
      </c>
    </row>
    <row r="256" spans="1:16" ht="15.75" customHeight="1" x14ac:dyDescent="0.25">
      <c r="A256" s="133">
        <f t="shared" ref="A256" si="171">A253+1</f>
        <v>83</v>
      </c>
      <c r="B256" s="155" t="s">
        <v>11</v>
      </c>
      <c r="C256" s="156" t="s">
        <v>36</v>
      </c>
      <c r="D256" s="157">
        <v>43641</v>
      </c>
      <c r="E256" s="162" t="s">
        <v>313</v>
      </c>
      <c r="F256" s="36" t="s">
        <v>328</v>
      </c>
      <c r="G256" s="11" t="s">
        <v>5</v>
      </c>
      <c r="H256" s="62">
        <v>6472</v>
      </c>
      <c r="I256" s="94">
        <v>0</v>
      </c>
      <c r="J256" s="94">
        <v>0</v>
      </c>
      <c r="K256" s="94">
        <v>0</v>
      </c>
      <c r="L256" s="94">
        <v>0</v>
      </c>
      <c r="M256" s="94">
        <v>0</v>
      </c>
      <c r="N256" s="62">
        <v>0</v>
      </c>
      <c r="O256" s="94">
        <v>0</v>
      </c>
      <c r="P256" s="62">
        <f>SUM(H256:O256)</f>
        <v>6472</v>
      </c>
    </row>
    <row r="257" spans="1:16" ht="15.75" customHeight="1" x14ac:dyDescent="0.25">
      <c r="A257" s="134"/>
      <c r="B257" s="155"/>
      <c r="C257" s="156"/>
      <c r="D257" s="157"/>
      <c r="E257" s="162"/>
      <c r="F257" s="18" t="s">
        <v>329</v>
      </c>
      <c r="G257" s="15" t="s">
        <v>8</v>
      </c>
      <c r="H257" s="63">
        <f>196+14</f>
        <v>210</v>
      </c>
      <c r="I257" s="92">
        <f>10+1</f>
        <v>11</v>
      </c>
      <c r="J257" s="92">
        <v>0</v>
      </c>
      <c r="K257" s="92">
        <v>0</v>
      </c>
      <c r="L257" s="92">
        <v>0</v>
      </c>
      <c r="M257" s="92">
        <v>0</v>
      </c>
      <c r="N257" s="63">
        <v>0</v>
      </c>
      <c r="O257" s="92">
        <v>0</v>
      </c>
      <c r="P257" s="63">
        <f t="shared" si="142"/>
        <v>221</v>
      </c>
    </row>
    <row r="258" spans="1:16" ht="15.75" customHeight="1" x14ac:dyDescent="0.25">
      <c r="A258" s="135"/>
      <c r="B258" s="155"/>
      <c r="C258" s="156"/>
      <c r="D258" s="157"/>
      <c r="E258" s="162"/>
      <c r="F258" s="13"/>
      <c r="G258" s="13" t="s">
        <v>100</v>
      </c>
      <c r="H258" s="93">
        <f t="shared" ref="H258:O258" si="172">SUM(H256:H257)</f>
        <v>6682</v>
      </c>
      <c r="I258" s="93">
        <f t="shared" si="172"/>
        <v>11</v>
      </c>
      <c r="J258" s="93">
        <f t="shared" si="172"/>
        <v>0</v>
      </c>
      <c r="K258" s="93">
        <f t="shared" si="172"/>
        <v>0</v>
      </c>
      <c r="L258" s="93">
        <f t="shared" si="172"/>
        <v>0</v>
      </c>
      <c r="M258" s="93">
        <f>SUM(M256:M257)</f>
        <v>0</v>
      </c>
      <c r="N258" s="93">
        <f t="shared" ref="N258" si="173">SUM(N256:N257)</f>
        <v>0</v>
      </c>
      <c r="O258" s="93">
        <f t="shared" si="172"/>
        <v>0</v>
      </c>
      <c r="P258" s="91">
        <f t="shared" si="142"/>
        <v>6693</v>
      </c>
    </row>
    <row r="259" spans="1:16" ht="15.75" customHeight="1" x14ac:dyDescent="0.25">
      <c r="A259" s="133">
        <f t="shared" ref="A259" si="174">A256+1</f>
        <v>84</v>
      </c>
      <c r="B259" s="155" t="s">
        <v>11</v>
      </c>
      <c r="C259" s="156" t="s">
        <v>37</v>
      </c>
      <c r="D259" s="157">
        <v>43658</v>
      </c>
      <c r="E259" s="162" t="s">
        <v>220</v>
      </c>
      <c r="F259" s="36" t="s">
        <v>330</v>
      </c>
      <c r="G259" s="11" t="s">
        <v>5</v>
      </c>
      <c r="H259" s="94">
        <v>0</v>
      </c>
      <c r="I259" s="94">
        <v>0</v>
      </c>
      <c r="J259" s="94">
        <v>0</v>
      </c>
      <c r="K259" s="94">
        <v>0</v>
      </c>
      <c r="L259" s="94">
        <v>0</v>
      </c>
      <c r="M259" s="94">
        <v>0</v>
      </c>
      <c r="N259" s="62">
        <v>0</v>
      </c>
      <c r="O259" s="94">
        <v>0</v>
      </c>
      <c r="P259" s="62">
        <f>SUM(H259:O259)</f>
        <v>0</v>
      </c>
    </row>
    <row r="260" spans="1:16" ht="15.75" customHeight="1" x14ac:dyDescent="0.25">
      <c r="A260" s="134"/>
      <c r="B260" s="155"/>
      <c r="C260" s="156"/>
      <c r="D260" s="157"/>
      <c r="E260" s="162"/>
      <c r="F260" s="18" t="s">
        <v>331</v>
      </c>
      <c r="G260" s="15" t="s">
        <v>8</v>
      </c>
      <c r="H260" s="92">
        <v>14</v>
      </c>
      <c r="I260" s="92">
        <v>0</v>
      </c>
      <c r="J260" s="92">
        <v>0</v>
      </c>
      <c r="K260" s="92">
        <v>0</v>
      </c>
      <c r="L260" s="92">
        <v>0</v>
      </c>
      <c r="M260" s="92">
        <v>0</v>
      </c>
      <c r="N260" s="63">
        <v>0</v>
      </c>
      <c r="O260" s="92">
        <v>0</v>
      </c>
      <c r="P260" s="63">
        <f t="shared" si="142"/>
        <v>14</v>
      </c>
    </row>
    <row r="261" spans="1:16" ht="15.75" customHeight="1" x14ac:dyDescent="0.25">
      <c r="A261" s="135"/>
      <c r="B261" s="155"/>
      <c r="C261" s="156"/>
      <c r="D261" s="157"/>
      <c r="E261" s="162"/>
      <c r="F261" s="13"/>
      <c r="G261" s="13" t="s">
        <v>100</v>
      </c>
      <c r="H261" s="93">
        <f t="shared" ref="H261:O261" si="175">SUM(H259:H260)</f>
        <v>14</v>
      </c>
      <c r="I261" s="93">
        <f t="shared" si="175"/>
        <v>0</v>
      </c>
      <c r="J261" s="93">
        <f t="shared" si="175"/>
        <v>0</v>
      </c>
      <c r="K261" s="93">
        <f t="shared" si="175"/>
        <v>0</v>
      </c>
      <c r="L261" s="93">
        <f t="shared" si="175"/>
        <v>0</v>
      </c>
      <c r="M261" s="93">
        <f t="shared" si="175"/>
        <v>0</v>
      </c>
      <c r="N261" s="93">
        <f t="shared" si="175"/>
        <v>0</v>
      </c>
      <c r="O261" s="93">
        <f t="shared" si="175"/>
        <v>0</v>
      </c>
      <c r="P261" s="91">
        <f t="shared" si="142"/>
        <v>14</v>
      </c>
    </row>
    <row r="262" spans="1:16" ht="16.5" customHeight="1" x14ac:dyDescent="0.25">
      <c r="A262" s="133">
        <f t="shared" ref="A262" si="176">A259+1</f>
        <v>85</v>
      </c>
      <c r="B262" s="155" t="s">
        <v>11</v>
      </c>
      <c r="C262" s="156" t="s">
        <v>717</v>
      </c>
      <c r="D262" s="157">
        <v>43733</v>
      </c>
      <c r="E262" s="162" t="s">
        <v>334</v>
      </c>
      <c r="F262" s="36" t="s">
        <v>332</v>
      </c>
      <c r="G262" s="11" t="s">
        <v>5</v>
      </c>
      <c r="H262" s="62">
        <v>5468</v>
      </c>
      <c r="I262" s="62">
        <v>5468</v>
      </c>
      <c r="J262" s="62">
        <v>5468</v>
      </c>
      <c r="K262" s="62">
        <v>5468</v>
      </c>
      <c r="L262" s="62">
        <f>4038+62</f>
        <v>4100</v>
      </c>
      <c r="M262" s="94">
        <v>0</v>
      </c>
      <c r="N262" s="62">
        <v>0</v>
      </c>
      <c r="O262" s="62">
        <v>0</v>
      </c>
      <c r="P262" s="62">
        <f>SUM(H262:O262)</f>
        <v>25972</v>
      </c>
    </row>
    <row r="263" spans="1:16" ht="16.5" customHeight="1" x14ac:dyDescent="0.25">
      <c r="A263" s="134"/>
      <c r="B263" s="155"/>
      <c r="C263" s="156"/>
      <c r="D263" s="157"/>
      <c r="E263" s="162"/>
      <c r="F263" s="18" t="s">
        <v>333</v>
      </c>
      <c r="G263" s="15" t="s">
        <v>8</v>
      </c>
      <c r="H263" s="63">
        <f>831+64</f>
        <v>895</v>
      </c>
      <c r="I263" s="63">
        <f>532+50</f>
        <v>582</v>
      </c>
      <c r="J263" s="63">
        <f>384+36</f>
        <v>420</v>
      </c>
      <c r="K263" s="63">
        <f>236+22</f>
        <v>258</v>
      </c>
      <c r="L263" s="64">
        <f>88+8</f>
        <v>96</v>
      </c>
      <c r="M263" s="92">
        <v>0</v>
      </c>
      <c r="N263" s="63">
        <v>0</v>
      </c>
      <c r="O263" s="63">
        <v>0</v>
      </c>
      <c r="P263" s="63">
        <f t="shared" si="142"/>
        <v>2251</v>
      </c>
    </row>
    <row r="264" spans="1:16" ht="16.5" customHeight="1" x14ac:dyDescent="0.25">
      <c r="A264" s="135"/>
      <c r="B264" s="164"/>
      <c r="C264" s="166"/>
      <c r="D264" s="159"/>
      <c r="E264" s="152"/>
      <c r="F264" s="23"/>
      <c r="G264" s="23" t="s">
        <v>100</v>
      </c>
      <c r="H264" s="93">
        <f t="shared" ref="H264:O264" si="177">SUM(H262:H263)</f>
        <v>6363</v>
      </c>
      <c r="I264" s="93">
        <f t="shared" si="177"/>
        <v>6050</v>
      </c>
      <c r="J264" s="93">
        <f t="shared" si="177"/>
        <v>5888</v>
      </c>
      <c r="K264" s="93">
        <f t="shared" si="177"/>
        <v>5726</v>
      </c>
      <c r="L264" s="93">
        <f t="shared" si="177"/>
        <v>4196</v>
      </c>
      <c r="M264" s="93">
        <f t="shared" si="177"/>
        <v>0</v>
      </c>
      <c r="N264" s="93">
        <f t="shared" si="177"/>
        <v>0</v>
      </c>
      <c r="O264" s="93">
        <f t="shared" si="177"/>
        <v>0</v>
      </c>
      <c r="P264" s="91">
        <f t="shared" si="142"/>
        <v>28223</v>
      </c>
    </row>
    <row r="265" spans="1:16" ht="16.5" customHeight="1" x14ac:dyDescent="0.25">
      <c r="A265" s="133">
        <f t="shared" ref="A265" si="178">A262+1</f>
        <v>86</v>
      </c>
      <c r="B265" s="155" t="s">
        <v>11</v>
      </c>
      <c r="C265" s="163" t="s">
        <v>450</v>
      </c>
      <c r="D265" s="157">
        <v>43756</v>
      </c>
      <c r="E265" s="162" t="s">
        <v>335</v>
      </c>
      <c r="F265" s="36" t="s">
        <v>336</v>
      </c>
      <c r="G265" s="11" t="s">
        <v>5</v>
      </c>
      <c r="H265" s="62">
        <v>23076</v>
      </c>
      <c r="I265" s="62">
        <v>23076</v>
      </c>
      <c r="J265" s="62">
        <v>23076</v>
      </c>
      <c r="K265" s="62">
        <v>23076</v>
      </c>
      <c r="L265" s="62">
        <v>23076</v>
      </c>
      <c r="M265" s="62">
        <v>23076</v>
      </c>
      <c r="N265" s="62">
        <v>23076</v>
      </c>
      <c r="O265" s="62">
        <f>113760-22752+1258-23076</f>
        <v>69190</v>
      </c>
      <c r="P265" s="62">
        <f>SUM(H265:O265)</f>
        <v>230722</v>
      </c>
    </row>
    <row r="266" spans="1:16" ht="16.5" customHeight="1" x14ac:dyDescent="0.25">
      <c r="A266" s="134"/>
      <c r="B266" s="155"/>
      <c r="C266" s="156"/>
      <c r="D266" s="157"/>
      <c r="E266" s="162"/>
      <c r="F266" s="18" t="s">
        <v>337</v>
      </c>
      <c r="G266" s="15" t="s">
        <v>8</v>
      </c>
      <c r="H266" s="63">
        <f>6833+575</f>
        <v>7408</v>
      </c>
      <c r="I266" s="63">
        <f>5546+517</f>
        <v>6063</v>
      </c>
      <c r="J266" s="63">
        <f>4896+459</f>
        <v>5355</v>
      </c>
      <c r="K266" s="63">
        <f>4282+401</f>
        <v>4683</v>
      </c>
      <c r="L266" s="64">
        <f>3646+342</f>
        <v>3988</v>
      </c>
      <c r="M266" s="64">
        <f>3022+283</f>
        <v>3305</v>
      </c>
      <c r="N266" s="64">
        <f>2399+225</f>
        <v>2624</v>
      </c>
      <c r="O266" s="64">
        <f>3183+325</f>
        <v>3508</v>
      </c>
      <c r="P266" s="63">
        <f t="shared" si="142"/>
        <v>36934</v>
      </c>
    </row>
    <row r="267" spans="1:16" ht="16.5" customHeight="1" x14ac:dyDescent="0.25">
      <c r="A267" s="135"/>
      <c r="B267" s="155"/>
      <c r="C267" s="156"/>
      <c r="D267" s="157"/>
      <c r="E267" s="162"/>
      <c r="F267" s="13"/>
      <c r="G267" s="13" t="s">
        <v>100</v>
      </c>
      <c r="H267" s="93">
        <f t="shared" ref="H267:O267" si="179">SUM(H265:H266)</f>
        <v>30484</v>
      </c>
      <c r="I267" s="93">
        <f t="shared" si="179"/>
        <v>29139</v>
      </c>
      <c r="J267" s="93">
        <f t="shared" si="179"/>
        <v>28431</v>
      </c>
      <c r="K267" s="93">
        <f t="shared" si="179"/>
        <v>27759</v>
      </c>
      <c r="L267" s="93">
        <f t="shared" si="179"/>
        <v>27064</v>
      </c>
      <c r="M267" s="93">
        <f t="shared" si="179"/>
        <v>26381</v>
      </c>
      <c r="N267" s="93">
        <f t="shared" si="179"/>
        <v>25700</v>
      </c>
      <c r="O267" s="93">
        <f t="shared" si="179"/>
        <v>72698</v>
      </c>
      <c r="P267" s="91">
        <f t="shared" si="142"/>
        <v>267656</v>
      </c>
    </row>
    <row r="268" spans="1:16" ht="16.5" customHeight="1" x14ac:dyDescent="0.25">
      <c r="A268" s="133">
        <f t="shared" ref="A268" si="180">A265+1</f>
        <v>87</v>
      </c>
      <c r="B268" s="155" t="s">
        <v>11</v>
      </c>
      <c r="C268" s="156" t="s">
        <v>709</v>
      </c>
      <c r="D268" s="157">
        <v>43812</v>
      </c>
      <c r="E268" s="162" t="s">
        <v>226</v>
      </c>
      <c r="F268" s="36" t="s">
        <v>338</v>
      </c>
      <c r="G268" s="11" t="s">
        <v>5</v>
      </c>
      <c r="H268" s="62">
        <v>55040</v>
      </c>
      <c r="I268" s="62">
        <v>55040</v>
      </c>
      <c r="J268" s="62">
        <v>55040</v>
      </c>
      <c r="K268" s="62">
        <v>55040</v>
      </c>
      <c r="L268" s="62">
        <f>25159+2359</f>
        <v>27518</v>
      </c>
      <c r="M268" s="94">
        <v>0</v>
      </c>
      <c r="N268" s="62">
        <v>0</v>
      </c>
      <c r="O268" s="62">
        <v>0</v>
      </c>
      <c r="P268" s="62">
        <f>SUM(H268:O268)</f>
        <v>247678</v>
      </c>
    </row>
    <row r="269" spans="1:16" ht="16.5" customHeight="1" x14ac:dyDescent="0.25">
      <c r="A269" s="134"/>
      <c r="B269" s="155"/>
      <c r="C269" s="156"/>
      <c r="D269" s="157"/>
      <c r="E269" s="162"/>
      <c r="F269" s="18" t="s">
        <v>339</v>
      </c>
      <c r="G269" s="15" t="s">
        <v>8</v>
      </c>
      <c r="H269" s="63">
        <f>6929+606</f>
        <v>7535</v>
      </c>
      <c r="I269" s="63">
        <f>4934+467</f>
        <v>5401</v>
      </c>
      <c r="J269" s="63">
        <f>3493+327</f>
        <v>3820</v>
      </c>
      <c r="K269" s="63">
        <f>2006+188</f>
        <v>2194</v>
      </c>
      <c r="L269" s="63">
        <f>522+49</f>
        <v>571</v>
      </c>
      <c r="M269" s="92">
        <v>0</v>
      </c>
      <c r="N269" s="63">
        <v>0</v>
      </c>
      <c r="O269" s="63">
        <v>0</v>
      </c>
      <c r="P269" s="63">
        <f t="shared" si="142"/>
        <v>19521</v>
      </c>
    </row>
    <row r="270" spans="1:16" ht="16.5" customHeight="1" x14ac:dyDescent="0.25">
      <c r="A270" s="135"/>
      <c r="B270" s="155"/>
      <c r="C270" s="156"/>
      <c r="D270" s="157"/>
      <c r="E270" s="162"/>
      <c r="F270" s="13"/>
      <c r="G270" s="13" t="s">
        <v>100</v>
      </c>
      <c r="H270" s="93">
        <f t="shared" ref="H270:O270" si="181">SUM(H268:H269)</f>
        <v>62575</v>
      </c>
      <c r="I270" s="93">
        <f t="shared" si="181"/>
        <v>60441</v>
      </c>
      <c r="J270" s="93">
        <f t="shared" si="181"/>
        <v>58860</v>
      </c>
      <c r="K270" s="93">
        <f t="shared" si="181"/>
        <v>57234</v>
      </c>
      <c r="L270" s="93">
        <f t="shared" si="181"/>
        <v>28089</v>
      </c>
      <c r="M270" s="93">
        <f t="shared" si="181"/>
        <v>0</v>
      </c>
      <c r="N270" s="93">
        <f t="shared" si="181"/>
        <v>0</v>
      </c>
      <c r="O270" s="93">
        <f t="shared" si="181"/>
        <v>0</v>
      </c>
      <c r="P270" s="91">
        <f t="shared" si="142"/>
        <v>267199</v>
      </c>
    </row>
    <row r="271" spans="1:16" ht="16.95" customHeight="1" x14ac:dyDescent="0.25">
      <c r="A271" s="133">
        <f t="shared" ref="A271" si="182">A268+1</f>
        <v>88</v>
      </c>
      <c r="B271" s="155" t="s">
        <v>11</v>
      </c>
      <c r="C271" s="177" t="s">
        <v>440</v>
      </c>
      <c r="D271" s="157">
        <v>44012</v>
      </c>
      <c r="E271" s="162" t="s">
        <v>340</v>
      </c>
      <c r="F271" s="36" t="s">
        <v>341</v>
      </c>
      <c r="G271" s="11" t="s">
        <v>5</v>
      </c>
      <c r="H271" s="62">
        <v>118232</v>
      </c>
      <c r="I271" s="62">
        <v>118232</v>
      </c>
      <c r="J271" s="62">
        <v>118232</v>
      </c>
      <c r="K271" s="62">
        <v>118232</v>
      </c>
      <c r="L271" s="62">
        <v>118232</v>
      </c>
      <c r="M271" s="62">
        <v>118232</v>
      </c>
      <c r="N271" s="62">
        <v>118232</v>
      </c>
      <c r="O271" s="62">
        <f>1793464-115707+36603-118232</f>
        <v>1596128</v>
      </c>
      <c r="P271" s="62">
        <f>SUM(H271:O271)</f>
        <v>2423752</v>
      </c>
    </row>
    <row r="272" spans="1:16" ht="16.2" customHeight="1" x14ac:dyDescent="0.25">
      <c r="A272" s="134"/>
      <c r="B272" s="155"/>
      <c r="C272" s="177"/>
      <c r="D272" s="157"/>
      <c r="E272" s="162"/>
      <c r="F272" s="18" t="s">
        <v>342</v>
      </c>
      <c r="G272" s="15" t="s">
        <v>8</v>
      </c>
      <c r="H272" s="63">
        <v>102697</v>
      </c>
      <c r="I272" s="63">
        <v>78434</v>
      </c>
      <c r="J272" s="63">
        <v>74267</v>
      </c>
      <c r="K272" s="63">
        <v>70402</v>
      </c>
      <c r="L272" s="63">
        <v>66159</v>
      </c>
      <c r="M272" s="63">
        <v>62111</v>
      </c>
      <c r="N272" s="63">
        <v>58069</v>
      </c>
      <c r="O272" s="63">
        <f>381296</f>
        <v>381296</v>
      </c>
      <c r="P272" s="63">
        <f t="shared" si="142"/>
        <v>893435</v>
      </c>
    </row>
    <row r="273" spans="1:16" ht="16.5" customHeight="1" x14ac:dyDescent="0.25">
      <c r="A273" s="135"/>
      <c r="B273" s="155"/>
      <c r="C273" s="177"/>
      <c r="D273" s="157"/>
      <c r="E273" s="162"/>
      <c r="F273" s="13"/>
      <c r="G273" s="13" t="s">
        <v>100</v>
      </c>
      <c r="H273" s="93">
        <f t="shared" ref="H273:O273" si="183">SUM(H271:H272)</f>
        <v>220929</v>
      </c>
      <c r="I273" s="93">
        <f t="shared" si="183"/>
        <v>196666</v>
      </c>
      <c r="J273" s="93">
        <f t="shared" si="183"/>
        <v>192499</v>
      </c>
      <c r="K273" s="93">
        <f t="shared" si="183"/>
        <v>188634</v>
      </c>
      <c r="L273" s="93">
        <f t="shared" si="183"/>
        <v>184391</v>
      </c>
      <c r="M273" s="93">
        <f t="shared" si="183"/>
        <v>180343</v>
      </c>
      <c r="N273" s="93">
        <f t="shared" si="183"/>
        <v>176301</v>
      </c>
      <c r="O273" s="93">
        <f t="shared" si="183"/>
        <v>1977424</v>
      </c>
      <c r="P273" s="91">
        <f t="shared" si="142"/>
        <v>3317187</v>
      </c>
    </row>
    <row r="274" spans="1:16" ht="17.25" customHeight="1" x14ac:dyDescent="0.25">
      <c r="A274" s="133">
        <f t="shared" ref="A274" si="184">A271+1</f>
        <v>89</v>
      </c>
      <c r="B274" s="155" t="s">
        <v>11</v>
      </c>
      <c r="C274" s="163" t="s">
        <v>451</v>
      </c>
      <c r="D274" s="157">
        <v>44034</v>
      </c>
      <c r="E274" s="162" t="s">
        <v>345</v>
      </c>
      <c r="F274" s="36" t="s">
        <v>343</v>
      </c>
      <c r="G274" s="11" t="s">
        <v>5</v>
      </c>
      <c r="H274" s="62">
        <v>19228</v>
      </c>
      <c r="I274" s="62">
        <v>19228</v>
      </c>
      <c r="J274" s="62">
        <v>19228</v>
      </c>
      <c r="K274" s="62">
        <v>19228</v>
      </c>
      <c r="L274" s="62">
        <v>19228</v>
      </c>
      <c r="M274" s="62">
        <v>19228</v>
      </c>
      <c r="N274" s="62">
        <v>19228</v>
      </c>
      <c r="O274" s="62">
        <f>295785-18780+6584-19228</f>
        <v>264361</v>
      </c>
      <c r="P274" s="62">
        <f>SUM(H274:O274)</f>
        <v>398957</v>
      </c>
    </row>
    <row r="275" spans="1:16" ht="15" customHeight="1" x14ac:dyDescent="0.25">
      <c r="A275" s="134"/>
      <c r="B275" s="155"/>
      <c r="C275" s="163"/>
      <c r="D275" s="157"/>
      <c r="E275" s="162"/>
      <c r="F275" s="18" t="s">
        <v>344</v>
      </c>
      <c r="G275" s="15" t="s">
        <v>8</v>
      </c>
      <c r="H275" s="63">
        <v>16653</v>
      </c>
      <c r="I275" s="63">
        <v>12664</v>
      </c>
      <c r="J275" s="63">
        <v>11999</v>
      </c>
      <c r="K275" s="63">
        <v>11383</v>
      </c>
      <c r="L275" s="64">
        <v>10706</v>
      </c>
      <c r="M275" s="64">
        <v>10061</v>
      </c>
      <c r="N275" s="64">
        <v>9417</v>
      </c>
      <c r="O275" s="64">
        <f>63681</f>
        <v>63681</v>
      </c>
      <c r="P275" s="63">
        <f t="shared" si="142"/>
        <v>146564</v>
      </c>
    </row>
    <row r="276" spans="1:16" ht="16.2" customHeight="1" x14ac:dyDescent="0.25">
      <c r="A276" s="135"/>
      <c r="B276" s="164"/>
      <c r="C276" s="165"/>
      <c r="D276" s="159"/>
      <c r="E276" s="152"/>
      <c r="F276" s="23"/>
      <c r="G276" s="23" t="s">
        <v>100</v>
      </c>
      <c r="H276" s="93">
        <f t="shared" ref="H276:O276" si="185">SUM(H274:H275)</f>
        <v>35881</v>
      </c>
      <c r="I276" s="93">
        <f t="shared" si="185"/>
        <v>31892</v>
      </c>
      <c r="J276" s="93">
        <f t="shared" si="185"/>
        <v>31227</v>
      </c>
      <c r="K276" s="93">
        <f t="shared" si="185"/>
        <v>30611</v>
      </c>
      <c r="L276" s="93">
        <f t="shared" si="185"/>
        <v>29934</v>
      </c>
      <c r="M276" s="93">
        <f t="shared" si="185"/>
        <v>29289</v>
      </c>
      <c r="N276" s="93">
        <f t="shared" si="185"/>
        <v>28645</v>
      </c>
      <c r="O276" s="93">
        <f t="shared" si="185"/>
        <v>328042</v>
      </c>
      <c r="P276" s="91">
        <f t="shared" si="142"/>
        <v>545521</v>
      </c>
    </row>
    <row r="277" spans="1:16" ht="17.399999999999999" customHeight="1" x14ac:dyDescent="0.25">
      <c r="A277" s="133">
        <f t="shared" ref="A277" si="186">A274+1</f>
        <v>90</v>
      </c>
      <c r="B277" s="155" t="s">
        <v>11</v>
      </c>
      <c r="C277" s="179" t="s">
        <v>425</v>
      </c>
      <c r="D277" s="162" t="s">
        <v>96</v>
      </c>
      <c r="E277" s="162" t="s">
        <v>157</v>
      </c>
      <c r="F277" s="36" t="s">
        <v>346</v>
      </c>
      <c r="G277" s="11" t="s">
        <v>5</v>
      </c>
      <c r="H277" s="62">
        <f>5002*3</f>
        <v>15006</v>
      </c>
      <c r="I277" s="62">
        <v>0</v>
      </c>
      <c r="J277" s="62">
        <v>0</v>
      </c>
      <c r="K277" s="62">
        <v>0</v>
      </c>
      <c r="L277" s="62">
        <v>0</v>
      </c>
      <c r="M277" s="62">
        <v>0</v>
      </c>
      <c r="N277" s="62">
        <v>0</v>
      </c>
      <c r="O277" s="62">
        <v>0</v>
      </c>
      <c r="P277" s="62">
        <f>SUM(H277:O277)</f>
        <v>15006</v>
      </c>
    </row>
    <row r="278" spans="1:16" ht="16.2" customHeight="1" x14ac:dyDescent="0.25">
      <c r="A278" s="134"/>
      <c r="B278" s="155"/>
      <c r="C278" s="179"/>
      <c r="D278" s="162"/>
      <c r="E278" s="162"/>
      <c r="F278" s="18" t="s">
        <v>347</v>
      </c>
      <c r="G278" s="15" t="s">
        <v>8</v>
      </c>
      <c r="H278" s="63">
        <v>28</v>
      </c>
      <c r="I278" s="63">
        <v>0</v>
      </c>
      <c r="J278" s="63">
        <v>0</v>
      </c>
      <c r="K278" s="63">
        <v>0</v>
      </c>
      <c r="L278" s="63">
        <v>0</v>
      </c>
      <c r="M278" s="63">
        <v>0</v>
      </c>
      <c r="N278" s="63">
        <v>0</v>
      </c>
      <c r="O278" s="63">
        <v>0</v>
      </c>
      <c r="P278" s="63">
        <f t="shared" si="142"/>
        <v>28</v>
      </c>
    </row>
    <row r="279" spans="1:16" ht="16.5" customHeight="1" x14ac:dyDescent="0.25">
      <c r="A279" s="135"/>
      <c r="B279" s="155"/>
      <c r="C279" s="179"/>
      <c r="D279" s="162"/>
      <c r="E279" s="162"/>
      <c r="F279" s="13"/>
      <c r="G279" s="13" t="s">
        <v>100</v>
      </c>
      <c r="H279" s="93">
        <f t="shared" ref="H279:O279" si="187">SUM(H277:H278)</f>
        <v>15034</v>
      </c>
      <c r="I279" s="93">
        <f t="shared" si="187"/>
        <v>0</v>
      </c>
      <c r="J279" s="93">
        <f t="shared" si="187"/>
        <v>0</v>
      </c>
      <c r="K279" s="93">
        <f t="shared" si="187"/>
        <v>0</v>
      </c>
      <c r="L279" s="93">
        <f t="shared" si="187"/>
        <v>0</v>
      </c>
      <c r="M279" s="93">
        <f>SUM(M277:M278)</f>
        <v>0</v>
      </c>
      <c r="N279" s="93">
        <f t="shared" ref="N279" si="188">SUM(N277:N278)</f>
        <v>0</v>
      </c>
      <c r="O279" s="93">
        <f t="shared" si="187"/>
        <v>0</v>
      </c>
      <c r="P279" s="91">
        <f t="shared" ref="P279:P285" si="189">SUM(H279:O279)</f>
        <v>15034</v>
      </c>
    </row>
    <row r="280" spans="1:16" ht="16.5" customHeight="1" x14ac:dyDescent="0.25">
      <c r="A280" s="133">
        <f t="shared" ref="A280" si="190">A277+1</f>
        <v>91</v>
      </c>
      <c r="B280" s="155" t="s">
        <v>11</v>
      </c>
      <c r="C280" s="163" t="s">
        <v>710</v>
      </c>
      <c r="D280" s="157">
        <v>44053</v>
      </c>
      <c r="E280" s="162" t="s">
        <v>235</v>
      </c>
      <c r="F280" s="36" t="s">
        <v>348</v>
      </c>
      <c r="G280" s="11" t="s">
        <v>5</v>
      </c>
      <c r="H280" s="62">
        <v>22676</v>
      </c>
      <c r="I280" s="62">
        <v>22676</v>
      </c>
      <c r="J280" s="62">
        <v>22676</v>
      </c>
      <c r="K280" s="62">
        <v>22676</v>
      </c>
      <c r="L280" s="62">
        <v>22676</v>
      </c>
      <c r="M280" s="62">
        <v>22676</v>
      </c>
      <c r="N280" s="62">
        <v>22676</v>
      </c>
      <c r="O280" s="62">
        <f>127144-22112+2646-22676</f>
        <v>85002</v>
      </c>
      <c r="P280" s="62">
        <f>SUM(H280:O280)</f>
        <v>243734</v>
      </c>
    </row>
    <row r="281" spans="1:16" ht="16.5" customHeight="1" x14ac:dyDescent="0.25">
      <c r="A281" s="134"/>
      <c r="B281" s="155"/>
      <c r="C281" s="163"/>
      <c r="D281" s="157"/>
      <c r="E281" s="162"/>
      <c r="F281" s="18" t="s">
        <v>349</v>
      </c>
      <c r="G281" s="15" t="s">
        <v>8</v>
      </c>
      <c r="H281" s="63">
        <v>8952</v>
      </c>
      <c r="I281" s="63">
        <v>6768</v>
      </c>
      <c r="J281" s="63">
        <v>6052</v>
      </c>
      <c r="K281" s="63">
        <v>5361</v>
      </c>
      <c r="L281" s="64">
        <v>4642</v>
      </c>
      <c r="M281" s="64">
        <v>3938</v>
      </c>
      <c r="N281" s="64">
        <v>3235</v>
      </c>
      <c r="O281" s="64">
        <v>5830</v>
      </c>
      <c r="P281" s="63">
        <f t="shared" si="189"/>
        <v>44778</v>
      </c>
    </row>
    <row r="282" spans="1:16" ht="16.5" customHeight="1" x14ac:dyDescent="0.25">
      <c r="A282" s="135"/>
      <c r="B282" s="155"/>
      <c r="C282" s="163"/>
      <c r="D282" s="157"/>
      <c r="E282" s="162"/>
      <c r="F282" s="13"/>
      <c r="G282" s="13" t="s">
        <v>100</v>
      </c>
      <c r="H282" s="93">
        <f t="shared" ref="H282:O282" si="191">SUM(H280:H281)</f>
        <v>31628</v>
      </c>
      <c r="I282" s="93">
        <f t="shared" si="191"/>
        <v>29444</v>
      </c>
      <c r="J282" s="93">
        <f t="shared" si="191"/>
        <v>28728</v>
      </c>
      <c r="K282" s="93">
        <f t="shared" si="191"/>
        <v>28037</v>
      </c>
      <c r="L282" s="93">
        <f t="shared" si="191"/>
        <v>27318</v>
      </c>
      <c r="M282" s="93">
        <f t="shared" si="191"/>
        <v>26614</v>
      </c>
      <c r="N282" s="93">
        <f t="shared" si="191"/>
        <v>25911</v>
      </c>
      <c r="O282" s="93">
        <f t="shared" si="191"/>
        <v>90832</v>
      </c>
      <c r="P282" s="91">
        <f t="shared" si="189"/>
        <v>288512</v>
      </c>
    </row>
    <row r="283" spans="1:16" ht="16.5" customHeight="1" x14ac:dyDescent="0.25">
      <c r="A283" s="133">
        <f t="shared" ref="A283" si="192">A280+1</f>
        <v>92</v>
      </c>
      <c r="B283" s="155" t="s">
        <v>11</v>
      </c>
      <c r="C283" s="163" t="s">
        <v>711</v>
      </c>
      <c r="D283" s="157">
        <v>44053</v>
      </c>
      <c r="E283" s="162" t="s">
        <v>235</v>
      </c>
      <c r="F283" s="36" t="s">
        <v>350</v>
      </c>
      <c r="G283" s="11" t="s">
        <v>5</v>
      </c>
      <c r="H283" s="62">
        <v>40244</v>
      </c>
      <c r="I283" s="62">
        <v>40244</v>
      </c>
      <c r="J283" s="62">
        <v>40244</v>
      </c>
      <c r="K283" s="62">
        <v>40244</v>
      </c>
      <c r="L283" s="62">
        <v>40244</v>
      </c>
      <c r="M283" s="62">
        <v>40244</v>
      </c>
      <c r="N283" s="62">
        <v>40244</v>
      </c>
      <c r="O283" s="62">
        <f>225676-39248+4727-40244</f>
        <v>150911</v>
      </c>
      <c r="P283" s="62">
        <f>SUM(H283:O283)</f>
        <v>432619</v>
      </c>
    </row>
    <row r="284" spans="1:16" ht="16.5" customHeight="1" x14ac:dyDescent="0.25">
      <c r="A284" s="134"/>
      <c r="B284" s="155"/>
      <c r="C284" s="163"/>
      <c r="D284" s="157"/>
      <c r="E284" s="162"/>
      <c r="F284" s="18" t="s">
        <v>351</v>
      </c>
      <c r="G284" s="15" t="s">
        <v>8</v>
      </c>
      <c r="H284" s="63">
        <v>15890</v>
      </c>
      <c r="I284" s="63">
        <v>12013</v>
      </c>
      <c r="J284" s="63">
        <v>10743</v>
      </c>
      <c r="K284" s="63">
        <v>9516</v>
      </c>
      <c r="L284" s="64">
        <v>8240</v>
      </c>
      <c r="M284" s="64">
        <v>6990</v>
      </c>
      <c r="N284" s="64">
        <v>5742</v>
      </c>
      <c r="O284" s="64">
        <v>10354</v>
      </c>
      <c r="P284" s="63">
        <f t="shared" si="189"/>
        <v>79488</v>
      </c>
    </row>
    <row r="285" spans="1:16" ht="16.5" customHeight="1" x14ac:dyDescent="0.25">
      <c r="A285" s="135"/>
      <c r="B285" s="155"/>
      <c r="C285" s="163"/>
      <c r="D285" s="157"/>
      <c r="E285" s="162"/>
      <c r="F285" s="13"/>
      <c r="G285" s="13" t="s">
        <v>100</v>
      </c>
      <c r="H285" s="93">
        <f t="shared" ref="H285:O285" si="193">SUM(H283:H284)</f>
        <v>56134</v>
      </c>
      <c r="I285" s="93">
        <f t="shared" si="193"/>
        <v>52257</v>
      </c>
      <c r="J285" s="93">
        <f t="shared" si="193"/>
        <v>50987</v>
      </c>
      <c r="K285" s="93">
        <f t="shared" si="193"/>
        <v>49760</v>
      </c>
      <c r="L285" s="93">
        <f t="shared" si="193"/>
        <v>48484</v>
      </c>
      <c r="M285" s="93">
        <f t="shared" si="193"/>
        <v>47234</v>
      </c>
      <c r="N285" s="93">
        <f t="shared" si="193"/>
        <v>45986</v>
      </c>
      <c r="O285" s="93">
        <f t="shared" si="193"/>
        <v>161265</v>
      </c>
      <c r="P285" s="91">
        <f t="shared" si="189"/>
        <v>512107</v>
      </c>
    </row>
    <row r="286" spans="1:16" ht="16.5" customHeight="1" x14ac:dyDescent="0.25">
      <c r="A286" s="133">
        <f t="shared" ref="A286" si="194">A283+1</f>
        <v>93</v>
      </c>
      <c r="B286" s="155" t="s">
        <v>11</v>
      </c>
      <c r="C286" s="177" t="s">
        <v>431</v>
      </c>
      <c r="D286" s="157">
        <v>44076</v>
      </c>
      <c r="E286" s="162" t="s">
        <v>352</v>
      </c>
      <c r="F286" s="36" t="s">
        <v>353</v>
      </c>
      <c r="G286" s="11" t="s">
        <v>5</v>
      </c>
      <c r="H286" s="62">
        <v>22036</v>
      </c>
      <c r="I286" s="62">
        <v>22036</v>
      </c>
      <c r="J286" s="62">
        <v>22036</v>
      </c>
      <c r="K286" s="62">
        <v>22036</v>
      </c>
      <c r="L286" s="62">
        <v>22036</v>
      </c>
      <c r="M286" s="62">
        <v>22036</v>
      </c>
      <c r="N286" s="62">
        <v>22036</v>
      </c>
      <c r="O286" s="62">
        <f>124292-21616+1956-22036</f>
        <v>82596</v>
      </c>
      <c r="P286" s="62">
        <f>SUM(H286:O286)</f>
        <v>236848</v>
      </c>
    </row>
    <row r="287" spans="1:16" ht="16.5" customHeight="1" x14ac:dyDescent="0.25">
      <c r="A287" s="134"/>
      <c r="B287" s="155"/>
      <c r="C287" s="177"/>
      <c r="D287" s="157"/>
      <c r="E287" s="162"/>
      <c r="F287" s="18" t="s">
        <v>354</v>
      </c>
      <c r="G287" s="15" t="s">
        <v>8</v>
      </c>
      <c r="H287" s="63">
        <v>8499</v>
      </c>
      <c r="I287" s="63">
        <v>6502</v>
      </c>
      <c r="J287" s="63">
        <v>5814</v>
      </c>
      <c r="K287" s="63">
        <v>5150</v>
      </c>
      <c r="L287" s="64">
        <v>4459</v>
      </c>
      <c r="M287" s="64">
        <v>3783</v>
      </c>
      <c r="N287" s="64">
        <v>3107</v>
      </c>
      <c r="O287" s="64">
        <v>5614</v>
      </c>
      <c r="P287" s="63">
        <f t="shared" ref="P287:P350" si="195">SUM(H287:O287)</f>
        <v>42928</v>
      </c>
    </row>
    <row r="288" spans="1:16" ht="16.5" customHeight="1" x14ac:dyDescent="0.25">
      <c r="A288" s="135"/>
      <c r="B288" s="155"/>
      <c r="C288" s="177"/>
      <c r="D288" s="157"/>
      <c r="E288" s="162"/>
      <c r="F288" s="13"/>
      <c r="G288" s="13" t="s">
        <v>100</v>
      </c>
      <c r="H288" s="93">
        <f t="shared" ref="H288:O288" si="196">SUM(H286:H287)</f>
        <v>30535</v>
      </c>
      <c r="I288" s="93">
        <f t="shared" si="196"/>
        <v>28538</v>
      </c>
      <c r="J288" s="93">
        <f t="shared" si="196"/>
        <v>27850</v>
      </c>
      <c r="K288" s="93">
        <f t="shared" si="196"/>
        <v>27186</v>
      </c>
      <c r="L288" s="90">
        <f t="shared" si="196"/>
        <v>26495</v>
      </c>
      <c r="M288" s="90">
        <f t="shared" si="196"/>
        <v>25819</v>
      </c>
      <c r="N288" s="90">
        <f t="shared" si="196"/>
        <v>25143</v>
      </c>
      <c r="O288" s="90">
        <f t="shared" si="196"/>
        <v>88210</v>
      </c>
      <c r="P288" s="91">
        <f t="shared" si="195"/>
        <v>279776</v>
      </c>
    </row>
    <row r="289" spans="1:16" ht="16.5" customHeight="1" x14ac:dyDescent="0.25">
      <c r="A289" s="133">
        <f t="shared" ref="A289" si="197">A286+1</f>
        <v>94</v>
      </c>
      <c r="B289" s="155" t="s">
        <v>11</v>
      </c>
      <c r="C289" s="156" t="s">
        <v>58</v>
      </c>
      <c r="D289" s="157">
        <v>44111</v>
      </c>
      <c r="E289" s="162" t="s">
        <v>357</v>
      </c>
      <c r="F289" s="36" t="s">
        <v>355</v>
      </c>
      <c r="G289" s="11" t="s">
        <v>5</v>
      </c>
      <c r="H289" s="62">
        <v>29692</v>
      </c>
      <c r="I289" s="62">
        <v>29692</v>
      </c>
      <c r="J289" s="62">
        <v>29692</v>
      </c>
      <c r="K289" s="62">
        <v>29692</v>
      </c>
      <c r="L289" s="62">
        <v>29692</v>
      </c>
      <c r="M289" s="62">
        <v>29692</v>
      </c>
      <c r="N289" s="62">
        <v>29692</v>
      </c>
      <c r="O289" s="62">
        <f>459837-29196+7310-29692</f>
        <v>408259</v>
      </c>
      <c r="P289" s="62">
        <f>SUM(H289:O289)</f>
        <v>616103</v>
      </c>
    </row>
    <row r="290" spans="1:16" ht="16.5" customHeight="1" x14ac:dyDescent="0.25">
      <c r="A290" s="134"/>
      <c r="B290" s="155"/>
      <c r="C290" s="156"/>
      <c r="D290" s="157"/>
      <c r="E290" s="162"/>
      <c r="F290" s="18" t="s">
        <v>356</v>
      </c>
      <c r="G290" s="15" t="s">
        <v>8</v>
      </c>
      <c r="H290" s="63">
        <v>21766</v>
      </c>
      <c r="I290" s="63">
        <v>19290</v>
      </c>
      <c r="J290" s="63">
        <v>18255</v>
      </c>
      <c r="K290" s="63">
        <v>17319</v>
      </c>
      <c r="L290" s="64">
        <v>16289</v>
      </c>
      <c r="M290" s="64">
        <v>15307</v>
      </c>
      <c r="N290" s="64">
        <v>14327</v>
      </c>
      <c r="O290" s="64">
        <f>96927</f>
        <v>96927</v>
      </c>
      <c r="P290" s="63">
        <f t="shared" si="195"/>
        <v>219480</v>
      </c>
    </row>
    <row r="291" spans="1:16" ht="16.5" customHeight="1" x14ac:dyDescent="0.25">
      <c r="A291" s="135"/>
      <c r="B291" s="155"/>
      <c r="C291" s="156"/>
      <c r="D291" s="157"/>
      <c r="E291" s="162"/>
      <c r="F291" s="13"/>
      <c r="G291" s="13" t="s">
        <v>100</v>
      </c>
      <c r="H291" s="93">
        <f t="shared" ref="H291:O291" si="198">SUM(H289:H290)</f>
        <v>51458</v>
      </c>
      <c r="I291" s="93">
        <f t="shared" si="198"/>
        <v>48982</v>
      </c>
      <c r="J291" s="93">
        <f t="shared" si="198"/>
        <v>47947</v>
      </c>
      <c r="K291" s="93">
        <f t="shared" si="198"/>
        <v>47011</v>
      </c>
      <c r="L291" s="93">
        <f t="shared" si="198"/>
        <v>45981</v>
      </c>
      <c r="M291" s="93">
        <f t="shared" si="198"/>
        <v>44999</v>
      </c>
      <c r="N291" s="93">
        <f t="shared" si="198"/>
        <v>44019</v>
      </c>
      <c r="O291" s="93">
        <f t="shared" si="198"/>
        <v>505186</v>
      </c>
      <c r="P291" s="91">
        <f t="shared" si="195"/>
        <v>835583</v>
      </c>
    </row>
    <row r="292" spans="1:16" ht="16.5" customHeight="1" x14ac:dyDescent="0.25">
      <c r="A292" s="133">
        <f t="shared" ref="A292" si="199">A289+1</f>
        <v>95</v>
      </c>
      <c r="B292" s="155" t="s">
        <v>11</v>
      </c>
      <c r="C292" s="156" t="s">
        <v>41</v>
      </c>
      <c r="D292" s="157">
        <v>44118</v>
      </c>
      <c r="E292" s="162" t="s">
        <v>160</v>
      </c>
      <c r="F292" s="36" t="s">
        <v>358</v>
      </c>
      <c r="G292" s="11" t="s">
        <v>5</v>
      </c>
      <c r="H292" s="62">
        <v>8032</v>
      </c>
      <c r="I292" s="62">
        <v>8032</v>
      </c>
      <c r="J292" s="62">
        <v>8032</v>
      </c>
      <c r="K292" s="62">
        <v>8032</v>
      </c>
      <c r="L292" s="62">
        <v>8032</v>
      </c>
      <c r="M292" s="62">
        <f>5946+69</f>
        <v>6015</v>
      </c>
      <c r="N292" s="62">
        <v>0</v>
      </c>
      <c r="O292" s="62">
        <v>0</v>
      </c>
      <c r="P292" s="62">
        <f>SUM(H292:O292)</f>
        <v>46175</v>
      </c>
    </row>
    <row r="293" spans="1:16" ht="16.5" customHeight="1" x14ac:dyDescent="0.25">
      <c r="A293" s="134"/>
      <c r="B293" s="155"/>
      <c r="C293" s="156"/>
      <c r="D293" s="157"/>
      <c r="E293" s="162"/>
      <c r="F293" s="18" t="s">
        <v>359</v>
      </c>
      <c r="G293" s="15" t="s">
        <v>8</v>
      </c>
      <c r="H293" s="63">
        <v>1536</v>
      </c>
      <c r="I293" s="63">
        <v>1116</v>
      </c>
      <c r="J293" s="63">
        <v>867</v>
      </c>
      <c r="K293" s="63">
        <v>627</v>
      </c>
      <c r="L293" s="64">
        <v>384</v>
      </c>
      <c r="M293" s="64">
        <v>143</v>
      </c>
      <c r="N293" s="64"/>
      <c r="O293" s="64">
        <v>0</v>
      </c>
      <c r="P293" s="63">
        <f t="shared" si="195"/>
        <v>4673</v>
      </c>
    </row>
    <row r="294" spans="1:16" ht="16.5" customHeight="1" x14ac:dyDescent="0.25">
      <c r="A294" s="135"/>
      <c r="B294" s="155"/>
      <c r="C294" s="156"/>
      <c r="D294" s="157"/>
      <c r="E294" s="162"/>
      <c r="F294" s="13"/>
      <c r="G294" s="13" t="s">
        <v>100</v>
      </c>
      <c r="H294" s="93">
        <f t="shared" ref="H294:O294" si="200">SUM(H292:H293)</f>
        <v>9568</v>
      </c>
      <c r="I294" s="93">
        <f t="shared" si="200"/>
        <v>9148</v>
      </c>
      <c r="J294" s="93">
        <f t="shared" si="200"/>
        <v>8899</v>
      </c>
      <c r="K294" s="93">
        <f t="shared" si="200"/>
        <v>8659</v>
      </c>
      <c r="L294" s="93">
        <f t="shared" si="200"/>
        <v>8416</v>
      </c>
      <c r="M294" s="93">
        <f t="shared" si="200"/>
        <v>6158</v>
      </c>
      <c r="N294" s="93">
        <f t="shared" si="200"/>
        <v>0</v>
      </c>
      <c r="O294" s="93">
        <f t="shared" si="200"/>
        <v>0</v>
      </c>
      <c r="P294" s="91">
        <f t="shared" si="195"/>
        <v>50848</v>
      </c>
    </row>
    <row r="295" spans="1:16" ht="16.5" customHeight="1" x14ac:dyDescent="0.25">
      <c r="A295" s="133">
        <f t="shared" ref="A295" si="201">A292+1</f>
        <v>96</v>
      </c>
      <c r="B295" s="155" t="s">
        <v>11</v>
      </c>
      <c r="C295" s="163" t="s">
        <v>452</v>
      </c>
      <c r="D295" s="157">
        <v>44169</v>
      </c>
      <c r="E295" s="162" t="s">
        <v>362</v>
      </c>
      <c r="F295" s="36" t="s">
        <v>360</v>
      </c>
      <c r="G295" s="11" t="s">
        <v>5</v>
      </c>
      <c r="H295" s="62">
        <v>25496</v>
      </c>
      <c r="I295" s="62">
        <v>25496</v>
      </c>
      <c r="J295" s="62">
        <v>25496</v>
      </c>
      <c r="K295" s="62">
        <v>25496</v>
      </c>
      <c r="L295" s="62">
        <v>25496</v>
      </c>
      <c r="M295" s="62">
        <v>25496</v>
      </c>
      <c r="N295" s="62">
        <v>25496</v>
      </c>
      <c r="O295" s="62">
        <f>150936-25156+1679-25496</f>
        <v>101963</v>
      </c>
      <c r="P295" s="62">
        <f>SUM(H295:O295)</f>
        <v>280435</v>
      </c>
    </row>
    <row r="296" spans="1:16" ht="16.5" customHeight="1" x14ac:dyDescent="0.25">
      <c r="A296" s="134"/>
      <c r="B296" s="155"/>
      <c r="C296" s="156"/>
      <c r="D296" s="157"/>
      <c r="E296" s="162"/>
      <c r="F296" s="18" t="s">
        <v>361</v>
      </c>
      <c r="G296" s="15" t="s">
        <v>8</v>
      </c>
      <c r="H296" s="63">
        <v>8903</v>
      </c>
      <c r="I296" s="63">
        <v>7603</v>
      </c>
      <c r="J296" s="63">
        <v>6864</v>
      </c>
      <c r="K296" s="63">
        <v>6103</v>
      </c>
      <c r="L296" s="64">
        <v>5310</v>
      </c>
      <c r="M296" s="64">
        <v>4534</v>
      </c>
      <c r="N296" s="64">
        <v>3759</v>
      </c>
      <c r="O296" s="64">
        <f>7255</f>
        <v>7255</v>
      </c>
      <c r="P296" s="63">
        <f t="shared" si="195"/>
        <v>50331</v>
      </c>
    </row>
    <row r="297" spans="1:16" ht="16.5" customHeight="1" x14ac:dyDescent="0.25">
      <c r="A297" s="135"/>
      <c r="B297" s="155"/>
      <c r="C297" s="156"/>
      <c r="D297" s="157"/>
      <c r="E297" s="162"/>
      <c r="F297" s="13"/>
      <c r="G297" s="13" t="s">
        <v>100</v>
      </c>
      <c r="H297" s="93">
        <f t="shared" ref="H297:O297" si="202">SUM(H295:H296)</f>
        <v>34399</v>
      </c>
      <c r="I297" s="93">
        <f t="shared" si="202"/>
        <v>33099</v>
      </c>
      <c r="J297" s="93">
        <f t="shared" si="202"/>
        <v>32360</v>
      </c>
      <c r="K297" s="93">
        <f t="shared" si="202"/>
        <v>31599</v>
      </c>
      <c r="L297" s="93">
        <f t="shared" si="202"/>
        <v>30806</v>
      </c>
      <c r="M297" s="93">
        <f t="shared" si="202"/>
        <v>30030</v>
      </c>
      <c r="N297" s="93">
        <f t="shared" si="202"/>
        <v>29255</v>
      </c>
      <c r="O297" s="93">
        <f t="shared" si="202"/>
        <v>109218</v>
      </c>
      <c r="P297" s="91">
        <f t="shared" si="195"/>
        <v>330766</v>
      </c>
    </row>
    <row r="298" spans="1:16" ht="16.5" customHeight="1" x14ac:dyDescent="0.25">
      <c r="A298" s="133">
        <f t="shared" ref="A298" si="203">A295+1</f>
        <v>97</v>
      </c>
      <c r="B298" s="155" t="s">
        <v>11</v>
      </c>
      <c r="C298" s="163" t="s">
        <v>712</v>
      </c>
      <c r="D298" s="157">
        <v>44169</v>
      </c>
      <c r="E298" s="162" t="s">
        <v>363</v>
      </c>
      <c r="F298" s="36" t="s">
        <v>364</v>
      </c>
      <c r="G298" s="11" t="s">
        <v>5</v>
      </c>
      <c r="H298" s="62">
        <v>36000</v>
      </c>
      <c r="I298" s="62">
        <v>36000</v>
      </c>
      <c r="J298" s="62">
        <v>36000</v>
      </c>
      <c r="K298" s="62">
        <v>36000</v>
      </c>
      <c r="L298" s="62">
        <v>36000</v>
      </c>
      <c r="M298" s="62">
        <v>36000</v>
      </c>
      <c r="N298" s="62">
        <v>36000</v>
      </c>
      <c r="O298" s="62">
        <f>392217-35656+3393-36000</f>
        <v>323954</v>
      </c>
      <c r="P298" s="62">
        <f>SUM(H298:O298)</f>
        <v>575954</v>
      </c>
    </row>
    <row r="299" spans="1:16" ht="16.5" customHeight="1" x14ac:dyDescent="0.25">
      <c r="A299" s="134"/>
      <c r="B299" s="155"/>
      <c r="C299" s="156"/>
      <c r="D299" s="157"/>
      <c r="E299" s="162"/>
      <c r="F299" s="18" t="s">
        <v>365</v>
      </c>
      <c r="G299" s="15" t="s">
        <v>8</v>
      </c>
      <c r="H299" s="63">
        <v>18833</v>
      </c>
      <c r="I299" s="63">
        <v>16637</v>
      </c>
      <c r="J299" s="63">
        <v>15589</v>
      </c>
      <c r="K299" s="63">
        <v>14500</v>
      </c>
      <c r="L299" s="64">
        <v>13334</v>
      </c>
      <c r="M299" s="64">
        <v>12208</v>
      </c>
      <c r="N299" s="64">
        <v>11084</v>
      </c>
      <c r="O299" s="64">
        <v>48814</v>
      </c>
      <c r="P299" s="63">
        <f t="shared" si="195"/>
        <v>150999</v>
      </c>
    </row>
    <row r="300" spans="1:16" ht="16.5" customHeight="1" x14ac:dyDescent="0.25">
      <c r="A300" s="135"/>
      <c r="B300" s="155"/>
      <c r="C300" s="156"/>
      <c r="D300" s="157"/>
      <c r="E300" s="162"/>
      <c r="F300" s="13"/>
      <c r="G300" s="13" t="s">
        <v>100</v>
      </c>
      <c r="H300" s="93">
        <f t="shared" ref="H300:N300" si="204">SUM(H298:H299)</f>
        <v>54833</v>
      </c>
      <c r="I300" s="93">
        <f t="shared" si="204"/>
        <v>52637</v>
      </c>
      <c r="J300" s="93">
        <f t="shared" si="204"/>
        <v>51589</v>
      </c>
      <c r="K300" s="93">
        <f t="shared" si="204"/>
        <v>50500</v>
      </c>
      <c r="L300" s="93">
        <f t="shared" si="204"/>
        <v>49334</v>
      </c>
      <c r="M300" s="93">
        <f t="shared" si="204"/>
        <v>48208</v>
      </c>
      <c r="N300" s="93">
        <f t="shared" si="204"/>
        <v>47084</v>
      </c>
      <c r="O300" s="93">
        <f>SUM(O298:O299)</f>
        <v>372768</v>
      </c>
      <c r="P300" s="91">
        <f t="shared" si="195"/>
        <v>726953</v>
      </c>
    </row>
    <row r="301" spans="1:16" ht="16.2" customHeight="1" x14ac:dyDescent="0.25">
      <c r="A301" s="133">
        <f t="shared" ref="A301" si="205">A298+1</f>
        <v>98</v>
      </c>
      <c r="B301" s="155" t="s">
        <v>11</v>
      </c>
      <c r="C301" s="156" t="s">
        <v>570</v>
      </c>
      <c r="D301" s="157">
        <v>44176</v>
      </c>
      <c r="E301" s="162" t="s">
        <v>362</v>
      </c>
      <c r="F301" s="36" t="s">
        <v>366</v>
      </c>
      <c r="G301" s="11" t="s">
        <v>5</v>
      </c>
      <c r="H301" s="62">
        <v>5544</v>
      </c>
      <c r="I301" s="62">
        <v>5544</v>
      </c>
      <c r="J301" s="62">
        <v>5544</v>
      </c>
      <c r="K301" s="62">
        <v>5544</v>
      </c>
      <c r="L301" s="62">
        <v>5544</v>
      </c>
      <c r="M301" s="62">
        <v>5544</v>
      </c>
      <c r="N301" s="62">
        <v>5544</v>
      </c>
      <c r="O301" s="62">
        <f>32856-5476+315-5544</f>
        <v>22151</v>
      </c>
      <c r="P301" s="62">
        <f>SUM(H301:O301)</f>
        <v>60959</v>
      </c>
    </row>
    <row r="302" spans="1:16" ht="16.2" customHeight="1" x14ac:dyDescent="0.25">
      <c r="A302" s="134"/>
      <c r="B302" s="155"/>
      <c r="C302" s="156"/>
      <c r="D302" s="157"/>
      <c r="E302" s="162"/>
      <c r="F302" s="18" t="s">
        <v>367</v>
      </c>
      <c r="G302" s="15" t="s">
        <v>8</v>
      </c>
      <c r="H302" s="63">
        <v>1964</v>
      </c>
      <c r="I302" s="63">
        <v>1653</v>
      </c>
      <c r="J302" s="63">
        <v>1485</v>
      </c>
      <c r="K302" s="63">
        <v>1320</v>
      </c>
      <c r="L302" s="64">
        <v>1149</v>
      </c>
      <c r="M302" s="64">
        <v>981</v>
      </c>
      <c r="N302" s="64">
        <v>813</v>
      </c>
      <c r="O302" s="64">
        <v>1568</v>
      </c>
      <c r="P302" s="63">
        <f t="shared" si="195"/>
        <v>10933</v>
      </c>
    </row>
    <row r="303" spans="1:16" ht="16.2" customHeight="1" x14ac:dyDescent="0.25">
      <c r="A303" s="135"/>
      <c r="B303" s="155"/>
      <c r="C303" s="156"/>
      <c r="D303" s="157"/>
      <c r="E303" s="162"/>
      <c r="F303" s="13"/>
      <c r="G303" s="13" t="s">
        <v>100</v>
      </c>
      <c r="H303" s="93">
        <f t="shared" ref="H303:N303" si="206">SUM(H301:H302)</f>
        <v>7508</v>
      </c>
      <c r="I303" s="93">
        <f t="shared" si="206"/>
        <v>7197</v>
      </c>
      <c r="J303" s="93">
        <f t="shared" si="206"/>
        <v>7029</v>
      </c>
      <c r="K303" s="93">
        <f t="shared" si="206"/>
        <v>6864</v>
      </c>
      <c r="L303" s="93">
        <f t="shared" si="206"/>
        <v>6693</v>
      </c>
      <c r="M303" s="93">
        <f t="shared" si="206"/>
        <v>6525</v>
      </c>
      <c r="N303" s="93">
        <f t="shared" si="206"/>
        <v>6357</v>
      </c>
      <c r="O303" s="93">
        <f>SUM(O301:O302)</f>
        <v>23719</v>
      </c>
      <c r="P303" s="91">
        <f t="shared" si="195"/>
        <v>71892</v>
      </c>
    </row>
    <row r="304" spans="1:16" ht="16.2" customHeight="1" x14ac:dyDescent="0.25">
      <c r="A304" s="133">
        <f t="shared" ref="A304" si="207">A301+1</f>
        <v>99</v>
      </c>
      <c r="B304" s="155" t="s">
        <v>11</v>
      </c>
      <c r="C304" s="156" t="s">
        <v>621</v>
      </c>
      <c r="D304" s="157">
        <v>44182</v>
      </c>
      <c r="E304" s="162" t="s">
        <v>368</v>
      </c>
      <c r="F304" s="36" t="s">
        <v>369</v>
      </c>
      <c r="G304" s="11" t="s">
        <v>5</v>
      </c>
      <c r="H304" s="62">
        <v>13460</v>
      </c>
      <c r="I304" s="62">
        <v>13460</v>
      </c>
      <c r="J304" s="62">
        <v>13460</v>
      </c>
      <c r="K304" s="62">
        <v>13460</v>
      </c>
      <c r="L304" s="62">
        <v>13460</v>
      </c>
      <c r="M304" s="62">
        <v>13460</v>
      </c>
      <c r="N304" s="62">
        <v>0</v>
      </c>
      <c r="O304" s="62">
        <v>0</v>
      </c>
      <c r="P304" s="62">
        <f>SUM(H304:O304)</f>
        <v>80760</v>
      </c>
    </row>
    <row r="305" spans="1:16" ht="16.2" customHeight="1" x14ac:dyDescent="0.25">
      <c r="A305" s="134"/>
      <c r="B305" s="155"/>
      <c r="C305" s="156"/>
      <c r="D305" s="157"/>
      <c r="E305" s="162"/>
      <c r="F305" s="18" t="s">
        <v>370</v>
      </c>
      <c r="G305" s="15" t="s">
        <v>8</v>
      </c>
      <c r="H305" s="63">
        <v>199</v>
      </c>
      <c r="I305" s="63">
        <v>165</v>
      </c>
      <c r="J305" s="63">
        <v>131</v>
      </c>
      <c r="K305" s="63">
        <v>97</v>
      </c>
      <c r="L305" s="64">
        <v>63</v>
      </c>
      <c r="M305" s="64">
        <v>29</v>
      </c>
      <c r="N305" s="64">
        <v>1</v>
      </c>
      <c r="O305" s="64">
        <v>0</v>
      </c>
      <c r="P305" s="63">
        <f t="shared" si="195"/>
        <v>685</v>
      </c>
    </row>
    <row r="306" spans="1:16" ht="16.2" customHeight="1" x14ac:dyDescent="0.25">
      <c r="A306" s="135"/>
      <c r="B306" s="155"/>
      <c r="C306" s="156"/>
      <c r="D306" s="157"/>
      <c r="E306" s="162"/>
      <c r="F306" s="13"/>
      <c r="G306" s="13" t="s">
        <v>100</v>
      </c>
      <c r="H306" s="93">
        <f t="shared" ref="H306:O306" si="208">SUM(H304:H305)</f>
        <v>13659</v>
      </c>
      <c r="I306" s="93">
        <f t="shared" si="208"/>
        <v>13625</v>
      </c>
      <c r="J306" s="93">
        <f t="shared" si="208"/>
        <v>13591</v>
      </c>
      <c r="K306" s="93">
        <f t="shared" si="208"/>
        <v>13557</v>
      </c>
      <c r="L306" s="93">
        <f t="shared" si="208"/>
        <v>13523</v>
      </c>
      <c r="M306" s="93">
        <f t="shared" si="208"/>
        <v>13489</v>
      </c>
      <c r="N306" s="93">
        <f t="shared" si="208"/>
        <v>1</v>
      </c>
      <c r="O306" s="93">
        <f t="shared" si="208"/>
        <v>0</v>
      </c>
      <c r="P306" s="91">
        <f t="shared" si="195"/>
        <v>81445</v>
      </c>
    </row>
    <row r="307" spans="1:16" ht="16.2" customHeight="1" x14ac:dyDescent="0.25">
      <c r="A307" s="133">
        <f t="shared" ref="A307" si="209">A304+1</f>
        <v>100</v>
      </c>
      <c r="B307" s="155" t="s">
        <v>11</v>
      </c>
      <c r="C307" s="156" t="s">
        <v>622</v>
      </c>
      <c r="D307" s="157">
        <v>44182</v>
      </c>
      <c r="E307" s="162" t="s">
        <v>368</v>
      </c>
      <c r="F307" s="36" t="s">
        <v>371</v>
      </c>
      <c r="G307" s="11" t="s">
        <v>5</v>
      </c>
      <c r="H307" s="62">
        <v>7628</v>
      </c>
      <c r="I307" s="62">
        <v>7628</v>
      </c>
      <c r="J307" s="62">
        <v>7628</v>
      </c>
      <c r="K307" s="62">
        <v>7628</v>
      </c>
      <c r="L307" s="62">
        <v>7628</v>
      </c>
      <c r="M307" s="62">
        <v>7628</v>
      </c>
      <c r="N307" s="62">
        <v>0</v>
      </c>
      <c r="O307" s="62">
        <v>0</v>
      </c>
      <c r="P307" s="62">
        <f>SUM(H307:O307)</f>
        <v>45768</v>
      </c>
    </row>
    <row r="308" spans="1:16" ht="16.2" customHeight="1" x14ac:dyDescent="0.25">
      <c r="A308" s="134"/>
      <c r="B308" s="155"/>
      <c r="C308" s="156"/>
      <c r="D308" s="157"/>
      <c r="E308" s="162"/>
      <c r="F308" s="18" t="s">
        <v>372</v>
      </c>
      <c r="G308" s="15" t="s">
        <v>8</v>
      </c>
      <c r="H308" s="63">
        <v>113</v>
      </c>
      <c r="I308" s="63">
        <v>94</v>
      </c>
      <c r="J308" s="63">
        <v>74</v>
      </c>
      <c r="K308" s="63">
        <v>55</v>
      </c>
      <c r="L308" s="64">
        <v>36</v>
      </c>
      <c r="M308" s="64">
        <v>16</v>
      </c>
      <c r="N308" s="64">
        <v>1</v>
      </c>
      <c r="O308" s="64">
        <v>0</v>
      </c>
      <c r="P308" s="63">
        <f t="shared" si="195"/>
        <v>389</v>
      </c>
    </row>
    <row r="309" spans="1:16" ht="16.2" customHeight="1" x14ac:dyDescent="0.25">
      <c r="A309" s="135"/>
      <c r="B309" s="155"/>
      <c r="C309" s="156"/>
      <c r="D309" s="157"/>
      <c r="E309" s="162"/>
      <c r="F309" s="13"/>
      <c r="G309" s="13" t="s">
        <v>100</v>
      </c>
      <c r="H309" s="93">
        <f t="shared" ref="H309:O309" si="210">SUM(H307:H308)</f>
        <v>7741</v>
      </c>
      <c r="I309" s="93">
        <f t="shared" si="210"/>
        <v>7722</v>
      </c>
      <c r="J309" s="93">
        <f t="shared" si="210"/>
        <v>7702</v>
      </c>
      <c r="K309" s="93">
        <f t="shared" si="210"/>
        <v>7683</v>
      </c>
      <c r="L309" s="93">
        <f t="shared" si="210"/>
        <v>7664</v>
      </c>
      <c r="M309" s="93">
        <f t="shared" si="210"/>
        <v>7644</v>
      </c>
      <c r="N309" s="93">
        <f t="shared" si="210"/>
        <v>1</v>
      </c>
      <c r="O309" s="93">
        <f t="shared" si="210"/>
        <v>0</v>
      </c>
      <c r="P309" s="91">
        <f t="shared" si="195"/>
        <v>46157</v>
      </c>
    </row>
    <row r="310" spans="1:16" ht="16.2" customHeight="1" x14ac:dyDescent="0.25">
      <c r="A310" s="133">
        <f t="shared" ref="A310" si="211">A307+1</f>
        <v>101</v>
      </c>
      <c r="B310" s="155" t="s">
        <v>11</v>
      </c>
      <c r="C310" s="163" t="s">
        <v>479</v>
      </c>
      <c r="D310" s="157">
        <v>44224</v>
      </c>
      <c r="E310" s="162" t="s">
        <v>375</v>
      </c>
      <c r="F310" s="36" t="s">
        <v>373</v>
      </c>
      <c r="G310" s="11" t="s">
        <v>5</v>
      </c>
      <c r="H310" s="62">
        <f>94448+1416</f>
        <v>95864</v>
      </c>
      <c r="I310" s="62">
        <f>94448+1416</f>
        <v>95864</v>
      </c>
      <c r="J310" s="62">
        <f t="shared" ref="J310:M310" si="212">94448+1416</f>
        <v>95864</v>
      </c>
      <c r="K310" s="62">
        <f t="shared" si="212"/>
        <v>95864</v>
      </c>
      <c r="L310" s="62">
        <f t="shared" si="212"/>
        <v>95864</v>
      </c>
      <c r="M310" s="62">
        <f t="shared" si="212"/>
        <v>95864</v>
      </c>
      <c r="N310" s="62">
        <v>95864</v>
      </c>
      <c r="O310" s="62">
        <f>1109735-47195-94448+14475-95864</f>
        <v>886703</v>
      </c>
      <c r="P310" s="62">
        <f>SUM(H310:O310)</f>
        <v>1557751</v>
      </c>
    </row>
    <row r="311" spans="1:16" ht="16.2" customHeight="1" x14ac:dyDescent="0.25">
      <c r="A311" s="134"/>
      <c r="B311" s="155"/>
      <c r="C311" s="156"/>
      <c r="D311" s="157"/>
      <c r="E311" s="162"/>
      <c r="F311" s="18" t="s">
        <v>374</v>
      </c>
      <c r="G311" s="15" t="s">
        <v>8</v>
      </c>
      <c r="H311" s="63">
        <f>53777+658</f>
        <v>54435</v>
      </c>
      <c r="I311" s="63">
        <f>44972-3597</f>
        <v>41375</v>
      </c>
      <c r="J311" s="63">
        <f>41923-5398</f>
        <v>36525</v>
      </c>
      <c r="K311" s="63">
        <v>39048</v>
      </c>
      <c r="L311" s="64">
        <v>35966</v>
      </c>
      <c r="M311" s="64">
        <v>32992</v>
      </c>
      <c r="N311" s="64">
        <v>30022</v>
      </c>
      <c r="O311" s="64">
        <f>135892</f>
        <v>135892</v>
      </c>
      <c r="P311" s="63">
        <f t="shared" si="195"/>
        <v>406255</v>
      </c>
    </row>
    <row r="312" spans="1:16" ht="16.2" customHeight="1" x14ac:dyDescent="0.25">
      <c r="A312" s="135"/>
      <c r="B312" s="155"/>
      <c r="C312" s="156"/>
      <c r="D312" s="157"/>
      <c r="E312" s="162"/>
      <c r="F312" s="13"/>
      <c r="G312" s="13" t="s">
        <v>100</v>
      </c>
      <c r="H312" s="93">
        <f t="shared" ref="H312:O312" si="213">SUM(H310:H311)</f>
        <v>150299</v>
      </c>
      <c r="I312" s="93">
        <f t="shared" si="213"/>
        <v>137239</v>
      </c>
      <c r="J312" s="93">
        <f t="shared" si="213"/>
        <v>132389</v>
      </c>
      <c r="K312" s="93">
        <f t="shared" si="213"/>
        <v>134912</v>
      </c>
      <c r="L312" s="93">
        <f t="shared" si="213"/>
        <v>131830</v>
      </c>
      <c r="M312" s="93">
        <f t="shared" si="213"/>
        <v>128856</v>
      </c>
      <c r="N312" s="93">
        <f t="shared" si="213"/>
        <v>125886</v>
      </c>
      <c r="O312" s="93">
        <f t="shared" si="213"/>
        <v>1022595</v>
      </c>
      <c r="P312" s="91">
        <f t="shared" si="195"/>
        <v>1964006</v>
      </c>
    </row>
    <row r="313" spans="1:16" ht="16.2" customHeight="1" x14ac:dyDescent="0.25">
      <c r="A313" s="133">
        <f t="shared" ref="A313" si="214">A310+1</f>
        <v>102</v>
      </c>
      <c r="B313" s="155" t="s">
        <v>11</v>
      </c>
      <c r="C313" s="163" t="s">
        <v>453</v>
      </c>
      <c r="D313" s="157">
        <v>44237</v>
      </c>
      <c r="E313" s="162" t="s">
        <v>378</v>
      </c>
      <c r="F313" s="36" t="s">
        <v>376</v>
      </c>
      <c r="G313" s="11" t="s">
        <v>5</v>
      </c>
      <c r="H313" s="62"/>
      <c r="I313" s="62">
        <v>942836</v>
      </c>
      <c r="J313" s="62">
        <v>942836</v>
      </c>
      <c r="K313" s="62">
        <v>942836</v>
      </c>
      <c r="L313" s="62">
        <v>942836</v>
      </c>
      <c r="M313" s="62">
        <v>942836</v>
      </c>
      <c r="N313" s="62">
        <v>942836</v>
      </c>
      <c r="O313" s="62">
        <f>16970993-5657016</f>
        <v>11313977</v>
      </c>
      <c r="P313" s="62">
        <f>SUM(H313:O313)</f>
        <v>16970993</v>
      </c>
    </row>
    <row r="314" spans="1:16" ht="16.2" customHeight="1" x14ac:dyDescent="0.25">
      <c r="A314" s="134"/>
      <c r="B314" s="155"/>
      <c r="C314" s="156"/>
      <c r="D314" s="157"/>
      <c r="E314" s="162"/>
      <c r="F314" s="18" t="s">
        <v>377</v>
      </c>
      <c r="G314" s="15" t="s">
        <v>8</v>
      </c>
      <c r="H314" s="63">
        <f>581080+740</f>
        <v>581820</v>
      </c>
      <c r="I314" s="63">
        <f>467684-6751</f>
        <v>460933</v>
      </c>
      <c r="J314" s="63">
        <f>424096-6372</f>
        <v>417724</v>
      </c>
      <c r="K314" s="63">
        <v>398917</v>
      </c>
      <c r="L314" s="64">
        <v>373738</v>
      </c>
      <c r="M314" s="64">
        <v>348559</v>
      </c>
      <c r="N314" s="64">
        <v>323380</v>
      </c>
      <c r="O314" s="64">
        <f>1915946</f>
        <v>1915946</v>
      </c>
      <c r="P314" s="63">
        <f t="shared" si="195"/>
        <v>4821017</v>
      </c>
    </row>
    <row r="315" spans="1:16" ht="15" customHeight="1" x14ac:dyDescent="0.25">
      <c r="A315" s="135"/>
      <c r="B315" s="155"/>
      <c r="C315" s="156"/>
      <c r="D315" s="157"/>
      <c r="E315" s="162"/>
      <c r="F315" s="13"/>
      <c r="G315" s="13" t="s">
        <v>100</v>
      </c>
      <c r="H315" s="93">
        <f t="shared" ref="H315:O315" si="215">SUM(H313:H314)</f>
        <v>581820</v>
      </c>
      <c r="I315" s="93">
        <f t="shared" si="215"/>
        <v>1403769</v>
      </c>
      <c r="J315" s="93">
        <f t="shared" si="215"/>
        <v>1360560</v>
      </c>
      <c r="K315" s="93">
        <f t="shared" si="215"/>
        <v>1341753</v>
      </c>
      <c r="L315" s="93">
        <f t="shared" si="215"/>
        <v>1316574</v>
      </c>
      <c r="M315" s="93">
        <f t="shared" si="215"/>
        <v>1291395</v>
      </c>
      <c r="N315" s="93">
        <f t="shared" si="215"/>
        <v>1266216</v>
      </c>
      <c r="O315" s="93">
        <f t="shared" si="215"/>
        <v>13229923</v>
      </c>
      <c r="P315" s="91">
        <f t="shared" si="195"/>
        <v>21792010</v>
      </c>
    </row>
    <row r="316" spans="1:16" ht="15.75" customHeight="1" x14ac:dyDescent="0.25">
      <c r="A316" s="133">
        <f t="shared" ref="A316" si="216">A313+1</f>
        <v>103</v>
      </c>
      <c r="B316" s="155" t="s">
        <v>11</v>
      </c>
      <c r="C316" s="163" t="s">
        <v>713</v>
      </c>
      <c r="D316" s="157">
        <v>44251</v>
      </c>
      <c r="E316" s="162" t="s">
        <v>381</v>
      </c>
      <c r="F316" s="36" t="s">
        <v>379</v>
      </c>
      <c r="G316" s="11" t="s">
        <v>5</v>
      </c>
      <c r="H316" s="62">
        <v>25892</v>
      </c>
      <c r="I316" s="62">
        <v>25892</v>
      </c>
      <c r="J316" s="62">
        <v>25892</v>
      </c>
      <c r="K316" s="62">
        <v>25892</v>
      </c>
      <c r="L316" s="62">
        <v>25892</v>
      </c>
      <c r="M316" s="62">
        <v>25892</v>
      </c>
      <c r="N316" s="62">
        <v>25892</v>
      </c>
      <c r="O316" s="62">
        <f>286695-25484+4131-25892</f>
        <v>239450</v>
      </c>
      <c r="P316" s="62">
        <f>SUM(H316:O316)</f>
        <v>420694</v>
      </c>
    </row>
    <row r="317" spans="1:16" ht="15.75" customHeight="1" x14ac:dyDescent="0.25">
      <c r="A317" s="134"/>
      <c r="B317" s="155"/>
      <c r="C317" s="163"/>
      <c r="D317" s="157"/>
      <c r="E317" s="162"/>
      <c r="F317" s="18" t="s">
        <v>380</v>
      </c>
      <c r="G317" s="15" t="s">
        <v>8</v>
      </c>
      <c r="H317" s="63">
        <f>14573-5</f>
        <v>14568</v>
      </c>
      <c r="I317" s="63">
        <v>10691</v>
      </c>
      <c r="J317" s="63">
        <v>9382</v>
      </c>
      <c r="K317" s="63">
        <v>10097</v>
      </c>
      <c r="L317" s="64">
        <v>9300</v>
      </c>
      <c r="M317" s="64">
        <v>8531</v>
      </c>
      <c r="N317" s="64">
        <v>7763</v>
      </c>
      <c r="O317" s="64">
        <f>35137</f>
        <v>35137</v>
      </c>
      <c r="P317" s="63">
        <f t="shared" si="195"/>
        <v>105469</v>
      </c>
    </row>
    <row r="318" spans="1:16" ht="15.75" customHeight="1" x14ac:dyDescent="0.25">
      <c r="A318" s="135"/>
      <c r="B318" s="155"/>
      <c r="C318" s="163"/>
      <c r="D318" s="157"/>
      <c r="E318" s="162"/>
      <c r="F318" s="13"/>
      <c r="G318" s="13" t="s">
        <v>100</v>
      </c>
      <c r="H318" s="93">
        <f t="shared" ref="H318:O318" si="217">SUM(H316:H317)</f>
        <v>40460</v>
      </c>
      <c r="I318" s="93">
        <f t="shared" si="217"/>
        <v>36583</v>
      </c>
      <c r="J318" s="93">
        <f t="shared" si="217"/>
        <v>35274</v>
      </c>
      <c r="K318" s="93">
        <f t="shared" si="217"/>
        <v>35989</v>
      </c>
      <c r="L318" s="93">
        <f t="shared" si="217"/>
        <v>35192</v>
      </c>
      <c r="M318" s="93">
        <f t="shared" si="217"/>
        <v>34423</v>
      </c>
      <c r="N318" s="93">
        <f t="shared" si="217"/>
        <v>33655</v>
      </c>
      <c r="O318" s="93">
        <f t="shared" si="217"/>
        <v>274587</v>
      </c>
      <c r="P318" s="91">
        <f t="shared" si="195"/>
        <v>526163</v>
      </c>
    </row>
    <row r="319" spans="1:16" ht="15.75" customHeight="1" x14ac:dyDescent="0.25">
      <c r="A319" s="133">
        <f t="shared" ref="A319" si="218">A316+1</f>
        <v>104</v>
      </c>
      <c r="B319" s="155" t="s">
        <v>11</v>
      </c>
      <c r="C319" s="163" t="s">
        <v>478</v>
      </c>
      <c r="D319" s="157">
        <v>44280</v>
      </c>
      <c r="E319" s="162" t="s">
        <v>384</v>
      </c>
      <c r="F319" s="36" t="s">
        <v>382</v>
      </c>
      <c r="G319" s="11" t="s">
        <v>5</v>
      </c>
      <c r="H319" s="62">
        <v>3064</v>
      </c>
      <c r="I319" s="62">
        <v>3064</v>
      </c>
      <c r="J319" s="62">
        <v>3064</v>
      </c>
      <c r="K319" s="62">
        <v>3064</v>
      </c>
      <c r="L319" s="62">
        <v>3064</v>
      </c>
      <c r="M319" s="62">
        <v>3064</v>
      </c>
      <c r="N319" s="62">
        <v>3064</v>
      </c>
      <c r="O319" s="62">
        <f>18775-3004+279-3064</f>
        <v>12986</v>
      </c>
      <c r="P319" s="62">
        <f>SUM(H319:O319)</f>
        <v>34434</v>
      </c>
    </row>
    <row r="320" spans="1:16" ht="15.75" customHeight="1" x14ac:dyDescent="0.25">
      <c r="A320" s="134"/>
      <c r="B320" s="155"/>
      <c r="C320" s="163"/>
      <c r="D320" s="157"/>
      <c r="E320" s="162"/>
      <c r="F320" s="18" t="s">
        <v>383</v>
      </c>
      <c r="G320" s="15" t="s">
        <v>8</v>
      </c>
      <c r="H320" s="63">
        <f>1188-17</f>
        <v>1171</v>
      </c>
      <c r="I320" s="63">
        <v>817</v>
      </c>
      <c r="J320" s="63">
        <v>694</v>
      </c>
      <c r="K320" s="63">
        <v>718</v>
      </c>
      <c r="L320" s="63">
        <v>628</v>
      </c>
      <c r="M320" s="63">
        <v>539</v>
      </c>
      <c r="N320" s="63">
        <v>450</v>
      </c>
      <c r="O320" s="63">
        <f>924</f>
        <v>924</v>
      </c>
      <c r="P320" s="63">
        <f t="shared" si="195"/>
        <v>5941</v>
      </c>
    </row>
    <row r="321" spans="1:16" ht="15.75" customHeight="1" x14ac:dyDescent="0.25">
      <c r="A321" s="135"/>
      <c r="B321" s="155"/>
      <c r="C321" s="163"/>
      <c r="D321" s="157"/>
      <c r="E321" s="162"/>
      <c r="F321" s="13"/>
      <c r="G321" s="13" t="s">
        <v>100</v>
      </c>
      <c r="H321" s="93">
        <f t="shared" ref="H321:O321" si="219">SUM(H319:H320)</f>
        <v>4235</v>
      </c>
      <c r="I321" s="93">
        <f t="shared" si="219"/>
        <v>3881</v>
      </c>
      <c r="J321" s="93">
        <f t="shared" si="219"/>
        <v>3758</v>
      </c>
      <c r="K321" s="93">
        <f t="shared" si="219"/>
        <v>3782</v>
      </c>
      <c r="L321" s="93">
        <f t="shared" si="219"/>
        <v>3692</v>
      </c>
      <c r="M321" s="93">
        <f t="shared" si="219"/>
        <v>3603</v>
      </c>
      <c r="N321" s="93">
        <f t="shared" si="219"/>
        <v>3514</v>
      </c>
      <c r="O321" s="93">
        <f t="shared" si="219"/>
        <v>13910</v>
      </c>
      <c r="P321" s="91">
        <f t="shared" si="195"/>
        <v>40375</v>
      </c>
    </row>
    <row r="322" spans="1:16" ht="24" customHeight="1" x14ac:dyDescent="0.25">
      <c r="A322" s="133">
        <f t="shared" ref="A322" si="220">A319+1</f>
        <v>105</v>
      </c>
      <c r="B322" s="155" t="s">
        <v>11</v>
      </c>
      <c r="C322" s="177" t="s">
        <v>718</v>
      </c>
      <c r="D322" s="157">
        <v>44315</v>
      </c>
      <c r="E322" s="162" t="s">
        <v>387</v>
      </c>
      <c r="F322" s="36" t="s">
        <v>385</v>
      </c>
      <c r="G322" s="11" t="s">
        <v>5</v>
      </c>
      <c r="H322" s="62">
        <v>20028</v>
      </c>
      <c r="I322" s="62">
        <v>20028</v>
      </c>
      <c r="J322" s="62">
        <v>20028</v>
      </c>
      <c r="K322" s="62">
        <v>20028</v>
      </c>
      <c r="L322" s="62">
        <v>20028</v>
      </c>
      <c r="M322" s="62">
        <v>20028</v>
      </c>
      <c r="N322" s="62">
        <v>20028</v>
      </c>
      <c r="O322" s="62">
        <f>225446-19604+4404-20028</f>
        <v>190218</v>
      </c>
      <c r="P322" s="62">
        <f>SUM(H322:O322)</f>
        <v>330414</v>
      </c>
    </row>
    <row r="323" spans="1:16" ht="18" customHeight="1" x14ac:dyDescent="0.25">
      <c r="A323" s="134"/>
      <c r="B323" s="155"/>
      <c r="C323" s="177"/>
      <c r="D323" s="157"/>
      <c r="E323" s="162"/>
      <c r="F323" s="18" t="s">
        <v>386</v>
      </c>
      <c r="G323" s="15" t="s">
        <v>8</v>
      </c>
      <c r="H323" s="63">
        <f>12073-553</f>
        <v>11520</v>
      </c>
      <c r="I323" s="63">
        <v>7824</v>
      </c>
      <c r="J323" s="63">
        <v>7314</v>
      </c>
      <c r="K323" s="63">
        <v>7891</v>
      </c>
      <c r="L323" s="64">
        <v>7280</v>
      </c>
      <c r="M323" s="64">
        <v>6690</v>
      </c>
      <c r="N323" s="64">
        <v>6101</v>
      </c>
      <c r="O323" s="64">
        <f>28354</f>
        <v>28354</v>
      </c>
      <c r="P323" s="63">
        <f t="shared" si="195"/>
        <v>82974</v>
      </c>
    </row>
    <row r="324" spans="1:16" ht="20.399999999999999" customHeight="1" x14ac:dyDescent="0.25">
      <c r="A324" s="135"/>
      <c r="B324" s="155"/>
      <c r="C324" s="177"/>
      <c r="D324" s="157"/>
      <c r="E324" s="162"/>
      <c r="F324" s="13"/>
      <c r="G324" s="13" t="s">
        <v>100</v>
      </c>
      <c r="H324" s="93">
        <f t="shared" ref="H324:O324" si="221">SUM(H322:H323)</f>
        <v>31548</v>
      </c>
      <c r="I324" s="93">
        <f t="shared" si="221"/>
        <v>27852</v>
      </c>
      <c r="J324" s="93">
        <f t="shared" si="221"/>
        <v>27342</v>
      </c>
      <c r="K324" s="93">
        <f t="shared" si="221"/>
        <v>27919</v>
      </c>
      <c r="L324" s="93">
        <f t="shared" si="221"/>
        <v>27308</v>
      </c>
      <c r="M324" s="93">
        <f t="shared" si="221"/>
        <v>26718</v>
      </c>
      <c r="N324" s="93">
        <f t="shared" si="221"/>
        <v>26129</v>
      </c>
      <c r="O324" s="93">
        <f t="shared" si="221"/>
        <v>218572</v>
      </c>
      <c r="P324" s="91">
        <f t="shared" si="195"/>
        <v>413388</v>
      </c>
    </row>
    <row r="325" spans="1:16" ht="15.75" customHeight="1" x14ac:dyDescent="0.25">
      <c r="A325" s="133">
        <f t="shared" ref="A325" si="222">A322+1</f>
        <v>106</v>
      </c>
      <c r="B325" s="155" t="s">
        <v>11</v>
      </c>
      <c r="C325" s="163" t="s">
        <v>457</v>
      </c>
      <c r="D325" s="157">
        <v>44326</v>
      </c>
      <c r="E325" s="162" t="s">
        <v>114</v>
      </c>
      <c r="F325" s="36" t="s">
        <v>388</v>
      </c>
      <c r="G325" s="11" t="s">
        <v>5</v>
      </c>
      <c r="H325" s="62">
        <v>68564</v>
      </c>
      <c r="I325" s="62">
        <v>44236</v>
      </c>
      <c r="J325" s="62">
        <f>21622+495</f>
        <v>22117</v>
      </c>
      <c r="K325" s="62">
        <v>0</v>
      </c>
      <c r="L325" s="62">
        <v>0</v>
      </c>
      <c r="M325" s="62">
        <v>0</v>
      </c>
      <c r="N325" s="62">
        <v>0</v>
      </c>
      <c r="O325" s="62">
        <v>0</v>
      </c>
      <c r="P325" s="62">
        <f>SUM(H325:O325)</f>
        <v>134917</v>
      </c>
    </row>
    <row r="326" spans="1:16" ht="15.75" customHeight="1" x14ac:dyDescent="0.25">
      <c r="A326" s="134"/>
      <c r="B326" s="155"/>
      <c r="C326" s="156"/>
      <c r="D326" s="157"/>
      <c r="E326" s="162"/>
      <c r="F326" s="18" t="s">
        <v>389</v>
      </c>
      <c r="G326" s="15" t="s">
        <v>8</v>
      </c>
      <c r="H326" s="63">
        <f>4377-177+325</f>
        <v>4525</v>
      </c>
      <c r="I326" s="63">
        <f>1648-260+154</f>
        <v>1542</v>
      </c>
      <c r="J326" s="63">
        <f>397-77+37</f>
        <v>357</v>
      </c>
      <c r="K326" s="63">
        <v>0</v>
      </c>
      <c r="L326" s="63">
        <v>0</v>
      </c>
      <c r="M326" s="63">
        <v>0</v>
      </c>
      <c r="N326" s="63">
        <v>0</v>
      </c>
      <c r="O326" s="63">
        <v>0</v>
      </c>
      <c r="P326" s="63">
        <f t="shared" si="195"/>
        <v>6424</v>
      </c>
    </row>
    <row r="327" spans="1:16" ht="15.75" customHeight="1" x14ac:dyDescent="0.25">
      <c r="A327" s="135"/>
      <c r="B327" s="155"/>
      <c r="C327" s="156"/>
      <c r="D327" s="157"/>
      <c r="E327" s="162"/>
      <c r="F327" s="13"/>
      <c r="G327" s="13" t="s">
        <v>100</v>
      </c>
      <c r="H327" s="93">
        <f t="shared" ref="H327:O327" si="223">SUM(H325:H326)</f>
        <v>73089</v>
      </c>
      <c r="I327" s="93">
        <f t="shared" si="223"/>
        <v>45778</v>
      </c>
      <c r="J327" s="93">
        <f t="shared" si="223"/>
        <v>22474</v>
      </c>
      <c r="K327" s="93">
        <f t="shared" si="223"/>
        <v>0</v>
      </c>
      <c r="L327" s="93">
        <f t="shared" si="223"/>
        <v>0</v>
      </c>
      <c r="M327" s="93">
        <f>SUM(M325:M326)</f>
        <v>0</v>
      </c>
      <c r="N327" s="93">
        <f t="shared" ref="N327" si="224">SUM(N325:N326)</f>
        <v>0</v>
      </c>
      <c r="O327" s="93">
        <f t="shared" si="223"/>
        <v>0</v>
      </c>
      <c r="P327" s="91">
        <f t="shared" si="195"/>
        <v>141341</v>
      </c>
    </row>
    <row r="328" spans="1:16" ht="15.75" customHeight="1" x14ac:dyDescent="0.25">
      <c r="A328" s="133">
        <f t="shared" ref="A328" si="225">A325+1</f>
        <v>107</v>
      </c>
      <c r="B328" s="155" t="s">
        <v>11</v>
      </c>
      <c r="C328" s="156" t="s">
        <v>42</v>
      </c>
      <c r="D328" s="157">
        <v>44358</v>
      </c>
      <c r="E328" s="162" t="s">
        <v>393</v>
      </c>
      <c r="F328" s="36" t="s">
        <v>390</v>
      </c>
      <c r="G328" s="11" t="s">
        <v>5</v>
      </c>
      <c r="H328" s="62">
        <v>16112</v>
      </c>
      <c r="I328" s="62">
        <v>16112</v>
      </c>
      <c r="J328" s="62">
        <v>16112</v>
      </c>
      <c r="K328" s="62">
        <v>16112</v>
      </c>
      <c r="L328" s="62">
        <v>16112</v>
      </c>
      <c r="M328" s="62">
        <v>16112</v>
      </c>
      <c r="N328" s="62">
        <v>8041</v>
      </c>
      <c r="O328" s="62">
        <v>0</v>
      </c>
      <c r="P328" s="62">
        <f>SUM(H328:O328)</f>
        <v>104713</v>
      </c>
    </row>
    <row r="329" spans="1:16" ht="15.75" customHeight="1" x14ac:dyDescent="0.25">
      <c r="A329" s="134"/>
      <c r="B329" s="155"/>
      <c r="C329" s="156"/>
      <c r="D329" s="157"/>
      <c r="E329" s="162"/>
      <c r="F329" s="18" t="s">
        <v>394</v>
      </c>
      <c r="G329" s="15" t="s">
        <v>8</v>
      </c>
      <c r="H329" s="63">
        <v>3856</v>
      </c>
      <c r="I329" s="63">
        <v>2476</v>
      </c>
      <c r="J329" s="63">
        <v>2009</v>
      </c>
      <c r="K329" s="95">
        <v>1550</v>
      </c>
      <c r="L329" s="64">
        <v>1083</v>
      </c>
      <c r="M329" s="64">
        <v>621</v>
      </c>
      <c r="N329" s="64">
        <v>152</v>
      </c>
      <c r="O329" s="64">
        <v>0</v>
      </c>
      <c r="P329" s="63">
        <f t="shared" si="195"/>
        <v>11747</v>
      </c>
    </row>
    <row r="330" spans="1:16" ht="15.75" customHeight="1" x14ac:dyDescent="0.25">
      <c r="A330" s="135"/>
      <c r="B330" s="155"/>
      <c r="C330" s="156"/>
      <c r="D330" s="157"/>
      <c r="E330" s="162"/>
      <c r="F330" s="13"/>
      <c r="G330" s="13" t="s">
        <v>100</v>
      </c>
      <c r="H330" s="93">
        <f t="shared" ref="H330:O330" si="226">SUM(H328:H329)</f>
        <v>19968</v>
      </c>
      <c r="I330" s="93">
        <f t="shared" si="226"/>
        <v>18588</v>
      </c>
      <c r="J330" s="93">
        <f t="shared" si="226"/>
        <v>18121</v>
      </c>
      <c r="K330" s="93">
        <f t="shared" si="226"/>
        <v>17662</v>
      </c>
      <c r="L330" s="93">
        <f t="shared" si="226"/>
        <v>17195</v>
      </c>
      <c r="M330" s="93">
        <f t="shared" si="226"/>
        <v>16733</v>
      </c>
      <c r="N330" s="93">
        <f t="shared" si="226"/>
        <v>8193</v>
      </c>
      <c r="O330" s="93">
        <f t="shared" si="226"/>
        <v>0</v>
      </c>
      <c r="P330" s="91">
        <f t="shared" si="195"/>
        <v>116460</v>
      </c>
    </row>
    <row r="331" spans="1:16" ht="15.75" customHeight="1" x14ac:dyDescent="0.25">
      <c r="A331" s="133">
        <f t="shared" ref="A331" si="227">A328+1</f>
        <v>108</v>
      </c>
      <c r="B331" s="155" t="s">
        <v>11</v>
      </c>
      <c r="C331" s="156" t="s">
        <v>84</v>
      </c>
      <c r="D331" s="157">
        <v>44358</v>
      </c>
      <c r="E331" s="162" t="s">
        <v>392</v>
      </c>
      <c r="F331" s="36" t="s">
        <v>395</v>
      </c>
      <c r="G331" s="11" t="s">
        <v>5</v>
      </c>
      <c r="H331" s="62">
        <v>28252</v>
      </c>
      <c r="I331" s="62">
        <v>28252</v>
      </c>
      <c r="J331" s="62">
        <v>28252</v>
      </c>
      <c r="K331" s="62">
        <v>28252</v>
      </c>
      <c r="L331" s="62">
        <v>28252</v>
      </c>
      <c r="M331" s="62">
        <v>28252</v>
      </c>
      <c r="N331" s="62">
        <v>28252</v>
      </c>
      <c r="O331" s="62">
        <f>317768-27632+6473-28252</f>
        <v>268357</v>
      </c>
      <c r="P331" s="62">
        <f>SUM(H331:O331)</f>
        <v>466121</v>
      </c>
    </row>
    <row r="332" spans="1:16" ht="15.75" customHeight="1" x14ac:dyDescent="0.25">
      <c r="A332" s="134"/>
      <c r="B332" s="155"/>
      <c r="C332" s="156"/>
      <c r="D332" s="157"/>
      <c r="E332" s="162"/>
      <c r="F332" s="18" t="s">
        <v>391</v>
      </c>
      <c r="G332" s="15" t="s">
        <v>8</v>
      </c>
      <c r="H332" s="63">
        <v>18099</v>
      </c>
      <c r="I332" s="63">
        <v>13143</v>
      </c>
      <c r="J332" s="63">
        <v>12265</v>
      </c>
      <c r="K332" s="64">
        <v>11439</v>
      </c>
      <c r="L332" s="64">
        <v>10553</v>
      </c>
      <c r="M332" s="64">
        <v>9698</v>
      </c>
      <c r="N332" s="64">
        <v>8844</v>
      </c>
      <c r="O332" s="64">
        <f>41132</f>
        <v>41132</v>
      </c>
      <c r="P332" s="63">
        <f t="shared" si="195"/>
        <v>125173</v>
      </c>
    </row>
    <row r="333" spans="1:16" ht="15.75" customHeight="1" x14ac:dyDescent="0.25">
      <c r="A333" s="135"/>
      <c r="B333" s="155"/>
      <c r="C333" s="156"/>
      <c r="D333" s="157"/>
      <c r="E333" s="162"/>
      <c r="F333" s="13"/>
      <c r="G333" s="13" t="s">
        <v>100</v>
      </c>
      <c r="H333" s="93">
        <f t="shared" ref="H333:O333" si="228">SUM(H331:H332)</f>
        <v>46351</v>
      </c>
      <c r="I333" s="93">
        <f t="shared" si="228"/>
        <v>41395</v>
      </c>
      <c r="J333" s="93">
        <f t="shared" si="228"/>
        <v>40517</v>
      </c>
      <c r="K333" s="93">
        <f t="shared" si="228"/>
        <v>39691</v>
      </c>
      <c r="L333" s="93">
        <f t="shared" si="228"/>
        <v>38805</v>
      </c>
      <c r="M333" s="93">
        <f t="shared" si="228"/>
        <v>37950</v>
      </c>
      <c r="N333" s="93">
        <f t="shared" si="228"/>
        <v>37096</v>
      </c>
      <c r="O333" s="93">
        <f t="shared" si="228"/>
        <v>309489</v>
      </c>
      <c r="P333" s="91">
        <f t="shared" si="195"/>
        <v>591294</v>
      </c>
    </row>
    <row r="334" spans="1:16" ht="15.75" customHeight="1" x14ac:dyDescent="0.25">
      <c r="A334" s="133">
        <f t="shared" ref="A334" si="229">A331+1</f>
        <v>109</v>
      </c>
      <c r="B334" s="155" t="s">
        <v>11</v>
      </c>
      <c r="C334" s="156" t="s">
        <v>725</v>
      </c>
      <c r="D334" s="157">
        <v>44375</v>
      </c>
      <c r="E334" s="180" t="s">
        <v>398</v>
      </c>
      <c r="F334" s="36" t="s">
        <v>396</v>
      </c>
      <c r="G334" s="11" t="s">
        <v>5</v>
      </c>
      <c r="H334" s="62">
        <v>28220</v>
      </c>
      <c r="I334" s="62">
        <v>28220</v>
      </c>
      <c r="J334" s="62">
        <v>28220</v>
      </c>
      <c r="K334" s="62">
        <v>28220</v>
      </c>
      <c r="L334" s="62">
        <v>28220</v>
      </c>
      <c r="M334" s="62">
        <v>28220</v>
      </c>
      <c r="N334" s="62">
        <v>28220</v>
      </c>
      <c r="O334" s="62">
        <f>179322-27588+3436-28220</f>
        <v>126950</v>
      </c>
      <c r="P334" s="62">
        <f>SUM(H334:O334)</f>
        <v>324490</v>
      </c>
    </row>
    <row r="335" spans="1:16" ht="15.75" customHeight="1" x14ac:dyDescent="0.25">
      <c r="A335" s="134"/>
      <c r="B335" s="155"/>
      <c r="C335" s="156"/>
      <c r="D335" s="157"/>
      <c r="E335" s="180"/>
      <c r="F335" s="18" t="s">
        <v>397</v>
      </c>
      <c r="G335" s="15" t="s">
        <v>8</v>
      </c>
      <c r="H335" s="63">
        <v>12132</v>
      </c>
      <c r="I335" s="63">
        <v>8622</v>
      </c>
      <c r="J335" s="63">
        <v>7775</v>
      </c>
      <c r="K335" s="64">
        <v>6960</v>
      </c>
      <c r="L335" s="64">
        <v>6109</v>
      </c>
      <c r="M335" s="64">
        <v>5277</v>
      </c>
      <c r="N335" s="64">
        <v>4446</v>
      </c>
      <c r="O335" s="64">
        <f>9690</f>
        <v>9690</v>
      </c>
      <c r="P335" s="63">
        <f t="shared" si="195"/>
        <v>61011</v>
      </c>
    </row>
    <row r="336" spans="1:16" ht="18" customHeight="1" x14ac:dyDescent="0.25">
      <c r="A336" s="135"/>
      <c r="B336" s="155"/>
      <c r="C336" s="156"/>
      <c r="D336" s="157"/>
      <c r="E336" s="180"/>
      <c r="F336" s="13"/>
      <c r="G336" s="13" t="s">
        <v>100</v>
      </c>
      <c r="H336" s="93">
        <f t="shared" ref="H336:O336" si="230">SUM(H334:H335)</f>
        <v>40352</v>
      </c>
      <c r="I336" s="93">
        <f t="shared" si="230"/>
        <v>36842</v>
      </c>
      <c r="J336" s="93">
        <f t="shared" si="230"/>
        <v>35995</v>
      </c>
      <c r="K336" s="93">
        <f t="shared" si="230"/>
        <v>35180</v>
      </c>
      <c r="L336" s="93">
        <f t="shared" si="230"/>
        <v>34329</v>
      </c>
      <c r="M336" s="93">
        <f t="shared" si="230"/>
        <v>33497</v>
      </c>
      <c r="N336" s="93">
        <f t="shared" si="230"/>
        <v>32666</v>
      </c>
      <c r="O336" s="93">
        <f t="shared" si="230"/>
        <v>136640</v>
      </c>
      <c r="P336" s="91">
        <f t="shared" si="195"/>
        <v>385501</v>
      </c>
    </row>
    <row r="337" spans="1:16" ht="15.75" customHeight="1" x14ac:dyDescent="0.25">
      <c r="A337" s="133">
        <f t="shared" ref="A337" si="231">A334+1</f>
        <v>110</v>
      </c>
      <c r="B337" s="155" t="s">
        <v>11</v>
      </c>
      <c r="C337" s="163" t="s">
        <v>454</v>
      </c>
      <c r="D337" s="157">
        <v>44376</v>
      </c>
      <c r="E337" s="162" t="s">
        <v>399</v>
      </c>
      <c r="F337" s="36" t="s">
        <v>400</v>
      </c>
      <c r="G337" s="11" t="s">
        <v>5</v>
      </c>
      <c r="H337" s="62">
        <v>29744</v>
      </c>
      <c r="I337" s="62">
        <v>29744</v>
      </c>
      <c r="J337" s="62">
        <v>29744</v>
      </c>
      <c r="K337" s="62">
        <v>29744</v>
      </c>
      <c r="L337" s="62">
        <v>29744</v>
      </c>
      <c r="M337" s="62">
        <v>29744</v>
      </c>
      <c r="N337" s="62">
        <v>29744</v>
      </c>
      <c r="O337" s="62">
        <f>189098-29092+3573-29744</f>
        <v>133835</v>
      </c>
      <c r="P337" s="62">
        <f>SUM(H337:O337)</f>
        <v>342043</v>
      </c>
    </row>
    <row r="338" spans="1:16" ht="15.75" customHeight="1" x14ac:dyDescent="0.25">
      <c r="A338" s="134"/>
      <c r="B338" s="155"/>
      <c r="C338" s="156"/>
      <c r="D338" s="157"/>
      <c r="E338" s="162"/>
      <c r="F338" s="18" t="s">
        <v>401</v>
      </c>
      <c r="G338" s="15" t="s">
        <v>8</v>
      </c>
      <c r="H338" s="63">
        <v>12806</v>
      </c>
      <c r="I338" s="63">
        <v>9089</v>
      </c>
      <c r="J338" s="63">
        <v>8196</v>
      </c>
      <c r="K338" s="64">
        <v>7337</v>
      </c>
      <c r="L338" s="64">
        <v>6439</v>
      </c>
      <c r="M338" s="64">
        <v>5562</v>
      </c>
      <c r="N338" s="64">
        <v>4687</v>
      </c>
      <c r="O338" s="64">
        <f>10217</f>
        <v>10217</v>
      </c>
      <c r="P338" s="63">
        <f t="shared" si="195"/>
        <v>64333</v>
      </c>
    </row>
    <row r="339" spans="1:16" ht="15.75" customHeight="1" x14ac:dyDescent="0.25">
      <c r="A339" s="135"/>
      <c r="B339" s="155"/>
      <c r="C339" s="156"/>
      <c r="D339" s="157"/>
      <c r="E339" s="162"/>
      <c r="F339" s="13"/>
      <c r="G339" s="13" t="s">
        <v>100</v>
      </c>
      <c r="H339" s="93">
        <f t="shared" ref="H339:O339" si="232">SUM(H337:H338)</f>
        <v>42550</v>
      </c>
      <c r="I339" s="93">
        <f t="shared" si="232"/>
        <v>38833</v>
      </c>
      <c r="J339" s="93">
        <f t="shared" si="232"/>
        <v>37940</v>
      </c>
      <c r="K339" s="93">
        <f t="shared" si="232"/>
        <v>37081</v>
      </c>
      <c r="L339" s="93">
        <f t="shared" si="232"/>
        <v>36183</v>
      </c>
      <c r="M339" s="93">
        <f t="shared" si="232"/>
        <v>35306</v>
      </c>
      <c r="N339" s="93">
        <f t="shared" si="232"/>
        <v>34431</v>
      </c>
      <c r="O339" s="93">
        <f t="shared" si="232"/>
        <v>144052</v>
      </c>
      <c r="P339" s="91">
        <f t="shared" si="195"/>
        <v>406376</v>
      </c>
    </row>
    <row r="340" spans="1:16" ht="15.75" customHeight="1" x14ac:dyDescent="0.25">
      <c r="A340" s="133">
        <f t="shared" ref="A340" si="233">A337+1</f>
        <v>111</v>
      </c>
      <c r="B340" s="155" t="s">
        <v>11</v>
      </c>
      <c r="C340" s="163" t="s">
        <v>441</v>
      </c>
      <c r="D340" s="157">
        <v>44412</v>
      </c>
      <c r="E340" s="162" t="s">
        <v>402</v>
      </c>
      <c r="F340" s="36" t="s">
        <v>88</v>
      </c>
      <c r="G340" s="11" t="s">
        <v>5</v>
      </c>
      <c r="H340" s="62">
        <v>34784</v>
      </c>
      <c r="I340" s="62">
        <v>34784</v>
      </c>
      <c r="J340" s="62">
        <v>34784</v>
      </c>
      <c r="K340" s="62">
        <v>34784</v>
      </c>
      <c r="L340" s="62">
        <v>34784</v>
      </c>
      <c r="M340" s="62">
        <v>34784</v>
      </c>
      <c r="N340" s="62">
        <v>34784</v>
      </c>
      <c r="O340" s="62">
        <f>8696*82+8650-34784</f>
        <v>686938</v>
      </c>
      <c r="P340" s="62">
        <f>SUM(H340:O340)</f>
        <v>930426</v>
      </c>
    </row>
    <row r="341" spans="1:16" ht="15.75" customHeight="1" x14ac:dyDescent="0.25">
      <c r="A341" s="134"/>
      <c r="B341" s="155"/>
      <c r="C341" s="156"/>
      <c r="D341" s="157"/>
      <c r="E341" s="162"/>
      <c r="F341" s="18" t="s">
        <v>403</v>
      </c>
      <c r="G341" s="15" t="s">
        <v>8</v>
      </c>
      <c r="H341" s="63">
        <v>37492</v>
      </c>
      <c r="I341" s="63">
        <v>29653</v>
      </c>
      <c r="J341" s="63">
        <v>28450</v>
      </c>
      <c r="K341" s="63">
        <v>27365</v>
      </c>
      <c r="L341" s="63">
        <v>26133</v>
      </c>
      <c r="M341" s="63">
        <v>24976</v>
      </c>
      <c r="N341" s="63">
        <v>23821</v>
      </c>
      <c r="O341" s="63">
        <f>232075</f>
        <v>232075</v>
      </c>
      <c r="P341" s="63">
        <f t="shared" si="195"/>
        <v>429965</v>
      </c>
    </row>
    <row r="342" spans="1:16" ht="15.75" customHeight="1" x14ac:dyDescent="0.25">
      <c r="A342" s="135"/>
      <c r="B342" s="155"/>
      <c r="C342" s="156"/>
      <c r="D342" s="157"/>
      <c r="E342" s="162"/>
      <c r="F342" s="13"/>
      <c r="G342" s="13" t="s">
        <v>100</v>
      </c>
      <c r="H342" s="93">
        <f t="shared" ref="H342:O342" si="234">SUM(H340:H341)</f>
        <v>72276</v>
      </c>
      <c r="I342" s="93">
        <f t="shared" si="234"/>
        <v>64437</v>
      </c>
      <c r="J342" s="93">
        <f t="shared" si="234"/>
        <v>63234</v>
      </c>
      <c r="K342" s="93">
        <f t="shared" si="234"/>
        <v>62149</v>
      </c>
      <c r="L342" s="93">
        <f t="shared" si="234"/>
        <v>60917</v>
      </c>
      <c r="M342" s="93">
        <f t="shared" si="234"/>
        <v>59760</v>
      </c>
      <c r="N342" s="93">
        <f t="shared" si="234"/>
        <v>58605</v>
      </c>
      <c r="O342" s="93">
        <f t="shared" si="234"/>
        <v>919013</v>
      </c>
      <c r="P342" s="91">
        <f t="shared" si="195"/>
        <v>1360391</v>
      </c>
    </row>
    <row r="343" spans="1:16" ht="15.75" customHeight="1" x14ac:dyDescent="0.25">
      <c r="A343" s="133">
        <f t="shared" ref="A343" si="235">A340+1</f>
        <v>112</v>
      </c>
      <c r="B343" s="155" t="s">
        <v>11</v>
      </c>
      <c r="C343" s="181" t="s">
        <v>455</v>
      </c>
      <c r="D343" s="162" t="s">
        <v>94</v>
      </c>
      <c r="E343" s="162" t="s">
        <v>405</v>
      </c>
      <c r="F343" s="36" t="s">
        <v>89</v>
      </c>
      <c r="G343" s="11" t="s">
        <v>5</v>
      </c>
      <c r="H343" s="62">
        <v>9868</v>
      </c>
      <c r="I343" s="62">
        <v>9868</v>
      </c>
      <c r="J343" s="62">
        <v>9868</v>
      </c>
      <c r="K343" s="62">
        <v>7399</v>
      </c>
      <c r="L343" s="62">
        <v>0</v>
      </c>
      <c r="M343" s="62">
        <v>0</v>
      </c>
      <c r="N343" s="62">
        <v>0</v>
      </c>
      <c r="O343" s="62">
        <v>0</v>
      </c>
      <c r="P343" s="62">
        <f>SUM(H343:O343)</f>
        <v>37003</v>
      </c>
    </row>
    <row r="344" spans="1:16" ht="15.75" customHeight="1" x14ac:dyDescent="0.25">
      <c r="A344" s="134"/>
      <c r="B344" s="155"/>
      <c r="C344" s="181"/>
      <c r="D344" s="162"/>
      <c r="E344" s="162"/>
      <c r="F344" s="18" t="s">
        <v>404</v>
      </c>
      <c r="G344" s="15" t="s">
        <v>8</v>
      </c>
      <c r="H344" s="63">
        <v>1088</v>
      </c>
      <c r="I344" s="63">
        <v>724</v>
      </c>
      <c r="J344" s="63">
        <v>443</v>
      </c>
      <c r="K344" s="64">
        <v>165</v>
      </c>
      <c r="L344" s="63">
        <v>0</v>
      </c>
      <c r="M344" s="63">
        <v>0</v>
      </c>
      <c r="N344" s="63">
        <v>0</v>
      </c>
      <c r="O344" s="63">
        <v>0</v>
      </c>
      <c r="P344" s="63">
        <f t="shared" si="195"/>
        <v>2420</v>
      </c>
    </row>
    <row r="345" spans="1:16" ht="15.75" customHeight="1" x14ac:dyDescent="0.25">
      <c r="A345" s="135"/>
      <c r="B345" s="155"/>
      <c r="C345" s="181"/>
      <c r="D345" s="162"/>
      <c r="E345" s="162"/>
      <c r="F345" s="13"/>
      <c r="G345" s="13" t="s">
        <v>100</v>
      </c>
      <c r="H345" s="93">
        <f t="shared" ref="H345:O345" si="236">SUM(H343:H344)</f>
        <v>10956</v>
      </c>
      <c r="I345" s="93">
        <f t="shared" si="236"/>
        <v>10592</v>
      </c>
      <c r="J345" s="93">
        <f t="shared" si="236"/>
        <v>10311</v>
      </c>
      <c r="K345" s="93">
        <f t="shared" si="236"/>
        <v>7564</v>
      </c>
      <c r="L345" s="93">
        <f t="shared" si="236"/>
        <v>0</v>
      </c>
      <c r="M345" s="93">
        <f>SUM(M343:M344)</f>
        <v>0</v>
      </c>
      <c r="N345" s="93">
        <f t="shared" ref="N345" si="237">SUM(N343:N344)</f>
        <v>0</v>
      </c>
      <c r="O345" s="93">
        <f t="shared" si="236"/>
        <v>0</v>
      </c>
      <c r="P345" s="91">
        <f t="shared" si="195"/>
        <v>39423</v>
      </c>
    </row>
    <row r="346" spans="1:16" ht="15" customHeight="1" x14ac:dyDescent="0.25">
      <c r="A346" s="133">
        <f t="shared" ref="A346" si="238">A343+1</f>
        <v>113</v>
      </c>
      <c r="B346" s="155" t="s">
        <v>11</v>
      </c>
      <c r="C346" s="181" t="s">
        <v>456</v>
      </c>
      <c r="D346" s="162" t="s">
        <v>94</v>
      </c>
      <c r="E346" s="162" t="s">
        <v>405</v>
      </c>
      <c r="F346" s="36" t="s">
        <v>90</v>
      </c>
      <c r="G346" s="11" t="s">
        <v>5</v>
      </c>
      <c r="H346" s="62">
        <v>6032</v>
      </c>
      <c r="I346" s="62">
        <v>6032</v>
      </c>
      <c r="J346" s="62">
        <v>6032</v>
      </c>
      <c r="K346" s="62">
        <v>6032</v>
      </c>
      <c r="L346" s="62">
        <v>4520</v>
      </c>
      <c r="M346" s="62">
        <v>0</v>
      </c>
      <c r="N346" s="62">
        <v>0</v>
      </c>
      <c r="O346" s="62">
        <v>0</v>
      </c>
      <c r="P346" s="62">
        <f>SUM(H346:O346)</f>
        <v>28648</v>
      </c>
    </row>
    <row r="347" spans="1:16" ht="15" customHeight="1" x14ac:dyDescent="0.25">
      <c r="A347" s="134"/>
      <c r="B347" s="155"/>
      <c r="C347" s="181"/>
      <c r="D347" s="162"/>
      <c r="E347" s="162"/>
      <c r="F347" s="18" t="s">
        <v>406</v>
      </c>
      <c r="G347" s="15" t="s">
        <v>8</v>
      </c>
      <c r="H347" s="63">
        <v>850</v>
      </c>
      <c r="I347" s="63">
        <v>613</v>
      </c>
      <c r="J347" s="63">
        <v>441</v>
      </c>
      <c r="K347" s="63">
        <v>271</v>
      </c>
      <c r="L347" s="64">
        <v>101</v>
      </c>
      <c r="M347" s="63">
        <v>0</v>
      </c>
      <c r="N347" s="63">
        <v>0</v>
      </c>
      <c r="O347" s="63">
        <v>0</v>
      </c>
      <c r="P347" s="63">
        <f t="shared" si="195"/>
        <v>2276</v>
      </c>
    </row>
    <row r="348" spans="1:16" ht="15" customHeight="1" x14ac:dyDescent="0.25">
      <c r="A348" s="135"/>
      <c r="B348" s="155"/>
      <c r="C348" s="181"/>
      <c r="D348" s="162"/>
      <c r="E348" s="162"/>
      <c r="F348" s="13"/>
      <c r="G348" s="13" t="s">
        <v>100</v>
      </c>
      <c r="H348" s="93">
        <f t="shared" ref="H348:O348" si="239">SUM(H346:H347)</f>
        <v>6882</v>
      </c>
      <c r="I348" s="93">
        <f t="shared" si="239"/>
        <v>6645</v>
      </c>
      <c r="J348" s="93">
        <f t="shared" si="239"/>
        <v>6473</v>
      </c>
      <c r="K348" s="93">
        <f t="shared" si="239"/>
        <v>6303</v>
      </c>
      <c r="L348" s="93">
        <f t="shared" si="239"/>
        <v>4621</v>
      </c>
      <c r="M348" s="93">
        <f t="shared" si="239"/>
        <v>0</v>
      </c>
      <c r="N348" s="93">
        <f t="shared" si="239"/>
        <v>0</v>
      </c>
      <c r="O348" s="93">
        <f t="shared" si="239"/>
        <v>0</v>
      </c>
      <c r="P348" s="91">
        <f t="shared" si="195"/>
        <v>30924</v>
      </c>
    </row>
    <row r="349" spans="1:16" ht="15.75" customHeight="1" x14ac:dyDescent="0.25">
      <c r="A349" s="133">
        <f t="shared" ref="A349" si="240">A346+1</f>
        <v>114</v>
      </c>
      <c r="B349" s="155" t="s">
        <v>11</v>
      </c>
      <c r="C349" s="182" t="s">
        <v>77</v>
      </c>
      <c r="D349" s="162" t="s">
        <v>94</v>
      </c>
      <c r="E349" s="162" t="s">
        <v>407</v>
      </c>
      <c r="F349" s="36" t="s">
        <v>87</v>
      </c>
      <c r="G349" s="11" t="s">
        <v>5</v>
      </c>
      <c r="H349" s="62">
        <v>13444</v>
      </c>
      <c r="I349" s="62">
        <v>13444</v>
      </c>
      <c r="J349" s="62">
        <v>13444</v>
      </c>
      <c r="K349" s="62">
        <v>13444</v>
      </c>
      <c r="L349" s="62">
        <v>13444</v>
      </c>
      <c r="M349" s="62">
        <v>13444</v>
      </c>
      <c r="N349" s="62">
        <v>13444</v>
      </c>
      <c r="O349" s="62">
        <f>144473-13444</f>
        <v>131029</v>
      </c>
      <c r="P349" s="62">
        <f>SUM(H349:O349)</f>
        <v>225137</v>
      </c>
    </row>
    <row r="350" spans="1:16" ht="15.75" customHeight="1" x14ac:dyDescent="0.25">
      <c r="A350" s="134"/>
      <c r="B350" s="155"/>
      <c r="C350" s="182"/>
      <c r="D350" s="162"/>
      <c r="E350" s="162"/>
      <c r="F350" s="18" t="s">
        <v>408</v>
      </c>
      <c r="G350" s="15" t="s">
        <v>8</v>
      </c>
      <c r="H350" s="63">
        <v>7115</v>
      </c>
      <c r="I350" s="63">
        <v>6181</v>
      </c>
      <c r="J350" s="63">
        <v>5768</v>
      </c>
      <c r="K350" s="64">
        <v>5387</v>
      </c>
      <c r="L350" s="64">
        <v>4976</v>
      </c>
      <c r="M350" s="64">
        <v>4581</v>
      </c>
      <c r="N350" s="64">
        <v>4186</v>
      </c>
      <c r="O350" s="64">
        <f>19989</f>
        <v>19989</v>
      </c>
      <c r="P350" s="63">
        <f t="shared" si="195"/>
        <v>58183</v>
      </c>
    </row>
    <row r="351" spans="1:16" ht="15.75" customHeight="1" x14ac:dyDescent="0.25">
      <c r="A351" s="135"/>
      <c r="B351" s="155"/>
      <c r="C351" s="182"/>
      <c r="D351" s="162"/>
      <c r="E351" s="162"/>
      <c r="F351" s="13"/>
      <c r="G351" s="13" t="s">
        <v>100</v>
      </c>
      <c r="H351" s="93">
        <f t="shared" ref="H351:O351" si="241">SUM(H349:H350)</f>
        <v>20559</v>
      </c>
      <c r="I351" s="93">
        <f t="shared" si="241"/>
        <v>19625</v>
      </c>
      <c r="J351" s="93">
        <f t="shared" si="241"/>
        <v>19212</v>
      </c>
      <c r="K351" s="93">
        <f t="shared" si="241"/>
        <v>18831</v>
      </c>
      <c r="L351" s="93">
        <f t="shared" si="241"/>
        <v>18420</v>
      </c>
      <c r="M351" s="93">
        <f t="shared" si="241"/>
        <v>18025</v>
      </c>
      <c r="N351" s="93">
        <f t="shared" si="241"/>
        <v>17630</v>
      </c>
      <c r="O351" s="93">
        <f t="shared" si="241"/>
        <v>151018</v>
      </c>
      <c r="P351" s="91">
        <f t="shared" ref="P351:P354" si="242">SUM(H351:O351)</f>
        <v>283320</v>
      </c>
    </row>
    <row r="352" spans="1:16" ht="15.75" customHeight="1" x14ac:dyDescent="0.25">
      <c r="A352" s="133">
        <f t="shared" ref="A352" si="243">A349+1</f>
        <v>115</v>
      </c>
      <c r="B352" s="155" t="s">
        <v>11</v>
      </c>
      <c r="C352" s="182" t="s">
        <v>10</v>
      </c>
      <c r="D352" s="162" t="s">
        <v>85</v>
      </c>
      <c r="E352" s="162" t="s">
        <v>411</v>
      </c>
      <c r="F352" s="36" t="s">
        <v>409</v>
      </c>
      <c r="G352" s="11" t="s">
        <v>5</v>
      </c>
      <c r="H352" s="62">
        <v>70412</v>
      </c>
      <c r="I352" s="62">
        <v>70412</v>
      </c>
      <c r="J352" s="62">
        <v>70412</v>
      </c>
      <c r="K352" s="62">
        <v>70412</v>
      </c>
      <c r="L352" s="62">
        <v>70412</v>
      </c>
      <c r="M352" s="62">
        <v>70412</v>
      </c>
      <c r="N352" s="62">
        <v>70412</v>
      </c>
      <c r="O352" s="62">
        <f>1179256-69368+16624-70412</f>
        <v>1056100</v>
      </c>
      <c r="P352" s="62">
        <f>SUM(H352:O352)</f>
        <v>1548984</v>
      </c>
    </row>
    <row r="353" spans="1:16" ht="15.75" customHeight="1" x14ac:dyDescent="0.25">
      <c r="A353" s="134"/>
      <c r="B353" s="155"/>
      <c r="C353" s="182"/>
      <c r="D353" s="162"/>
      <c r="E353" s="162"/>
      <c r="F353" s="18" t="s">
        <v>410</v>
      </c>
      <c r="G353" s="15" t="s">
        <v>8</v>
      </c>
      <c r="H353" s="63">
        <v>52690</v>
      </c>
      <c r="I353" s="63">
        <v>47437</v>
      </c>
      <c r="J353" s="63">
        <v>45264</v>
      </c>
      <c r="K353" s="63">
        <v>43096</v>
      </c>
      <c r="L353" s="63">
        <v>40696</v>
      </c>
      <c r="M353" s="63">
        <v>38415</v>
      </c>
      <c r="N353" s="63">
        <v>36137</v>
      </c>
      <c r="O353" s="63">
        <f>266798</f>
        <v>266798</v>
      </c>
      <c r="P353" s="63">
        <f t="shared" si="242"/>
        <v>570533</v>
      </c>
    </row>
    <row r="354" spans="1:16" ht="15.75" customHeight="1" x14ac:dyDescent="0.25">
      <c r="A354" s="135"/>
      <c r="B354" s="155"/>
      <c r="C354" s="182"/>
      <c r="D354" s="162"/>
      <c r="E354" s="162"/>
      <c r="F354" s="13"/>
      <c r="G354" s="13" t="s">
        <v>100</v>
      </c>
      <c r="H354" s="93">
        <f t="shared" ref="H354:O354" si="244">SUM(H352:H353)</f>
        <v>123102</v>
      </c>
      <c r="I354" s="93">
        <f t="shared" si="244"/>
        <v>117849</v>
      </c>
      <c r="J354" s="93">
        <f t="shared" si="244"/>
        <v>115676</v>
      </c>
      <c r="K354" s="93">
        <f t="shared" si="244"/>
        <v>113508</v>
      </c>
      <c r="L354" s="93">
        <f t="shared" si="244"/>
        <v>111108</v>
      </c>
      <c r="M354" s="93">
        <f t="shared" si="244"/>
        <v>108827</v>
      </c>
      <c r="N354" s="93">
        <f t="shared" si="244"/>
        <v>106549</v>
      </c>
      <c r="O354" s="93">
        <f t="shared" si="244"/>
        <v>1322898</v>
      </c>
      <c r="P354" s="91">
        <f t="shared" si="242"/>
        <v>2119517</v>
      </c>
    </row>
    <row r="355" spans="1:16" ht="16.5" customHeight="1" x14ac:dyDescent="0.25">
      <c r="A355" s="133">
        <f t="shared" ref="A355" si="245">A352+1</f>
        <v>116</v>
      </c>
      <c r="B355" s="155" t="s">
        <v>11</v>
      </c>
      <c r="C355" s="183" t="s">
        <v>458</v>
      </c>
      <c r="D355" s="162" t="s">
        <v>95</v>
      </c>
      <c r="E355" s="162" t="s">
        <v>414</v>
      </c>
      <c r="F355" s="36" t="s">
        <v>412</v>
      </c>
      <c r="G355" s="11" t="s">
        <v>5</v>
      </c>
      <c r="H355" s="62">
        <v>15944</v>
      </c>
      <c r="I355" s="62">
        <v>15944</v>
      </c>
      <c r="J355" s="62">
        <v>15944</v>
      </c>
      <c r="K355" s="62">
        <v>15944</v>
      </c>
      <c r="L355" s="62">
        <v>15944</v>
      </c>
      <c r="M355" s="62">
        <v>15944</v>
      </c>
      <c r="N355" s="62">
        <v>15944</v>
      </c>
      <c r="O355" s="62">
        <f>189168-15764+1964-15944</f>
        <v>159424</v>
      </c>
      <c r="P355" s="62">
        <f>SUM(H355:O355)</f>
        <v>271032</v>
      </c>
    </row>
    <row r="356" spans="1:16" ht="16.5" customHeight="1" x14ac:dyDescent="0.25">
      <c r="A356" s="134"/>
      <c r="B356" s="155"/>
      <c r="C356" s="183"/>
      <c r="D356" s="162"/>
      <c r="E356" s="162"/>
      <c r="F356" s="18" t="s">
        <v>413</v>
      </c>
      <c r="G356" s="15" t="s">
        <v>8</v>
      </c>
      <c r="H356" s="63">
        <f>9104+1633</f>
        <v>10737</v>
      </c>
      <c r="I356" s="63">
        <f>7880+1537</f>
        <v>9417</v>
      </c>
      <c r="J356" s="63">
        <f>7360+1440</f>
        <v>8800</v>
      </c>
      <c r="K356" s="63">
        <f>6882+1346</f>
        <v>8228</v>
      </c>
      <c r="L356" s="64">
        <f>6367+1246</f>
        <v>7613</v>
      </c>
      <c r="M356" s="64">
        <f>5871+1149</f>
        <v>7020</v>
      </c>
      <c r="N356" s="64">
        <f>5376+1052</f>
        <v>6428</v>
      </c>
      <c r="O356" s="64">
        <f>26353+5193</f>
        <v>31546</v>
      </c>
      <c r="P356" s="63">
        <f t="shared" ref="P356:P419" si="246">SUM(H356:O356)</f>
        <v>89789</v>
      </c>
    </row>
    <row r="357" spans="1:16" ht="16.5" customHeight="1" x14ac:dyDescent="0.25">
      <c r="A357" s="135"/>
      <c r="B357" s="155"/>
      <c r="C357" s="183"/>
      <c r="D357" s="162"/>
      <c r="E357" s="162"/>
      <c r="F357" s="13"/>
      <c r="G357" s="13" t="s">
        <v>100</v>
      </c>
      <c r="H357" s="93">
        <f t="shared" ref="H357:O357" si="247">SUM(H355:H356)</f>
        <v>26681</v>
      </c>
      <c r="I357" s="93">
        <f t="shared" si="247"/>
        <v>25361</v>
      </c>
      <c r="J357" s="93">
        <f t="shared" si="247"/>
        <v>24744</v>
      </c>
      <c r="K357" s="93">
        <f t="shared" si="247"/>
        <v>24172</v>
      </c>
      <c r="L357" s="93">
        <f t="shared" si="247"/>
        <v>23557</v>
      </c>
      <c r="M357" s="93">
        <f t="shared" si="247"/>
        <v>22964</v>
      </c>
      <c r="N357" s="93">
        <f t="shared" si="247"/>
        <v>22372</v>
      </c>
      <c r="O357" s="93">
        <f t="shared" si="247"/>
        <v>190970</v>
      </c>
      <c r="P357" s="91">
        <f t="shared" si="246"/>
        <v>360821</v>
      </c>
    </row>
    <row r="358" spans="1:16" ht="14.25" customHeight="1" x14ac:dyDescent="0.25">
      <c r="A358" s="133">
        <f t="shared" ref="A358" si="248">A355+1</f>
        <v>117</v>
      </c>
      <c r="B358" s="155" t="s">
        <v>11</v>
      </c>
      <c r="C358" s="183" t="s">
        <v>481</v>
      </c>
      <c r="D358" s="162" t="s">
        <v>95</v>
      </c>
      <c r="E358" s="162" t="s">
        <v>414</v>
      </c>
      <c r="F358" s="36" t="s">
        <v>415</v>
      </c>
      <c r="G358" s="11" t="s">
        <v>5</v>
      </c>
      <c r="H358" s="62">
        <v>29836</v>
      </c>
      <c r="I358" s="62">
        <v>29836</v>
      </c>
      <c r="J358" s="62">
        <v>29836</v>
      </c>
      <c r="K358" s="62">
        <v>29836</v>
      </c>
      <c r="L358" s="62">
        <v>29836</v>
      </c>
      <c r="M358" s="62">
        <v>29836</v>
      </c>
      <c r="N358" s="62">
        <v>29836</v>
      </c>
      <c r="O358" s="62">
        <f>354867-29576+2889-29836</f>
        <v>298344</v>
      </c>
      <c r="P358" s="62">
        <f>SUM(H358:O358)</f>
        <v>507196</v>
      </c>
    </row>
    <row r="359" spans="1:16" ht="14.25" customHeight="1" x14ac:dyDescent="0.25">
      <c r="A359" s="134"/>
      <c r="B359" s="155"/>
      <c r="C359" s="183"/>
      <c r="D359" s="162"/>
      <c r="E359" s="162"/>
      <c r="F359" s="18" t="s">
        <v>416</v>
      </c>
      <c r="G359" s="15" t="s">
        <v>8</v>
      </c>
      <c r="H359" s="63">
        <v>17040</v>
      </c>
      <c r="I359" s="63">
        <v>14747</v>
      </c>
      <c r="J359" s="63">
        <v>13773</v>
      </c>
      <c r="K359" s="63">
        <v>12878</v>
      </c>
      <c r="L359" s="64">
        <v>11915</v>
      </c>
      <c r="M359" s="64">
        <v>10987</v>
      </c>
      <c r="N359" s="64">
        <v>10061</v>
      </c>
      <c r="O359" s="64">
        <f>49319</f>
        <v>49319</v>
      </c>
      <c r="P359" s="63">
        <f t="shared" si="246"/>
        <v>140720</v>
      </c>
    </row>
    <row r="360" spans="1:16" ht="14.25" customHeight="1" x14ac:dyDescent="0.25">
      <c r="A360" s="135"/>
      <c r="B360" s="155"/>
      <c r="C360" s="183"/>
      <c r="D360" s="162"/>
      <c r="E360" s="162"/>
      <c r="F360" s="13"/>
      <c r="G360" s="13" t="s">
        <v>100</v>
      </c>
      <c r="H360" s="93">
        <f t="shared" ref="H360:O360" si="249">SUM(H358:H359)</f>
        <v>46876</v>
      </c>
      <c r="I360" s="93">
        <f t="shared" si="249"/>
        <v>44583</v>
      </c>
      <c r="J360" s="93">
        <f t="shared" si="249"/>
        <v>43609</v>
      </c>
      <c r="K360" s="93">
        <f t="shared" si="249"/>
        <v>42714</v>
      </c>
      <c r="L360" s="93">
        <f t="shared" si="249"/>
        <v>41751</v>
      </c>
      <c r="M360" s="93">
        <f t="shared" si="249"/>
        <v>40823</v>
      </c>
      <c r="N360" s="93">
        <f t="shared" si="249"/>
        <v>39897</v>
      </c>
      <c r="O360" s="93">
        <f t="shared" si="249"/>
        <v>347663</v>
      </c>
      <c r="P360" s="91">
        <f t="shared" si="246"/>
        <v>647916</v>
      </c>
    </row>
    <row r="361" spans="1:16" ht="15" customHeight="1" x14ac:dyDescent="0.25">
      <c r="A361" s="133">
        <f t="shared" ref="A361" si="250">A358+1</f>
        <v>118</v>
      </c>
      <c r="B361" s="155" t="s">
        <v>11</v>
      </c>
      <c r="C361" s="156" t="s">
        <v>417</v>
      </c>
      <c r="D361" s="162" t="s">
        <v>418</v>
      </c>
      <c r="E361" s="162" t="s">
        <v>419</v>
      </c>
      <c r="F361" s="22" t="s">
        <v>421</v>
      </c>
      <c r="G361" s="11" t="s">
        <v>5</v>
      </c>
      <c r="H361" s="62">
        <v>123520</v>
      </c>
      <c r="I361" s="62">
        <v>123520</v>
      </c>
      <c r="J361" s="62">
        <v>123520</v>
      </c>
      <c r="K361" s="62">
        <v>123520</v>
      </c>
      <c r="L361" s="62">
        <v>123520</v>
      </c>
      <c r="M361" s="62">
        <v>123520</v>
      </c>
      <c r="N361" s="62">
        <v>123520</v>
      </c>
      <c r="O361" s="62">
        <f>2092632-121312+35867-123520</f>
        <v>1883667</v>
      </c>
      <c r="P361" s="62">
        <f>SUM(H361:O361)</f>
        <v>2748307</v>
      </c>
    </row>
    <row r="362" spans="1:16" ht="15" customHeight="1" x14ac:dyDescent="0.25">
      <c r="A362" s="134"/>
      <c r="B362" s="155"/>
      <c r="C362" s="156"/>
      <c r="D362" s="162"/>
      <c r="E362" s="162"/>
      <c r="F362" s="18" t="s">
        <v>422</v>
      </c>
      <c r="G362" s="15" t="s">
        <v>8</v>
      </c>
      <c r="H362" s="63">
        <f>109889-905</f>
        <v>108984</v>
      </c>
      <c r="I362" s="63">
        <v>84384</v>
      </c>
      <c r="J362" s="63">
        <v>76785</v>
      </c>
      <c r="K362" s="63">
        <v>82602</v>
      </c>
      <c r="L362" s="64">
        <v>78060</v>
      </c>
      <c r="M362" s="64">
        <v>73746</v>
      </c>
      <c r="N362" s="64">
        <v>69437</v>
      </c>
      <c r="O362" s="64">
        <f>521566</f>
        <v>521566</v>
      </c>
      <c r="P362" s="63">
        <f t="shared" si="246"/>
        <v>1095564</v>
      </c>
    </row>
    <row r="363" spans="1:16" ht="15" customHeight="1" x14ac:dyDescent="0.25">
      <c r="A363" s="135"/>
      <c r="B363" s="155"/>
      <c r="C363" s="156"/>
      <c r="D363" s="162"/>
      <c r="E363" s="162"/>
      <c r="F363" s="13"/>
      <c r="G363" s="13" t="s">
        <v>100</v>
      </c>
      <c r="H363" s="93">
        <f t="shared" ref="H363:O363" si="251">SUM(H361:H362)</f>
        <v>232504</v>
      </c>
      <c r="I363" s="93">
        <f t="shared" si="251"/>
        <v>207904</v>
      </c>
      <c r="J363" s="93">
        <f t="shared" si="251"/>
        <v>200305</v>
      </c>
      <c r="K363" s="93">
        <f t="shared" si="251"/>
        <v>206122</v>
      </c>
      <c r="L363" s="93">
        <f t="shared" si="251"/>
        <v>201580</v>
      </c>
      <c r="M363" s="93">
        <f t="shared" si="251"/>
        <v>197266</v>
      </c>
      <c r="N363" s="93">
        <f t="shared" si="251"/>
        <v>192957</v>
      </c>
      <c r="O363" s="93">
        <f t="shared" si="251"/>
        <v>2405233</v>
      </c>
      <c r="P363" s="91">
        <f t="shared" si="246"/>
        <v>3843871</v>
      </c>
    </row>
    <row r="364" spans="1:16" ht="15.6" customHeight="1" x14ac:dyDescent="0.25">
      <c r="A364" s="133">
        <f t="shared" ref="A364" si="252">A361+1</f>
        <v>119</v>
      </c>
      <c r="B364" s="155" t="s">
        <v>11</v>
      </c>
      <c r="C364" s="156" t="s">
        <v>9</v>
      </c>
      <c r="D364" s="162" t="s">
        <v>418</v>
      </c>
      <c r="E364" s="162" t="s">
        <v>420</v>
      </c>
      <c r="F364" s="22" t="s">
        <v>423</v>
      </c>
      <c r="G364" s="11" t="s">
        <v>5</v>
      </c>
      <c r="H364" s="62">
        <v>55016</v>
      </c>
      <c r="I364" s="62">
        <v>55016</v>
      </c>
      <c r="J364" s="62">
        <v>55016</v>
      </c>
      <c r="K364" s="62">
        <v>55016</v>
      </c>
      <c r="L364" s="62">
        <v>55016</v>
      </c>
      <c r="M364" s="62">
        <v>55016</v>
      </c>
      <c r="N364" s="62">
        <v>55016</v>
      </c>
      <c r="O364" s="62">
        <f>662235.45-54060+10712-55016</f>
        <v>563871.44999999995</v>
      </c>
      <c r="P364" s="62">
        <f>SUM(H364:O364)</f>
        <v>948983.45</v>
      </c>
    </row>
    <row r="365" spans="1:16" ht="15.6" customHeight="1" x14ac:dyDescent="0.25">
      <c r="A365" s="134"/>
      <c r="B365" s="155"/>
      <c r="C365" s="156"/>
      <c r="D365" s="162"/>
      <c r="E365" s="162"/>
      <c r="F365" s="18" t="s">
        <v>424</v>
      </c>
      <c r="G365" s="15" t="s">
        <v>8</v>
      </c>
      <c r="H365" s="63">
        <f>36661-311</f>
        <v>36350</v>
      </c>
      <c r="I365" s="63">
        <v>27514</v>
      </c>
      <c r="J365" s="63">
        <v>24595</v>
      </c>
      <c r="K365" s="63">
        <v>26131</v>
      </c>
      <c r="L365" s="64">
        <v>24209</v>
      </c>
      <c r="M365" s="64">
        <v>22360</v>
      </c>
      <c r="N365" s="64">
        <v>20514</v>
      </c>
      <c r="O365" s="64">
        <f>103118</f>
        <v>103118</v>
      </c>
      <c r="P365" s="63">
        <f t="shared" si="246"/>
        <v>284791</v>
      </c>
    </row>
    <row r="366" spans="1:16" ht="15.6" customHeight="1" x14ac:dyDescent="0.25">
      <c r="A366" s="135"/>
      <c r="B366" s="155"/>
      <c r="C366" s="156"/>
      <c r="D366" s="162"/>
      <c r="E366" s="162"/>
      <c r="F366" s="13"/>
      <c r="G366" s="13" t="s">
        <v>100</v>
      </c>
      <c r="H366" s="93">
        <f t="shared" ref="H366:O366" si="253">SUM(H364:H365)</f>
        <v>91366</v>
      </c>
      <c r="I366" s="93">
        <f t="shared" si="253"/>
        <v>82530</v>
      </c>
      <c r="J366" s="93">
        <f t="shared" si="253"/>
        <v>79611</v>
      </c>
      <c r="K366" s="93">
        <f t="shared" si="253"/>
        <v>81147</v>
      </c>
      <c r="L366" s="93">
        <f t="shared" si="253"/>
        <v>79225</v>
      </c>
      <c r="M366" s="93">
        <f t="shared" si="253"/>
        <v>77376</v>
      </c>
      <c r="N366" s="93">
        <f t="shared" si="253"/>
        <v>75530</v>
      </c>
      <c r="O366" s="93">
        <f t="shared" si="253"/>
        <v>666989.44999999995</v>
      </c>
      <c r="P366" s="91">
        <f t="shared" si="246"/>
        <v>1233774.45</v>
      </c>
    </row>
    <row r="367" spans="1:16" ht="16.5" customHeight="1" x14ac:dyDescent="0.25">
      <c r="A367" s="133">
        <f t="shared" ref="A367" si="254">A364+1</f>
        <v>120</v>
      </c>
      <c r="B367" s="155" t="s">
        <v>11</v>
      </c>
      <c r="C367" s="163" t="s">
        <v>86</v>
      </c>
      <c r="D367" s="162" t="s">
        <v>435</v>
      </c>
      <c r="E367" s="162" t="s">
        <v>436</v>
      </c>
      <c r="F367" s="22" t="s">
        <v>433</v>
      </c>
      <c r="G367" s="11" t="s">
        <v>5</v>
      </c>
      <c r="H367" s="62">
        <f t="shared" ref="H367:M367" si="255">51280-2880</f>
        <v>48400</v>
      </c>
      <c r="I367" s="62">
        <f t="shared" si="255"/>
        <v>48400</v>
      </c>
      <c r="J367" s="62">
        <f t="shared" si="255"/>
        <v>48400</v>
      </c>
      <c r="K367" s="62">
        <f t="shared" si="255"/>
        <v>48400</v>
      </c>
      <c r="L367" s="62">
        <f t="shared" si="255"/>
        <v>48400</v>
      </c>
      <c r="M367" s="62">
        <f t="shared" si="255"/>
        <v>48400</v>
      </c>
      <c r="N367" s="62">
        <v>48400</v>
      </c>
      <c r="O367" s="62">
        <f>12820*45+12778-33081-48400</f>
        <v>508197</v>
      </c>
      <c r="P367" s="62">
        <f>SUM(H367:O367)</f>
        <v>846997</v>
      </c>
    </row>
    <row r="368" spans="1:16" ht="16.5" customHeight="1" x14ac:dyDescent="0.25">
      <c r="A368" s="134"/>
      <c r="B368" s="155"/>
      <c r="C368" s="163"/>
      <c r="D368" s="162"/>
      <c r="E368" s="162"/>
      <c r="F368" s="18" t="s">
        <v>434</v>
      </c>
      <c r="G368" s="15" t="s">
        <v>8</v>
      </c>
      <c r="H368" s="63">
        <v>39836</v>
      </c>
      <c r="I368" s="63">
        <v>30763</v>
      </c>
      <c r="J368" s="63">
        <v>28842</v>
      </c>
      <c r="K368" s="63">
        <v>27032</v>
      </c>
      <c r="L368" s="64">
        <v>25078</v>
      </c>
      <c r="M368" s="64">
        <v>23198</v>
      </c>
      <c r="N368" s="64">
        <v>21321</v>
      </c>
      <c r="O368" s="64">
        <f>109966</f>
        <v>109966</v>
      </c>
      <c r="P368" s="63">
        <f t="shared" si="246"/>
        <v>306036</v>
      </c>
    </row>
    <row r="369" spans="1:16" ht="16.5" customHeight="1" x14ac:dyDescent="0.25">
      <c r="A369" s="135"/>
      <c r="B369" s="155"/>
      <c r="C369" s="163"/>
      <c r="D369" s="162"/>
      <c r="E369" s="162"/>
      <c r="F369" s="13"/>
      <c r="G369" s="13" t="s">
        <v>100</v>
      </c>
      <c r="H369" s="93">
        <f t="shared" ref="H369:O369" si="256">SUM(H367:H368)</f>
        <v>88236</v>
      </c>
      <c r="I369" s="93">
        <f t="shared" si="256"/>
        <v>79163</v>
      </c>
      <c r="J369" s="93">
        <f t="shared" si="256"/>
        <v>77242</v>
      </c>
      <c r="K369" s="93">
        <f t="shared" si="256"/>
        <v>75432</v>
      </c>
      <c r="L369" s="93">
        <f t="shared" si="256"/>
        <v>73478</v>
      </c>
      <c r="M369" s="93">
        <f t="shared" si="256"/>
        <v>71598</v>
      </c>
      <c r="N369" s="93">
        <f t="shared" si="256"/>
        <v>69721</v>
      </c>
      <c r="O369" s="93">
        <f t="shared" si="256"/>
        <v>618163</v>
      </c>
      <c r="P369" s="91">
        <f t="shared" si="246"/>
        <v>1153033</v>
      </c>
    </row>
    <row r="370" spans="1:16" ht="16.2" customHeight="1" x14ac:dyDescent="0.25">
      <c r="A370" s="133">
        <f t="shared" ref="A370" si="257">A367+1</f>
        <v>121</v>
      </c>
      <c r="B370" s="155" t="s">
        <v>11</v>
      </c>
      <c r="C370" s="156" t="s">
        <v>430</v>
      </c>
      <c r="D370" s="162" t="s">
        <v>459</v>
      </c>
      <c r="E370" s="162" t="s">
        <v>460</v>
      </c>
      <c r="F370" s="22" t="s">
        <v>461</v>
      </c>
      <c r="G370" s="11" t="s">
        <v>5</v>
      </c>
      <c r="H370" s="62">
        <v>9788</v>
      </c>
      <c r="I370" s="62">
        <v>9788</v>
      </c>
      <c r="J370" s="62">
        <v>9788</v>
      </c>
      <c r="K370" s="62">
        <v>9788</v>
      </c>
      <c r="L370" s="62">
        <v>9788</v>
      </c>
      <c r="M370" s="62">
        <v>9788</v>
      </c>
      <c r="N370" s="62">
        <v>9788</v>
      </c>
      <c r="O370" s="62">
        <f>73625-9500+1912-9788</f>
        <v>56249</v>
      </c>
      <c r="P370" s="62">
        <f>SUM(H370:O370)</f>
        <v>124765</v>
      </c>
    </row>
    <row r="371" spans="1:16" ht="16.2" customHeight="1" x14ac:dyDescent="0.25">
      <c r="A371" s="134"/>
      <c r="B371" s="155"/>
      <c r="C371" s="156"/>
      <c r="D371" s="157"/>
      <c r="E371" s="157"/>
      <c r="F371" s="18" t="s">
        <v>462</v>
      </c>
      <c r="G371" s="15" t="s">
        <v>8</v>
      </c>
      <c r="H371" s="63">
        <v>5840</v>
      </c>
      <c r="I371" s="63">
        <v>4706</v>
      </c>
      <c r="J371" s="63">
        <v>4294</v>
      </c>
      <c r="K371" s="63">
        <v>3898</v>
      </c>
      <c r="L371" s="64">
        <v>3482</v>
      </c>
      <c r="M371" s="64">
        <v>3077</v>
      </c>
      <c r="N371" s="64">
        <v>2672</v>
      </c>
      <c r="O371" s="64">
        <f>7470</f>
        <v>7470</v>
      </c>
      <c r="P371" s="63">
        <f t="shared" si="246"/>
        <v>35439</v>
      </c>
    </row>
    <row r="372" spans="1:16" ht="16.2" customHeight="1" x14ac:dyDescent="0.25">
      <c r="A372" s="135"/>
      <c r="B372" s="155"/>
      <c r="C372" s="156"/>
      <c r="D372" s="157"/>
      <c r="E372" s="157"/>
      <c r="F372" s="13"/>
      <c r="G372" s="13" t="s">
        <v>100</v>
      </c>
      <c r="H372" s="93">
        <f t="shared" ref="H372:O372" si="258">SUM(H370:H371)</f>
        <v>15628</v>
      </c>
      <c r="I372" s="93">
        <f t="shared" si="258"/>
        <v>14494</v>
      </c>
      <c r="J372" s="93">
        <f t="shared" si="258"/>
        <v>14082</v>
      </c>
      <c r="K372" s="93">
        <f t="shared" si="258"/>
        <v>13686</v>
      </c>
      <c r="L372" s="93">
        <f t="shared" si="258"/>
        <v>13270</v>
      </c>
      <c r="M372" s="93">
        <f t="shared" si="258"/>
        <v>12865</v>
      </c>
      <c r="N372" s="93">
        <f t="shared" si="258"/>
        <v>12460</v>
      </c>
      <c r="O372" s="93">
        <f t="shared" si="258"/>
        <v>63719</v>
      </c>
      <c r="P372" s="91">
        <f t="shared" si="246"/>
        <v>160204</v>
      </c>
    </row>
    <row r="373" spans="1:16" ht="16.2" customHeight="1" x14ac:dyDescent="0.25">
      <c r="A373" s="133">
        <f t="shared" ref="A373" si="259">A370+1</f>
        <v>122</v>
      </c>
      <c r="B373" s="155" t="s">
        <v>11</v>
      </c>
      <c r="C373" s="156" t="s">
        <v>429</v>
      </c>
      <c r="D373" s="162" t="s">
        <v>459</v>
      </c>
      <c r="E373" s="162" t="s">
        <v>256</v>
      </c>
      <c r="F373" s="22" t="s">
        <v>463</v>
      </c>
      <c r="G373" s="11" t="s">
        <v>5</v>
      </c>
      <c r="H373" s="62">
        <v>15944</v>
      </c>
      <c r="I373" s="62">
        <v>15944</v>
      </c>
      <c r="J373" s="62">
        <v>15944</v>
      </c>
      <c r="K373" s="62">
        <v>15944</v>
      </c>
      <c r="L373" s="62">
        <v>15944</v>
      </c>
      <c r="M373" s="62">
        <v>15944</v>
      </c>
      <c r="N373" s="62">
        <v>15944</v>
      </c>
      <c r="O373" s="62">
        <f>42537-15468+829-15944</f>
        <v>11954</v>
      </c>
      <c r="P373" s="62">
        <f>SUM(H373:O373)</f>
        <v>123562</v>
      </c>
    </row>
    <row r="374" spans="1:16" ht="16.2" customHeight="1" x14ac:dyDescent="0.25">
      <c r="A374" s="134"/>
      <c r="B374" s="155"/>
      <c r="C374" s="156"/>
      <c r="D374" s="157"/>
      <c r="E374" s="157"/>
      <c r="F374" s="18" t="s">
        <v>464</v>
      </c>
      <c r="G374" s="15" t="s">
        <v>8</v>
      </c>
      <c r="H374" s="63">
        <v>5523</v>
      </c>
      <c r="I374" s="63">
        <v>4175</v>
      </c>
      <c r="J374" s="63">
        <v>3537</v>
      </c>
      <c r="K374" s="63">
        <v>2911</v>
      </c>
      <c r="L374" s="64">
        <v>2271</v>
      </c>
      <c r="M374" s="64">
        <v>1639</v>
      </c>
      <c r="N374" s="64">
        <v>1008</v>
      </c>
      <c r="O374" s="64">
        <v>349</v>
      </c>
      <c r="P374" s="63">
        <f t="shared" si="246"/>
        <v>21413</v>
      </c>
    </row>
    <row r="375" spans="1:16" ht="15" customHeight="1" x14ac:dyDescent="0.25">
      <c r="A375" s="135"/>
      <c r="B375" s="155"/>
      <c r="C375" s="156"/>
      <c r="D375" s="157"/>
      <c r="E375" s="157"/>
      <c r="F375" s="13"/>
      <c r="G375" s="13" t="s">
        <v>100</v>
      </c>
      <c r="H375" s="93">
        <f t="shared" ref="H375:O375" si="260">SUM(H373:H374)</f>
        <v>21467</v>
      </c>
      <c r="I375" s="93">
        <f t="shared" si="260"/>
        <v>20119</v>
      </c>
      <c r="J375" s="93">
        <f t="shared" si="260"/>
        <v>19481</v>
      </c>
      <c r="K375" s="93">
        <f t="shared" si="260"/>
        <v>18855</v>
      </c>
      <c r="L375" s="93">
        <f t="shared" si="260"/>
        <v>18215</v>
      </c>
      <c r="M375" s="93">
        <f t="shared" si="260"/>
        <v>17583</v>
      </c>
      <c r="N375" s="93">
        <f t="shared" si="260"/>
        <v>16952</v>
      </c>
      <c r="O375" s="93">
        <f t="shared" si="260"/>
        <v>12303</v>
      </c>
      <c r="P375" s="91">
        <f t="shared" si="246"/>
        <v>144975</v>
      </c>
    </row>
    <row r="376" spans="1:16" ht="15" customHeight="1" x14ac:dyDescent="0.25">
      <c r="A376" s="133">
        <f t="shared" ref="A376" si="261">A373+1</f>
        <v>123</v>
      </c>
      <c r="B376" s="155" t="s">
        <v>11</v>
      </c>
      <c r="C376" s="184" t="s">
        <v>427</v>
      </c>
      <c r="D376" s="162" t="s">
        <v>459</v>
      </c>
      <c r="E376" s="162" t="s">
        <v>460</v>
      </c>
      <c r="F376" s="22" t="s">
        <v>465</v>
      </c>
      <c r="G376" s="11" t="s">
        <v>5</v>
      </c>
      <c r="H376" s="62">
        <v>13992</v>
      </c>
      <c r="I376" s="62">
        <v>13992</v>
      </c>
      <c r="J376" s="62">
        <v>13992</v>
      </c>
      <c r="K376" s="62">
        <v>13992</v>
      </c>
      <c r="L376" s="62">
        <v>13992</v>
      </c>
      <c r="M376" s="62">
        <v>13992</v>
      </c>
      <c r="N376" s="62">
        <v>13992</v>
      </c>
      <c r="O376" s="62">
        <f>105524-13616+2504-13992</f>
        <v>80420</v>
      </c>
      <c r="P376" s="62">
        <f>SUM(H376:O376)</f>
        <v>178364</v>
      </c>
    </row>
    <row r="377" spans="1:16" ht="17.25" customHeight="1" x14ac:dyDescent="0.25">
      <c r="A377" s="134"/>
      <c r="B377" s="155"/>
      <c r="C377" s="184"/>
      <c r="D377" s="157"/>
      <c r="E377" s="157"/>
      <c r="F377" s="18" t="s">
        <v>466</v>
      </c>
      <c r="G377" s="15" t="s">
        <v>8</v>
      </c>
      <c r="H377" s="63">
        <v>8350</v>
      </c>
      <c r="I377" s="63">
        <v>6727</v>
      </c>
      <c r="J377" s="63">
        <v>6139</v>
      </c>
      <c r="K377" s="63">
        <v>5573</v>
      </c>
      <c r="L377" s="64">
        <v>4878</v>
      </c>
      <c r="M377" s="64">
        <v>4399</v>
      </c>
      <c r="N377" s="64">
        <v>3820</v>
      </c>
      <c r="O377" s="64">
        <f>10681</f>
        <v>10681</v>
      </c>
      <c r="P377" s="63">
        <f t="shared" si="246"/>
        <v>50567</v>
      </c>
    </row>
    <row r="378" spans="1:16" x14ac:dyDescent="0.25">
      <c r="A378" s="135"/>
      <c r="B378" s="155"/>
      <c r="C378" s="184"/>
      <c r="D378" s="157"/>
      <c r="E378" s="157"/>
      <c r="F378" s="38"/>
      <c r="G378" s="13" t="s">
        <v>100</v>
      </c>
      <c r="H378" s="93">
        <f t="shared" ref="H378:O378" si="262">SUM(H376:H377)</f>
        <v>22342</v>
      </c>
      <c r="I378" s="93">
        <f t="shared" si="262"/>
        <v>20719</v>
      </c>
      <c r="J378" s="93">
        <f t="shared" si="262"/>
        <v>20131</v>
      </c>
      <c r="K378" s="93">
        <f t="shared" si="262"/>
        <v>19565</v>
      </c>
      <c r="L378" s="93">
        <f t="shared" si="262"/>
        <v>18870</v>
      </c>
      <c r="M378" s="93">
        <f t="shared" si="262"/>
        <v>18391</v>
      </c>
      <c r="N378" s="93">
        <f t="shared" si="262"/>
        <v>17812</v>
      </c>
      <c r="O378" s="93">
        <f t="shared" si="262"/>
        <v>91101</v>
      </c>
      <c r="P378" s="91">
        <f t="shared" si="246"/>
        <v>228931</v>
      </c>
    </row>
    <row r="379" spans="1:16" ht="15.6" customHeight="1" x14ac:dyDescent="0.25">
      <c r="A379" s="133">
        <f t="shared" ref="A379" si="263">A376+1</f>
        <v>124</v>
      </c>
      <c r="B379" s="155" t="s">
        <v>11</v>
      </c>
      <c r="C379" s="163" t="s">
        <v>428</v>
      </c>
      <c r="D379" s="162" t="s">
        <v>459</v>
      </c>
      <c r="E379" s="162" t="s">
        <v>460</v>
      </c>
      <c r="F379" s="22" t="s">
        <v>467</v>
      </c>
      <c r="G379" s="11" t="s">
        <v>5</v>
      </c>
      <c r="H379" s="97">
        <v>9780</v>
      </c>
      <c r="I379" s="97">
        <v>9780</v>
      </c>
      <c r="J379" s="97">
        <v>9780</v>
      </c>
      <c r="K379" s="97">
        <v>9780</v>
      </c>
      <c r="L379" s="97">
        <v>9780</v>
      </c>
      <c r="M379" s="97">
        <v>9780</v>
      </c>
      <c r="N379" s="97">
        <v>9780</v>
      </c>
      <c r="O379" s="97">
        <f>73718-9512+1777-9780</f>
        <v>56203</v>
      </c>
      <c r="P379" s="62">
        <f>SUM(H379:O379)</f>
        <v>124663</v>
      </c>
    </row>
    <row r="380" spans="1:16" ht="15" customHeight="1" x14ac:dyDescent="0.25">
      <c r="A380" s="134"/>
      <c r="B380" s="155"/>
      <c r="C380" s="163"/>
      <c r="D380" s="157"/>
      <c r="E380" s="157"/>
      <c r="F380" s="18" t="s">
        <v>468</v>
      </c>
      <c r="G380" s="15" t="s">
        <v>8</v>
      </c>
      <c r="H380" s="98">
        <v>5836</v>
      </c>
      <c r="I380" s="98">
        <v>4702</v>
      </c>
      <c r="J380" s="98">
        <v>4291</v>
      </c>
      <c r="K380" s="98">
        <v>3895</v>
      </c>
      <c r="L380" s="61">
        <v>3479</v>
      </c>
      <c r="M380" s="61">
        <v>3074</v>
      </c>
      <c r="N380" s="61">
        <v>2670</v>
      </c>
      <c r="O380" s="61">
        <f>7464</f>
        <v>7464</v>
      </c>
      <c r="P380" s="63">
        <f t="shared" si="246"/>
        <v>35411</v>
      </c>
    </row>
    <row r="381" spans="1:16" x14ac:dyDescent="0.25">
      <c r="A381" s="135"/>
      <c r="B381" s="155"/>
      <c r="C381" s="163"/>
      <c r="D381" s="157"/>
      <c r="E381" s="157"/>
      <c r="F381" s="38"/>
      <c r="G381" s="13" t="s">
        <v>100</v>
      </c>
      <c r="H381" s="93">
        <f t="shared" ref="H381:O381" si="264">SUM(H379:H380)</f>
        <v>15616</v>
      </c>
      <c r="I381" s="93">
        <f t="shared" si="264"/>
        <v>14482</v>
      </c>
      <c r="J381" s="93">
        <f t="shared" si="264"/>
        <v>14071</v>
      </c>
      <c r="K381" s="93">
        <f t="shared" si="264"/>
        <v>13675</v>
      </c>
      <c r="L381" s="93">
        <f t="shared" si="264"/>
        <v>13259</v>
      </c>
      <c r="M381" s="93">
        <f t="shared" si="264"/>
        <v>12854</v>
      </c>
      <c r="N381" s="93">
        <f t="shared" si="264"/>
        <v>12450</v>
      </c>
      <c r="O381" s="93">
        <f t="shared" si="264"/>
        <v>63667</v>
      </c>
      <c r="P381" s="91">
        <f t="shared" si="246"/>
        <v>160074</v>
      </c>
    </row>
    <row r="382" spans="1:16" ht="15.75" customHeight="1" x14ac:dyDescent="0.25">
      <c r="A382" s="133">
        <f t="shared" ref="A382" si="265">A379+1</f>
        <v>125</v>
      </c>
      <c r="B382" s="155" t="s">
        <v>11</v>
      </c>
      <c r="C382" s="156" t="s">
        <v>426</v>
      </c>
      <c r="D382" s="162" t="s">
        <v>459</v>
      </c>
      <c r="E382" s="162" t="s">
        <v>460</v>
      </c>
      <c r="F382" s="22" t="s">
        <v>469</v>
      </c>
      <c r="G382" s="11" t="s">
        <v>5</v>
      </c>
      <c r="H382" s="97">
        <v>36680</v>
      </c>
      <c r="I382" s="97">
        <v>36680</v>
      </c>
      <c r="J382" s="97">
        <v>36680</v>
      </c>
      <c r="K382" s="97">
        <v>36680</v>
      </c>
      <c r="L382" s="97">
        <v>36680</v>
      </c>
      <c r="M382" s="97">
        <v>36680</v>
      </c>
      <c r="N382" s="97">
        <v>36680</v>
      </c>
      <c r="O382" s="97">
        <f>483672-211027-35180+10101-36680</f>
        <v>210886</v>
      </c>
      <c r="P382" s="62">
        <f>SUM(H382:O382)</f>
        <v>467646</v>
      </c>
    </row>
    <row r="383" spans="1:16" ht="14.25" customHeight="1" x14ac:dyDescent="0.25">
      <c r="A383" s="134"/>
      <c r="B383" s="155"/>
      <c r="C383" s="156"/>
      <c r="D383" s="157"/>
      <c r="E383" s="157"/>
      <c r="F383" s="18" t="s">
        <v>470</v>
      </c>
      <c r="G383" s="15" t="s">
        <v>8</v>
      </c>
      <c r="H383" s="98">
        <v>21873</v>
      </c>
      <c r="I383" s="98">
        <v>17638</v>
      </c>
      <c r="J383" s="98">
        <v>16096</v>
      </c>
      <c r="K383" s="98">
        <v>14613</v>
      </c>
      <c r="L383" s="98">
        <v>13054</v>
      </c>
      <c r="M383" s="98">
        <v>11534</v>
      </c>
      <c r="N383" s="98">
        <v>10017</v>
      </c>
      <c r="O383" s="98">
        <f>28016</f>
        <v>28016</v>
      </c>
      <c r="P383" s="63">
        <f t="shared" si="246"/>
        <v>132841</v>
      </c>
    </row>
    <row r="384" spans="1:16" ht="14.25" customHeight="1" x14ac:dyDescent="0.25">
      <c r="A384" s="135"/>
      <c r="B384" s="155"/>
      <c r="C384" s="156"/>
      <c r="D384" s="157"/>
      <c r="E384" s="157"/>
      <c r="F384" s="38"/>
      <c r="G384" s="13" t="s">
        <v>100</v>
      </c>
      <c r="H384" s="93">
        <f t="shared" ref="H384:O384" si="266">SUM(H382:H383)</f>
        <v>58553</v>
      </c>
      <c r="I384" s="93">
        <f t="shared" si="266"/>
        <v>54318</v>
      </c>
      <c r="J384" s="93">
        <f t="shared" si="266"/>
        <v>52776</v>
      </c>
      <c r="K384" s="93">
        <f t="shared" si="266"/>
        <v>51293</v>
      </c>
      <c r="L384" s="93">
        <f t="shared" si="266"/>
        <v>49734</v>
      </c>
      <c r="M384" s="93">
        <f t="shared" si="266"/>
        <v>48214</v>
      </c>
      <c r="N384" s="93">
        <f t="shared" si="266"/>
        <v>46697</v>
      </c>
      <c r="O384" s="93">
        <f t="shared" si="266"/>
        <v>238902</v>
      </c>
      <c r="P384" s="91">
        <f t="shared" si="246"/>
        <v>600487</v>
      </c>
    </row>
    <row r="385" spans="1:16" ht="15.6" customHeight="1" x14ac:dyDescent="0.25">
      <c r="A385" s="133">
        <f t="shared" ref="A385" si="267">A382+1</f>
        <v>126</v>
      </c>
      <c r="B385" s="155" t="s">
        <v>11</v>
      </c>
      <c r="C385" s="156" t="s">
        <v>432</v>
      </c>
      <c r="D385" s="129" t="s">
        <v>471</v>
      </c>
      <c r="E385" s="129" t="s">
        <v>187</v>
      </c>
      <c r="F385" s="22" t="s">
        <v>472</v>
      </c>
      <c r="G385" s="11" t="s">
        <v>5</v>
      </c>
      <c r="H385" s="97">
        <v>14752</v>
      </c>
      <c r="I385" s="97">
        <v>14752</v>
      </c>
      <c r="J385" s="97">
        <v>14752</v>
      </c>
      <c r="K385" s="97">
        <v>14752</v>
      </c>
      <c r="L385" s="97">
        <v>14752</v>
      </c>
      <c r="M385" s="97">
        <v>14752</v>
      </c>
      <c r="N385" s="97">
        <v>14752</v>
      </c>
      <c r="O385" s="97">
        <f>183702-14408+3984-14752</f>
        <v>158526</v>
      </c>
      <c r="P385" s="62">
        <f>SUM(H385:O385)</f>
        <v>261790</v>
      </c>
    </row>
    <row r="386" spans="1:16" ht="14.25" customHeight="1" x14ac:dyDescent="0.25">
      <c r="A386" s="134"/>
      <c r="B386" s="155"/>
      <c r="C386" s="156"/>
      <c r="D386" s="130"/>
      <c r="E386" s="130"/>
      <c r="F386" s="18" t="s">
        <v>473</v>
      </c>
      <c r="G386" s="15" t="s">
        <v>8</v>
      </c>
      <c r="H386" s="98">
        <v>11387</v>
      </c>
      <c r="I386" s="98">
        <v>9592</v>
      </c>
      <c r="J386" s="98">
        <v>9002</v>
      </c>
      <c r="K386" s="98">
        <v>8446</v>
      </c>
      <c r="L386" s="98">
        <v>7845</v>
      </c>
      <c r="M386" s="98">
        <v>7268</v>
      </c>
      <c r="N386" s="98">
        <v>6692</v>
      </c>
      <c r="O386" s="98">
        <f>35320</f>
        <v>35320</v>
      </c>
      <c r="P386" s="63">
        <f t="shared" si="246"/>
        <v>95552</v>
      </c>
    </row>
    <row r="387" spans="1:16" ht="14.25" customHeight="1" x14ac:dyDescent="0.25">
      <c r="A387" s="135"/>
      <c r="B387" s="155"/>
      <c r="C387" s="156"/>
      <c r="D387" s="130"/>
      <c r="E387" s="130"/>
      <c r="F387" s="38"/>
      <c r="G387" s="13" t="s">
        <v>100</v>
      </c>
      <c r="H387" s="93">
        <f t="shared" ref="H387:O387" si="268">SUM(H385:H386)</f>
        <v>26139</v>
      </c>
      <c r="I387" s="93">
        <f t="shared" si="268"/>
        <v>24344</v>
      </c>
      <c r="J387" s="93">
        <f t="shared" si="268"/>
        <v>23754</v>
      </c>
      <c r="K387" s="93">
        <f t="shared" si="268"/>
        <v>23198</v>
      </c>
      <c r="L387" s="93">
        <f t="shared" si="268"/>
        <v>22597</v>
      </c>
      <c r="M387" s="93">
        <f t="shared" si="268"/>
        <v>22020</v>
      </c>
      <c r="N387" s="93">
        <f t="shared" si="268"/>
        <v>21444</v>
      </c>
      <c r="O387" s="93">
        <f t="shared" si="268"/>
        <v>193846</v>
      </c>
      <c r="P387" s="91">
        <f t="shared" si="246"/>
        <v>357342</v>
      </c>
    </row>
    <row r="388" spans="1:16" ht="14.4" customHeight="1" x14ac:dyDescent="0.25">
      <c r="A388" s="133">
        <f t="shared" ref="A388" si="269">A385+1</f>
        <v>127</v>
      </c>
      <c r="B388" s="155" t="s">
        <v>11</v>
      </c>
      <c r="C388" s="163" t="s">
        <v>719</v>
      </c>
      <c r="D388" s="129" t="s">
        <v>474</v>
      </c>
      <c r="E388" s="129" t="s">
        <v>475</v>
      </c>
      <c r="F388" s="22" t="s">
        <v>476</v>
      </c>
      <c r="G388" s="11" t="s">
        <v>5</v>
      </c>
      <c r="H388" s="97">
        <v>17952</v>
      </c>
      <c r="I388" s="97">
        <v>17952</v>
      </c>
      <c r="J388" s="97">
        <v>17952</v>
      </c>
      <c r="K388" s="97">
        <v>17952</v>
      </c>
      <c r="L388" s="97">
        <v>17952</v>
      </c>
      <c r="M388" s="97">
        <v>17952</v>
      </c>
      <c r="N388" s="97">
        <v>17952</v>
      </c>
      <c r="O388" s="97">
        <f>141280-17660+2051-17952</f>
        <v>107719</v>
      </c>
      <c r="P388" s="62">
        <f>SUM(H388:O388)</f>
        <v>233383</v>
      </c>
    </row>
    <row r="389" spans="1:16" ht="15.75" customHeight="1" x14ac:dyDescent="0.25">
      <c r="A389" s="134"/>
      <c r="B389" s="155"/>
      <c r="C389" s="163"/>
      <c r="D389" s="130"/>
      <c r="E389" s="130"/>
      <c r="F389" s="18" t="s">
        <v>477</v>
      </c>
      <c r="G389" s="15" t="s">
        <v>8</v>
      </c>
      <c r="H389" s="98">
        <v>10144</v>
      </c>
      <c r="I389" s="98">
        <v>8741</v>
      </c>
      <c r="J389" s="98">
        <v>7966</v>
      </c>
      <c r="K389" s="98">
        <v>7250</v>
      </c>
      <c r="L389" s="98">
        <v>6495</v>
      </c>
      <c r="M389" s="98">
        <v>5760</v>
      </c>
      <c r="N389" s="98">
        <v>5027</v>
      </c>
      <c r="O389" s="98">
        <f>14685</f>
        <v>14685</v>
      </c>
      <c r="P389" s="63">
        <f t="shared" si="246"/>
        <v>66068</v>
      </c>
    </row>
    <row r="390" spans="1:16" ht="15.75" customHeight="1" x14ac:dyDescent="0.25">
      <c r="A390" s="135"/>
      <c r="B390" s="155"/>
      <c r="C390" s="163"/>
      <c r="D390" s="130"/>
      <c r="E390" s="130"/>
      <c r="F390" s="38"/>
      <c r="G390" s="13" t="s">
        <v>100</v>
      </c>
      <c r="H390" s="93">
        <f t="shared" ref="H390:O390" si="270">SUM(H388:H389)</f>
        <v>28096</v>
      </c>
      <c r="I390" s="93">
        <f t="shared" si="270"/>
        <v>26693</v>
      </c>
      <c r="J390" s="93">
        <f t="shared" si="270"/>
        <v>25918</v>
      </c>
      <c r="K390" s="93">
        <f t="shared" si="270"/>
        <v>25202</v>
      </c>
      <c r="L390" s="93">
        <f t="shared" si="270"/>
        <v>24447</v>
      </c>
      <c r="M390" s="93">
        <f t="shared" si="270"/>
        <v>23712</v>
      </c>
      <c r="N390" s="93">
        <f t="shared" si="270"/>
        <v>22979</v>
      </c>
      <c r="O390" s="93">
        <f t="shared" si="270"/>
        <v>122404</v>
      </c>
      <c r="P390" s="91">
        <f t="shared" si="246"/>
        <v>299451</v>
      </c>
    </row>
    <row r="391" spans="1:16" ht="15.75" customHeight="1" x14ac:dyDescent="0.25">
      <c r="A391" s="133">
        <f t="shared" ref="A391" si="271">A388+1</f>
        <v>128</v>
      </c>
      <c r="B391" s="155" t="s">
        <v>11</v>
      </c>
      <c r="C391" s="182" t="s">
        <v>480</v>
      </c>
      <c r="D391" s="129" t="s">
        <v>498</v>
      </c>
      <c r="E391" s="129" t="s">
        <v>280</v>
      </c>
      <c r="F391" s="22" t="s">
        <v>499</v>
      </c>
      <c r="G391" s="41" t="s">
        <v>5</v>
      </c>
      <c r="H391" s="71">
        <v>40952</v>
      </c>
      <c r="I391" s="71">
        <v>40952</v>
      </c>
      <c r="J391" s="71">
        <v>40952</v>
      </c>
      <c r="K391" s="71">
        <v>40952</v>
      </c>
      <c r="L391" s="71">
        <v>40952</v>
      </c>
      <c r="M391" s="71">
        <v>40952</v>
      </c>
      <c r="N391" s="71">
        <v>40952</v>
      </c>
      <c r="O391" s="71">
        <f>10238*49+10207-40952</f>
        <v>470917</v>
      </c>
      <c r="P391" s="62">
        <f>SUM(H391:O391)</f>
        <v>757581</v>
      </c>
    </row>
    <row r="392" spans="1:16" ht="15.75" customHeight="1" x14ac:dyDescent="0.25">
      <c r="A392" s="134"/>
      <c r="B392" s="155"/>
      <c r="C392" s="182"/>
      <c r="D392" s="129"/>
      <c r="E392" s="129"/>
      <c r="F392" s="18" t="s">
        <v>500</v>
      </c>
      <c r="G392" s="40" t="s">
        <v>8</v>
      </c>
      <c r="H392" s="61">
        <v>34877</v>
      </c>
      <c r="I392" s="61">
        <v>33065</v>
      </c>
      <c r="J392" s="61">
        <v>31157</v>
      </c>
      <c r="K392" s="61">
        <v>29327</v>
      </c>
      <c r="L392" s="61">
        <v>27340</v>
      </c>
      <c r="M392" s="61">
        <v>25434</v>
      </c>
      <c r="N392" s="61">
        <v>23530</v>
      </c>
      <c r="O392" s="61">
        <f>157293-23530</f>
        <v>133763</v>
      </c>
      <c r="P392" s="63">
        <f t="shared" si="246"/>
        <v>338493</v>
      </c>
    </row>
    <row r="393" spans="1:16" ht="15.75" customHeight="1" x14ac:dyDescent="0.25">
      <c r="A393" s="135"/>
      <c r="B393" s="155"/>
      <c r="C393" s="182"/>
      <c r="D393" s="129"/>
      <c r="E393" s="129"/>
      <c r="F393" s="38"/>
      <c r="G393" s="42" t="s">
        <v>100</v>
      </c>
      <c r="H393" s="90">
        <f t="shared" ref="H393:O393" si="272">SUM(H391:H392)</f>
        <v>75829</v>
      </c>
      <c r="I393" s="90">
        <f t="shared" si="272"/>
        <v>74017</v>
      </c>
      <c r="J393" s="90">
        <f t="shared" si="272"/>
        <v>72109</v>
      </c>
      <c r="K393" s="90">
        <f t="shared" si="272"/>
        <v>70279</v>
      </c>
      <c r="L393" s="90">
        <f t="shared" si="272"/>
        <v>68292</v>
      </c>
      <c r="M393" s="90">
        <f t="shared" si="272"/>
        <v>66386</v>
      </c>
      <c r="N393" s="90">
        <f t="shared" si="272"/>
        <v>64482</v>
      </c>
      <c r="O393" s="90">
        <f t="shared" si="272"/>
        <v>604680</v>
      </c>
      <c r="P393" s="91">
        <f t="shared" si="246"/>
        <v>1096074</v>
      </c>
    </row>
    <row r="394" spans="1:16" ht="15.75" customHeight="1" x14ac:dyDescent="0.25">
      <c r="A394" s="133">
        <f t="shared" ref="A394" si="273">A391+1</f>
        <v>129</v>
      </c>
      <c r="B394" s="155" t="s">
        <v>11</v>
      </c>
      <c r="C394" s="163" t="s">
        <v>720</v>
      </c>
      <c r="D394" s="185" t="s">
        <v>491</v>
      </c>
      <c r="E394" s="185" t="s">
        <v>492</v>
      </c>
      <c r="F394" s="22" t="s">
        <v>493</v>
      </c>
      <c r="G394" s="41" t="s">
        <v>5</v>
      </c>
      <c r="H394" s="71">
        <v>8689</v>
      </c>
      <c r="I394" s="71">
        <v>8689</v>
      </c>
      <c r="J394" s="71">
        <v>8689</v>
      </c>
      <c r="K394" s="71">
        <v>8689</v>
      </c>
      <c r="L394" s="71">
        <v>8689</v>
      </c>
      <c r="M394" s="71">
        <v>8689</v>
      </c>
      <c r="N394" s="71">
        <v>8689</v>
      </c>
      <c r="O394" s="71">
        <f>71681-60823</f>
        <v>10858</v>
      </c>
      <c r="P394" s="62">
        <f>SUM(H394:O394)</f>
        <v>71681</v>
      </c>
    </row>
    <row r="395" spans="1:16" ht="15.75" customHeight="1" x14ac:dyDescent="0.25">
      <c r="A395" s="134"/>
      <c r="B395" s="155"/>
      <c r="C395" s="163"/>
      <c r="D395" s="186"/>
      <c r="E395" s="186"/>
      <c r="F395" s="18" t="s">
        <v>508</v>
      </c>
      <c r="G395" s="40" t="s">
        <v>8</v>
      </c>
      <c r="H395" s="61">
        <v>3035</v>
      </c>
      <c r="I395" s="61">
        <v>2624</v>
      </c>
      <c r="J395" s="61">
        <v>2254</v>
      </c>
      <c r="K395" s="61">
        <v>1889</v>
      </c>
      <c r="L395" s="61">
        <v>1514</v>
      </c>
      <c r="M395" s="61">
        <v>1144</v>
      </c>
      <c r="N395" s="61">
        <v>775</v>
      </c>
      <c r="O395" s="61">
        <f>470</f>
        <v>470</v>
      </c>
      <c r="P395" s="63">
        <f t="shared" si="246"/>
        <v>13705</v>
      </c>
    </row>
    <row r="396" spans="1:16" ht="15.75" customHeight="1" x14ac:dyDescent="0.25">
      <c r="A396" s="135"/>
      <c r="B396" s="155"/>
      <c r="C396" s="163"/>
      <c r="D396" s="186"/>
      <c r="E396" s="186"/>
      <c r="F396" s="38"/>
      <c r="G396" s="42" t="s">
        <v>100</v>
      </c>
      <c r="H396" s="90">
        <f t="shared" ref="H396:O396" si="274">SUM(H394:H395)</f>
        <v>11724</v>
      </c>
      <c r="I396" s="90">
        <f t="shared" si="274"/>
        <v>11313</v>
      </c>
      <c r="J396" s="90">
        <f t="shared" si="274"/>
        <v>10943</v>
      </c>
      <c r="K396" s="90">
        <f t="shared" si="274"/>
        <v>10578</v>
      </c>
      <c r="L396" s="90">
        <f t="shared" si="274"/>
        <v>10203</v>
      </c>
      <c r="M396" s="90">
        <f t="shared" si="274"/>
        <v>9833</v>
      </c>
      <c r="N396" s="90">
        <f t="shared" si="274"/>
        <v>9464</v>
      </c>
      <c r="O396" s="90">
        <f t="shared" si="274"/>
        <v>11328</v>
      </c>
      <c r="P396" s="91">
        <f t="shared" si="246"/>
        <v>85386</v>
      </c>
    </row>
    <row r="397" spans="1:16" ht="15.75" customHeight="1" x14ac:dyDescent="0.25">
      <c r="A397" s="133">
        <f t="shared" ref="A397" si="275">A394+1</f>
        <v>130</v>
      </c>
      <c r="B397" s="155" t="s">
        <v>11</v>
      </c>
      <c r="C397" s="163" t="s">
        <v>721</v>
      </c>
      <c r="D397" s="185" t="s">
        <v>491</v>
      </c>
      <c r="E397" s="185" t="s">
        <v>280</v>
      </c>
      <c r="F397" s="22" t="s">
        <v>494</v>
      </c>
      <c r="G397" s="41" t="s">
        <v>5</v>
      </c>
      <c r="H397" s="71">
        <v>16880</v>
      </c>
      <c r="I397" s="71">
        <v>16880</v>
      </c>
      <c r="J397" s="71">
        <v>16880</v>
      </c>
      <c r="K397" s="71">
        <v>16880</v>
      </c>
      <c r="L397" s="71">
        <v>16880</v>
      </c>
      <c r="M397" s="71">
        <v>16880</v>
      </c>
      <c r="N397" s="71">
        <v>16880</v>
      </c>
      <c r="O397" s="71">
        <f>4220*49+4170-16880</f>
        <v>194070</v>
      </c>
      <c r="P397" s="62">
        <f>SUM(H397:O397)</f>
        <v>312230</v>
      </c>
    </row>
    <row r="398" spans="1:16" ht="15.75" customHeight="1" x14ac:dyDescent="0.25">
      <c r="A398" s="134"/>
      <c r="B398" s="155"/>
      <c r="C398" s="163"/>
      <c r="D398" s="186"/>
      <c r="E398" s="186"/>
      <c r="F398" s="18" t="s">
        <v>509</v>
      </c>
      <c r="G398" s="40" t="s">
        <v>8</v>
      </c>
      <c r="H398" s="61">
        <v>14343</v>
      </c>
      <c r="I398" s="61">
        <v>13604</v>
      </c>
      <c r="J398" s="61">
        <v>12819</v>
      </c>
      <c r="K398" s="61">
        <v>12065</v>
      </c>
      <c r="L398" s="61">
        <v>11248</v>
      </c>
      <c r="M398" s="61">
        <v>10463</v>
      </c>
      <c r="N398" s="61">
        <v>9680</v>
      </c>
      <c r="O398" s="61">
        <f>55020</f>
        <v>55020</v>
      </c>
      <c r="P398" s="63">
        <f t="shared" si="246"/>
        <v>139242</v>
      </c>
    </row>
    <row r="399" spans="1:16" ht="15.75" customHeight="1" x14ac:dyDescent="0.25">
      <c r="A399" s="135"/>
      <c r="B399" s="155"/>
      <c r="C399" s="163"/>
      <c r="D399" s="186"/>
      <c r="E399" s="186"/>
      <c r="F399" s="38"/>
      <c r="G399" s="42" t="s">
        <v>100</v>
      </c>
      <c r="H399" s="90">
        <f t="shared" ref="H399:O399" si="276">SUM(H397:H398)</f>
        <v>31223</v>
      </c>
      <c r="I399" s="90">
        <f t="shared" si="276"/>
        <v>30484</v>
      </c>
      <c r="J399" s="90">
        <f t="shared" si="276"/>
        <v>29699</v>
      </c>
      <c r="K399" s="90">
        <f t="shared" si="276"/>
        <v>28945</v>
      </c>
      <c r="L399" s="90">
        <f t="shared" si="276"/>
        <v>28128</v>
      </c>
      <c r="M399" s="90">
        <f t="shared" si="276"/>
        <v>27343</v>
      </c>
      <c r="N399" s="90">
        <f t="shared" si="276"/>
        <v>26560</v>
      </c>
      <c r="O399" s="90">
        <f t="shared" si="276"/>
        <v>249090</v>
      </c>
      <c r="P399" s="91">
        <f t="shared" si="246"/>
        <v>451472</v>
      </c>
    </row>
    <row r="400" spans="1:16" ht="14.25" customHeight="1" x14ac:dyDescent="0.25">
      <c r="A400" s="133">
        <f t="shared" ref="A400" si="277">A397+1</f>
        <v>131</v>
      </c>
      <c r="B400" s="187" t="s">
        <v>11</v>
      </c>
      <c r="C400" s="177" t="s">
        <v>722</v>
      </c>
      <c r="D400" s="129" t="s">
        <v>560</v>
      </c>
      <c r="E400" s="129" t="s">
        <v>561</v>
      </c>
      <c r="F400" s="22" t="s">
        <v>562</v>
      </c>
      <c r="G400" s="41" t="s">
        <v>5</v>
      </c>
      <c r="H400" s="71">
        <v>23064</v>
      </c>
      <c r="I400" s="71">
        <v>30752</v>
      </c>
      <c r="J400" s="71">
        <v>30752</v>
      </c>
      <c r="K400" s="71">
        <v>30752</v>
      </c>
      <c r="L400" s="71">
        <v>30752</v>
      </c>
      <c r="M400" s="71">
        <v>30752</v>
      </c>
      <c r="N400" s="71">
        <v>30752</v>
      </c>
      <c r="O400" s="71">
        <f>422794-146072-30752-30752</f>
        <v>215218</v>
      </c>
      <c r="P400" s="62">
        <f>SUM(H400:O400)</f>
        <v>422794</v>
      </c>
    </row>
    <row r="401" spans="1:16" ht="13.5" customHeight="1" x14ac:dyDescent="0.25">
      <c r="A401" s="134"/>
      <c r="B401" s="187"/>
      <c r="C401" s="177"/>
      <c r="D401" s="130"/>
      <c r="E401" s="130"/>
      <c r="F401" s="18" t="s">
        <v>563</v>
      </c>
      <c r="G401" s="40" t="s">
        <v>8</v>
      </c>
      <c r="H401" s="61">
        <v>19204</v>
      </c>
      <c r="I401" s="61">
        <v>18042</v>
      </c>
      <c r="J401" s="61">
        <v>16637</v>
      </c>
      <c r="K401" s="61">
        <v>15270</v>
      </c>
      <c r="L401" s="61">
        <v>13824</v>
      </c>
      <c r="M401" s="61">
        <v>12419</v>
      </c>
      <c r="N401" s="61">
        <v>11016</v>
      </c>
      <c r="O401" s="61">
        <f>48893-11016</f>
        <v>37877</v>
      </c>
      <c r="P401" s="63">
        <f t="shared" si="246"/>
        <v>144289</v>
      </c>
    </row>
    <row r="402" spans="1:16" ht="15.75" customHeight="1" x14ac:dyDescent="0.25">
      <c r="A402" s="135"/>
      <c r="B402" s="187"/>
      <c r="C402" s="177"/>
      <c r="D402" s="130"/>
      <c r="E402" s="130"/>
      <c r="F402" s="38"/>
      <c r="G402" s="42" t="s">
        <v>100</v>
      </c>
      <c r="H402" s="90">
        <f t="shared" ref="H402:O402" si="278">SUM(H400:H401)</f>
        <v>42268</v>
      </c>
      <c r="I402" s="90">
        <f t="shared" si="278"/>
        <v>48794</v>
      </c>
      <c r="J402" s="90">
        <f t="shared" si="278"/>
        <v>47389</v>
      </c>
      <c r="K402" s="90">
        <f t="shared" si="278"/>
        <v>46022</v>
      </c>
      <c r="L402" s="90">
        <f t="shared" si="278"/>
        <v>44576</v>
      </c>
      <c r="M402" s="90">
        <f t="shared" si="278"/>
        <v>43171</v>
      </c>
      <c r="N402" s="90">
        <f t="shared" si="278"/>
        <v>41768</v>
      </c>
      <c r="O402" s="90">
        <f t="shared" si="278"/>
        <v>253095</v>
      </c>
      <c r="P402" s="91">
        <f t="shared" si="246"/>
        <v>567083</v>
      </c>
    </row>
    <row r="403" spans="1:16" ht="15" customHeight="1" x14ac:dyDescent="0.25">
      <c r="A403" s="133">
        <f t="shared" ref="A403" si="279">A400+1</f>
        <v>132</v>
      </c>
      <c r="B403" s="155" t="s">
        <v>11</v>
      </c>
      <c r="C403" s="188" t="s">
        <v>723</v>
      </c>
      <c r="D403" s="129" t="s">
        <v>506</v>
      </c>
      <c r="E403" s="129" t="s">
        <v>507</v>
      </c>
      <c r="F403" s="22" t="s">
        <v>504</v>
      </c>
      <c r="G403" s="41" t="s">
        <v>5</v>
      </c>
      <c r="H403" s="71">
        <v>160130</v>
      </c>
      <c r="I403" s="71">
        <v>160130</v>
      </c>
      <c r="J403" s="71">
        <v>160130</v>
      </c>
      <c r="K403" s="71">
        <v>160130</v>
      </c>
      <c r="L403" s="71">
        <v>160130</v>
      </c>
      <c r="M403" s="71">
        <v>160130</v>
      </c>
      <c r="N403" s="71">
        <v>160130</v>
      </c>
      <c r="O403" s="71">
        <f>2201793-1120910</f>
        <v>1080883</v>
      </c>
      <c r="P403" s="62">
        <f>SUM(H403:O403)</f>
        <v>2201793</v>
      </c>
    </row>
    <row r="404" spans="1:16" ht="15.75" customHeight="1" x14ac:dyDescent="0.25">
      <c r="A404" s="134"/>
      <c r="B404" s="155"/>
      <c r="C404" s="188"/>
      <c r="D404" s="130"/>
      <c r="E404" s="130"/>
      <c r="F404" s="18" t="s">
        <v>505</v>
      </c>
      <c r="G404" s="40" t="s">
        <v>8</v>
      </c>
      <c r="H404" s="61">
        <v>97820</v>
      </c>
      <c r="I404" s="61">
        <v>90128</v>
      </c>
      <c r="J404" s="61">
        <v>82968</v>
      </c>
      <c r="K404" s="61">
        <v>76004</v>
      </c>
      <c r="L404" s="61">
        <v>68639</v>
      </c>
      <c r="M404" s="61">
        <v>61484</v>
      </c>
      <c r="N404" s="61">
        <v>54338</v>
      </c>
      <c r="O404" s="61">
        <f>179928</f>
        <v>179928</v>
      </c>
      <c r="P404" s="63">
        <f t="shared" si="246"/>
        <v>711309</v>
      </c>
    </row>
    <row r="405" spans="1:16" ht="15.75" customHeight="1" x14ac:dyDescent="0.25">
      <c r="A405" s="135"/>
      <c r="B405" s="155"/>
      <c r="C405" s="188"/>
      <c r="D405" s="130"/>
      <c r="E405" s="130"/>
      <c r="F405" s="38"/>
      <c r="G405" s="42" t="s">
        <v>100</v>
      </c>
      <c r="H405" s="90">
        <f t="shared" ref="H405:O405" si="280">SUM(H403:H404)</f>
        <v>257950</v>
      </c>
      <c r="I405" s="90">
        <f t="shared" si="280"/>
        <v>250258</v>
      </c>
      <c r="J405" s="90">
        <f t="shared" si="280"/>
        <v>243098</v>
      </c>
      <c r="K405" s="90">
        <f t="shared" si="280"/>
        <v>236134</v>
      </c>
      <c r="L405" s="90">
        <f t="shared" si="280"/>
        <v>228769</v>
      </c>
      <c r="M405" s="90">
        <f t="shared" si="280"/>
        <v>221614</v>
      </c>
      <c r="N405" s="90">
        <f t="shared" si="280"/>
        <v>214468</v>
      </c>
      <c r="O405" s="90">
        <f t="shared" si="280"/>
        <v>1260811</v>
      </c>
      <c r="P405" s="91">
        <f t="shared" si="246"/>
        <v>2913102</v>
      </c>
    </row>
    <row r="406" spans="1:16" ht="14.25" customHeight="1" x14ac:dyDescent="0.25">
      <c r="A406" s="133">
        <f t="shared" ref="A406" si="281">A403+1</f>
        <v>133</v>
      </c>
      <c r="B406" s="189" t="s">
        <v>11</v>
      </c>
      <c r="C406" s="163" t="s">
        <v>483</v>
      </c>
      <c r="D406" s="129" t="s">
        <v>556</v>
      </c>
      <c r="E406" s="129" t="s">
        <v>557</v>
      </c>
      <c r="F406" s="11" t="s">
        <v>558</v>
      </c>
      <c r="G406" s="41" t="s">
        <v>5</v>
      </c>
      <c r="H406" s="71">
        <v>13928</v>
      </c>
      <c r="I406" s="71">
        <v>13928</v>
      </c>
      <c r="J406" s="71">
        <v>13928</v>
      </c>
      <c r="K406" s="71">
        <v>13928</v>
      </c>
      <c r="L406" s="71">
        <v>13928</v>
      </c>
      <c r="M406" s="71">
        <v>13928</v>
      </c>
      <c r="N406" s="71">
        <v>13928</v>
      </c>
      <c r="O406" s="71">
        <f>308507-73122-13928-13928</f>
        <v>207529</v>
      </c>
      <c r="P406" s="96">
        <f>SUM(H406:O406)</f>
        <v>305025</v>
      </c>
    </row>
    <row r="407" spans="1:16" ht="14.25" customHeight="1" x14ac:dyDescent="0.25">
      <c r="A407" s="134"/>
      <c r="B407" s="189"/>
      <c r="C407" s="156"/>
      <c r="D407" s="130"/>
      <c r="E407" s="130"/>
      <c r="F407" s="15" t="s">
        <v>559</v>
      </c>
      <c r="G407" s="40" t="s">
        <v>8</v>
      </c>
      <c r="H407" s="61">
        <v>14840</v>
      </c>
      <c r="I407" s="61">
        <v>14159</v>
      </c>
      <c r="J407" s="61">
        <v>13476</v>
      </c>
      <c r="K407" s="61">
        <v>12827</v>
      </c>
      <c r="L407" s="61">
        <v>12109</v>
      </c>
      <c r="M407" s="61">
        <v>11427</v>
      </c>
      <c r="N407" s="61">
        <v>10745</v>
      </c>
      <c r="O407" s="61">
        <f>79901</f>
        <v>79901</v>
      </c>
      <c r="P407" s="64">
        <f t="shared" si="246"/>
        <v>169484</v>
      </c>
    </row>
    <row r="408" spans="1:16" ht="14.25" customHeight="1" x14ac:dyDescent="0.25">
      <c r="A408" s="135"/>
      <c r="B408" s="189"/>
      <c r="C408" s="156"/>
      <c r="D408" s="130"/>
      <c r="E408" s="130"/>
      <c r="F408" s="38"/>
      <c r="G408" s="13" t="s">
        <v>100</v>
      </c>
      <c r="H408" s="90">
        <f t="shared" ref="H408:O408" si="282">SUM(H406:H407)</f>
        <v>28768</v>
      </c>
      <c r="I408" s="90">
        <f t="shared" si="282"/>
        <v>28087</v>
      </c>
      <c r="J408" s="90">
        <f t="shared" si="282"/>
        <v>27404</v>
      </c>
      <c r="K408" s="90">
        <f t="shared" si="282"/>
        <v>26755</v>
      </c>
      <c r="L408" s="90">
        <f t="shared" si="282"/>
        <v>26037</v>
      </c>
      <c r="M408" s="90">
        <f t="shared" si="282"/>
        <v>25355</v>
      </c>
      <c r="N408" s="90">
        <f t="shared" si="282"/>
        <v>24673</v>
      </c>
      <c r="O408" s="90">
        <f t="shared" si="282"/>
        <v>287430</v>
      </c>
      <c r="P408" s="99">
        <f t="shared" si="246"/>
        <v>474509</v>
      </c>
    </row>
    <row r="409" spans="1:16" ht="14.25" customHeight="1" x14ac:dyDescent="0.25">
      <c r="A409" s="133">
        <f t="shared" ref="A409" si="283">A406+1</f>
        <v>134</v>
      </c>
      <c r="B409" s="155" t="s">
        <v>11</v>
      </c>
      <c r="C409" s="182" t="s">
        <v>484</v>
      </c>
      <c r="D409" s="129" t="s">
        <v>510</v>
      </c>
      <c r="E409" s="129" t="s">
        <v>286</v>
      </c>
      <c r="F409" s="11" t="s">
        <v>511</v>
      </c>
      <c r="G409" s="41" t="s">
        <v>5</v>
      </c>
      <c r="H409" s="71">
        <v>36932</v>
      </c>
      <c r="I409" s="71">
        <v>36932</v>
      </c>
      <c r="J409" s="71">
        <v>36932</v>
      </c>
      <c r="K409" s="71">
        <v>36932</v>
      </c>
      <c r="L409" s="71">
        <v>36932</v>
      </c>
      <c r="M409" s="71">
        <v>36932</v>
      </c>
      <c r="N409" s="71">
        <v>36932</v>
      </c>
      <c r="O409" s="71">
        <f>9233*29+9191-36932</f>
        <v>240016</v>
      </c>
      <c r="P409" s="62">
        <f>SUM(H409:O409)</f>
        <v>498540</v>
      </c>
    </row>
    <row r="410" spans="1:16" ht="14.25" customHeight="1" x14ac:dyDescent="0.25">
      <c r="A410" s="134"/>
      <c r="B410" s="155"/>
      <c r="C410" s="190"/>
      <c r="D410" s="130"/>
      <c r="E410" s="130"/>
      <c r="F410" s="15" t="s">
        <v>512</v>
      </c>
      <c r="G410" s="40" t="s">
        <v>8</v>
      </c>
      <c r="H410" s="61">
        <v>21824</v>
      </c>
      <c r="I410" s="61">
        <v>20275</v>
      </c>
      <c r="J410" s="61">
        <v>18632</v>
      </c>
      <c r="K410" s="61">
        <v>17032</v>
      </c>
      <c r="L410" s="61">
        <v>15343</v>
      </c>
      <c r="M410" s="61">
        <v>13700</v>
      </c>
      <c r="N410" s="61">
        <v>12060</v>
      </c>
      <c r="O410" s="61">
        <f>50554-12060</f>
        <v>38494</v>
      </c>
      <c r="P410" s="63">
        <f t="shared" si="246"/>
        <v>157360</v>
      </c>
    </row>
    <row r="411" spans="1:16" ht="14.25" customHeight="1" x14ac:dyDescent="0.25">
      <c r="A411" s="135"/>
      <c r="B411" s="155"/>
      <c r="C411" s="190"/>
      <c r="D411" s="130"/>
      <c r="E411" s="130"/>
      <c r="F411" s="38"/>
      <c r="G411" s="13" t="s">
        <v>100</v>
      </c>
      <c r="H411" s="90">
        <f t="shared" ref="H411:O411" si="284">SUM(H409:H410)</f>
        <v>58756</v>
      </c>
      <c r="I411" s="90">
        <f t="shared" si="284"/>
        <v>57207</v>
      </c>
      <c r="J411" s="90">
        <f t="shared" si="284"/>
        <v>55564</v>
      </c>
      <c r="K411" s="90">
        <f t="shared" si="284"/>
        <v>53964</v>
      </c>
      <c r="L411" s="90">
        <f t="shared" si="284"/>
        <v>52275</v>
      </c>
      <c r="M411" s="90">
        <f t="shared" si="284"/>
        <v>50632</v>
      </c>
      <c r="N411" s="90">
        <f t="shared" si="284"/>
        <v>48992</v>
      </c>
      <c r="O411" s="90">
        <f t="shared" si="284"/>
        <v>278510</v>
      </c>
      <c r="P411" s="91">
        <f t="shared" si="246"/>
        <v>655900</v>
      </c>
    </row>
    <row r="412" spans="1:16" ht="14.25" customHeight="1" x14ac:dyDescent="0.25">
      <c r="A412" s="133">
        <f t="shared" ref="A412" si="285">A409+1</f>
        <v>135</v>
      </c>
      <c r="B412" s="187" t="s">
        <v>11</v>
      </c>
      <c r="C412" s="182" t="s">
        <v>715</v>
      </c>
      <c r="D412" s="129" t="s">
        <v>543</v>
      </c>
      <c r="E412" s="129" t="s">
        <v>544</v>
      </c>
      <c r="F412" s="11" t="s">
        <v>541</v>
      </c>
      <c r="G412" s="41" t="s">
        <v>5</v>
      </c>
      <c r="H412" s="71">
        <v>26012</v>
      </c>
      <c r="I412" s="71">
        <v>26012</v>
      </c>
      <c r="J412" s="71">
        <v>26012</v>
      </c>
      <c r="K412" s="71">
        <v>26012</v>
      </c>
      <c r="L412" s="71">
        <v>26012</v>
      </c>
      <c r="M412" s="71">
        <v>26012</v>
      </c>
      <c r="N412" s="71">
        <v>26012</v>
      </c>
      <c r="O412" s="71">
        <f>357622-130060-26012-26012</f>
        <v>175538</v>
      </c>
      <c r="P412" s="62">
        <f>SUM(H412:O412)</f>
        <v>357622</v>
      </c>
    </row>
    <row r="413" spans="1:16" ht="14.25" customHeight="1" x14ac:dyDescent="0.25">
      <c r="A413" s="134"/>
      <c r="B413" s="187"/>
      <c r="C413" s="190"/>
      <c r="D413" s="130"/>
      <c r="E413" s="130"/>
      <c r="F413" s="15" t="s">
        <v>542</v>
      </c>
      <c r="G413" s="40" t="s">
        <v>8</v>
      </c>
      <c r="H413" s="61">
        <v>16199</v>
      </c>
      <c r="I413" s="61">
        <v>15070</v>
      </c>
      <c r="J413" s="61">
        <v>13873</v>
      </c>
      <c r="K413" s="61">
        <v>12708</v>
      </c>
      <c r="L413" s="61">
        <v>11476</v>
      </c>
      <c r="M413" s="61">
        <v>10280</v>
      </c>
      <c r="N413" s="61">
        <v>9085</v>
      </c>
      <c r="O413" s="61">
        <f>30102</f>
        <v>30102</v>
      </c>
      <c r="P413" s="63">
        <f t="shared" si="246"/>
        <v>118793</v>
      </c>
    </row>
    <row r="414" spans="1:16" ht="14.25" customHeight="1" x14ac:dyDescent="0.25">
      <c r="A414" s="135"/>
      <c r="B414" s="187"/>
      <c r="C414" s="190"/>
      <c r="D414" s="130"/>
      <c r="E414" s="130"/>
      <c r="F414" s="38"/>
      <c r="G414" s="13" t="s">
        <v>100</v>
      </c>
      <c r="H414" s="90">
        <f t="shared" ref="H414:O414" si="286">SUM(H412:H413)</f>
        <v>42211</v>
      </c>
      <c r="I414" s="90">
        <f t="shared" si="286"/>
        <v>41082</v>
      </c>
      <c r="J414" s="90">
        <f t="shared" si="286"/>
        <v>39885</v>
      </c>
      <c r="K414" s="90">
        <f t="shared" si="286"/>
        <v>38720</v>
      </c>
      <c r="L414" s="90">
        <f t="shared" si="286"/>
        <v>37488</v>
      </c>
      <c r="M414" s="90">
        <f t="shared" si="286"/>
        <v>36292</v>
      </c>
      <c r="N414" s="90">
        <f t="shared" si="286"/>
        <v>35097</v>
      </c>
      <c r="O414" s="90">
        <f t="shared" si="286"/>
        <v>205640</v>
      </c>
      <c r="P414" s="91">
        <f t="shared" si="246"/>
        <v>476415</v>
      </c>
    </row>
    <row r="415" spans="1:16" ht="14.25" customHeight="1" x14ac:dyDescent="0.25">
      <c r="A415" s="133">
        <f t="shared" ref="A415" si="287">A412+1</f>
        <v>136</v>
      </c>
      <c r="B415" s="187" t="s">
        <v>11</v>
      </c>
      <c r="C415" s="182" t="s">
        <v>496</v>
      </c>
      <c r="D415" s="129" t="s">
        <v>543</v>
      </c>
      <c r="E415" s="129" t="s">
        <v>547</v>
      </c>
      <c r="F415" s="11" t="s">
        <v>545</v>
      </c>
      <c r="G415" s="41" t="s">
        <v>5</v>
      </c>
      <c r="H415" s="71">
        <v>12184</v>
      </c>
      <c r="I415" s="71">
        <v>12184</v>
      </c>
      <c r="J415" s="71">
        <v>12184</v>
      </c>
      <c r="K415" s="71">
        <v>12184</v>
      </c>
      <c r="L415" s="71">
        <v>12184</v>
      </c>
      <c r="M415" s="71">
        <v>12184</v>
      </c>
      <c r="N415" s="71">
        <v>12184</v>
      </c>
      <c r="O415" s="71">
        <f>112667-67012-12184-12184</f>
        <v>21287</v>
      </c>
      <c r="P415" s="62">
        <f>SUM(H415:O415)</f>
        <v>106575</v>
      </c>
    </row>
    <row r="416" spans="1:16" ht="14.25" customHeight="1" x14ac:dyDescent="0.25">
      <c r="A416" s="134"/>
      <c r="B416" s="187"/>
      <c r="C416" s="190"/>
      <c r="D416" s="130"/>
      <c r="E416" s="130"/>
      <c r="F416" s="15" t="s">
        <v>546</v>
      </c>
      <c r="G416" s="40" t="s">
        <v>8</v>
      </c>
      <c r="H416" s="61">
        <v>4518</v>
      </c>
      <c r="I416" s="61">
        <v>3993</v>
      </c>
      <c r="J416" s="61">
        <v>3467</v>
      </c>
      <c r="K416" s="61">
        <v>2948</v>
      </c>
      <c r="L416" s="61">
        <v>2414</v>
      </c>
      <c r="M416" s="61">
        <v>1888</v>
      </c>
      <c r="N416" s="61">
        <v>1363</v>
      </c>
      <c r="O416" s="61">
        <f>1141</f>
        <v>1141</v>
      </c>
      <c r="P416" s="63">
        <f t="shared" si="246"/>
        <v>21732</v>
      </c>
    </row>
    <row r="417" spans="1:16" ht="14.25" customHeight="1" x14ac:dyDescent="0.25">
      <c r="A417" s="135"/>
      <c r="B417" s="187"/>
      <c r="C417" s="190"/>
      <c r="D417" s="130"/>
      <c r="E417" s="130"/>
      <c r="F417" s="38"/>
      <c r="G417" s="13" t="s">
        <v>100</v>
      </c>
      <c r="H417" s="90">
        <f t="shared" ref="H417:O417" si="288">SUM(H415:H416)</f>
        <v>16702</v>
      </c>
      <c r="I417" s="90">
        <f t="shared" si="288"/>
        <v>16177</v>
      </c>
      <c r="J417" s="90">
        <f t="shared" si="288"/>
        <v>15651</v>
      </c>
      <c r="K417" s="90">
        <f t="shared" si="288"/>
        <v>15132</v>
      </c>
      <c r="L417" s="90">
        <f t="shared" si="288"/>
        <v>14598</v>
      </c>
      <c r="M417" s="90">
        <f t="shared" si="288"/>
        <v>14072</v>
      </c>
      <c r="N417" s="90">
        <f t="shared" si="288"/>
        <v>13547</v>
      </c>
      <c r="O417" s="90">
        <f t="shared" si="288"/>
        <v>22428</v>
      </c>
      <c r="P417" s="91">
        <f t="shared" si="246"/>
        <v>128307</v>
      </c>
    </row>
    <row r="418" spans="1:16" ht="14.25" customHeight="1" x14ac:dyDescent="0.25">
      <c r="A418" s="133">
        <f t="shared" ref="A418" si="289">A415+1</f>
        <v>137</v>
      </c>
      <c r="B418" s="187" t="s">
        <v>11</v>
      </c>
      <c r="C418" s="182" t="s">
        <v>485</v>
      </c>
      <c r="D418" s="129" t="s">
        <v>543</v>
      </c>
      <c r="E418" s="129" t="s">
        <v>547</v>
      </c>
      <c r="F418" s="11" t="s">
        <v>548</v>
      </c>
      <c r="G418" s="41" t="s">
        <v>5</v>
      </c>
      <c r="H418" s="71">
        <v>23480</v>
      </c>
      <c r="I418" s="71">
        <v>23480</v>
      </c>
      <c r="J418" s="71">
        <v>23480</v>
      </c>
      <c r="K418" s="71">
        <v>23480</v>
      </c>
      <c r="L418" s="71">
        <v>23480</v>
      </c>
      <c r="M418" s="71">
        <v>23480</v>
      </c>
      <c r="N418" s="71">
        <v>23480</v>
      </c>
      <c r="O418" s="71">
        <f>208393-123926-22532+2608-23480</f>
        <v>41063</v>
      </c>
      <c r="P418" s="62">
        <f>SUM(H418:O418)</f>
        <v>205423</v>
      </c>
    </row>
    <row r="419" spans="1:16" ht="14.25" customHeight="1" x14ac:dyDescent="0.25">
      <c r="A419" s="134"/>
      <c r="B419" s="187"/>
      <c r="C419" s="190"/>
      <c r="D419" s="130"/>
      <c r="E419" s="130"/>
      <c r="F419" s="15" t="s">
        <v>549</v>
      </c>
      <c r="G419" s="40" t="s">
        <v>8</v>
      </c>
      <c r="H419" s="61">
        <v>8681</v>
      </c>
      <c r="I419" s="61">
        <v>7697</v>
      </c>
      <c r="J419" s="61">
        <v>6683</v>
      </c>
      <c r="K419" s="61">
        <v>5683</v>
      </c>
      <c r="L419" s="61">
        <v>4654</v>
      </c>
      <c r="M419" s="61">
        <v>3640</v>
      </c>
      <c r="N419" s="61">
        <v>2628</v>
      </c>
      <c r="O419" s="61">
        <f>2202</f>
        <v>2202</v>
      </c>
      <c r="P419" s="63">
        <f t="shared" si="246"/>
        <v>41868</v>
      </c>
    </row>
    <row r="420" spans="1:16" ht="14.25" customHeight="1" x14ac:dyDescent="0.25">
      <c r="A420" s="135"/>
      <c r="B420" s="187"/>
      <c r="C420" s="190"/>
      <c r="D420" s="130"/>
      <c r="E420" s="130"/>
      <c r="F420" s="38"/>
      <c r="G420" s="13" t="s">
        <v>100</v>
      </c>
      <c r="H420" s="90">
        <f t="shared" ref="H420:O420" si="290">SUM(H418:H419)</f>
        <v>32161</v>
      </c>
      <c r="I420" s="90">
        <f t="shared" si="290"/>
        <v>31177</v>
      </c>
      <c r="J420" s="90">
        <f t="shared" si="290"/>
        <v>30163</v>
      </c>
      <c r="K420" s="90">
        <f t="shared" si="290"/>
        <v>29163</v>
      </c>
      <c r="L420" s="90">
        <f t="shared" si="290"/>
        <v>28134</v>
      </c>
      <c r="M420" s="90">
        <f t="shared" si="290"/>
        <v>27120</v>
      </c>
      <c r="N420" s="90">
        <f t="shared" si="290"/>
        <v>26108</v>
      </c>
      <c r="O420" s="90">
        <f t="shared" si="290"/>
        <v>43265</v>
      </c>
      <c r="P420" s="91">
        <f t="shared" ref="P420:P426" si="291">SUM(H420:O420)</f>
        <v>247291</v>
      </c>
    </row>
    <row r="421" spans="1:16" ht="14.25" customHeight="1" x14ac:dyDescent="0.25">
      <c r="A421" s="133">
        <f t="shared" ref="A421" si="292">A418+1</f>
        <v>138</v>
      </c>
      <c r="B421" s="155" t="s">
        <v>11</v>
      </c>
      <c r="C421" s="182" t="s">
        <v>501</v>
      </c>
      <c r="D421" s="129" t="s">
        <v>513</v>
      </c>
      <c r="E421" s="129" t="s">
        <v>516</v>
      </c>
      <c r="F421" s="11" t="s">
        <v>517</v>
      </c>
      <c r="G421" s="41" t="s">
        <v>5</v>
      </c>
      <c r="H421" s="71">
        <f t="shared" ref="H421:M421" si="293">4327*4</f>
        <v>17308</v>
      </c>
      <c r="I421" s="71">
        <f t="shared" si="293"/>
        <v>17308</v>
      </c>
      <c r="J421" s="71">
        <f t="shared" si="293"/>
        <v>17308</v>
      </c>
      <c r="K421" s="71">
        <f t="shared" si="293"/>
        <v>17308</v>
      </c>
      <c r="L421" s="71">
        <f t="shared" si="293"/>
        <v>17308</v>
      </c>
      <c r="M421" s="71">
        <f t="shared" si="293"/>
        <v>17308</v>
      </c>
      <c r="N421" s="71">
        <v>17308</v>
      </c>
      <c r="O421" s="71">
        <f>155761-95194-17308-17308</f>
        <v>25951</v>
      </c>
      <c r="P421" s="62">
        <f>SUM(H421:O421)</f>
        <v>147107</v>
      </c>
    </row>
    <row r="422" spans="1:16" ht="14.25" customHeight="1" x14ac:dyDescent="0.25">
      <c r="A422" s="134"/>
      <c r="B422" s="155"/>
      <c r="C422" s="190"/>
      <c r="D422" s="130"/>
      <c r="E422" s="130"/>
      <c r="F422" s="15" t="s">
        <v>518</v>
      </c>
      <c r="G422" s="40" t="s">
        <v>8</v>
      </c>
      <c r="H422" s="61">
        <v>6115</v>
      </c>
      <c r="I422" s="61">
        <v>5383</v>
      </c>
      <c r="J422" s="61">
        <v>4650</v>
      </c>
      <c r="K422" s="61">
        <v>3926</v>
      </c>
      <c r="L422" s="61">
        <v>3128</v>
      </c>
      <c r="M422" s="61">
        <v>2449</v>
      </c>
      <c r="N422" s="61">
        <v>1718</v>
      </c>
      <c r="O422" s="61">
        <f>1246</f>
        <v>1246</v>
      </c>
      <c r="P422" s="63">
        <f t="shared" si="291"/>
        <v>28615</v>
      </c>
    </row>
    <row r="423" spans="1:16" ht="14.25" customHeight="1" x14ac:dyDescent="0.25">
      <c r="A423" s="135"/>
      <c r="B423" s="155"/>
      <c r="C423" s="190"/>
      <c r="D423" s="130"/>
      <c r="E423" s="130"/>
      <c r="F423" s="38"/>
      <c r="G423" s="13" t="s">
        <v>100</v>
      </c>
      <c r="H423" s="90">
        <f t="shared" ref="H423:O423" si="294">SUM(H421:H422)</f>
        <v>23423</v>
      </c>
      <c r="I423" s="90">
        <f t="shared" si="294"/>
        <v>22691</v>
      </c>
      <c r="J423" s="90">
        <f t="shared" si="294"/>
        <v>21958</v>
      </c>
      <c r="K423" s="90">
        <f t="shared" si="294"/>
        <v>21234</v>
      </c>
      <c r="L423" s="90">
        <f t="shared" si="294"/>
        <v>20436</v>
      </c>
      <c r="M423" s="90">
        <f t="shared" si="294"/>
        <v>19757</v>
      </c>
      <c r="N423" s="90">
        <f t="shared" si="294"/>
        <v>19026</v>
      </c>
      <c r="O423" s="90">
        <f t="shared" si="294"/>
        <v>27197</v>
      </c>
      <c r="P423" s="91">
        <f t="shared" si="291"/>
        <v>175722</v>
      </c>
    </row>
    <row r="424" spans="1:16" ht="15.75" customHeight="1" x14ac:dyDescent="0.25">
      <c r="A424" s="133">
        <f t="shared" ref="A424" si="295">A421+1</f>
        <v>139</v>
      </c>
      <c r="B424" s="155" t="s">
        <v>11</v>
      </c>
      <c r="C424" s="191" t="s">
        <v>502</v>
      </c>
      <c r="D424" s="129" t="s">
        <v>513</v>
      </c>
      <c r="E424" s="129" t="s">
        <v>516</v>
      </c>
      <c r="F424" s="11" t="s">
        <v>514</v>
      </c>
      <c r="G424" s="41" t="s">
        <v>5</v>
      </c>
      <c r="H424" s="71">
        <v>22280</v>
      </c>
      <c r="I424" s="71">
        <v>22280</v>
      </c>
      <c r="J424" s="71">
        <v>22280</v>
      </c>
      <c r="K424" s="71">
        <v>22280</v>
      </c>
      <c r="L424" s="71">
        <v>22280</v>
      </c>
      <c r="M424" s="71">
        <v>22280</v>
      </c>
      <c r="N424" s="71">
        <v>22280</v>
      </c>
      <c r="O424" s="71">
        <f>5570*30-1-22280</f>
        <v>144819</v>
      </c>
      <c r="P424" s="62">
        <f>SUM(H424:O424)</f>
        <v>300779</v>
      </c>
    </row>
    <row r="425" spans="1:16" ht="14.25" customHeight="1" x14ac:dyDescent="0.25">
      <c r="A425" s="134"/>
      <c r="B425" s="155"/>
      <c r="C425" s="191"/>
      <c r="D425" s="130"/>
      <c r="E425" s="130"/>
      <c r="F425" s="40" t="s">
        <v>515</v>
      </c>
      <c r="G425" s="40" t="s">
        <v>8</v>
      </c>
      <c r="H425" s="61">
        <v>13167</v>
      </c>
      <c r="I425" s="61">
        <v>12233</v>
      </c>
      <c r="J425" s="61">
        <v>11241</v>
      </c>
      <c r="K425" s="61">
        <v>10276</v>
      </c>
      <c r="L425" s="61">
        <v>9257</v>
      </c>
      <c r="M425" s="61">
        <v>8266</v>
      </c>
      <c r="N425" s="61">
        <v>7277</v>
      </c>
      <c r="O425" s="61">
        <f>30506-7277</f>
        <v>23229</v>
      </c>
      <c r="P425" s="63">
        <f t="shared" si="291"/>
        <v>94946</v>
      </c>
    </row>
    <row r="426" spans="1:16" ht="15.75" customHeight="1" x14ac:dyDescent="0.25">
      <c r="A426" s="135"/>
      <c r="B426" s="155"/>
      <c r="C426" s="191"/>
      <c r="D426" s="130"/>
      <c r="E426" s="130"/>
      <c r="F426" s="38"/>
      <c r="G426" s="13" t="s">
        <v>100</v>
      </c>
      <c r="H426" s="90">
        <f t="shared" ref="H426:O426" si="296">SUM(H424:H425)</f>
        <v>35447</v>
      </c>
      <c r="I426" s="90">
        <f t="shared" si="296"/>
        <v>34513</v>
      </c>
      <c r="J426" s="90">
        <f t="shared" si="296"/>
        <v>33521</v>
      </c>
      <c r="K426" s="90">
        <f t="shared" si="296"/>
        <v>32556</v>
      </c>
      <c r="L426" s="90">
        <f t="shared" si="296"/>
        <v>31537</v>
      </c>
      <c r="M426" s="90">
        <f t="shared" si="296"/>
        <v>30546</v>
      </c>
      <c r="N426" s="90">
        <f t="shared" si="296"/>
        <v>29557</v>
      </c>
      <c r="O426" s="90">
        <f t="shared" si="296"/>
        <v>168048</v>
      </c>
      <c r="P426" s="91">
        <f t="shared" si="291"/>
        <v>395725</v>
      </c>
    </row>
    <row r="427" spans="1:16" ht="14.25" customHeight="1" x14ac:dyDescent="0.25">
      <c r="A427" s="133">
        <f t="shared" ref="A427" si="297">A424+1</f>
        <v>140</v>
      </c>
      <c r="B427" s="187" t="s">
        <v>11</v>
      </c>
      <c r="C427" s="182" t="s">
        <v>486</v>
      </c>
      <c r="D427" s="129" t="s">
        <v>543</v>
      </c>
      <c r="E427" s="129" t="s">
        <v>547</v>
      </c>
      <c r="F427" s="11" t="s">
        <v>550</v>
      </c>
      <c r="G427" s="41" t="s">
        <v>5</v>
      </c>
      <c r="H427" s="71">
        <v>5440</v>
      </c>
      <c r="I427" s="71">
        <v>5440</v>
      </c>
      <c r="J427" s="71">
        <v>5440</v>
      </c>
      <c r="K427" s="71">
        <v>5440</v>
      </c>
      <c r="L427" s="71">
        <v>5440</v>
      </c>
      <c r="M427" s="71">
        <v>5440</v>
      </c>
      <c r="N427" s="71">
        <v>5440</v>
      </c>
      <c r="O427" s="71">
        <f>50294-29920-5440-5440</f>
        <v>9494</v>
      </c>
      <c r="P427" s="62">
        <f>SUM(H427:O427)</f>
        <v>47574</v>
      </c>
    </row>
    <row r="428" spans="1:16" ht="14.25" customHeight="1" x14ac:dyDescent="0.25">
      <c r="A428" s="134"/>
      <c r="B428" s="187"/>
      <c r="C428" s="190"/>
      <c r="D428" s="130"/>
      <c r="E428" s="130"/>
      <c r="F428" s="15" t="s">
        <v>551</v>
      </c>
      <c r="G428" s="40" t="s">
        <v>8</v>
      </c>
      <c r="H428" s="61">
        <v>2017</v>
      </c>
      <c r="I428" s="61">
        <v>1782</v>
      </c>
      <c r="J428" s="61">
        <v>1547</v>
      </c>
      <c r="K428" s="61">
        <v>1315</v>
      </c>
      <c r="L428" s="61">
        <v>1078</v>
      </c>
      <c r="M428" s="61">
        <v>843</v>
      </c>
      <c r="N428" s="61">
        <v>608</v>
      </c>
      <c r="O428" s="61">
        <f>509</f>
        <v>509</v>
      </c>
      <c r="P428" s="63">
        <f t="shared" ref="P428:P489" si="298">SUM(H428:O428)</f>
        <v>9699</v>
      </c>
    </row>
    <row r="429" spans="1:16" ht="14.25" customHeight="1" x14ac:dyDescent="0.25">
      <c r="A429" s="135"/>
      <c r="B429" s="187"/>
      <c r="C429" s="190"/>
      <c r="D429" s="130"/>
      <c r="E429" s="130"/>
      <c r="F429" s="38"/>
      <c r="G429" s="13" t="s">
        <v>100</v>
      </c>
      <c r="H429" s="90">
        <f t="shared" ref="H429:O429" si="299">SUM(H427:H428)</f>
        <v>7457</v>
      </c>
      <c r="I429" s="90">
        <f t="shared" si="299"/>
        <v>7222</v>
      </c>
      <c r="J429" s="90">
        <f t="shared" si="299"/>
        <v>6987</v>
      </c>
      <c r="K429" s="90">
        <f t="shared" si="299"/>
        <v>6755</v>
      </c>
      <c r="L429" s="90">
        <f t="shared" si="299"/>
        <v>6518</v>
      </c>
      <c r="M429" s="90">
        <f t="shared" si="299"/>
        <v>6283</v>
      </c>
      <c r="N429" s="90">
        <f t="shared" si="299"/>
        <v>6048</v>
      </c>
      <c r="O429" s="90">
        <f t="shared" si="299"/>
        <v>10003</v>
      </c>
      <c r="P429" s="91">
        <f t="shared" si="298"/>
        <v>57273</v>
      </c>
    </row>
    <row r="430" spans="1:16" ht="14.25" customHeight="1" x14ac:dyDescent="0.25">
      <c r="A430" s="133">
        <f t="shared" ref="A430" si="300">A427+1</f>
        <v>141</v>
      </c>
      <c r="B430" s="187" t="s">
        <v>11</v>
      </c>
      <c r="C430" s="182" t="s">
        <v>495</v>
      </c>
      <c r="D430" s="129" t="s">
        <v>543</v>
      </c>
      <c r="E430" s="129" t="s">
        <v>547</v>
      </c>
      <c r="F430" s="11" t="s">
        <v>552</v>
      </c>
      <c r="G430" s="41" t="s">
        <v>5</v>
      </c>
      <c r="H430" s="71">
        <v>18856</v>
      </c>
      <c r="I430" s="71">
        <v>18856</v>
      </c>
      <c r="J430" s="71">
        <v>18856</v>
      </c>
      <c r="K430" s="71">
        <v>18856</v>
      </c>
      <c r="L430" s="71">
        <v>18856</v>
      </c>
      <c r="M430" s="71">
        <v>18856</v>
      </c>
      <c r="N430" s="71">
        <v>18856</v>
      </c>
      <c r="O430" s="71">
        <f>174418-103708-18856-3-18856</f>
        <v>32995</v>
      </c>
      <c r="P430" s="62">
        <f>SUM(H430:O430)</f>
        <v>164987</v>
      </c>
    </row>
    <row r="431" spans="1:16" ht="14.25" customHeight="1" x14ac:dyDescent="0.25">
      <c r="A431" s="134"/>
      <c r="B431" s="187"/>
      <c r="C431" s="190"/>
      <c r="D431" s="130"/>
      <c r="E431" s="130"/>
      <c r="F431" s="15" t="s">
        <v>553</v>
      </c>
      <c r="G431" s="40" t="s">
        <v>8</v>
      </c>
      <c r="H431" s="61">
        <v>6995</v>
      </c>
      <c r="I431" s="61">
        <v>6182</v>
      </c>
      <c r="J431" s="61">
        <v>5368</v>
      </c>
      <c r="K431" s="61">
        <v>4565</v>
      </c>
      <c r="L431" s="61">
        <v>3738</v>
      </c>
      <c r="M431" s="61">
        <v>2924</v>
      </c>
      <c r="N431" s="61">
        <v>2111</v>
      </c>
      <c r="O431" s="61">
        <f>1303+467</f>
        <v>1770</v>
      </c>
      <c r="P431" s="63">
        <f t="shared" si="298"/>
        <v>33653</v>
      </c>
    </row>
    <row r="432" spans="1:16" ht="14.25" customHeight="1" x14ac:dyDescent="0.25">
      <c r="A432" s="135"/>
      <c r="B432" s="187"/>
      <c r="C432" s="190"/>
      <c r="D432" s="130"/>
      <c r="E432" s="130"/>
      <c r="F432" s="38"/>
      <c r="G432" s="13" t="s">
        <v>100</v>
      </c>
      <c r="H432" s="90">
        <f t="shared" ref="H432:O432" si="301">SUM(H430:H431)</f>
        <v>25851</v>
      </c>
      <c r="I432" s="90">
        <f t="shared" si="301"/>
        <v>25038</v>
      </c>
      <c r="J432" s="90">
        <f t="shared" si="301"/>
        <v>24224</v>
      </c>
      <c r="K432" s="90">
        <f t="shared" si="301"/>
        <v>23421</v>
      </c>
      <c r="L432" s="90">
        <f t="shared" si="301"/>
        <v>22594</v>
      </c>
      <c r="M432" s="90">
        <f t="shared" si="301"/>
        <v>21780</v>
      </c>
      <c r="N432" s="90">
        <f t="shared" si="301"/>
        <v>20967</v>
      </c>
      <c r="O432" s="90">
        <f t="shared" si="301"/>
        <v>34765</v>
      </c>
      <c r="P432" s="91">
        <f t="shared" si="298"/>
        <v>198640</v>
      </c>
    </row>
    <row r="433" spans="1:16" ht="14.25" customHeight="1" x14ac:dyDescent="0.25">
      <c r="A433" s="133">
        <f t="shared" ref="A433" si="302">A430+1</f>
        <v>142</v>
      </c>
      <c r="B433" s="155" t="s">
        <v>11</v>
      </c>
      <c r="C433" s="182" t="s">
        <v>487</v>
      </c>
      <c r="D433" s="129" t="s">
        <v>513</v>
      </c>
      <c r="E433" s="129" t="s">
        <v>132</v>
      </c>
      <c r="F433" s="11" t="s">
        <v>519</v>
      </c>
      <c r="G433" s="41" t="s">
        <v>5</v>
      </c>
      <c r="H433" s="71">
        <f t="shared" ref="H433:M433" si="303">3808*4</f>
        <v>15232</v>
      </c>
      <c r="I433" s="71">
        <f t="shared" si="303"/>
        <v>15232</v>
      </c>
      <c r="J433" s="71">
        <f t="shared" si="303"/>
        <v>15232</v>
      </c>
      <c r="K433" s="71">
        <f t="shared" si="303"/>
        <v>15232</v>
      </c>
      <c r="L433" s="71">
        <f t="shared" si="303"/>
        <v>15232</v>
      </c>
      <c r="M433" s="71">
        <f t="shared" si="303"/>
        <v>15232</v>
      </c>
      <c r="N433" s="71">
        <v>15232</v>
      </c>
      <c r="O433" s="71">
        <f>137087-83776-15232-15232</f>
        <v>22847</v>
      </c>
      <c r="P433" s="62">
        <f>SUM(H433:O433)</f>
        <v>129471</v>
      </c>
    </row>
    <row r="434" spans="1:16" ht="14.25" customHeight="1" x14ac:dyDescent="0.25">
      <c r="A434" s="134"/>
      <c r="B434" s="155"/>
      <c r="C434" s="190"/>
      <c r="D434" s="130"/>
      <c r="E434" s="130"/>
      <c r="F434" s="15" t="s">
        <v>520</v>
      </c>
      <c r="G434" s="40" t="s">
        <v>8</v>
      </c>
      <c r="H434" s="61">
        <v>5381</v>
      </c>
      <c r="I434" s="61">
        <v>4738</v>
      </c>
      <c r="J434" s="61">
        <v>4092</v>
      </c>
      <c r="K434" s="61">
        <v>3456</v>
      </c>
      <c r="L434" s="61">
        <v>2801</v>
      </c>
      <c r="M434" s="61">
        <v>2156</v>
      </c>
      <c r="N434" s="61">
        <v>1512</v>
      </c>
      <c r="O434" s="61">
        <f>871+227</f>
        <v>1098</v>
      </c>
      <c r="P434" s="63">
        <f t="shared" si="298"/>
        <v>25234</v>
      </c>
    </row>
    <row r="435" spans="1:16" ht="14.25" customHeight="1" x14ac:dyDescent="0.25">
      <c r="A435" s="135"/>
      <c r="B435" s="155"/>
      <c r="C435" s="190"/>
      <c r="D435" s="130"/>
      <c r="E435" s="130"/>
      <c r="F435" s="38"/>
      <c r="G435" s="13" t="s">
        <v>100</v>
      </c>
      <c r="H435" s="90">
        <f t="shared" ref="H435:O435" si="304">SUM(H433:H434)</f>
        <v>20613</v>
      </c>
      <c r="I435" s="90">
        <f t="shared" si="304"/>
        <v>19970</v>
      </c>
      <c r="J435" s="90">
        <f t="shared" si="304"/>
        <v>19324</v>
      </c>
      <c r="K435" s="90">
        <f t="shared" si="304"/>
        <v>18688</v>
      </c>
      <c r="L435" s="90">
        <f t="shared" si="304"/>
        <v>18033</v>
      </c>
      <c r="M435" s="90">
        <f t="shared" si="304"/>
        <v>17388</v>
      </c>
      <c r="N435" s="90">
        <f t="shared" si="304"/>
        <v>16744</v>
      </c>
      <c r="O435" s="90">
        <f t="shared" si="304"/>
        <v>23945</v>
      </c>
      <c r="P435" s="91">
        <f t="shared" si="298"/>
        <v>154705</v>
      </c>
    </row>
    <row r="436" spans="1:16" ht="14.25" customHeight="1" x14ac:dyDescent="0.25">
      <c r="A436" s="133">
        <f t="shared" ref="A436" si="305">A433+1</f>
        <v>143</v>
      </c>
      <c r="B436" s="155" t="s">
        <v>11</v>
      </c>
      <c r="C436" s="182" t="s">
        <v>490</v>
      </c>
      <c r="D436" s="129" t="s">
        <v>513</v>
      </c>
      <c r="E436" s="129" t="s">
        <v>516</v>
      </c>
      <c r="F436" s="11" t="s">
        <v>521</v>
      </c>
      <c r="G436" s="41" t="s">
        <v>5</v>
      </c>
      <c r="H436" s="71">
        <f t="shared" ref="H436:M436" si="306">12331*4</f>
        <v>49324</v>
      </c>
      <c r="I436" s="71">
        <f t="shared" si="306"/>
        <v>49324</v>
      </c>
      <c r="J436" s="71">
        <f t="shared" si="306"/>
        <v>49324</v>
      </c>
      <c r="K436" s="71">
        <f t="shared" si="306"/>
        <v>49324</v>
      </c>
      <c r="L436" s="71">
        <f t="shared" si="306"/>
        <v>49324</v>
      </c>
      <c r="M436" s="71">
        <f t="shared" si="306"/>
        <v>49324</v>
      </c>
      <c r="N436" s="71">
        <v>49324</v>
      </c>
      <c r="O436" s="71">
        <f>665838-246620-49324-49324</f>
        <v>320570</v>
      </c>
      <c r="P436" s="62">
        <f>SUM(H436:O436)</f>
        <v>665838</v>
      </c>
    </row>
    <row r="437" spans="1:16" ht="14.25" customHeight="1" x14ac:dyDescent="0.25">
      <c r="A437" s="134"/>
      <c r="B437" s="155"/>
      <c r="C437" s="190"/>
      <c r="D437" s="130"/>
      <c r="E437" s="130"/>
      <c r="F437" s="15" t="s">
        <v>522</v>
      </c>
      <c r="G437" s="40" t="s">
        <v>8</v>
      </c>
      <c r="H437" s="61">
        <v>29148</v>
      </c>
      <c r="I437" s="61">
        <v>27079</v>
      </c>
      <c r="J437" s="61">
        <v>24884</v>
      </c>
      <c r="K437" s="61">
        <v>22748</v>
      </c>
      <c r="L437" s="61">
        <v>20492</v>
      </c>
      <c r="M437" s="61">
        <v>18298</v>
      </c>
      <c r="N437" s="61">
        <v>16107</v>
      </c>
      <c r="O437" s="61">
        <f>51415</f>
        <v>51415</v>
      </c>
      <c r="P437" s="63">
        <f t="shared" si="298"/>
        <v>210171</v>
      </c>
    </row>
    <row r="438" spans="1:16" ht="14.25" customHeight="1" x14ac:dyDescent="0.25">
      <c r="A438" s="135"/>
      <c r="B438" s="155"/>
      <c r="C438" s="190"/>
      <c r="D438" s="130"/>
      <c r="E438" s="130"/>
      <c r="F438" s="38"/>
      <c r="G438" s="13" t="s">
        <v>100</v>
      </c>
      <c r="H438" s="90">
        <f t="shared" ref="H438:O438" si="307">SUM(H436:H437)</f>
        <v>78472</v>
      </c>
      <c r="I438" s="90">
        <f t="shared" si="307"/>
        <v>76403</v>
      </c>
      <c r="J438" s="90">
        <f t="shared" si="307"/>
        <v>74208</v>
      </c>
      <c r="K438" s="90">
        <f t="shared" si="307"/>
        <v>72072</v>
      </c>
      <c r="L438" s="90">
        <f t="shared" si="307"/>
        <v>69816</v>
      </c>
      <c r="M438" s="90">
        <f t="shared" si="307"/>
        <v>67622</v>
      </c>
      <c r="N438" s="90">
        <f t="shared" si="307"/>
        <v>65431</v>
      </c>
      <c r="O438" s="90">
        <f t="shared" si="307"/>
        <v>371985</v>
      </c>
      <c r="P438" s="91">
        <f t="shared" si="298"/>
        <v>876009</v>
      </c>
    </row>
    <row r="439" spans="1:16" ht="14.25" customHeight="1" x14ac:dyDescent="0.25">
      <c r="A439" s="133">
        <f t="shared" ref="A439" si="308">A436+1</f>
        <v>144</v>
      </c>
      <c r="B439" s="155" t="s">
        <v>11</v>
      </c>
      <c r="C439" s="182" t="s">
        <v>503</v>
      </c>
      <c r="D439" s="129" t="s">
        <v>513</v>
      </c>
      <c r="E439" s="129" t="s">
        <v>516</v>
      </c>
      <c r="F439" s="11" t="s">
        <v>523</v>
      </c>
      <c r="G439" s="41" t="s">
        <v>5</v>
      </c>
      <c r="H439" s="71">
        <f t="shared" ref="H439:M439" si="309">11045*4</f>
        <v>44180</v>
      </c>
      <c r="I439" s="71">
        <f t="shared" si="309"/>
        <v>44180</v>
      </c>
      <c r="J439" s="71">
        <f t="shared" si="309"/>
        <v>44180</v>
      </c>
      <c r="K439" s="71">
        <f t="shared" si="309"/>
        <v>44180</v>
      </c>
      <c r="L439" s="71">
        <f t="shared" si="309"/>
        <v>44180</v>
      </c>
      <c r="M439" s="71">
        <f t="shared" si="309"/>
        <v>44180</v>
      </c>
      <c r="N439" s="71">
        <v>44180</v>
      </c>
      <c r="O439" s="71">
        <f>596420-220900-44180-44180</f>
        <v>287160</v>
      </c>
      <c r="P439" s="62">
        <f>SUM(H439:O439)</f>
        <v>596420</v>
      </c>
    </row>
    <row r="440" spans="1:16" ht="14.25" customHeight="1" x14ac:dyDescent="0.25">
      <c r="A440" s="134"/>
      <c r="B440" s="155"/>
      <c r="C440" s="190"/>
      <c r="D440" s="130"/>
      <c r="E440" s="130"/>
      <c r="F440" s="15" t="s">
        <v>524</v>
      </c>
      <c r="G440" s="40" t="s">
        <v>8</v>
      </c>
      <c r="H440" s="61">
        <v>26109</v>
      </c>
      <c r="I440" s="61">
        <v>24256</v>
      </c>
      <c r="J440" s="61">
        <v>22290</v>
      </c>
      <c r="K440" s="61">
        <v>20377</v>
      </c>
      <c r="L440" s="61">
        <v>18355</v>
      </c>
      <c r="M440" s="61">
        <v>16391</v>
      </c>
      <c r="N440" s="61">
        <v>14429</v>
      </c>
      <c r="O440" s="61">
        <f>46060</f>
        <v>46060</v>
      </c>
      <c r="P440" s="63">
        <f t="shared" si="298"/>
        <v>188267</v>
      </c>
    </row>
    <row r="441" spans="1:16" ht="14.25" customHeight="1" x14ac:dyDescent="0.25">
      <c r="A441" s="135"/>
      <c r="B441" s="155"/>
      <c r="C441" s="190"/>
      <c r="D441" s="130"/>
      <c r="E441" s="130"/>
      <c r="F441" s="38"/>
      <c r="G441" s="13" t="s">
        <v>100</v>
      </c>
      <c r="H441" s="90">
        <f t="shared" ref="H441:O441" si="310">SUM(H439:H440)</f>
        <v>70289</v>
      </c>
      <c r="I441" s="90">
        <f t="shared" si="310"/>
        <v>68436</v>
      </c>
      <c r="J441" s="90">
        <f t="shared" si="310"/>
        <v>66470</v>
      </c>
      <c r="K441" s="90">
        <f t="shared" si="310"/>
        <v>64557</v>
      </c>
      <c r="L441" s="90">
        <f t="shared" si="310"/>
        <v>62535</v>
      </c>
      <c r="M441" s="90">
        <f t="shared" si="310"/>
        <v>60571</v>
      </c>
      <c r="N441" s="90">
        <f t="shared" si="310"/>
        <v>58609</v>
      </c>
      <c r="O441" s="90">
        <f t="shared" si="310"/>
        <v>333220</v>
      </c>
      <c r="P441" s="91">
        <f t="shared" si="298"/>
        <v>784687</v>
      </c>
    </row>
    <row r="442" spans="1:16" ht="14.25" customHeight="1" x14ac:dyDescent="0.25">
      <c r="A442" s="133">
        <f t="shared" ref="A442" si="311">A439+1</f>
        <v>145</v>
      </c>
      <c r="B442" s="155" t="s">
        <v>11</v>
      </c>
      <c r="C442" s="182" t="s">
        <v>488</v>
      </c>
      <c r="D442" s="129" t="s">
        <v>513</v>
      </c>
      <c r="E442" s="129" t="s">
        <v>516</v>
      </c>
      <c r="F442" s="11" t="s">
        <v>525</v>
      </c>
      <c r="G442" s="41" t="s">
        <v>5</v>
      </c>
      <c r="H442" s="71">
        <f>3683*4</f>
        <v>14732</v>
      </c>
      <c r="I442" s="71">
        <f>3683*4</f>
        <v>14732</v>
      </c>
      <c r="J442" s="71">
        <f>3683*4</f>
        <v>14732</v>
      </c>
      <c r="K442" s="71">
        <f>3683*4</f>
        <v>14732</v>
      </c>
      <c r="L442" s="71">
        <f>3683*4</f>
        <v>14732</v>
      </c>
      <c r="M442" s="71">
        <v>14732</v>
      </c>
      <c r="N442" s="71">
        <v>14732</v>
      </c>
      <c r="O442" s="71">
        <f>198835-73660-14732-14732</f>
        <v>95711</v>
      </c>
      <c r="P442" s="62">
        <f>SUM(H442:O442)</f>
        <v>198835</v>
      </c>
    </row>
    <row r="443" spans="1:16" ht="13.5" customHeight="1" x14ac:dyDescent="0.25">
      <c r="A443" s="134"/>
      <c r="B443" s="155"/>
      <c r="C443" s="190"/>
      <c r="D443" s="130"/>
      <c r="E443" s="130"/>
      <c r="F443" s="15" t="s">
        <v>526</v>
      </c>
      <c r="G443" s="40" t="s">
        <v>8</v>
      </c>
      <c r="H443" s="61">
        <v>8704</v>
      </c>
      <c r="I443" s="61">
        <v>8086</v>
      </c>
      <c r="J443" s="61">
        <v>7431</v>
      </c>
      <c r="K443" s="61">
        <v>6793</v>
      </c>
      <c r="L443" s="61">
        <v>6119</v>
      </c>
      <c r="M443" s="61">
        <v>5464</v>
      </c>
      <c r="N443" s="61">
        <v>4809</v>
      </c>
      <c r="O443" s="61">
        <f>15346</f>
        <v>15346</v>
      </c>
      <c r="P443" s="63">
        <f t="shared" si="298"/>
        <v>62752</v>
      </c>
    </row>
    <row r="444" spans="1:16" ht="14.25" customHeight="1" x14ac:dyDescent="0.25">
      <c r="A444" s="135"/>
      <c r="B444" s="155"/>
      <c r="C444" s="190"/>
      <c r="D444" s="130"/>
      <c r="E444" s="130"/>
      <c r="F444" s="38"/>
      <c r="G444" s="13" t="s">
        <v>100</v>
      </c>
      <c r="H444" s="90">
        <f t="shared" ref="H444:O444" si="312">SUM(H442:H443)</f>
        <v>23436</v>
      </c>
      <c r="I444" s="90">
        <f t="shared" si="312"/>
        <v>22818</v>
      </c>
      <c r="J444" s="90">
        <f t="shared" si="312"/>
        <v>22163</v>
      </c>
      <c r="K444" s="90">
        <f t="shared" si="312"/>
        <v>21525</v>
      </c>
      <c r="L444" s="90">
        <f t="shared" si="312"/>
        <v>20851</v>
      </c>
      <c r="M444" s="90">
        <f t="shared" si="312"/>
        <v>20196</v>
      </c>
      <c r="N444" s="90">
        <f t="shared" si="312"/>
        <v>19541</v>
      </c>
      <c r="O444" s="90">
        <f t="shared" si="312"/>
        <v>111057</v>
      </c>
      <c r="P444" s="91">
        <f t="shared" si="298"/>
        <v>261587</v>
      </c>
    </row>
    <row r="445" spans="1:16" ht="14.25" customHeight="1" x14ac:dyDescent="0.25">
      <c r="A445" s="133">
        <f t="shared" ref="A445" si="313">A442+1</f>
        <v>146</v>
      </c>
      <c r="B445" s="187" t="s">
        <v>11</v>
      </c>
      <c r="C445" s="182" t="s">
        <v>497</v>
      </c>
      <c r="D445" s="129" t="s">
        <v>543</v>
      </c>
      <c r="E445" s="129" t="s">
        <v>544</v>
      </c>
      <c r="F445" s="11" t="s">
        <v>554</v>
      </c>
      <c r="G445" s="41" t="s">
        <v>5</v>
      </c>
      <c r="H445" s="71">
        <v>43916</v>
      </c>
      <c r="I445" s="71">
        <v>43916</v>
      </c>
      <c r="J445" s="71">
        <v>43916</v>
      </c>
      <c r="K445" s="71">
        <v>43916</v>
      </c>
      <c r="L445" s="71">
        <v>43916</v>
      </c>
      <c r="M445" s="71">
        <v>43916</v>
      </c>
      <c r="N445" s="71">
        <v>43916</v>
      </c>
      <c r="O445" s="71">
        <f>603825-219580-43916-43916</f>
        <v>296413</v>
      </c>
      <c r="P445" s="62">
        <f>SUM(H445:O445)</f>
        <v>603825</v>
      </c>
    </row>
    <row r="446" spans="1:16" ht="14.25" customHeight="1" x14ac:dyDescent="0.25">
      <c r="A446" s="134"/>
      <c r="B446" s="187"/>
      <c r="C446" s="190"/>
      <c r="D446" s="130"/>
      <c r="E446" s="130"/>
      <c r="F446" s="15" t="s">
        <v>555</v>
      </c>
      <c r="G446" s="40" t="s">
        <v>8</v>
      </c>
      <c r="H446" s="61">
        <v>27351</v>
      </c>
      <c r="I446" s="61">
        <v>25446</v>
      </c>
      <c r="J446" s="61">
        <v>23424</v>
      </c>
      <c r="K446" s="61">
        <v>21458</v>
      </c>
      <c r="L446" s="61">
        <v>19379</v>
      </c>
      <c r="M446" s="61">
        <v>17358</v>
      </c>
      <c r="N446" s="61">
        <v>15341</v>
      </c>
      <c r="O446" s="61">
        <f>50838</f>
        <v>50838</v>
      </c>
      <c r="P446" s="63">
        <f t="shared" si="298"/>
        <v>200595</v>
      </c>
    </row>
    <row r="447" spans="1:16" ht="14.25" customHeight="1" x14ac:dyDescent="0.25">
      <c r="A447" s="135"/>
      <c r="B447" s="187"/>
      <c r="C447" s="190"/>
      <c r="D447" s="130"/>
      <c r="E447" s="130"/>
      <c r="F447" s="38"/>
      <c r="G447" s="13" t="s">
        <v>100</v>
      </c>
      <c r="H447" s="90">
        <f t="shared" ref="H447:O447" si="314">SUM(H445:H446)</f>
        <v>71267</v>
      </c>
      <c r="I447" s="90">
        <f t="shared" si="314"/>
        <v>69362</v>
      </c>
      <c r="J447" s="90">
        <f t="shared" si="314"/>
        <v>67340</v>
      </c>
      <c r="K447" s="90">
        <f t="shared" si="314"/>
        <v>65374</v>
      </c>
      <c r="L447" s="90">
        <f t="shared" si="314"/>
        <v>63295</v>
      </c>
      <c r="M447" s="90">
        <f t="shared" si="314"/>
        <v>61274</v>
      </c>
      <c r="N447" s="90">
        <f t="shared" si="314"/>
        <v>59257</v>
      </c>
      <c r="O447" s="90">
        <f t="shared" si="314"/>
        <v>347251</v>
      </c>
      <c r="P447" s="91">
        <f t="shared" si="298"/>
        <v>804420</v>
      </c>
    </row>
    <row r="448" spans="1:16" ht="14.25" customHeight="1" x14ac:dyDescent="0.25">
      <c r="A448" s="133">
        <f t="shared" ref="A448" si="315">A445+1</f>
        <v>147</v>
      </c>
      <c r="B448" s="187" t="s">
        <v>11</v>
      </c>
      <c r="C448" s="163" t="s">
        <v>489</v>
      </c>
      <c r="D448" s="129" t="s">
        <v>566</v>
      </c>
      <c r="E448" s="129" t="s">
        <v>302</v>
      </c>
      <c r="F448" s="11" t="s">
        <v>564</v>
      </c>
      <c r="G448" s="41" t="s">
        <v>5</v>
      </c>
      <c r="H448" s="71">
        <v>9944</v>
      </c>
      <c r="I448" s="71">
        <v>9944</v>
      </c>
      <c r="J448" s="71">
        <v>9944</v>
      </c>
      <c r="K448" s="71">
        <v>9944</v>
      </c>
      <c r="L448" s="71">
        <v>9944</v>
      </c>
      <c r="M448" s="71">
        <v>9944</v>
      </c>
      <c r="N448" s="71">
        <v>9944</v>
      </c>
      <c r="O448" s="71">
        <f>91981-62150-9944</f>
        <v>19887</v>
      </c>
      <c r="P448" s="62">
        <f>SUM(H448:O448)</f>
        <v>89495</v>
      </c>
    </row>
    <row r="449" spans="1:16" ht="14.25" customHeight="1" x14ac:dyDescent="0.25">
      <c r="A449" s="134"/>
      <c r="B449" s="187"/>
      <c r="C449" s="156"/>
      <c r="D449" s="130"/>
      <c r="E449" s="130"/>
      <c r="F449" s="15" t="s">
        <v>565</v>
      </c>
      <c r="G449" s="40" t="s">
        <v>8</v>
      </c>
      <c r="H449" s="61">
        <v>4029</v>
      </c>
      <c r="I449" s="61">
        <v>3574</v>
      </c>
      <c r="J449" s="61">
        <v>3118</v>
      </c>
      <c r="K449" s="61">
        <v>2669</v>
      </c>
      <c r="L449" s="61">
        <v>2206</v>
      </c>
      <c r="M449" s="61">
        <v>1750</v>
      </c>
      <c r="N449" s="61">
        <v>1296</v>
      </c>
      <c r="O449" s="61">
        <f>1234</f>
        <v>1234</v>
      </c>
      <c r="P449" s="63">
        <f t="shared" si="298"/>
        <v>19876</v>
      </c>
    </row>
    <row r="450" spans="1:16" ht="14.25" customHeight="1" x14ac:dyDescent="0.25">
      <c r="A450" s="135"/>
      <c r="B450" s="187"/>
      <c r="C450" s="156"/>
      <c r="D450" s="130"/>
      <c r="E450" s="130"/>
      <c r="F450" s="38"/>
      <c r="G450" s="13" t="s">
        <v>100</v>
      </c>
      <c r="H450" s="90">
        <f t="shared" ref="H450:O450" si="316">SUM(H448:H449)</f>
        <v>13973</v>
      </c>
      <c r="I450" s="90">
        <f t="shared" si="316"/>
        <v>13518</v>
      </c>
      <c r="J450" s="90">
        <f t="shared" si="316"/>
        <v>13062</v>
      </c>
      <c r="K450" s="90">
        <f t="shared" si="316"/>
        <v>12613</v>
      </c>
      <c r="L450" s="90">
        <f t="shared" si="316"/>
        <v>12150</v>
      </c>
      <c r="M450" s="90">
        <f t="shared" si="316"/>
        <v>11694</v>
      </c>
      <c r="N450" s="90">
        <f t="shared" si="316"/>
        <v>11240</v>
      </c>
      <c r="O450" s="90">
        <f t="shared" si="316"/>
        <v>21121</v>
      </c>
      <c r="P450" s="91">
        <f t="shared" si="298"/>
        <v>109371</v>
      </c>
    </row>
    <row r="451" spans="1:16" ht="14.25" customHeight="1" x14ac:dyDescent="0.25">
      <c r="A451" s="133">
        <f t="shared" ref="A451" si="317">A448+1</f>
        <v>148</v>
      </c>
      <c r="B451" s="155" t="s">
        <v>11</v>
      </c>
      <c r="C451" s="163" t="s">
        <v>574</v>
      </c>
      <c r="D451" s="129" t="s">
        <v>576</v>
      </c>
      <c r="E451" s="129" t="s">
        <v>327</v>
      </c>
      <c r="F451" s="11" t="s">
        <v>578</v>
      </c>
      <c r="G451" s="41" t="s">
        <v>5</v>
      </c>
      <c r="H451" s="71">
        <v>6420</v>
      </c>
      <c r="I451" s="71">
        <v>8560</v>
      </c>
      <c r="J451" s="71">
        <v>8560</v>
      </c>
      <c r="K451" s="71">
        <v>8560</v>
      </c>
      <c r="L451" s="71">
        <v>8560</v>
      </c>
      <c r="M451" s="71">
        <v>8560</v>
      </c>
      <c r="N451" s="71">
        <v>8560</v>
      </c>
      <c r="O451" s="71">
        <f>79176-49220-8560</f>
        <v>21396</v>
      </c>
      <c r="P451" s="62">
        <f>SUM(H451:O451)</f>
        <v>79176</v>
      </c>
    </row>
    <row r="452" spans="1:16" ht="14.25" customHeight="1" x14ac:dyDescent="0.25">
      <c r="A452" s="134"/>
      <c r="B452" s="155"/>
      <c r="C452" s="156"/>
      <c r="D452" s="130"/>
      <c r="E452" s="130"/>
      <c r="F452" s="15" t="s">
        <v>580</v>
      </c>
      <c r="G452" s="40" t="s">
        <v>8</v>
      </c>
      <c r="H452" s="61">
        <v>2932</v>
      </c>
      <c r="I452" s="61">
        <v>2850</v>
      </c>
      <c r="J452" s="61">
        <v>2507</v>
      </c>
      <c r="K452" s="61">
        <v>2172</v>
      </c>
      <c r="L452" s="61">
        <v>1824</v>
      </c>
      <c r="M452" s="61">
        <v>1483</v>
      </c>
      <c r="N452" s="61">
        <v>1142</v>
      </c>
      <c r="O452" s="61">
        <f>1382</f>
        <v>1382</v>
      </c>
      <c r="P452" s="63">
        <f t="shared" si="298"/>
        <v>16292</v>
      </c>
    </row>
    <row r="453" spans="1:16" ht="14.25" customHeight="1" x14ac:dyDescent="0.25">
      <c r="A453" s="135"/>
      <c r="B453" s="155"/>
      <c r="C453" s="156"/>
      <c r="D453" s="130"/>
      <c r="E453" s="130"/>
      <c r="F453" s="38"/>
      <c r="G453" s="13" t="s">
        <v>100</v>
      </c>
      <c r="H453" s="90">
        <f t="shared" ref="H453:O453" si="318">SUM(H451:H452)</f>
        <v>9352</v>
      </c>
      <c r="I453" s="90">
        <f t="shared" si="318"/>
        <v>11410</v>
      </c>
      <c r="J453" s="90">
        <f t="shared" si="318"/>
        <v>11067</v>
      </c>
      <c r="K453" s="90">
        <f t="shared" si="318"/>
        <v>10732</v>
      </c>
      <c r="L453" s="90">
        <f t="shared" si="318"/>
        <v>10384</v>
      </c>
      <c r="M453" s="90">
        <f t="shared" si="318"/>
        <v>10043</v>
      </c>
      <c r="N453" s="90">
        <f t="shared" si="318"/>
        <v>9702</v>
      </c>
      <c r="O453" s="90">
        <f t="shared" si="318"/>
        <v>22778</v>
      </c>
      <c r="P453" s="91">
        <f t="shared" si="298"/>
        <v>95468</v>
      </c>
    </row>
    <row r="454" spans="1:16" ht="13.5" customHeight="1" x14ac:dyDescent="0.25">
      <c r="A454" s="133">
        <f t="shared" ref="A454" si="319">A451+1</f>
        <v>149</v>
      </c>
      <c r="B454" s="155" t="s">
        <v>11</v>
      </c>
      <c r="C454" s="182" t="s">
        <v>575</v>
      </c>
      <c r="D454" s="129" t="s">
        <v>583</v>
      </c>
      <c r="E454" s="129" t="s">
        <v>584</v>
      </c>
      <c r="F454" s="11" t="s">
        <v>581</v>
      </c>
      <c r="G454" s="41" t="s">
        <v>5</v>
      </c>
      <c r="H454" s="71">
        <v>0</v>
      </c>
      <c r="I454" s="71">
        <v>56868</v>
      </c>
      <c r="J454" s="71">
        <v>56868</v>
      </c>
      <c r="K454" s="71">
        <v>56868</v>
      </c>
      <c r="L454" s="71">
        <v>56868</v>
      </c>
      <c r="M454" s="71">
        <v>56868</v>
      </c>
      <c r="N454" s="71">
        <v>56868</v>
      </c>
      <c r="O454" s="71">
        <f>781926-284340-56868</f>
        <v>440718</v>
      </c>
      <c r="P454" s="62">
        <f>SUM(H454:O454)</f>
        <v>781926</v>
      </c>
    </row>
    <row r="455" spans="1:16" ht="14.25" customHeight="1" x14ac:dyDescent="0.25">
      <c r="A455" s="134"/>
      <c r="B455" s="155"/>
      <c r="C455" s="190"/>
      <c r="D455" s="130"/>
      <c r="E455" s="130"/>
      <c r="F455" s="15" t="s">
        <v>582</v>
      </c>
      <c r="G455" s="40" t="s">
        <v>8</v>
      </c>
      <c r="H455" s="61">
        <v>29345</v>
      </c>
      <c r="I455" s="61">
        <v>31806</v>
      </c>
      <c r="J455" s="61">
        <v>29587</v>
      </c>
      <c r="K455" s="61">
        <v>27307</v>
      </c>
      <c r="L455" s="61">
        <v>24883</v>
      </c>
      <c r="M455" s="61">
        <v>22534</v>
      </c>
      <c r="N455" s="61">
        <v>20188</v>
      </c>
      <c r="O455" s="61">
        <f>76918</f>
        <v>76918</v>
      </c>
      <c r="P455" s="63">
        <f t="shared" si="298"/>
        <v>262568</v>
      </c>
    </row>
    <row r="456" spans="1:16" ht="14.25" customHeight="1" x14ac:dyDescent="0.25">
      <c r="A456" s="135"/>
      <c r="B456" s="155"/>
      <c r="C456" s="190"/>
      <c r="D456" s="130"/>
      <c r="E456" s="130"/>
      <c r="F456" s="38"/>
      <c r="G456" s="13" t="s">
        <v>100</v>
      </c>
      <c r="H456" s="90">
        <f t="shared" ref="H456:O456" si="320">SUM(H454:H455)</f>
        <v>29345</v>
      </c>
      <c r="I456" s="90">
        <f t="shared" si="320"/>
        <v>88674</v>
      </c>
      <c r="J456" s="90">
        <f t="shared" si="320"/>
        <v>86455</v>
      </c>
      <c r="K456" s="90">
        <f t="shared" si="320"/>
        <v>84175</v>
      </c>
      <c r="L456" s="90">
        <f t="shared" si="320"/>
        <v>81751</v>
      </c>
      <c r="M456" s="90">
        <f t="shared" si="320"/>
        <v>79402</v>
      </c>
      <c r="N456" s="90">
        <f t="shared" si="320"/>
        <v>77056</v>
      </c>
      <c r="O456" s="90">
        <f t="shared" si="320"/>
        <v>517636</v>
      </c>
      <c r="P456" s="91">
        <f t="shared" si="298"/>
        <v>1044494</v>
      </c>
    </row>
    <row r="457" spans="1:16" ht="14.25" customHeight="1" x14ac:dyDescent="0.25">
      <c r="A457" s="133">
        <f t="shared" ref="A457" si="321">A454+1</f>
        <v>150</v>
      </c>
      <c r="B457" s="155" t="s">
        <v>11</v>
      </c>
      <c r="C457" s="163" t="s">
        <v>716</v>
      </c>
      <c r="D457" s="129" t="s">
        <v>583</v>
      </c>
      <c r="E457" s="129" t="s">
        <v>584</v>
      </c>
      <c r="F457" s="11" t="s">
        <v>585</v>
      </c>
      <c r="G457" s="41" t="s">
        <v>5</v>
      </c>
      <c r="H457" s="71">
        <v>0</v>
      </c>
      <c r="I457" s="71">
        <v>25776</v>
      </c>
      <c r="J457" s="71">
        <v>25776</v>
      </c>
      <c r="K457" s="71">
        <v>25776</v>
      </c>
      <c r="L457" s="71">
        <v>25776</v>
      </c>
      <c r="M457" s="71">
        <v>25776</v>
      </c>
      <c r="N457" s="71">
        <v>25776</v>
      </c>
      <c r="O457" s="71">
        <f>354406-128880-25776</f>
        <v>199750</v>
      </c>
      <c r="P457" s="62">
        <f>SUM(H457:O457)</f>
        <v>354406</v>
      </c>
    </row>
    <row r="458" spans="1:16" ht="14.25" customHeight="1" x14ac:dyDescent="0.25">
      <c r="A458" s="134"/>
      <c r="B458" s="155"/>
      <c r="C458" s="156"/>
      <c r="D458" s="130"/>
      <c r="E458" s="130"/>
      <c r="F458" s="15" t="s">
        <v>586</v>
      </c>
      <c r="G458" s="40" t="s">
        <v>8</v>
      </c>
      <c r="H458" s="61">
        <v>13543</v>
      </c>
      <c r="I458" s="61">
        <v>14416</v>
      </c>
      <c r="J458" s="61">
        <v>13410</v>
      </c>
      <c r="K458" s="61">
        <v>12377</v>
      </c>
      <c r="L458" s="61">
        <v>11278</v>
      </c>
      <c r="M458" s="61">
        <v>10213</v>
      </c>
      <c r="N458" s="61">
        <v>9150</v>
      </c>
      <c r="O458" s="61">
        <f>34861</f>
        <v>34861</v>
      </c>
      <c r="P458" s="63">
        <f t="shared" si="298"/>
        <v>119248</v>
      </c>
    </row>
    <row r="459" spans="1:16" ht="14.25" customHeight="1" x14ac:dyDescent="0.25">
      <c r="A459" s="135"/>
      <c r="B459" s="155"/>
      <c r="C459" s="156"/>
      <c r="D459" s="130"/>
      <c r="E459" s="130"/>
      <c r="F459" s="38"/>
      <c r="G459" s="13" t="s">
        <v>100</v>
      </c>
      <c r="H459" s="90">
        <f t="shared" ref="H459:O459" si="322">SUM(H457:H458)</f>
        <v>13543</v>
      </c>
      <c r="I459" s="90">
        <f t="shared" si="322"/>
        <v>40192</v>
      </c>
      <c r="J459" s="90">
        <f t="shared" si="322"/>
        <v>39186</v>
      </c>
      <c r="K459" s="90">
        <f t="shared" si="322"/>
        <v>38153</v>
      </c>
      <c r="L459" s="90">
        <f t="shared" si="322"/>
        <v>37054</v>
      </c>
      <c r="M459" s="90">
        <f t="shared" si="322"/>
        <v>35989</v>
      </c>
      <c r="N459" s="90">
        <f t="shared" si="322"/>
        <v>34926</v>
      </c>
      <c r="O459" s="90">
        <f t="shared" si="322"/>
        <v>234611</v>
      </c>
      <c r="P459" s="91">
        <f t="shared" si="298"/>
        <v>473654</v>
      </c>
    </row>
    <row r="460" spans="1:16" ht="14.25" customHeight="1" x14ac:dyDescent="0.25">
      <c r="A460" s="133">
        <f t="shared" ref="A460" si="323">A457+1</f>
        <v>151</v>
      </c>
      <c r="B460" s="155" t="s">
        <v>11</v>
      </c>
      <c r="C460" s="163" t="s">
        <v>577</v>
      </c>
      <c r="D460" s="129" t="s">
        <v>583</v>
      </c>
      <c r="E460" s="129" t="s">
        <v>590</v>
      </c>
      <c r="F460" s="11" t="s">
        <v>588</v>
      </c>
      <c r="G460" s="11" t="s">
        <v>5</v>
      </c>
      <c r="H460" s="71">
        <v>443778</v>
      </c>
      <c r="I460" s="71">
        <v>887556</v>
      </c>
      <c r="J460" s="71">
        <v>665666</v>
      </c>
      <c r="K460" s="100">
        <v>0</v>
      </c>
      <c r="L460" s="100">
        <v>0</v>
      </c>
      <c r="M460" s="100">
        <v>0</v>
      </c>
      <c r="N460" s="62">
        <v>0</v>
      </c>
      <c r="O460" s="100">
        <v>0</v>
      </c>
      <c r="P460" s="62">
        <f>SUM(H460:O460)</f>
        <v>1997000</v>
      </c>
    </row>
    <row r="461" spans="1:16" ht="14.25" customHeight="1" x14ac:dyDescent="0.25">
      <c r="A461" s="134"/>
      <c r="B461" s="155"/>
      <c r="C461" s="156"/>
      <c r="D461" s="130"/>
      <c r="E461" s="130"/>
      <c r="F461" s="15" t="s">
        <v>589</v>
      </c>
      <c r="G461" s="15" t="s">
        <v>8</v>
      </c>
      <c r="H461" s="61">
        <v>70395</v>
      </c>
      <c r="I461" s="61">
        <v>52067</v>
      </c>
      <c r="J461" s="61">
        <v>18048</v>
      </c>
      <c r="K461" s="61">
        <v>0</v>
      </c>
      <c r="L461" s="61">
        <v>0</v>
      </c>
      <c r="M461" s="61">
        <v>0</v>
      </c>
      <c r="N461" s="63">
        <v>0</v>
      </c>
      <c r="O461" s="61">
        <v>0</v>
      </c>
      <c r="P461" s="63">
        <f t="shared" si="298"/>
        <v>140510</v>
      </c>
    </row>
    <row r="462" spans="1:16" ht="14.25" customHeight="1" x14ac:dyDescent="0.25">
      <c r="A462" s="135"/>
      <c r="B462" s="155"/>
      <c r="C462" s="156"/>
      <c r="D462" s="130"/>
      <c r="E462" s="130"/>
      <c r="F462" s="38"/>
      <c r="G462" s="13" t="s">
        <v>100</v>
      </c>
      <c r="H462" s="90">
        <f t="shared" ref="H462:O462" si="324">SUM(H460:H461)</f>
        <v>514173</v>
      </c>
      <c r="I462" s="90">
        <f t="shared" si="324"/>
        <v>939623</v>
      </c>
      <c r="J462" s="90">
        <f t="shared" si="324"/>
        <v>683714</v>
      </c>
      <c r="K462" s="101">
        <f t="shared" si="324"/>
        <v>0</v>
      </c>
      <c r="L462" s="101">
        <f t="shared" si="324"/>
        <v>0</v>
      </c>
      <c r="M462" s="101">
        <f t="shared" si="324"/>
        <v>0</v>
      </c>
      <c r="N462" s="102">
        <f t="shared" si="324"/>
        <v>0</v>
      </c>
      <c r="O462" s="101">
        <f t="shared" si="324"/>
        <v>0</v>
      </c>
      <c r="P462" s="91">
        <f t="shared" si="298"/>
        <v>2137510</v>
      </c>
    </row>
    <row r="463" spans="1:16" ht="14.25" customHeight="1" x14ac:dyDescent="0.25">
      <c r="A463" s="133">
        <f t="shared" ref="A463" si="325">A460+1</f>
        <v>152</v>
      </c>
      <c r="B463" s="155" t="s">
        <v>11</v>
      </c>
      <c r="C463" s="163" t="s">
        <v>579</v>
      </c>
      <c r="D463" s="129" t="s">
        <v>594</v>
      </c>
      <c r="E463" s="129" t="s">
        <v>595</v>
      </c>
      <c r="F463" s="11" t="s">
        <v>596</v>
      </c>
      <c r="G463" s="41" t="s">
        <v>5</v>
      </c>
      <c r="H463" s="71">
        <v>0</v>
      </c>
      <c r="I463" s="71">
        <v>86612</v>
      </c>
      <c r="J463" s="71">
        <v>86612</v>
      </c>
      <c r="K463" s="71">
        <v>86612</v>
      </c>
      <c r="L463" s="71">
        <v>86612</v>
      </c>
      <c r="M463" s="71">
        <v>86612</v>
      </c>
      <c r="N463" s="71">
        <v>86612</v>
      </c>
      <c r="O463" s="71">
        <f>1190873-433060-86612</f>
        <v>671201</v>
      </c>
      <c r="P463" s="62">
        <f>SUM(H463:O463)</f>
        <v>1190873</v>
      </c>
    </row>
    <row r="464" spans="1:16" ht="14.25" customHeight="1" x14ac:dyDescent="0.25">
      <c r="A464" s="134"/>
      <c r="B464" s="155"/>
      <c r="C464" s="156"/>
      <c r="D464" s="130"/>
      <c r="E464" s="130"/>
      <c r="F464" s="15" t="s">
        <v>597</v>
      </c>
      <c r="G464" s="40" t="s">
        <v>8</v>
      </c>
      <c r="H464" s="61">
        <v>19381</v>
      </c>
      <c r="I464" s="61">
        <v>46602</v>
      </c>
      <c r="J464" s="61">
        <v>39722</v>
      </c>
      <c r="K464" s="61">
        <v>31762</v>
      </c>
      <c r="L464" s="61">
        <v>29022</v>
      </c>
      <c r="M464" s="61">
        <v>26282</v>
      </c>
      <c r="N464" s="61">
        <v>23542</v>
      </c>
      <c r="O464" s="61">
        <f>305984-216313</f>
        <v>89671</v>
      </c>
      <c r="P464" s="63">
        <f t="shared" si="298"/>
        <v>305984</v>
      </c>
    </row>
    <row r="465" spans="1:16" ht="14.25" customHeight="1" x14ac:dyDescent="0.25">
      <c r="A465" s="135"/>
      <c r="B465" s="155"/>
      <c r="C465" s="156"/>
      <c r="D465" s="130"/>
      <c r="E465" s="130"/>
      <c r="F465" s="38"/>
      <c r="G465" s="13" t="s">
        <v>100</v>
      </c>
      <c r="H465" s="90">
        <f t="shared" ref="H465:O465" si="326">SUM(H463:H464)</f>
        <v>19381</v>
      </c>
      <c r="I465" s="90">
        <f t="shared" si="326"/>
        <v>133214</v>
      </c>
      <c r="J465" s="90">
        <f t="shared" si="326"/>
        <v>126334</v>
      </c>
      <c r="K465" s="90">
        <f t="shared" si="326"/>
        <v>118374</v>
      </c>
      <c r="L465" s="90">
        <f t="shared" si="326"/>
        <v>115634</v>
      </c>
      <c r="M465" s="90">
        <f t="shared" si="326"/>
        <v>112894</v>
      </c>
      <c r="N465" s="90">
        <f t="shared" si="326"/>
        <v>110154</v>
      </c>
      <c r="O465" s="90">
        <f t="shared" si="326"/>
        <v>760872</v>
      </c>
      <c r="P465" s="91">
        <f t="shared" si="298"/>
        <v>1496857</v>
      </c>
    </row>
    <row r="466" spans="1:16" ht="14.25" customHeight="1" x14ac:dyDescent="0.25">
      <c r="A466" s="133">
        <f t="shared" ref="A466" si="327">A463+1</f>
        <v>153</v>
      </c>
      <c r="B466" s="155" t="s">
        <v>11</v>
      </c>
      <c r="C466" s="163" t="s">
        <v>593</v>
      </c>
      <c r="D466" s="129" t="s">
        <v>594</v>
      </c>
      <c r="E466" s="129" t="s">
        <v>595</v>
      </c>
      <c r="F466" s="11" t="s">
        <v>598</v>
      </c>
      <c r="G466" s="41" t="s">
        <v>5</v>
      </c>
      <c r="H466" s="71">
        <v>4254</v>
      </c>
      <c r="I466" s="71">
        <v>8508</v>
      </c>
      <c r="J466" s="71">
        <v>8508</v>
      </c>
      <c r="K466" s="71">
        <v>8508</v>
      </c>
      <c r="L466" s="71">
        <v>8508</v>
      </c>
      <c r="M466" s="71">
        <v>8508</v>
      </c>
      <c r="N466" s="71">
        <v>8508</v>
      </c>
      <c r="O466" s="100">
        <f>121188-46794-8508</f>
        <v>65886</v>
      </c>
      <c r="P466" s="62">
        <f>SUM(H466:O466)</f>
        <v>121188</v>
      </c>
    </row>
    <row r="467" spans="1:16" ht="14.25" customHeight="1" x14ac:dyDescent="0.25">
      <c r="A467" s="134"/>
      <c r="B467" s="155"/>
      <c r="C467" s="156"/>
      <c r="D467" s="130"/>
      <c r="E467" s="130"/>
      <c r="F467" s="15" t="s">
        <v>599</v>
      </c>
      <c r="G467" s="40" t="s">
        <v>8</v>
      </c>
      <c r="H467" s="61">
        <v>4293</v>
      </c>
      <c r="I467" s="61">
        <v>4595</v>
      </c>
      <c r="J467" s="61">
        <v>4257</v>
      </c>
      <c r="K467" s="103">
        <v>3929</v>
      </c>
      <c r="L467" s="103">
        <v>3580</v>
      </c>
      <c r="M467" s="103">
        <v>3242</v>
      </c>
      <c r="N467" s="61">
        <v>2904</v>
      </c>
      <c r="O467" s="103">
        <f>11065</f>
        <v>11065</v>
      </c>
      <c r="P467" s="63">
        <f t="shared" si="298"/>
        <v>37865</v>
      </c>
    </row>
    <row r="468" spans="1:16" ht="14.25" customHeight="1" x14ac:dyDescent="0.25">
      <c r="A468" s="135"/>
      <c r="B468" s="155"/>
      <c r="C468" s="156"/>
      <c r="D468" s="130"/>
      <c r="E468" s="130"/>
      <c r="F468" s="38"/>
      <c r="G468" s="13" t="s">
        <v>100</v>
      </c>
      <c r="H468" s="90">
        <f t="shared" ref="H468:O468" si="328">SUM(H466:H467)</f>
        <v>8547</v>
      </c>
      <c r="I468" s="90">
        <f t="shared" si="328"/>
        <v>13103</v>
      </c>
      <c r="J468" s="90">
        <f t="shared" si="328"/>
        <v>12765</v>
      </c>
      <c r="K468" s="90">
        <f t="shared" si="328"/>
        <v>12437</v>
      </c>
      <c r="L468" s="90">
        <f t="shared" si="328"/>
        <v>12088</v>
      </c>
      <c r="M468" s="90">
        <f t="shared" si="328"/>
        <v>11750</v>
      </c>
      <c r="N468" s="90">
        <f t="shared" si="328"/>
        <v>11412</v>
      </c>
      <c r="O468" s="90">
        <f t="shared" si="328"/>
        <v>76951</v>
      </c>
      <c r="P468" s="91">
        <f t="shared" si="298"/>
        <v>159053</v>
      </c>
    </row>
    <row r="469" spans="1:16" ht="14.25" customHeight="1" x14ac:dyDescent="0.25">
      <c r="A469" s="133">
        <f t="shared" ref="A469" si="329">A466+1</f>
        <v>154</v>
      </c>
      <c r="B469" s="155" t="s">
        <v>11</v>
      </c>
      <c r="C469" s="177" t="s">
        <v>591</v>
      </c>
      <c r="D469" s="129" t="s">
        <v>594</v>
      </c>
      <c r="E469" s="129" t="s">
        <v>595</v>
      </c>
      <c r="F469" s="11" t="s">
        <v>600</v>
      </c>
      <c r="G469" s="41" t="s">
        <v>5</v>
      </c>
      <c r="H469" s="71">
        <v>3226</v>
      </c>
      <c r="I469" s="71">
        <v>6452</v>
      </c>
      <c r="J469" s="71">
        <v>6452</v>
      </c>
      <c r="K469" s="71">
        <v>6452</v>
      </c>
      <c r="L469" s="71">
        <v>6452</v>
      </c>
      <c r="M469" s="71">
        <v>6452</v>
      </c>
      <c r="N469" s="71">
        <v>6452</v>
      </c>
      <c r="O469" s="71">
        <f>91916-35486-6452</f>
        <v>49978</v>
      </c>
      <c r="P469" s="62">
        <f>SUM(H469:O469)</f>
        <v>91916</v>
      </c>
    </row>
    <row r="470" spans="1:16" ht="14.25" customHeight="1" x14ac:dyDescent="0.25">
      <c r="A470" s="134"/>
      <c r="B470" s="155"/>
      <c r="C470" s="177"/>
      <c r="D470" s="130"/>
      <c r="E470" s="130"/>
      <c r="F470" s="15" t="s">
        <v>601</v>
      </c>
      <c r="G470" s="40" t="s">
        <v>8</v>
      </c>
      <c r="H470" s="61">
        <v>3567</v>
      </c>
      <c r="I470" s="61">
        <v>3485</v>
      </c>
      <c r="J470" s="61">
        <v>3229</v>
      </c>
      <c r="K470" s="61">
        <v>2980</v>
      </c>
      <c r="L470" s="61">
        <v>2715</v>
      </c>
      <c r="M470" s="61">
        <v>2459</v>
      </c>
      <c r="N470" s="61">
        <v>2203</v>
      </c>
      <c r="O470" s="61">
        <f>8395</f>
        <v>8395</v>
      </c>
      <c r="P470" s="63">
        <f t="shared" si="298"/>
        <v>29033</v>
      </c>
    </row>
    <row r="471" spans="1:16" ht="14.25" customHeight="1" x14ac:dyDescent="0.25">
      <c r="A471" s="135"/>
      <c r="B471" s="155"/>
      <c r="C471" s="177"/>
      <c r="D471" s="130"/>
      <c r="E471" s="130"/>
      <c r="F471" s="38"/>
      <c r="G471" s="13" t="s">
        <v>100</v>
      </c>
      <c r="H471" s="90">
        <f t="shared" ref="H471:O471" si="330">SUM(H469:H470)</f>
        <v>6793</v>
      </c>
      <c r="I471" s="90">
        <f t="shared" si="330"/>
        <v>9937</v>
      </c>
      <c r="J471" s="90">
        <f t="shared" si="330"/>
        <v>9681</v>
      </c>
      <c r="K471" s="90">
        <f t="shared" si="330"/>
        <v>9432</v>
      </c>
      <c r="L471" s="90">
        <f t="shared" si="330"/>
        <v>9167</v>
      </c>
      <c r="M471" s="90">
        <f t="shared" si="330"/>
        <v>8911</v>
      </c>
      <c r="N471" s="90">
        <f t="shared" si="330"/>
        <v>8655</v>
      </c>
      <c r="O471" s="90">
        <f t="shared" si="330"/>
        <v>58373</v>
      </c>
      <c r="P471" s="91">
        <f t="shared" si="298"/>
        <v>120949</v>
      </c>
    </row>
    <row r="472" spans="1:16" ht="14.25" customHeight="1" x14ac:dyDescent="0.25">
      <c r="A472" s="133">
        <f t="shared" ref="A472" si="331">A469+1</f>
        <v>155</v>
      </c>
      <c r="B472" s="155" t="s">
        <v>11</v>
      </c>
      <c r="C472" s="163" t="s">
        <v>592</v>
      </c>
      <c r="D472" s="129" t="s">
        <v>594</v>
      </c>
      <c r="E472" s="129" t="s">
        <v>595</v>
      </c>
      <c r="F472" s="11" t="s">
        <v>602</v>
      </c>
      <c r="G472" s="41" t="s">
        <v>5</v>
      </c>
      <c r="H472" s="71">
        <v>4688</v>
      </c>
      <c r="I472" s="71">
        <v>9376</v>
      </c>
      <c r="J472" s="71">
        <v>9376</v>
      </c>
      <c r="K472" s="71">
        <v>9376</v>
      </c>
      <c r="L472" s="71">
        <v>9376</v>
      </c>
      <c r="M472" s="71">
        <v>9376</v>
      </c>
      <c r="N472" s="71">
        <v>9376</v>
      </c>
      <c r="O472" s="71">
        <f>133597-51568-9376</f>
        <v>72653</v>
      </c>
      <c r="P472" s="62">
        <f>SUM(H472:O472)</f>
        <v>133597</v>
      </c>
    </row>
    <row r="473" spans="1:16" ht="14.25" customHeight="1" x14ac:dyDescent="0.25">
      <c r="A473" s="134"/>
      <c r="B473" s="155"/>
      <c r="C473" s="156"/>
      <c r="D473" s="130"/>
      <c r="E473" s="130"/>
      <c r="F473" s="15" t="s">
        <v>603</v>
      </c>
      <c r="G473" s="40" t="s">
        <v>8</v>
      </c>
      <c r="H473" s="61">
        <v>4799</v>
      </c>
      <c r="I473" s="61">
        <v>5066</v>
      </c>
      <c r="J473" s="61">
        <v>4693</v>
      </c>
      <c r="K473" s="61">
        <v>4332</v>
      </c>
      <c r="L473" s="61">
        <v>3947</v>
      </c>
      <c r="M473" s="61">
        <v>3574</v>
      </c>
      <c r="N473" s="61">
        <v>3202</v>
      </c>
      <c r="O473" s="61">
        <f>12208</f>
        <v>12208</v>
      </c>
      <c r="P473" s="63">
        <f t="shared" si="298"/>
        <v>41821</v>
      </c>
    </row>
    <row r="474" spans="1:16" ht="14.25" customHeight="1" x14ac:dyDescent="0.25">
      <c r="A474" s="135"/>
      <c r="B474" s="155"/>
      <c r="C474" s="156"/>
      <c r="D474" s="130"/>
      <c r="E474" s="130"/>
      <c r="F474" s="38"/>
      <c r="G474" s="13" t="s">
        <v>100</v>
      </c>
      <c r="H474" s="90">
        <f t="shared" ref="H474:O474" si="332">SUM(H472:H473)</f>
        <v>9487</v>
      </c>
      <c r="I474" s="90">
        <f t="shared" si="332"/>
        <v>14442</v>
      </c>
      <c r="J474" s="90">
        <f t="shared" si="332"/>
        <v>14069</v>
      </c>
      <c r="K474" s="90">
        <f t="shared" si="332"/>
        <v>13708</v>
      </c>
      <c r="L474" s="90">
        <f t="shared" si="332"/>
        <v>13323</v>
      </c>
      <c r="M474" s="90">
        <f t="shared" si="332"/>
        <v>12950</v>
      </c>
      <c r="N474" s="90">
        <f t="shared" si="332"/>
        <v>12578</v>
      </c>
      <c r="O474" s="90">
        <f t="shared" si="332"/>
        <v>84861</v>
      </c>
      <c r="P474" s="91">
        <f t="shared" si="298"/>
        <v>175418</v>
      </c>
    </row>
    <row r="475" spans="1:16" ht="14.25" customHeight="1" x14ac:dyDescent="0.25">
      <c r="A475" s="133">
        <f t="shared" ref="A475" si="333">A472+1</f>
        <v>156</v>
      </c>
      <c r="B475" s="155" t="s">
        <v>11</v>
      </c>
      <c r="C475" s="163" t="s">
        <v>724</v>
      </c>
      <c r="D475" s="129" t="s">
        <v>594</v>
      </c>
      <c r="E475" s="129" t="s">
        <v>604</v>
      </c>
      <c r="F475" s="11" t="s">
        <v>605</v>
      </c>
      <c r="G475" s="41" t="s">
        <v>5</v>
      </c>
      <c r="H475" s="71">
        <v>4040</v>
      </c>
      <c r="I475" s="71">
        <v>8080</v>
      </c>
      <c r="J475" s="71">
        <v>8080</v>
      </c>
      <c r="K475" s="71">
        <v>8080</v>
      </c>
      <c r="L475" s="71">
        <v>8080</v>
      </c>
      <c r="M475" s="71">
        <v>8080</v>
      </c>
      <c r="N475" s="71">
        <v>8080</v>
      </c>
      <c r="O475" s="71">
        <f>74723-44440-8080</f>
        <v>22203</v>
      </c>
      <c r="P475" s="62">
        <f>SUM(H475:O475)</f>
        <v>74723</v>
      </c>
    </row>
    <row r="476" spans="1:16" ht="14.25" customHeight="1" x14ac:dyDescent="0.25">
      <c r="A476" s="134"/>
      <c r="B476" s="155"/>
      <c r="C476" s="156"/>
      <c r="D476" s="130"/>
      <c r="E476" s="130"/>
      <c r="F476" s="15" t="s">
        <v>606</v>
      </c>
      <c r="G476" s="40" t="s">
        <v>8</v>
      </c>
      <c r="H476" s="61">
        <v>2518</v>
      </c>
      <c r="I476" s="61">
        <v>2565</v>
      </c>
      <c r="J476" s="61">
        <v>2266</v>
      </c>
      <c r="K476" s="61">
        <v>1973</v>
      </c>
      <c r="L476" s="61">
        <v>1669</v>
      </c>
      <c r="M476" s="61">
        <v>1370</v>
      </c>
      <c r="N476" s="61">
        <v>1072</v>
      </c>
      <c r="O476" s="61">
        <f>1422</f>
        <v>1422</v>
      </c>
      <c r="P476" s="63">
        <f t="shared" si="298"/>
        <v>14855</v>
      </c>
    </row>
    <row r="477" spans="1:16" ht="14.25" customHeight="1" x14ac:dyDescent="0.25">
      <c r="A477" s="135"/>
      <c r="B477" s="155"/>
      <c r="C477" s="156"/>
      <c r="D477" s="130"/>
      <c r="E477" s="130"/>
      <c r="F477" s="38"/>
      <c r="G477" s="13" t="s">
        <v>100</v>
      </c>
      <c r="H477" s="90">
        <f t="shared" ref="H477:O477" si="334">SUM(H475:H476)</f>
        <v>6558</v>
      </c>
      <c r="I477" s="90">
        <f t="shared" si="334"/>
        <v>10645</v>
      </c>
      <c r="J477" s="90">
        <f t="shared" si="334"/>
        <v>10346</v>
      </c>
      <c r="K477" s="90">
        <f t="shared" si="334"/>
        <v>10053</v>
      </c>
      <c r="L477" s="90">
        <f t="shared" si="334"/>
        <v>9749</v>
      </c>
      <c r="M477" s="90">
        <f t="shared" si="334"/>
        <v>9450</v>
      </c>
      <c r="N477" s="90">
        <f t="shared" si="334"/>
        <v>9152</v>
      </c>
      <c r="O477" s="90">
        <f t="shared" si="334"/>
        <v>23625</v>
      </c>
      <c r="P477" s="91">
        <f t="shared" si="298"/>
        <v>89578</v>
      </c>
    </row>
    <row r="478" spans="1:16" ht="14.25" customHeight="1" x14ac:dyDescent="0.25">
      <c r="A478" s="133">
        <f t="shared" ref="A478" si="335">A475+1</f>
        <v>157</v>
      </c>
      <c r="B478" s="155" t="s">
        <v>11</v>
      </c>
      <c r="C478" s="177" t="s">
        <v>587</v>
      </c>
      <c r="D478" s="129" t="s">
        <v>607</v>
      </c>
      <c r="E478" s="129" t="s">
        <v>595</v>
      </c>
      <c r="F478" s="11" t="s">
        <v>608</v>
      </c>
      <c r="G478" s="41" t="s">
        <v>5</v>
      </c>
      <c r="H478" s="71">
        <v>8860</v>
      </c>
      <c r="I478" s="71">
        <v>17720</v>
      </c>
      <c r="J478" s="71">
        <v>17720</v>
      </c>
      <c r="K478" s="71">
        <v>17720</v>
      </c>
      <c r="L478" s="71">
        <v>17720</v>
      </c>
      <c r="M478" s="71">
        <v>17720</v>
      </c>
      <c r="N478" s="71">
        <v>17720</v>
      </c>
      <c r="O478" s="71">
        <f>252490-97460-17720</f>
        <v>137310</v>
      </c>
      <c r="P478" s="62">
        <f>SUM(H478:O478)</f>
        <v>252490</v>
      </c>
    </row>
    <row r="479" spans="1:16" ht="14.25" customHeight="1" x14ac:dyDescent="0.25">
      <c r="A479" s="134"/>
      <c r="B479" s="155"/>
      <c r="C479" s="177"/>
      <c r="D479" s="130"/>
      <c r="E479" s="130"/>
      <c r="F479" s="15" t="s">
        <v>609</v>
      </c>
      <c r="G479" s="40" t="s">
        <v>8</v>
      </c>
      <c r="H479" s="61">
        <v>8502</v>
      </c>
      <c r="I479" s="61">
        <v>9509</v>
      </c>
      <c r="J479" s="61">
        <v>8807</v>
      </c>
      <c r="K479" s="61">
        <v>8130</v>
      </c>
      <c r="L479" s="61">
        <v>7408</v>
      </c>
      <c r="M479" s="61">
        <v>6709</v>
      </c>
      <c r="N479" s="61">
        <v>6010</v>
      </c>
      <c r="O479" s="61">
        <f>22913</f>
        <v>22913</v>
      </c>
      <c r="P479" s="63">
        <f t="shared" si="298"/>
        <v>77988</v>
      </c>
    </row>
    <row r="480" spans="1:16" ht="14.25" customHeight="1" x14ac:dyDescent="0.25">
      <c r="A480" s="135"/>
      <c r="B480" s="155"/>
      <c r="C480" s="177"/>
      <c r="D480" s="130"/>
      <c r="E480" s="130"/>
      <c r="F480" s="38"/>
      <c r="G480" s="13" t="s">
        <v>100</v>
      </c>
      <c r="H480" s="90">
        <f t="shared" ref="H480:O480" si="336">SUM(H478:H479)</f>
        <v>17362</v>
      </c>
      <c r="I480" s="90">
        <f t="shared" si="336"/>
        <v>27229</v>
      </c>
      <c r="J480" s="90">
        <f t="shared" si="336"/>
        <v>26527</v>
      </c>
      <c r="K480" s="90">
        <f t="shared" si="336"/>
        <v>25850</v>
      </c>
      <c r="L480" s="90">
        <f t="shared" si="336"/>
        <v>25128</v>
      </c>
      <c r="M480" s="90">
        <f t="shared" si="336"/>
        <v>24429</v>
      </c>
      <c r="N480" s="90">
        <f t="shared" si="336"/>
        <v>23730</v>
      </c>
      <c r="O480" s="90">
        <f t="shared" si="336"/>
        <v>160223</v>
      </c>
      <c r="P480" s="91">
        <f t="shared" si="298"/>
        <v>330478</v>
      </c>
    </row>
    <row r="481" spans="1:16" ht="14.25" customHeight="1" x14ac:dyDescent="0.25">
      <c r="A481" s="133">
        <f t="shared" ref="A481" si="337">A478+1</f>
        <v>158</v>
      </c>
      <c r="B481" s="155" t="s">
        <v>11</v>
      </c>
      <c r="C481" s="163" t="s">
        <v>482</v>
      </c>
      <c r="D481" s="129" t="s">
        <v>610</v>
      </c>
      <c r="E481" s="129" t="s">
        <v>611</v>
      </c>
      <c r="F481" s="11" t="s">
        <v>612</v>
      </c>
      <c r="G481" s="41" t="s">
        <v>5</v>
      </c>
      <c r="H481" s="71">
        <v>0</v>
      </c>
      <c r="I481" s="71">
        <v>26184</v>
      </c>
      <c r="J481" s="71">
        <v>26184</v>
      </c>
      <c r="K481" s="71">
        <v>26184</v>
      </c>
      <c r="L481" s="71">
        <v>26184</v>
      </c>
      <c r="M481" s="71">
        <v>26184</v>
      </c>
      <c r="N481" s="71">
        <v>26184</v>
      </c>
      <c r="O481" s="71">
        <f>366528-130920-26184</f>
        <v>209424</v>
      </c>
      <c r="P481" s="62">
        <f>SUM(H481:O481)</f>
        <v>366528</v>
      </c>
    </row>
    <row r="482" spans="1:16" ht="14.25" customHeight="1" x14ac:dyDescent="0.25">
      <c r="A482" s="134"/>
      <c r="B482" s="155"/>
      <c r="C482" s="156"/>
      <c r="D482" s="130"/>
      <c r="E482" s="130"/>
      <c r="F482" s="15" t="s">
        <v>613</v>
      </c>
      <c r="G482" s="40" t="s">
        <v>8</v>
      </c>
      <c r="H482" s="61">
        <v>13138</v>
      </c>
      <c r="I482" s="61">
        <v>14411</v>
      </c>
      <c r="J482" s="61">
        <v>13377</v>
      </c>
      <c r="K482" s="61">
        <v>12366</v>
      </c>
      <c r="L482" s="61">
        <v>11291</v>
      </c>
      <c r="M482" s="61">
        <v>10249</v>
      </c>
      <c r="N482" s="61">
        <v>9209</v>
      </c>
      <c r="O482" s="61">
        <f>36028</f>
        <v>36028</v>
      </c>
      <c r="P482" s="63">
        <f t="shared" si="298"/>
        <v>120069</v>
      </c>
    </row>
    <row r="483" spans="1:16" ht="14.25" customHeight="1" x14ac:dyDescent="0.25">
      <c r="A483" s="135"/>
      <c r="B483" s="155"/>
      <c r="C483" s="156"/>
      <c r="D483" s="130"/>
      <c r="E483" s="130"/>
      <c r="F483" s="38"/>
      <c r="G483" s="13" t="s">
        <v>100</v>
      </c>
      <c r="H483" s="90">
        <f t="shared" ref="H483:O483" si="338">SUM(H481:H482)</f>
        <v>13138</v>
      </c>
      <c r="I483" s="90">
        <f t="shared" si="338"/>
        <v>40595</v>
      </c>
      <c r="J483" s="90">
        <f t="shared" si="338"/>
        <v>39561</v>
      </c>
      <c r="K483" s="90">
        <f t="shared" si="338"/>
        <v>38550</v>
      </c>
      <c r="L483" s="90">
        <f t="shared" si="338"/>
        <v>37475</v>
      </c>
      <c r="M483" s="90">
        <f t="shared" si="338"/>
        <v>36433</v>
      </c>
      <c r="N483" s="90">
        <f t="shared" si="338"/>
        <v>35393</v>
      </c>
      <c r="O483" s="90">
        <f t="shared" si="338"/>
        <v>245452</v>
      </c>
      <c r="P483" s="91">
        <f t="shared" si="298"/>
        <v>486597</v>
      </c>
    </row>
    <row r="484" spans="1:16" ht="14.25" customHeight="1" x14ac:dyDescent="0.25">
      <c r="A484" s="133">
        <f t="shared" ref="A484" si="339">A481+1</f>
        <v>159</v>
      </c>
      <c r="B484" s="155" t="s">
        <v>11</v>
      </c>
      <c r="C484" s="163" t="s">
        <v>569</v>
      </c>
      <c r="D484" s="129" t="s">
        <v>615</v>
      </c>
      <c r="E484" s="129" t="s">
        <v>616</v>
      </c>
      <c r="F484" s="11" t="s">
        <v>617</v>
      </c>
      <c r="G484" s="41" t="s">
        <v>5</v>
      </c>
      <c r="H484" s="71">
        <v>0</v>
      </c>
      <c r="I484" s="71">
        <v>61068</v>
      </c>
      <c r="J484" s="71">
        <v>81424</v>
      </c>
      <c r="K484" s="71">
        <v>81424</v>
      </c>
      <c r="L484" s="71">
        <v>81424</v>
      </c>
      <c r="M484" s="71">
        <v>81424</v>
      </c>
      <c r="N484" s="71">
        <v>81424</v>
      </c>
      <c r="O484" s="71">
        <f>2340909-386764-81424</f>
        <v>1872721</v>
      </c>
      <c r="P484" s="62">
        <f>SUM(H484:O484)</f>
        <v>2340909</v>
      </c>
    </row>
    <row r="485" spans="1:16" ht="14.25" customHeight="1" x14ac:dyDescent="0.25">
      <c r="A485" s="134"/>
      <c r="B485" s="155"/>
      <c r="C485" s="156"/>
      <c r="D485" s="130"/>
      <c r="E485" s="130"/>
      <c r="F485" s="15" t="s">
        <v>618</v>
      </c>
      <c r="G485" s="40" t="s">
        <v>8</v>
      </c>
      <c r="H485" s="64">
        <f>43207-27775</f>
        <v>15432</v>
      </c>
      <c r="I485" s="64">
        <v>72266</v>
      </c>
      <c r="J485" s="64">
        <v>78292</v>
      </c>
      <c r="K485" s="64">
        <v>75455</v>
      </c>
      <c r="L485" s="64">
        <v>72618</v>
      </c>
      <c r="M485" s="61">
        <v>69780</v>
      </c>
      <c r="N485" s="61">
        <v>66943</v>
      </c>
      <c r="O485" s="61">
        <f>1207874-453129</f>
        <v>754745</v>
      </c>
      <c r="P485" s="63">
        <f t="shared" si="298"/>
        <v>1205531</v>
      </c>
    </row>
    <row r="486" spans="1:16" ht="14.25" customHeight="1" x14ac:dyDescent="0.25">
      <c r="A486" s="135"/>
      <c r="B486" s="155"/>
      <c r="C486" s="156"/>
      <c r="D486" s="130"/>
      <c r="E486" s="130"/>
      <c r="F486" s="38"/>
      <c r="G486" s="13" t="s">
        <v>100</v>
      </c>
      <c r="H486" s="90">
        <f t="shared" ref="H486:O486" si="340">SUM(H484:H485)</f>
        <v>15432</v>
      </c>
      <c r="I486" s="90">
        <f t="shared" si="340"/>
        <v>133334</v>
      </c>
      <c r="J486" s="90">
        <f t="shared" si="340"/>
        <v>159716</v>
      </c>
      <c r="K486" s="90">
        <f t="shared" si="340"/>
        <v>156879</v>
      </c>
      <c r="L486" s="90">
        <f t="shared" si="340"/>
        <v>154042</v>
      </c>
      <c r="M486" s="90">
        <f t="shared" si="340"/>
        <v>151204</v>
      </c>
      <c r="N486" s="90">
        <f t="shared" si="340"/>
        <v>148367</v>
      </c>
      <c r="O486" s="90">
        <f t="shared" si="340"/>
        <v>2627466</v>
      </c>
      <c r="P486" s="91">
        <f t="shared" si="298"/>
        <v>3546440</v>
      </c>
    </row>
    <row r="487" spans="1:16" ht="14.25" customHeight="1" x14ac:dyDescent="0.25">
      <c r="A487" s="133">
        <f t="shared" ref="A487" si="341">A484+1</f>
        <v>160</v>
      </c>
      <c r="B487" s="155" t="s">
        <v>11</v>
      </c>
      <c r="C487" s="163" t="s">
        <v>614</v>
      </c>
      <c r="D487" s="129" t="s">
        <v>615</v>
      </c>
      <c r="E487" s="129" t="s">
        <v>616</v>
      </c>
      <c r="F487" s="11" t="s">
        <v>619</v>
      </c>
      <c r="G487" s="41" t="s">
        <v>5</v>
      </c>
      <c r="H487" s="71">
        <v>0</v>
      </c>
      <c r="I487" s="71">
        <v>110274</v>
      </c>
      <c r="J487" s="71">
        <v>147032</v>
      </c>
      <c r="K487" s="71">
        <v>147032</v>
      </c>
      <c r="L487" s="71">
        <v>147032</v>
      </c>
      <c r="M487" s="71">
        <v>147032</v>
      </c>
      <c r="N487" s="71">
        <v>147032</v>
      </c>
      <c r="O487" s="71">
        <f>4227142-845434</f>
        <v>3381708</v>
      </c>
      <c r="P487" s="62">
        <f>SUM(H487:O487)</f>
        <v>4227142</v>
      </c>
    </row>
    <row r="488" spans="1:16" ht="14.25" customHeight="1" x14ac:dyDescent="0.25">
      <c r="A488" s="134"/>
      <c r="B488" s="155"/>
      <c r="C488" s="156"/>
      <c r="D488" s="130"/>
      <c r="E488" s="130"/>
      <c r="F488" s="15" t="s">
        <v>620</v>
      </c>
      <c r="G488" s="40" t="s">
        <v>8</v>
      </c>
      <c r="H488" s="61">
        <f>50618+7395+90056-84953</f>
        <v>63116</v>
      </c>
      <c r="I488" s="61">
        <v>180049</v>
      </c>
      <c r="J488" s="61">
        <v>176030</v>
      </c>
      <c r="K488" s="61">
        <v>169707</v>
      </c>
      <c r="L488" s="61">
        <v>163385</v>
      </c>
      <c r="M488" s="61">
        <v>157063</v>
      </c>
      <c r="N488" s="61">
        <v>150741</v>
      </c>
      <c r="O488" s="61">
        <f>2778091-1060091</f>
        <v>1718000</v>
      </c>
      <c r="P488" s="63">
        <f t="shared" si="298"/>
        <v>2778091</v>
      </c>
    </row>
    <row r="489" spans="1:16" ht="14.25" customHeight="1" x14ac:dyDescent="0.25">
      <c r="A489" s="135"/>
      <c r="B489" s="155"/>
      <c r="C489" s="156"/>
      <c r="D489" s="130"/>
      <c r="E489" s="130"/>
      <c r="F489" s="38"/>
      <c r="G489" s="13" t="s">
        <v>100</v>
      </c>
      <c r="H489" s="90">
        <f t="shared" ref="H489:O489" si="342">SUM(H487:H488)</f>
        <v>63116</v>
      </c>
      <c r="I489" s="90">
        <f t="shared" si="342"/>
        <v>290323</v>
      </c>
      <c r="J489" s="90">
        <f t="shared" si="342"/>
        <v>323062</v>
      </c>
      <c r="K489" s="90">
        <f t="shared" si="342"/>
        <v>316739</v>
      </c>
      <c r="L489" s="90">
        <f t="shared" si="342"/>
        <v>310417</v>
      </c>
      <c r="M489" s="90">
        <f t="shared" si="342"/>
        <v>304095</v>
      </c>
      <c r="N489" s="90">
        <f t="shared" si="342"/>
        <v>297773</v>
      </c>
      <c r="O489" s="90">
        <f t="shared" si="342"/>
        <v>5099708</v>
      </c>
      <c r="P489" s="91">
        <f t="shared" si="298"/>
        <v>7005233</v>
      </c>
    </row>
    <row r="490" spans="1:16" ht="14.25" customHeight="1" x14ac:dyDescent="0.25">
      <c r="A490" s="133">
        <f t="shared" ref="A490" si="343">A487+1</f>
        <v>161</v>
      </c>
      <c r="B490" s="155" t="s">
        <v>11</v>
      </c>
      <c r="C490" s="163" t="s">
        <v>636</v>
      </c>
      <c r="D490" s="185" t="s">
        <v>641</v>
      </c>
      <c r="E490" s="185" t="s">
        <v>642</v>
      </c>
      <c r="F490" s="11" t="s">
        <v>643</v>
      </c>
      <c r="G490" s="84" t="s">
        <v>5</v>
      </c>
      <c r="H490" s="71">
        <v>0</v>
      </c>
      <c r="I490" s="71">
        <v>3801</v>
      </c>
      <c r="J490" s="71">
        <v>15204</v>
      </c>
      <c r="K490" s="71">
        <v>15204</v>
      </c>
      <c r="L490" s="71">
        <v>15204</v>
      </c>
      <c r="M490" s="71">
        <v>15204</v>
      </c>
      <c r="N490" s="71">
        <v>15204</v>
      </c>
      <c r="O490" s="71">
        <f>209006-79821</f>
        <v>129185</v>
      </c>
      <c r="P490" s="96">
        <f>SUM(H490:O490)</f>
        <v>209006</v>
      </c>
    </row>
    <row r="491" spans="1:16" ht="14.25" customHeight="1" x14ac:dyDescent="0.25">
      <c r="A491" s="134"/>
      <c r="B491" s="155"/>
      <c r="C491" s="156"/>
      <c r="D491" s="186"/>
      <c r="E491" s="186"/>
      <c r="F491" s="15" t="s">
        <v>644</v>
      </c>
      <c r="G491" s="85" t="s">
        <v>8</v>
      </c>
      <c r="H491" s="61">
        <f>2671-663</f>
        <v>2008</v>
      </c>
      <c r="I491" s="61">
        <v>7467</v>
      </c>
      <c r="J491" s="61">
        <v>7153</v>
      </c>
      <c r="K491" s="61">
        <v>6390</v>
      </c>
      <c r="L491" s="61">
        <v>5872</v>
      </c>
      <c r="M491" s="61">
        <v>5353</v>
      </c>
      <c r="N491" s="61">
        <v>4836</v>
      </c>
      <c r="O491" s="61">
        <f>59889-39675</f>
        <v>20214</v>
      </c>
      <c r="P491" s="64">
        <f t="shared" ref="P491:P492" si="344">SUM(H491:O491)</f>
        <v>59293</v>
      </c>
    </row>
    <row r="492" spans="1:16" ht="14.25" customHeight="1" x14ac:dyDescent="0.25">
      <c r="A492" s="135"/>
      <c r="B492" s="155"/>
      <c r="C492" s="156"/>
      <c r="D492" s="186"/>
      <c r="E492" s="186"/>
      <c r="F492" s="87"/>
      <c r="G492" s="88" t="s">
        <v>100</v>
      </c>
      <c r="H492" s="90">
        <f t="shared" ref="H492:O492" si="345">SUM(H490:H491)</f>
        <v>2008</v>
      </c>
      <c r="I492" s="90">
        <f t="shared" si="345"/>
        <v>11268</v>
      </c>
      <c r="J492" s="90">
        <f t="shared" si="345"/>
        <v>22357</v>
      </c>
      <c r="K492" s="90">
        <f t="shared" si="345"/>
        <v>21594</v>
      </c>
      <c r="L492" s="90">
        <f t="shared" si="345"/>
        <v>21076</v>
      </c>
      <c r="M492" s="90">
        <f t="shared" si="345"/>
        <v>20557</v>
      </c>
      <c r="N492" s="90">
        <f t="shared" si="345"/>
        <v>20040</v>
      </c>
      <c r="O492" s="90">
        <f t="shared" si="345"/>
        <v>149399</v>
      </c>
      <c r="P492" s="99">
        <f t="shared" si="344"/>
        <v>268299</v>
      </c>
    </row>
    <row r="493" spans="1:16" ht="14.25" customHeight="1" x14ac:dyDescent="0.25">
      <c r="A493" s="133">
        <f t="shared" ref="A493:A505" si="346">A490+1</f>
        <v>162</v>
      </c>
      <c r="B493" s="155" t="s">
        <v>11</v>
      </c>
      <c r="C493" s="163" t="s">
        <v>659</v>
      </c>
      <c r="D493" s="129" t="s">
        <v>655</v>
      </c>
      <c r="E493" s="129" t="s">
        <v>656</v>
      </c>
      <c r="F493" s="11" t="s">
        <v>657</v>
      </c>
      <c r="G493" s="41" t="s">
        <v>5</v>
      </c>
      <c r="H493" s="71">
        <v>0</v>
      </c>
      <c r="I493" s="71">
        <v>2606</v>
      </c>
      <c r="J493" s="71">
        <v>10424</v>
      </c>
      <c r="K493" s="71">
        <v>10424</v>
      </c>
      <c r="L493" s="71">
        <v>10424</v>
      </c>
      <c r="M493" s="71">
        <v>10424</v>
      </c>
      <c r="N493" s="71">
        <v>10424</v>
      </c>
      <c r="O493" s="71">
        <f>91208-54726</f>
        <v>36482</v>
      </c>
      <c r="P493" s="96">
        <f>SUM(H493:O493)</f>
        <v>91208</v>
      </c>
    </row>
    <row r="494" spans="1:16" ht="14.25" customHeight="1" x14ac:dyDescent="0.25">
      <c r="A494" s="134"/>
      <c r="B494" s="155"/>
      <c r="C494" s="156"/>
      <c r="D494" s="130"/>
      <c r="E494" s="130"/>
      <c r="F494" s="15" t="s">
        <v>658</v>
      </c>
      <c r="G494" s="40" t="s">
        <v>8</v>
      </c>
      <c r="H494" s="61">
        <f>666-198-45</f>
        <v>423</v>
      </c>
      <c r="I494" s="61">
        <v>2863</v>
      </c>
      <c r="J494" s="61">
        <v>2721</v>
      </c>
      <c r="K494" s="61">
        <v>2374</v>
      </c>
      <c r="L494" s="61">
        <v>2051</v>
      </c>
      <c r="M494" s="61">
        <v>1727</v>
      </c>
      <c r="N494" s="61">
        <v>1404</v>
      </c>
      <c r="O494" s="61">
        <f>15949-13563</f>
        <v>2386</v>
      </c>
      <c r="P494" s="64">
        <f t="shared" ref="P494:P495" si="347">SUM(H494:O494)</f>
        <v>15949</v>
      </c>
    </row>
    <row r="495" spans="1:16" ht="14.25" customHeight="1" x14ac:dyDescent="0.25">
      <c r="A495" s="135"/>
      <c r="B495" s="155"/>
      <c r="C495" s="156"/>
      <c r="D495" s="130"/>
      <c r="E495" s="130"/>
      <c r="F495" s="87"/>
      <c r="G495" s="13" t="s">
        <v>100</v>
      </c>
      <c r="H495" s="90">
        <f t="shared" ref="H495:O495" si="348">SUM(H493:H494)</f>
        <v>423</v>
      </c>
      <c r="I495" s="90">
        <f t="shared" si="348"/>
        <v>5469</v>
      </c>
      <c r="J495" s="90">
        <f t="shared" si="348"/>
        <v>13145</v>
      </c>
      <c r="K495" s="90">
        <f t="shared" si="348"/>
        <v>12798</v>
      </c>
      <c r="L495" s="90">
        <f t="shared" si="348"/>
        <v>12475</v>
      </c>
      <c r="M495" s="90">
        <f t="shared" si="348"/>
        <v>12151</v>
      </c>
      <c r="N495" s="90">
        <f t="shared" si="348"/>
        <v>11828</v>
      </c>
      <c r="O495" s="90">
        <f t="shared" si="348"/>
        <v>38868</v>
      </c>
      <c r="P495" s="101">
        <f t="shared" si="347"/>
        <v>107157</v>
      </c>
    </row>
    <row r="496" spans="1:16" ht="14.25" customHeight="1" x14ac:dyDescent="0.25">
      <c r="A496" s="133">
        <f t="shared" si="346"/>
        <v>163</v>
      </c>
      <c r="B496" s="155" t="s">
        <v>11</v>
      </c>
      <c r="C496" s="163" t="s">
        <v>639</v>
      </c>
      <c r="D496" s="129" t="s">
        <v>655</v>
      </c>
      <c r="E496" s="129" t="s">
        <v>660</v>
      </c>
      <c r="F496" s="11" t="s">
        <v>661</v>
      </c>
      <c r="G496" s="41" t="s">
        <v>5</v>
      </c>
      <c r="H496" s="71">
        <v>0</v>
      </c>
      <c r="I496" s="71">
        <v>18736</v>
      </c>
      <c r="J496" s="71">
        <v>74944</v>
      </c>
      <c r="K496" s="71">
        <v>74944</v>
      </c>
      <c r="L496" s="71">
        <v>74944</v>
      </c>
      <c r="M496" s="71">
        <v>74944</v>
      </c>
      <c r="N496" s="71">
        <v>74944</v>
      </c>
      <c r="O496" s="71">
        <f>1030442-393456</f>
        <v>636986</v>
      </c>
      <c r="P496" s="62">
        <f>SUM(H496:O496)</f>
        <v>1030442</v>
      </c>
    </row>
    <row r="497" spans="1:16" ht="14.25" customHeight="1" x14ac:dyDescent="0.25">
      <c r="A497" s="134"/>
      <c r="B497" s="155"/>
      <c r="C497" s="156"/>
      <c r="D497" s="130"/>
      <c r="E497" s="130"/>
      <c r="F497" s="40" t="s">
        <v>662</v>
      </c>
      <c r="G497" s="40" t="s">
        <v>8</v>
      </c>
      <c r="H497" s="61">
        <f>5133-2179</f>
        <v>2954</v>
      </c>
      <c r="I497" s="61">
        <v>33672</v>
      </c>
      <c r="J497" s="61">
        <v>34600</v>
      </c>
      <c r="K497" s="61">
        <v>31362</v>
      </c>
      <c r="L497" s="61">
        <v>28821</v>
      </c>
      <c r="M497" s="61">
        <v>26280</v>
      </c>
      <c r="N497" s="61">
        <v>23739</v>
      </c>
      <c r="O497" s="61">
        <f>280756-181428</f>
        <v>99328</v>
      </c>
      <c r="P497" s="63">
        <f t="shared" ref="P497:P498" si="349">SUM(H497:O497)</f>
        <v>280756</v>
      </c>
    </row>
    <row r="498" spans="1:16" ht="14.25" customHeight="1" x14ac:dyDescent="0.25">
      <c r="A498" s="135"/>
      <c r="B498" s="155"/>
      <c r="C498" s="156"/>
      <c r="D498" s="130"/>
      <c r="E498" s="130"/>
      <c r="F498" s="38"/>
      <c r="G498" s="13" t="s">
        <v>100</v>
      </c>
      <c r="H498" s="90">
        <f t="shared" ref="H498:O498" si="350">SUM(H496:H497)</f>
        <v>2954</v>
      </c>
      <c r="I498" s="90">
        <f t="shared" si="350"/>
        <v>52408</v>
      </c>
      <c r="J498" s="90">
        <f t="shared" si="350"/>
        <v>109544</v>
      </c>
      <c r="K498" s="90">
        <f t="shared" si="350"/>
        <v>106306</v>
      </c>
      <c r="L498" s="90">
        <f t="shared" si="350"/>
        <v>103765</v>
      </c>
      <c r="M498" s="90">
        <f t="shared" si="350"/>
        <v>101224</v>
      </c>
      <c r="N498" s="90">
        <f t="shared" si="350"/>
        <v>98683</v>
      </c>
      <c r="O498" s="90">
        <f t="shared" si="350"/>
        <v>736314</v>
      </c>
      <c r="P498" s="91">
        <f t="shared" si="349"/>
        <v>1311198</v>
      </c>
    </row>
    <row r="499" spans="1:16" ht="14.25" customHeight="1" x14ac:dyDescent="0.25">
      <c r="A499" s="133">
        <f t="shared" si="346"/>
        <v>164</v>
      </c>
      <c r="B499" s="155" t="s">
        <v>11</v>
      </c>
      <c r="C499" s="163" t="s">
        <v>635</v>
      </c>
      <c r="D499" s="129" t="s">
        <v>655</v>
      </c>
      <c r="E499" s="129" t="s">
        <v>663</v>
      </c>
      <c r="F499" s="11" t="s">
        <v>664</v>
      </c>
      <c r="G499" s="41" t="s">
        <v>5</v>
      </c>
      <c r="H499" s="71">
        <v>0</v>
      </c>
      <c r="I499" s="71">
        <v>9213</v>
      </c>
      <c r="J499" s="71">
        <v>12284</v>
      </c>
      <c r="K499" s="71">
        <v>12284</v>
      </c>
      <c r="L499" s="71">
        <v>12284</v>
      </c>
      <c r="M499" s="71">
        <v>12284</v>
      </c>
      <c r="N499" s="71">
        <v>12284</v>
      </c>
      <c r="O499" s="71">
        <v>6141</v>
      </c>
      <c r="P499" s="62">
        <f>SUM(H499:O499)</f>
        <v>76774</v>
      </c>
    </row>
    <row r="500" spans="1:16" ht="14.25" customHeight="1" x14ac:dyDescent="0.25">
      <c r="A500" s="134"/>
      <c r="B500" s="155"/>
      <c r="C500" s="156"/>
      <c r="D500" s="130"/>
      <c r="E500" s="130"/>
      <c r="F500" s="15" t="s">
        <v>665</v>
      </c>
      <c r="G500" s="40" t="s">
        <v>8</v>
      </c>
      <c r="H500" s="61">
        <f>175</f>
        <v>175</v>
      </c>
      <c r="I500" s="61">
        <v>2287</v>
      </c>
      <c r="J500" s="61">
        <v>1977</v>
      </c>
      <c r="K500" s="61">
        <v>1607</v>
      </c>
      <c r="L500" s="61">
        <v>1237</v>
      </c>
      <c r="M500" s="61">
        <v>867</v>
      </c>
      <c r="N500" s="61">
        <v>497</v>
      </c>
      <c r="O500" s="61">
        <v>130</v>
      </c>
      <c r="P500" s="63">
        <f t="shared" ref="P500:P501" si="351">SUM(H500:O500)</f>
        <v>8777</v>
      </c>
    </row>
    <row r="501" spans="1:16" ht="14.25" customHeight="1" x14ac:dyDescent="0.25">
      <c r="A501" s="135"/>
      <c r="B501" s="155"/>
      <c r="C501" s="156"/>
      <c r="D501" s="130"/>
      <c r="E501" s="130"/>
      <c r="F501" s="38"/>
      <c r="G501" s="13" t="s">
        <v>100</v>
      </c>
      <c r="H501" s="90">
        <f t="shared" ref="H501:O501" si="352">SUM(H499:H500)</f>
        <v>175</v>
      </c>
      <c r="I501" s="90">
        <f t="shared" si="352"/>
        <v>11500</v>
      </c>
      <c r="J501" s="90">
        <f t="shared" si="352"/>
        <v>14261</v>
      </c>
      <c r="K501" s="90">
        <f t="shared" si="352"/>
        <v>13891</v>
      </c>
      <c r="L501" s="90">
        <f t="shared" si="352"/>
        <v>13521</v>
      </c>
      <c r="M501" s="90">
        <f t="shared" si="352"/>
        <v>13151</v>
      </c>
      <c r="N501" s="90">
        <f t="shared" si="352"/>
        <v>12781</v>
      </c>
      <c r="O501" s="90">
        <f t="shared" si="352"/>
        <v>6271</v>
      </c>
      <c r="P501" s="91">
        <f t="shared" si="351"/>
        <v>85551</v>
      </c>
    </row>
    <row r="502" spans="1:16" ht="14.25" customHeight="1" x14ac:dyDescent="0.25">
      <c r="A502" s="133">
        <f t="shared" si="346"/>
        <v>165</v>
      </c>
      <c r="B502" s="155" t="s">
        <v>11</v>
      </c>
      <c r="C502" s="163" t="s">
        <v>666</v>
      </c>
      <c r="D502" s="129" t="s">
        <v>655</v>
      </c>
      <c r="E502" s="129" t="s">
        <v>660</v>
      </c>
      <c r="F502" s="11" t="s">
        <v>667</v>
      </c>
      <c r="G502" s="41" t="s">
        <v>5</v>
      </c>
      <c r="H502" s="71">
        <v>0</v>
      </c>
      <c r="I502" s="71">
        <v>2458</v>
      </c>
      <c r="J502" s="71">
        <v>9832</v>
      </c>
      <c r="K502" s="71">
        <v>9832</v>
      </c>
      <c r="L502" s="71">
        <v>9832</v>
      </c>
      <c r="M502" s="71">
        <v>9832</v>
      </c>
      <c r="N502" s="71">
        <v>9832</v>
      </c>
      <c r="O502" s="71">
        <f>135142-51618</f>
        <v>83524</v>
      </c>
      <c r="P502" s="62">
        <f>SUM(H502:O502)</f>
        <v>135142</v>
      </c>
    </row>
    <row r="503" spans="1:16" ht="14.25" customHeight="1" x14ac:dyDescent="0.25">
      <c r="A503" s="134"/>
      <c r="B503" s="155"/>
      <c r="C503" s="156"/>
      <c r="D503" s="130"/>
      <c r="E503" s="130"/>
      <c r="F503" s="15" t="s">
        <v>668</v>
      </c>
      <c r="G503" s="40" t="s">
        <v>8</v>
      </c>
      <c r="H503" s="61">
        <f>1639-173</f>
        <v>1466</v>
      </c>
      <c r="I503" s="61">
        <v>4722</v>
      </c>
      <c r="J503" s="61">
        <v>4533</v>
      </c>
      <c r="K503" s="61">
        <v>4101</v>
      </c>
      <c r="L503" s="61">
        <v>3768</v>
      </c>
      <c r="M503" s="61">
        <v>3436</v>
      </c>
      <c r="N503" s="61">
        <v>3104</v>
      </c>
      <c r="O503" s="61">
        <f>38109-25130</f>
        <v>12979</v>
      </c>
      <c r="P503" s="63">
        <f t="shared" ref="P503:P504" si="353">SUM(H503:O503)</f>
        <v>38109</v>
      </c>
    </row>
    <row r="504" spans="1:16" ht="14.25" customHeight="1" x14ac:dyDescent="0.25">
      <c r="A504" s="135"/>
      <c r="B504" s="155"/>
      <c r="C504" s="156"/>
      <c r="D504" s="130"/>
      <c r="E504" s="130"/>
      <c r="F504" s="38"/>
      <c r="G504" s="13" t="s">
        <v>100</v>
      </c>
      <c r="H504" s="90">
        <f t="shared" ref="H504:O504" si="354">SUM(H502:H503)</f>
        <v>1466</v>
      </c>
      <c r="I504" s="90">
        <f t="shared" si="354"/>
        <v>7180</v>
      </c>
      <c r="J504" s="90">
        <f t="shared" si="354"/>
        <v>14365</v>
      </c>
      <c r="K504" s="90">
        <f t="shared" si="354"/>
        <v>13933</v>
      </c>
      <c r="L504" s="90">
        <f t="shared" si="354"/>
        <v>13600</v>
      </c>
      <c r="M504" s="90">
        <f t="shared" si="354"/>
        <v>13268</v>
      </c>
      <c r="N504" s="90">
        <f t="shared" si="354"/>
        <v>12936</v>
      </c>
      <c r="O504" s="90">
        <f t="shared" si="354"/>
        <v>96503</v>
      </c>
      <c r="P504" s="91">
        <f t="shared" si="353"/>
        <v>173251</v>
      </c>
    </row>
    <row r="505" spans="1:16" ht="14.25" customHeight="1" x14ac:dyDescent="0.25">
      <c r="A505" s="133">
        <f t="shared" si="346"/>
        <v>166</v>
      </c>
      <c r="B505" s="155" t="s">
        <v>11</v>
      </c>
      <c r="C505" s="163" t="s">
        <v>669</v>
      </c>
      <c r="D505" s="129" t="s">
        <v>670</v>
      </c>
      <c r="E505" s="129" t="s">
        <v>671</v>
      </c>
      <c r="F505" s="11" t="s">
        <v>672</v>
      </c>
      <c r="G505" s="41" t="s">
        <v>5</v>
      </c>
      <c r="H505" s="71">
        <v>0</v>
      </c>
      <c r="I505" s="71">
        <v>0</v>
      </c>
      <c r="J505" s="71">
        <v>9532</v>
      </c>
      <c r="K505" s="71">
        <v>9532</v>
      </c>
      <c r="L505" s="71">
        <v>9532</v>
      </c>
      <c r="M505" s="71">
        <v>9532</v>
      </c>
      <c r="N505" s="71">
        <v>9532</v>
      </c>
      <c r="O505" s="71">
        <f>80996-47660</f>
        <v>33336</v>
      </c>
      <c r="P505" s="96">
        <f>SUM(H505:O505)</f>
        <v>80996</v>
      </c>
    </row>
    <row r="506" spans="1:16" ht="14.25" customHeight="1" x14ac:dyDescent="0.25">
      <c r="A506" s="134"/>
      <c r="B506" s="155"/>
      <c r="C506" s="156"/>
      <c r="D506" s="130"/>
      <c r="E506" s="130"/>
      <c r="F506" s="15" t="s">
        <v>673</v>
      </c>
      <c r="G506" s="40" t="s">
        <v>8</v>
      </c>
      <c r="H506" s="61">
        <v>460</v>
      </c>
      <c r="I506" s="61">
        <v>2492</v>
      </c>
      <c r="J506" s="61">
        <v>2428</v>
      </c>
      <c r="K506" s="61">
        <v>2149</v>
      </c>
      <c r="L506" s="61">
        <v>1856</v>
      </c>
      <c r="M506" s="61">
        <v>1563</v>
      </c>
      <c r="N506" s="61">
        <v>1271</v>
      </c>
      <c r="O506" s="61">
        <f>14376-12219</f>
        <v>2157</v>
      </c>
      <c r="P506" s="64">
        <f t="shared" ref="P506:P507" si="355">SUM(H506:O506)</f>
        <v>14376</v>
      </c>
    </row>
    <row r="507" spans="1:16" ht="14.25" customHeight="1" x14ac:dyDescent="0.25">
      <c r="A507" s="135"/>
      <c r="B507" s="155"/>
      <c r="C507" s="156"/>
      <c r="D507" s="130"/>
      <c r="E507" s="130"/>
      <c r="F507" s="38"/>
      <c r="G507" s="13" t="s">
        <v>100</v>
      </c>
      <c r="H507" s="90">
        <f t="shared" ref="H507:O507" si="356">SUM(H505:H506)</f>
        <v>460</v>
      </c>
      <c r="I507" s="90">
        <f t="shared" si="356"/>
        <v>2492</v>
      </c>
      <c r="J507" s="90">
        <f t="shared" si="356"/>
        <v>11960</v>
      </c>
      <c r="K507" s="90">
        <f t="shared" si="356"/>
        <v>11681</v>
      </c>
      <c r="L507" s="90">
        <f t="shared" si="356"/>
        <v>11388</v>
      </c>
      <c r="M507" s="90">
        <f t="shared" si="356"/>
        <v>11095</v>
      </c>
      <c r="N507" s="90">
        <f t="shared" si="356"/>
        <v>10803</v>
      </c>
      <c r="O507" s="90">
        <f t="shared" si="356"/>
        <v>35493</v>
      </c>
      <c r="P507" s="99">
        <f t="shared" si="355"/>
        <v>95372</v>
      </c>
    </row>
    <row r="508" spans="1:16" ht="14.25" customHeight="1" x14ac:dyDescent="0.25">
      <c r="A508" s="133">
        <f t="shared" ref="A508:A511" si="357">A505+1</f>
        <v>167</v>
      </c>
      <c r="B508" s="155" t="s">
        <v>11</v>
      </c>
      <c r="C508" s="163" t="s">
        <v>640</v>
      </c>
      <c r="D508" s="129" t="s">
        <v>670</v>
      </c>
      <c r="E508" s="129" t="s">
        <v>674</v>
      </c>
      <c r="F508" s="11" t="s">
        <v>675</v>
      </c>
      <c r="G508" s="41" t="s">
        <v>5</v>
      </c>
      <c r="H508" s="71">
        <v>0</v>
      </c>
      <c r="I508" s="71">
        <v>0</v>
      </c>
      <c r="J508" s="71">
        <v>10792</v>
      </c>
      <c r="K508" s="71">
        <v>10792</v>
      </c>
      <c r="L508" s="71">
        <v>10792</v>
      </c>
      <c r="M508" s="71">
        <v>10792</v>
      </c>
      <c r="N508" s="71">
        <v>10792</v>
      </c>
      <c r="O508" s="71">
        <f>199652-53960</f>
        <v>145692</v>
      </c>
      <c r="P508" s="96">
        <f>SUM(H508:O508)</f>
        <v>199652</v>
      </c>
    </row>
    <row r="509" spans="1:16" ht="14.25" customHeight="1" x14ac:dyDescent="0.25">
      <c r="A509" s="134"/>
      <c r="B509" s="155"/>
      <c r="C509" s="156"/>
      <c r="D509" s="130"/>
      <c r="E509" s="130"/>
      <c r="F509" s="15" t="s">
        <v>676</v>
      </c>
      <c r="G509" s="40" t="s">
        <v>8</v>
      </c>
      <c r="H509" s="61">
        <f>1654-333</f>
        <v>1321</v>
      </c>
      <c r="I509" s="61">
        <v>6912</v>
      </c>
      <c r="J509" s="61">
        <v>6806</v>
      </c>
      <c r="K509" s="61">
        <v>5962</v>
      </c>
      <c r="L509" s="61">
        <v>5597</v>
      </c>
      <c r="M509" s="61">
        <v>5232</v>
      </c>
      <c r="N509" s="61">
        <v>4868</v>
      </c>
      <c r="O509" s="61">
        <f>73101-36698</f>
        <v>36403</v>
      </c>
      <c r="P509" s="64">
        <f t="shared" ref="P509:P513" si="358">SUM(H509:O509)</f>
        <v>73101</v>
      </c>
    </row>
    <row r="510" spans="1:16" ht="14.25" customHeight="1" x14ac:dyDescent="0.25">
      <c r="A510" s="135"/>
      <c r="B510" s="155"/>
      <c r="C510" s="156"/>
      <c r="D510" s="130"/>
      <c r="E510" s="130"/>
      <c r="F510" s="38"/>
      <c r="G510" s="13" t="s">
        <v>100</v>
      </c>
      <c r="H510" s="90">
        <f t="shared" ref="H510:O510" si="359">SUM(H508:H509)</f>
        <v>1321</v>
      </c>
      <c r="I510" s="90">
        <f t="shared" si="359"/>
        <v>6912</v>
      </c>
      <c r="J510" s="90">
        <f t="shared" si="359"/>
        <v>17598</v>
      </c>
      <c r="K510" s="90">
        <f t="shared" si="359"/>
        <v>16754</v>
      </c>
      <c r="L510" s="90">
        <f t="shared" si="359"/>
        <v>16389</v>
      </c>
      <c r="M510" s="90">
        <f t="shared" si="359"/>
        <v>16024</v>
      </c>
      <c r="N510" s="90">
        <f t="shared" si="359"/>
        <v>15660</v>
      </c>
      <c r="O510" s="90">
        <f t="shared" si="359"/>
        <v>182095</v>
      </c>
      <c r="P510" s="99">
        <f t="shared" si="358"/>
        <v>272753</v>
      </c>
    </row>
    <row r="511" spans="1:16" ht="14.25" customHeight="1" x14ac:dyDescent="0.25">
      <c r="A511" s="133">
        <f t="shared" si="357"/>
        <v>168</v>
      </c>
      <c r="B511" s="155" t="s">
        <v>11</v>
      </c>
      <c r="C511" s="182" t="s">
        <v>677</v>
      </c>
      <c r="D511" s="129" t="s">
        <v>670</v>
      </c>
      <c r="E511" s="129" t="s">
        <v>674</v>
      </c>
      <c r="F511" s="11" t="s">
        <v>678</v>
      </c>
      <c r="G511" s="41" t="s">
        <v>5</v>
      </c>
      <c r="H511" s="71">
        <v>0</v>
      </c>
      <c r="I511" s="71">
        <v>0</v>
      </c>
      <c r="J511" s="71">
        <v>7728</v>
      </c>
      <c r="K511" s="71">
        <v>7728</v>
      </c>
      <c r="L511" s="71">
        <v>7728</v>
      </c>
      <c r="M511" s="71">
        <v>7728</v>
      </c>
      <c r="N511" s="71">
        <v>7728</v>
      </c>
      <c r="O511" s="71">
        <f>142927-38640</f>
        <v>104287</v>
      </c>
      <c r="P511" s="96">
        <f>SUM(H511:O511)</f>
        <v>142927</v>
      </c>
    </row>
    <row r="512" spans="1:16" ht="14.25" customHeight="1" x14ac:dyDescent="0.25">
      <c r="A512" s="134"/>
      <c r="B512" s="155"/>
      <c r="C512" s="190"/>
      <c r="D512" s="130"/>
      <c r="E512" s="130"/>
      <c r="F512" s="15" t="s">
        <v>679</v>
      </c>
      <c r="G512" s="40" t="s">
        <v>8</v>
      </c>
      <c r="H512" s="61">
        <f>1628-808</f>
        <v>820</v>
      </c>
      <c r="I512" s="61">
        <v>4976</v>
      </c>
      <c r="J512" s="61">
        <v>4872</v>
      </c>
      <c r="K512" s="61">
        <v>4529</v>
      </c>
      <c r="L512" s="61">
        <v>4268</v>
      </c>
      <c r="M512" s="61">
        <v>4007</v>
      </c>
      <c r="N512" s="61">
        <v>3745</v>
      </c>
      <c r="O512" s="61">
        <f>52226-27217</f>
        <v>25009</v>
      </c>
      <c r="P512" s="64">
        <f t="shared" si="358"/>
        <v>52226</v>
      </c>
    </row>
    <row r="513" spans="1:16" ht="14.25" customHeight="1" x14ac:dyDescent="0.25">
      <c r="A513" s="135"/>
      <c r="B513" s="155"/>
      <c r="C513" s="190"/>
      <c r="D513" s="130"/>
      <c r="E513" s="130"/>
      <c r="F513" s="38"/>
      <c r="G513" s="13" t="s">
        <v>100</v>
      </c>
      <c r="H513" s="90">
        <f t="shared" ref="H513:O513" si="360">SUM(H511:H512)</f>
        <v>820</v>
      </c>
      <c r="I513" s="90">
        <f t="shared" si="360"/>
        <v>4976</v>
      </c>
      <c r="J513" s="90">
        <f t="shared" si="360"/>
        <v>12600</v>
      </c>
      <c r="K513" s="90">
        <f t="shared" si="360"/>
        <v>12257</v>
      </c>
      <c r="L513" s="90">
        <f t="shared" si="360"/>
        <v>11996</v>
      </c>
      <c r="M513" s="90">
        <f t="shared" si="360"/>
        <v>11735</v>
      </c>
      <c r="N513" s="90">
        <f t="shared" si="360"/>
        <v>11473</v>
      </c>
      <c r="O513" s="90">
        <f t="shared" si="360"/>
        <v>129296</v>
      </c>
      <c r="P513" s="99">
        <f t="shared" si="358"/>
        <v>195153</v>
      </c>
    </row>
    <row r="514" spans="1:16" ht="14.25" customHeight="1" x14ac:dyDescent="0.25">
      <c r="A514" s="133">
        <f t="shared" ref="A514" si="361">A511+1</f>
        <v>169</v>
      </c>
      <c r="B514" s="155" t="s">
        <v>11</v>
      </c>
      <c r="C514" s="163" t="s">
        <v>647</v>
      </c>
      <c r="D514" s="129" t="s">
        <v>680</v>
      </c>
      <c r="E514" s="129" t="s">
        <v>235</v>
      </c>
      <c r="F514" s="11" t="s">
        <v>681</v>
      </c>
      <c r="G514" s="41" t="s">
        <v>5</v>
      </c>
      <c r="H514" s="71">
        <v>0</v>
      </c>
      <c r="I514" s="71">
        <v>0</v>
      </c>
      <c r="J514" s="71">
        <v>5692</v>
      </c>
      <c r="K514" s="71">
        <v>5692</v>
      </c>
      <c r="L514" s="71">
        <v>5692</v>
      </c>
      <c r="M514" s="71">
        <v>5692</v>
      </c>
      <c r="N514" s="71">
        <v>5692</v>
      </c>
      <c r="O514" s="71">
        <f>49801-28460</f>
        <v>21341</v>
      </c>
      <c r="P514" s="96">
        <f>SUM(H514:O514)</f>
        <v>49801</v>
      </c>
    </row>
    <row r="515" spans="1:16" ht="14.25" customHeight="1" x14ac:dyDescent="0.25">
      <c r="A515" s="134"/>
      <c r="B515" s="155"/>
      <c r="C515" s="156"/>
      <c r="D515" s="130"/>
      <c r="E515" s="130"/>
      <c r="F515" s="15" t="s">
        <v>682</v>
      </c>
      <c r="G515" s="40" t="s">
        <v>8</v>
      </c>
      <c r="H515" s="61">
        <f>206</f>
        <v>206</v>
      </c>
      <c r="I515" s="61">
        <v>1426</v>
      </c>
      <c r="J515" s="61">
        <v>1329</v>
      </c>
      <c r="K515" s="61">
        <v>1034</v>
      </c>
      <c r="L515" s="61">
        <v>897</v>
      </c>
      <c r="M515" s="61">
        <v>761</v>
      </c>
      <c r="N515" s="61">
        <v>625</v>
      </c>
      <c r="O515" s="61">
        <f>7417-6278</f>
        <v>1139</v>
      </c>
      <c r="P515" s="64">
        <f t="shared" ref="P515:P516" si="362">SUM(H515:O515)</f>
        <v>7417</v>
      </c>
    </row>
    <row r="516" spans="1:16" ht="14.25" customHeight="1" x14ac:dyDescent="0.25">
      <c r="A516" s="135"/>
      <c r="B516" s="155"/>
      <c r="C516" s="156"/>
      <c r="D516" s="130"/>
      <c r="E516" s="130"/>
      <c r="F516" s="38"/>
      <c r="G516" s="13" t="s">
        <v>100</v>
      </c>
      <c r="H516" s="89">
        <f t="shared" ref="H516:O516" si="363">SUM(H514:H515)</f>
        <v>206</v>
      </c>
      <c r="I516" s="89">
        <f t="shared" si="363"/>
        <v>1426</v>
      </c>
      <c r="J516" s="89">
        <f t="shared" si="363"/>
        <v>7021</v>
      </c>
      <c r="K516" s="89">
        <f t="shared" si="363"/>
        <v>6726</v>
      </c>
      <c r="L516" s="89">
        <f t="shared" si="363"/>
        <v>6589</v>
      </c>
      <c r="M516" s="89">
        <f t="shared" si="363"/>
        <v>6453</v>
      </c>
      <c r="N516" s="89">
        <f t="shared" si="363"/>
        <v>6317</v>
      </c>
      <c r="O516" s="89">
        <f t="shared" si="363"/>
        <v>22480</v>
      </c>
      <c r="P516" s="91">
        <f t="shared" si="362"/>
        <v>57218</v>
      </c>
    </row>
    <row r="517" spans="1:16" ht="14.25" customHeight="1" x14ac:dyDescent="0.25">
      <c r="A517" s="133">
        <f t="shared" ref="A517" si="364">A514+1</f>
        <v>170</v>
      </c>
      <c r="B517" s="155" t="s">
        <v>11</v>
      </c>
      <c r="C517" s="163" t="s">
        <v>646</v>
      </c>
      <c r="D517" s="129" t="s">
        <v>680</v>
      </c>
      <c r="E517" s="129" t="s">
        <v>235</v>
      </c>
      <c r="F517" s="11" t="s">
        <v>683</v>
      </c>
      <c r="G517" s="41" t="s">
        <v>5</v>
      </c>
      <c r="H517" s="71">
        <v>0</v>
      </c>
      <c r="I517" s="71">
        <v>0</v>
      </c>
      <c r="J517" s="71">
        <v>6588</v>
      </c>
      <c r="K517" s="71">
        <v>6588</v>
      </c>
      <c r="L517" s="71">
        <v>6588</v>
      </c>
      <c r="M517" s="71">
        <v>6588</v>
      </c>
      <c r="N517" s="71">
        <v>6588</v>
      </c>
      <c r="O517" s="71">
        <f>57613-32940</f>
        <v>24673</v>
      </c>
      <c r="P517" s="96">
        <f>SUM(H517:O517)</f>
        <v>57613</v>
      </c>
    </row>
    <row r="518" spans="1:16" ht="14.25" customHeight="1" x14ac:dyDescent="0.25">
      <c r="A518" s="134"/>
      <c r="B518" s="155"/>
      <c r="C518" s="156"/>
      <c r="D518" s="130"/>
      <c r="E518" s="130"/>
      <c r="F518" s="15" t="s">
        <v>684</v>
      </c>
      <c r="G518" s="40" t="s">
        <v>8</v>
      </c>
      <c r="H518" s="61">
        <v>213</v>
      </c>
      <c r="I518" s="61">
        <v>1650</v>
      </c>
      <c r="J518" s="61">
        <v>1538</v>
      </c>
      <c r="K518" s="61">
        <v>1196</v>
      </c>
      <c r="L518" s="61">
        <v>1038</v>
      </c>
      <c r="M518" s="61">
        <v>881</v>
      </c>
      <c r="N518" s="61">
        <v>723</v>
      </c>
      <c r="O518" s="61">
        <f>8558-7239</f>
        <v>1319</v>
      </c>
      <c r="P518" s="64">
        <f t="shared" ref="P518:P522" si="365">SUM(H518:O518)</f>
        <v>8558</v>
      </c>
    </row>
    <row r="519" spans="1:16" ht="14.25" customHeight="1" x14ac:dyDescent="0.25">
      <c r="A519" s="135"/>
      <c r="B519" s="155"/>
      <c r="C519" s="156"/>
      <c r="D519" s="130"/>
      <c r="E519" s="130"/>
      <c r="F519" s="38"/>
      <c r="G519" s="13" t="s">
        <v>100</v>
      </c>
      <c r="H519" s="89">
        <f t="shared" ref="H519:O519" si="366">SUM(H517:H518)</f>
        <v>213</v>
      </c>
      <c r="I519" s="89">
        <f t="shared" si="366"/>
        <v>1650</v>
      </c>
      <c r="J519" s="89">
        <f t="shared" si="366"/>
        <v>8126</v>
      </c>
      <c r="K519" s="89">
        <f t="shared" si="366"/>
        <v>7784</v>
      </c>
      <c r="L519" s="89">
        <f t="shared" si="366"/>
        <v>7626</v>
      </c>
      <c r="M519" s="89">
        <f t="shared" si="366"/>
        <v>7469</v>
      </c>
      <c r="N519" s="89">
        <f t="shared" si="366"/>
        <v>7311</v>
      </c>
      <c r="O519" s="89">
        <f t="shared" si="366"/>
        <v>25992</v>
      </c>
      <c r="P519" s="91">
        <f t="shared" si="365"/>
        <v>66171</v>
      </c>
    </row>
    <row r="520" spans="1:16" ht="14.25" customHeight="1" x14ac:dyDescent="0.25">
      <c r="A520" s="133">
        <f t="shared" ref="A520" si="367">A517+1</f>
        <v>171</v>
      </c>
      <c r="B520" s="155" t="s">
        <v>11</v>
      </c>
      <c r="C520" s="163" t="s">
        <v>645</v>
      </c>
      <c r="D520" s="129" t="s">
        <v>680</v>
      </c>
      <c r="E520" s="129" t="s">
        <v>235</v>
      </c>
      <c r="F520" s="11" t="s">
        <v>685</v>
      </c>
      <c r="G520" s="41" t="s">
        <v>5</v>
      </c>
      <c r="H520" s="71">
        <v>0</v>
      </c>
      <c r="I520" s="71">
        <v>0</v>
      </c>
      <c r="J520" s="71">
        <v>6340</v>
      </c>
      <c r="K520" s="71">
        <v>6340</v>
      </c>
      <c r="L520" s="71">
        <v>6340</v>
      </c>
      <c r="M520" s="71">
        <v>6340</v>
      </c>
      <c r="N520" s="71">
        <v>6340</v>
      </c>
      <c r="O520" s="71">
        <f>55444-31700</f>
        <v>23744</v>
      </c>
      <c r="P520" s="62">
        <f>SUM(H520:O520)</f>
        <v>55444</v>
      </c>
    </row>
    <row r="521" spans="1:16" ht="14.25" customHeight="1" x14ac:dyDescent="0.25">
      <c r="A521" s="134"/>
      <c r="B521" s="155"/>
      <c r="C521" s="156"/>
      <c r="D521" s="130"/>
      <c r="E521" s="130"/>
      <c r="F521" s="15" t="s">
        <v>686</v>
      </c>
      <c r="G521" s="40" t="s">
        <v>8</v>
      </c>
      <c r="H521" s="61">
        <v>211</v>
      </c>
      <c r="I521" s="61">
        <v>1587</v>
      </c>
      <c r="J521" s="61">
        <v>1480</v>
      </c>
      <c r="K521" s="61">
        <v>1151</v>
      </c>
      <c r="L521" s="61">
        <v>999</v>
      </c>
      <c r="M521" s="61">
        <v>847</v>
      </c>
      <c r="N521" s="61">
        <v>696</v>
      </c>
      <c r="O521" s="61">
        <f>8233-6971</f>
        <v>1262</v>
      </c>
      <c r="P521" s="63">
        <f t="shared" si="365"/>
        <v>8233</v>
      </c>
    </row>
    <row r="522" spans="1:16" ht="14.25" customHeight="1" x14ac:dyDescent="0.25">
      <c r="A522" s="135"/>
      <c r="B522" s="155"/>
      <c r="C522" s="156"/>
      <c r="D522" s="130"/>
      <c r="E522" s="130"/>
      <c r="F522" s="38"/>
      <c r="G522" s="13" t="s">
        <v>100</v>
      </c>
      <c r="H522" s="90">
        <f t="shared" ref="H522:O522" si="368">SUM(H520:H521)</f>
        <v>211</v>
      </c>
      <c r="I522" s="90">
        <f t="shared" si="368"/>
        <v>1587</v>
      </c>
      <c r="J522" s="90">
        <f t="shared" si="368"/>
        <v>7820</v>
      </c>
      <c r="K522" s="90">
        <f t="shared" si="368"/>
        <v>7491</v>
      </c>
      <c r="L522" s="90">
        <f t="shared" si="368"/>
        <v>7339</v>
      </c>
      <c r="M522" s="90">
        <f t="shared" si="368"/>
        <v>7187</v>
      </c>
      <c r="N522" s="90">
        <f t="shared" si="368"/>
        <v>7036</v>
      </c>
      <c r="O522" s="90">
        <f t="shared" si="368"/>
        <v>25006</v>
      </c>
      <c r="P522" s="91">
        <f t="shared" si="365"/>
        <v>63677</v>
      </c>
    </row>
    <row r="523" spans="1:16" ht="14.25" customHeight="1" x14ac:dyDescent="0.25">
      <c r="A523" s="133">
        <f t="shared" ref="A523" si="369">A520+1</f>
        <v>172</v>
      </c>
      <c r="B523" s="155" t="s">
        <v>11</v>
      </c>
      <c r="C523" s="163" t="s">
        <v>687</v>
      </c>
      <c r="D523" s="129" t="s">
        <v>680</v>
      </c>
      <c r="E523" s="129" t="s">
        <v>688</v>
      </c>
      <c r="F523" s="11" t="s">
        <v>689</v>
      </c>
      <c r="G523" s="41" t="s">
        <v>5</v>
      </c>
      <c r="H523" s="71">
        <v>0</v>
      </c>
      <c r="I523" s="71">
        <v>0</v>
      </c>
      <c r="J523" s="71">
        <v>8008</v>
      </c>
      <c r="K523" s="71">
        <v>8008</v>
      </c>
      <c r="L523" s="71">
        <v>8008</v>
      </c>
      <c r="M523" s="71">
        <v>8008</v>
      </c>
      <c r="N523" s="71">
        <v>8008</v>
      </c>
      <c r="O523" s="71">
        <f>110057-40040</f>
        <v>70017</v>
      </c>
      <c r="P523" s="62">
        <f>SUM(H523:O523)</f>
        <v>110057</v>
      </c>
    </row>
    <row r="524" spans="1:16" ht="14.25" customHeight="1" x14ac:dyDescent="0.25">
      <c r="A524" s="134"/>
      <c r="B524" s="155"/>
      <c r="C524" s="156"/>
      <c r="D524" s="130"/>
      <c r="E524" s="130"/>
      <c r="F524" s="15" t="s">
        <v>690</v>
      </c>
      <c r="G524" s="40" t="s">
        <v>8</v>
      </c>
      <c r="H524" s="61">
        <f>1071-366-352</f>
        <v>353</v>
      </c>
      <c r="I524" s="61">
        <v>3258</v>
      </c>
      <c r="J524" s="61">
        <v>3154</v>
      </c>
      <c r="K524" s="61">
        <v>2615</v>
      </c>
      <c r="L524" s="61">
        <v>2407</v>
      </c>
      <c r="M524" s="61">
        <v>2199</v>
      </c>
      <c r="N524" s="61">
        <v>1992</v>
      </c>
      <c r="O524" s="61">
        <f>24548-15978</f>
        <v>8570</v>
      </c>
      <c r="P524" s="63">
        <f t="shared" ref="P524:P525" si="370">SUM(H524:O524)</f>
        <v>24548</v>
      </c>
    </row>
    <row r="525" spans="1:16" ht="14.25" customHeight="1" x14ac:dyDescent="0.25">
      <c r="A525" s="135"/>
      <c r="B525" s="155"/>
      <c r="C525" s="156"/>
      <c r="D525" s="130"/>
      <c r="E525" s="130"/>
      <c r="F525" s="38"/>
      <c r="G525" s="13" t="s">
        <v>100</v>
      </c>
      <c r="H525" s="89">
        <f t="shared" ref="H525:O525" si="371">SUM(H523:H524)</f>
        <v>353</v>
      </c>
      <c r="I525" s="90">
        <f t="shared" si="371"/>
        <v>3258</v>
      </c>
      <c r="J525" s="90">
        <f t="shared" si="371"/>
        <v>11162</v>
      </c>
      <c r="K525" s="90">
        <f t="shared" si="371"/>
        <v>10623</v>
      </c>
      <c r="L525" s="90">
        <f t="shared" si="371"/>
        <v>10415</v>
      </c>
      <c r="M525" s="90">
        <f t="shared" si="371"/>
        <v>10207</v>
      </c>
      <c r="N525" s="90">
        <f t="shared" si="371"/>
        <v>10000</v>
      </c>
      <c r="O525" s="90">
        <f t="shared" si="371"/>
        <v>78587</v>
      </c>
      <c r="P525" s="91">
        <f t="shared" si="370"/>
        <v>134605</v>
      </c>
    </row>
    <row r="526" spans="1:16" ht="14.25" customHeight="1" x14ac:dyDescent="0.25">
      <c r="A526" s="133">
        <f t="shared" ref="A526" si="372">A523+1</f>
        <v>173</v>
      </c>
      <c r="B526" s="155" t="s">
        <v>11</v>
      </c>
      <c r="C526" s="163" t="s">
        <v>691</v>
      </c>
      <c r="D526" s="129" t="s">
        <v>680</v>
      </c>
      <c r="E526" s="129" t="s">
        <v>688</v>
      </c>
      <c r="F526" s="11" t="s">
        <v>692</v>
      </c>
      <c r="G526" s="41" t="s">
        <v>5</v>
      </c>
      <c r="H526" s="71">
        <v>0</v>
      </c>
      <c r="I526" s="71">
        <v>0</v>
      </c>
      <c r="J526" s="71">
        <v>22256</v>
      </c>
      <c r="K526" s="71">
        <v>22256</v>
      </c>
      <c r="L526" s="71">
        <v>22256</v>
      </c>
      <c r="M526" s="71">
        <v>22256</v>
      </c>
      <c r="N526" s="71">
        <v>22256</v>
      </c>
      <c r="O526" s="71">
        <f>305985-111280</f>
        <v>194705</v>
      </c>
      <c r="P526" s="62">
        <f>SUM(H526:O526)</f>
        <v>305985</v>
      </c>
    </row>
    <row r="527" spans="1:16" ht="14.25" customHeight="1" x14ac:dyDescent="0.25">
      <c r="A527" s="134"/>
      <c r="B527" s="155"/>
      <c r="C527" s="156"/>
      <c r="D527" s="130"/>
      <c r="E527" s="130"/>
      <c r="F527" s="15" t="s">
        <v>693</v>
      </c>
      <c r="G527" s="40" t="s">
        <v>8</v>
      </c>
      <c r="H527" s="61">
        <v>1385</v>
      </c>
      <c r="I527" s="61">
        <v>9276</v>
      </c>
      <c r="J527" s="61">
        <v>8770</v>
      </c>
      <c r="K527" s="61">
        <v>7271</v>
      </c>
      <c r="L527" s="61">
        <v>6693</v>
      </c>
      <c r="M527" s="61">
        <v>6116</v>
      </c>
      <c r="N527" s="61">
        <v>5538</v>
      </c>
      <c r="O527" s="61">
        <f>68893-45049</f>
        <v>23844</v>
      </c>
      <c r="P527" s="63">
        <f t="shared" ref="P527:P528" si="373">SUM(H527:O527)</f>
        <v>68893</v>
      </c>
    </row>
    <row r="528" spans="1:16" ht="14.25" customHeight="1" x14ac:dyDescent="0.25">
      <c r="A528" s="135"/>
      <c r="B528" s="155"/>
      <c r="C528" s="156"/>
      <c r="D528" s="130"/>
      <c r="E528" s="130"/>
      <c r="F528" s="38"/>
      <c r="G528" s="13" t="s">
        <v>100</v>
      </c>
      <c r="H528" s="90">
        <f t="shared" ref="H528:O528" si="374">SUM(H526:H527)</f>
        <v>1385</v>
      </c>
      <c r="I528" s="90">
        <f t="shared" si="374"/>
        <v>9276</v>
      </c>
      <c r="J528" s="90">
        <f t="shared" si="374"/>
        <v>31026</v>
      </c>
      <c r="K528" s="90">
        <f t="shared" si="374"/>
        <v>29527</v>
      </c>
      <c r="L528" s="90">
        <f t="shared" si="374"/>
        <v>28949</v>
      </c>
      <c r="M528" s="90">
        <f t="shared" si="374"/>
        <v>28372</v>
      </c>
      <c r="N528" s="90">
        <f t="shared" si="374"/>
        <v>27794</v>
      </c>
      <c r="O528" s="90">
        <f t="shared" si="374"/>
        <v>218549</v>
      </c>
      <c r="P528" s="91">
        <f t="shared" si="373"/>
        <v>374878</v>
      </c>
    </row>
    <row r="529" spans="1:16" ht="14.25" customHeight="1" x14ac:dyDescent="0.25">
      <c r="A529" s="133">
        <f t="shared" ref="A529:A541" si="375">A526+1</f>
        <v>174</v>
      </c>
      <c r="B529" s="155" t="s">
        <v>11</v>
      </c>
      <c r="C529" s="163" t="s">
        <v>638</v>
      </c>
      <c r="D529" s="129" t="s">
        <v>680</v>
      </c>
      <c r="E529" s="129" t="s">
        <v>688</v>
      </c>
      <c r="F529" s="11" t="s">
        <v>694</v>
      </c>
      <c r="G529" s="41" t="s">
        <v>5</v>
      </c>
      <c r="H529" s="79">
        <v>0</v>
      </c>
      <c r="I529" s="79">
        <v>2449</v>
      </c>
      <c r="J529" s="79">
        <v>9832</v>
      </c>
      <c r="K529" s="79">
        <v>9832</v>
      </c>
      <c r="L529" s="79">
        <v>9832</v>
      </c>
      <c r="M529" s="79">
        <v>9832</v>
      </c>
      <c r="N529" s="79">
        <v>9832</v>
      </c>
      <c r="O529" s="79">
        <f>132723-51609</f>
        <v>81114</v>
      </c>
      <c r="P529" s="62">
        <f>SUM(H529:O529)</f>
        <v>132723</v>
      </c>
    </row>
    <row r="530" spans="1:16" ht="14.25" customHeight="1" x14ac:dyDescent="0.25">
      <c r="A530" s="134"/>
      <c r="B530" s="155"/>
      <c r="C530" s="156"/>
      <c r="D530" s="130"/>
      <c r="E530" s="130"/>
      <c r="F530" s="15" t="s">
        <v>695</v>
      </c>
      <c r="G530" s="40" t="s">
        <v>8</v>
      </c>
      <c r="H530" s="86">
        <f>727-34</f>
        <v>693</v>
      </c>
      <c r="I530" s="86">
        <v>4588</v>
      </c>
      <c r="J530" s="86">
        <v>4465</v>
      </c>
      <c r="K530" s="86">
        <v>4049</v>
      </c>
      <c r="L530" s="86">
        <v>3714</v>
      </c>
      <c r="M530" s="86">
        <v>3380</v>
      </c>
      <c r="N530" s="86">
        <v>3045</v>
      </c>
      <c r="O530" s="86">
        <f>36705-24344</f>
        <v>12361</v>
      </c>
      <c r="P530" s="63">
        <f t="shared" ref="P530" si="376">SUM(H530:O530)</f>
        <v>36295</v>
      </c>
    </row>
    <row r="531" spans="1:16" ht="14.25" customHeight="1" x14ac:dyDescent="0.25">
      <c r="A531" s="135"/>
      <c r="B531" s="155"/>
      <c r="C531" s="156"/>
      <c r="D531" s="130"/>
      <c r="E531" s="130"/>
      <c r="F531" s="38"/>
      <c r="G531" s="13" t="s">
        <v>100</v>
      </c>
      <c r="H531" s="90">
        <f t="shared" ref="H531:O531" si="377">SUM(H529:H530)</f>
        <v>693</v>
      </c>
      <c r="I531" s="90">
        <f t="shared" si="377"/>
        <v>7037</v>
      </c>
      <c r="J531" s="90">
        <f t="shared" si="377"/>
        <v>14297</v>
      </c>
      <c r="K531" s="90">
        <f t="shared" si="377"/>
        <v>13881</v>
      </c>
      <c r="L531" s="90">
        <f t="shared" si="377"/>
        <v>13546</v>
      </c>
      <c r="M531" s="90">
        <f t="shared" si="377"/>
        <v>13212</v>
      </c>
      <c r="N531" s="90">
        <f t="shared" si="377"/>
        <v>12877</v>
      </c>
      <c r="O531" s="90">
        <f t="shared" si="377"/>
        <v>93475</v>
      </c>
      <c r="P531" s="91">
        <f t="shared" ref="P531" si="378">SUM(H531:O531)</f>
        <v>169018</v>
      </c>
    </row>
    <row r="532" spans="1:16" ht="14.25" customHeight="1" x14ac:dyDescent="0.25">
      <c r="A532" s="133">
        <f t="shared" si="375"/>
        <v>175</v>
      </c>
      <c r="B532" s="155" t="s">
        <v>11</v>
      </c>
      <c r="C532" s="163" t="s">
        <v>637</v>
      </c>
      <c r="D532" s="129" t="s">
        <v>627</v>
      </c>
      <c r="E532" s="129" t="s">
        <v>648</v>
      </c>
      <c r="F532" s="11"/>
      <c r="G532" s="41" t="s">
        <v>5</v>
      </c>
      <c r="H532" s="79">
        <v>0</v>
      </c>
      <c r="I532" s="79">
        <v>0</v>
      </c>
      <c r="J532" s="79">
        <v>20050</v>
      </c>
      <c r="K532" s="79">
        <v>20050</v>
      </c>
      <c r="L532" s="79">
        <v>20050</v>
      </c>
      <c r="M532" s="79">
        <v>20050</v>
      </c>
      <c r="N532" s="79">
        <v>20050</v>
      </c>
      <c r="O532" s="79">
        <f>170470-100250</f>
        <v>70220</v>
      </c>
      <c r="P532" s="62">
        <f>SUM(H532:O532)</f>
        <v>170470</v>
      </c>
    </row>
    <row r="533" spans="1:16" ht="14.25" customHeight="1" x14ac:dyDescent="0.25">
      <c r="A533" s="134"/>
      <c r="B533" s="155"/>
      <c r="C533" s="156"/>
      <c r="D533" s="130"/>
      <c r="E533" s="130"/>
      <c r="F533" s="40" t="s">
        <v>568</v>
      </c>
      <c r="G533" s="40" t="s">
        <v>8</v>
      </c>
      <c r="H533" s="86">
        <f>1081-804</f>
        <v>277</v>
      </c>
      <c r="I533" s="86">
        <v>6110</v>
      </c>
      <c r="J533" s="86">
        <v>5964</v>
      </c>
      <c r="K533" s="86">
        <v>5016</v>
      </c>
      <c r="L533" s="86">
        <v>4333</v>
      </c>
      <c r="M533" s="86">
        <v>3650</v>
      </c>
      <c r="N533" s="86">
        <v>2967</v>
      </c>
      <c r="O533" s="86">
        <f>33355-28317</f>
        <v>5038</v>
      </c>
      <c r="P533" s="63">
        <f t="shared" ref="P533:P534" si="379">SUM(H533:O533)</f>
        <v>33355</v>
      </c>
    </row>
    <row r="534" spans="1:16" ht="14.25" customHeight="1" x14ac:dyDescent="0.25">
      <c r="A534" s="135"/>
      <c r="B534" s="155"/>
      <c r="C534" s="156"/>
      <c r="D534" s="130"/>
      <c r="E534" s="130"/>
      <c r="F534" s="38"/>
      <c r="G534" s="13" t="s">
        <v>100</v>
      </c>
      <c r="H534" s="89">
        <f t="shared" ref="H534:O534" si="380">SUM(H532:H533)</f>
        <v>277</v>
      </c>
      <c r="I534" s="89">
        <f t="shared" si="380"/>
        <v>6110</v>
      </c>
      <c r="J534" s="89">
        <f t="shared" si="380"/>
        <v>26014</v>
      </c>
      <c r="K534" s="89">
        <f t="shared" si="380"/>
        <v>25066</v>
      </c>
      <c r="L534" s="89">
        <f t="shared" si="380"/>
        <v>24383</v>
      </c>
      <c r="M534" s="89">
        <f t="shared" si="380"/>
        <v>23700</v>
      </c>
      <c r="N534" s="89">
        <f t="shared" si="380"/>
        <v>23017</v>
      </c>
      <c r="O534" s="89">
        <f t="shared" si="380"/>
        <v>75258</v>
      </c>
      <c r="P534" s="91">
        <f t="shared" si="379"/>
        <v>203825</v>
      </c>
    </row>
    <row r="535" spans="1:16" ht="14.25" customHeight="1" x14ac:dyDescent="0.25">
      <c r="A535" s="133">
        <f t="shared" si="375"/>
        <v>176</v>
      </c>
      <c r="B535" s="155" t="s">
        <v>11</v>
      </c>
      <c r="C535" s="163" t="s">
        <v>654</v>
      </c>
      <c r="D535" s="129" t="s">
        <v>652</v>
      </c>
      <c r="E535" s="129" t="s">
        <v>653</v>
      </c>
      <c r="F535" s="11"/>
      <c r="G535" s="41" t="s">
        <v>5</v>
      </c>
      <c r="H535" s="79">
        <v>0</v>
      </c>
      <c r="I535" s="79">
        <v>17332</v>
      </c>
      <c r="J535" s="79">
        <v>34660</v>
      </c>
      <c r="K535" s="79">
        <v>34660</v>
      </c>
      <c r="L535" s="79">
        <v>34660</v>
      </c>
      <c r="M535" s="79">
        <v>34660</v>
      </c>
      <c r="N535" s="79">
        <v>34660</v>
      </c>
      <c r="O535" s="79">
        <f>207962-190632</f>
        <v>17330</v>
      </c>
      <c r="P535" s="62">
        <f>SUM(H535:O535)</f>
        <v>207962</v>
      </c>
    </row>
    <row r="536" spans="1:16" ht="14.25" customHeight="1" x14ac:dyDescent="0.25">
      <c r="A536" s="134"/>
      <c r="B536" s="155"/>
      <c r="C536" s="156"/>
      <c r="D536" s="130"/>
      <c r="E536" s="130"/>
      <c r="F536" s="40" t="s">
        <v>568</v>
      </c>
      <c r="G536" s="40" t="s">
        <v>8</v>
      </c>
      <c r="H536" s="86">
        <v>232</v>
      </c>
      <c r="I536" s="86">
        <v>6011</v>
      </c>
      <c r="J536" s="86">
        <v>5451</v>
      </c>
      <c r="K536" s="86">
        <v>4256</v>
      </c>
      <c r="L536" s="86">
        <v>3276</v>
      </c>
      <c r="M536" s="86">
        <v>2297</v>
      </c>
      <c r="N536" s="86">
        <v>1316</v>
      </c>
      <c r="O536" s="86">
        <f>23184-22839</f>
        <v>345</v>
      </c>
      <c r="P536" s="63">
        <f t="shared" ref="P536:P573" si="381">SUM(H536:O536)</f>
        <v>23184</v>
      </c>
    </row>
    <row r="537" spans="1:16" ht="14.25" customHeight="1" x14ac:dyDescent="0.25">
      <c r="A537" s="135"/>
      <c r="B537" s="155"/>
      <c r="C537" s="156"/>
      <c r="D537" s="130"/>
      <c r="E537" s="130"/>
      <c r="F537" s="38"/>
      <c r="G537" s="13" t="s">
        <v>100</v>
      </c>
      <c r="H537" s="89">
        <f t="shared" ref="H537:O537" si="382">SUM(H535:H536)</f>
        <v>232</v>
      </c>
      <c r="I537" s="89">
        <f t="shared" si="382"/>
        <v>23343</v>
      </c>
      <c r="J537" s="89">
        <f t="shared" si="382"/>
        <v>40111</v>
      </c>
      <c r="K537" s="89">
        <f t="shared" si="382"/>
        <v>38916</v>
      </c>
      <c r="L537" s="89">
        <f t="shared" si="382"/>
        <v>37936</v>
      </c>
      <c r="M537" s="89">
        <f t="shared" si="382"/>
        <v>36957</v>
      </c>
      <c r="N537" s="89">
        <f t="shared" si="382"/>
        <v>35976</v>
      </c>
      <c r="O537" s="89">
        <f t="shared" si="382"/>
        <v>17675</v>
      </c>
      <c r="P537" s="91">
        <f t="shared" si="381"/>
        <v>231146</v>
      </c>
    </row>
    <row r="538" spans="1:16" ht="14.25" customHeight="1" x14ac:dyDescent="0.25">
      <c r="A538" s="133">
        <f t="shared" si="375"/>
        <v>177</v>
      </c>
      <c r="B538" s="155" t="s">
        <v>11</v>
      </c>
      <c r="C538" s="163" t="s">
        <v>650</v>
      </c>
      <c r="D538" s="129" t="s">
        <v>627</v>
      </c>
      <c r="E538" s="129" t="s">
        <v>649</v>
      </c>
      <c r="F538" s="11"/>
      <c r="G538" s="41" t="s">
        <v>5</v>
      </c>
      <c r="H538" s="79">
        <v>0</v>
      </c>
      <c r="I538" s="79">
        <v>0</v>
      </c>
      <c r="J538" s="79">
        <v>6864</v>
      </c>
      <c r="K538" s="79">
        <v>6864</v>
      </c>
      <c r="L538" s="79">
        <v>6864</v>
      </c>
      <c r="M538" s="79">
        <v>6864</v>
      </c>
      <c r="N538" s="79">
        <v>6864</v>
      </c>
      <c r="O538" s="79">
        <f>58336-34320</f>
        <v>24016</v>
      </c>
      <c r="P538" s="62">
        <f>SUM(H538:O538)</f>
        <v>58336</v>
      </c>
    </row>
    <row r="539" spans="1:16" ht="14.25" customHeight="1" x14ac:dyDescent="0.25">
      <c r="A539" s="134"/>
      <c r="B539" s="155"/>
      <c r="C539" s="156"/>
      <c r="D539" s="130"/>
      <c r="E539" s="130"/>
      <c r="F539" s="40" t="s">
        <v>568</v>
      </c>
      <c r="G539" s="40" t="s">
        <v>8</v>
      </c>
      <c r="H539" s="86">
        <v>105</v>
      </c>
      <c r="I539" s="86">
        <v>1830</v>
      </c>
      <c r="J539" s="86">
        <v>1826</v>
      </c>
      <c r="K539" s="86">
        <v>1716</v>
      </c>
      <c r="L539" s="86">
        <v>1482</v>
      </c>
      <c r="M539" s="86">
        <v>1249</v>
      </c>
      <c r="N539" s="86">
        <v>1015</v>
      </c>
      <c r="O539" s="86">
        <f>10948-9223</f>
        <v>1725</v>
      </c>
      <c r="P539" s="63">
        <f t="shared" si="381"/>
        <v>10948</v>
      </c>
    </row>
    <row r="540" spans="1:16" ht="14.25" customHeight="1" x14ac:dyDescent="0.25">
      <c r="A540" s="135"/>
      <c r="B540" s="155"/>
      <c r="C540" s="156"/>
      <c r="D540" s="130"/>
      <c r="E540" s="130"/>
      <c r="F540" s="38"/>
      <c r="G540" s="13" t="s">
        <v>100</v>
      </c>
      <c r="H540" s="89">
        <f t="shared" ref="H540:O540" si="383">SUM(H538:H539)</f>
        <v>105</v>
      </c>
      <c r="I540" s="89">
        <f t="shared" si="383"/>
        <v>1830</v>
      </c>
      <c r="J540" s="89">
        <f t="shared" si="383"/>
        <v>8690</v>
      </c>
      <c r="K540" s="89">
        <f t="shared" si="383"/>
        <v>8580</v>
      </c>
      <c r="L540" s="89">
        <f t="shared" si="383"/>
        <v>8346</v>
      </c>
      <c r="M540" s="89">
        <f t="shared" si="383"/>
        <v>8113</v>
      </c>
      <c r="N540" s="89">
        <f t="shared" si="383"/>
        <v>7879</v>
      </c>
      <c r="O540" s="89">
        <f t="shared" si="383"/>
        <v>25741</v>
      </c>
      <c r="P540" s="91">
        <f t="shared" si="381"/>
        <v>69284</v>
      </c>
    </row>
    <row r="541" spans="1:16" ht="14.25" customHeight="1" x14ac:dyDescent="0.25">
      <c r="A541" s="133">
        <f t="shared" si="375"/>
        <v>178</v>
      </c>
      <c r="B541" s="155" t="s">
        <v>11</v>
      </c>
      <c r="C541" s="163" t="s">
        <v>651</v>
      </c>
      <c r="D541" s="129" t="s">
        <v>627</v>
      </c>
      <c r="E541" s="129" t="s">
        <v>649</v>
      </c>
      <c r="F541" s="11"/>
      <c r="G541" s="41" t="s">
        <v>5</v>
      </c>
      <c r="H541" s="79">
        <v>0</v>
      </c>
      <c r="I541" s="79">
        <v>0</v>
      </c>
      <c r="J541" s="79">
        <v>3160</v>
      </c>
      <c r="K541" s="79">
        <v>3160</v>
      </c>
      <c r="L541" s="79">
        <v>3160</v>
      </c>
      <c r="M541" s="79">
        <v>3160</v>
      </c>
      <c r="N541" s="79">
        <v>3160</v>
      </c>
      <c r="O541" s="79">
        <f>26876-15800</f>
        <v>11076</v>
      </c>
      <c r="P541" s="62">
        <f>SUM(H541:O541)</f>
        <v>26876</v>
      </c>
    </row>
    <row r="542" spans="1:16" ht="14.25" customHeight="1" x14ac:dyDescent="0.25">
      <c r="A542" s="134"/>
      <c r="B542" s="155"/>
      <c r="C542" s="156"/>
      <c r="D542" s="130"/>
      <c r="E542" s="130"/>
      <c r="F542" s="40" t="s">
        <v>568</v>
      </c>
      <c r="G542" s="40" t="s">
        <v>8</v>
      </c>
      <c r="H542" s="86">
        <v>42</v>
      </c>
      <c r="I542" s="86">
        <v>843</v>
      </c>
      <c r="J542" s="86">
        <v>841</v>
      </c>
      <c r="K542" s="86">
        <v>791</v>
      </c>
      <c r="L542" s="86">
        <v>683</v>
      </c>
      <c r="M542" s="86">
        <v>576</v>
      </c>
      <c r="N542" s="86">
        <v>468</v>
      </c>
      <c r="O542" s="86">
        <f>5041-4244</f>
        <v>797</v>
      </c>
      <c r="P542" s="63">
        <f t="shared" si="381"/>
        <v>5041</v>
      </c>
    </row>
    <row r="543" spans="1:16" ht="14.25" customHeight="1" x14ac:dyDescent="0.25">
      <c r="A543" s="135"/>
      <c r="B543" s="155"/>
      <c r="C543" s="156"/>
      <c r="D543" s="130"/>
      <c r="E543" s="130"/>
      <c r="F543" s="38"/>
      <c r="G543" s="13" t="s">
        <v>100</v>
      </c>
      <c r="H543" s="89">
        <f t="shared" ref="H543:O543" si="384">SUM(H541:H542)</f>
        <v>42</v>
      </c>
      <c r="I543" s="89">
        <f t="shared" si="384"/>
        <v>843</v>
      </c>
      <c r="J543" s="89">
        <f t="shared" si="384"/>
        <v>4001</v>
      </c>
      <c r="K543" s="89">
        <f t="shared" si="384"/>
        <v>3951</v>
      </c>
      <c r="L543" s="89">
        <f t="shared" si="384"/>
        <v>3843</v>
      </c>
      <c r="M543" s="89">
        <f t="shared" si="384"/>
        <v>3736</v>
      </c>
      <c r="N543" s="89">
        <f t="shared" si="384"/>
        <v>3628</v>
      </c>
      <c r="O543" s="89">
        <f t="shared" si="384"/>
        <v>11873</v>
      </c>
      <c r="P543" s="91">
        <f t="shared" si="381"/>
        <v>31917</v>
      </c>
    </row>
    <row r="544" spans="1:16" ht="14.25" customHeight="1" x14ac:dyDescent="0.25">
      <c r="A544" s="133">
        <f t="shared" ref="A544:A568" si="385">A541+1</f>
        <v>179</v>
      </c>
      <c r="B544" s="155" t="s">
        <v>11</v>
      </c>
      <c r="C544" s="163" t="s">
        <v>623</v>
      </c>
      <c r="D544" s="129" t="s">
        <v>624</v>
      </c>
      <c r="E544" s="129" t="s">
        <v>625</v>
      </c>
      <c r="F544" s="11"/>
      <c r="G544" s="41" t="s">
        <v>5</v>
      </c>
      <c r="H544" s="79">
        <v>0</v>
      </c>
      <c r="I544" s="79">
        <v>0</v>
      </c>
      <c r="J544" s="79">
        <v>39272</v>
      </c>
      <c r="K544" s="79">
        <v>39272</v>
      </c>
      <c r="L544" s="79">
        <v>39272</v>
      </c>
      <c r="M544" s="79">
        <v>39272</v>
      </c>
      <c r="N544" s="79">
        <v>39272</v>
      </c>
      <c r="O544" s="79">
        <f>530160-196360</f>
        <v>333800</v>
      </c>
      <c r="P544" s="62">
        <f>SUM(H544:O544)</f>
        <v>530160</v>
      </c>
    </row>
    <row r="545" spans="1:16" ht="14.25" customHeight="1" x14ac:dyDescent="0.25">
      <c r="A545" s="134"/>
      <c r="B545" s="155"/>
      <c r="C545" s="156"/>
      <c r="D545" s="130"/>
      <c r="E545" s="130"/>
      <c r="F545" s="40" t="s">
        <v>568</v>
      </c>
      <c r="G545" s="40" t="s">
        <v>8</v>
      </c>
      <c r="H545" s="86">
        <f>1210+423</f>
        <v>1633</v>
      </c>
      <c r="I545" s="86">
        <v>11135</v>
      </c>
      <c r="J545" s="86">
        <v>18731</v>
      </c>
      <c r="K545" s="86">
        <v>16508</v>
      </c>
      <c r="L545" s="86">
        <v>15170</v>
      </c>
      <c r="M545" s="86">
        <v>13833</v>
      </c>
      <c r="N545" s="86">
        <v>12495</v>
      </c>
      <c r="O545" s="86">
        <f>141370-89082</f>
        <v>52288</v>
      </c>
      <c r="P545" s="63">
        <f t="shared" ref="P545:P546" si="386">SUM(H545:O545)</f>
        <v>141793</v>
      </c>
    </row>
    <row r="546" spans="1:16" ht="14.25" customHeight="1" x14ac:dyDescent="0.25">
      <c r="A546" s="135"/>
      <c r="B546" s="155"/>
      <c r="C546" s="156"/>
      <c r="D546" s="130"/>
      <c r="E546" s="130"/>
      <c r="F546" s="38"/>
      <c r="G546" s="13" t="s">
        <v>100</v>
      </c>
      <c r="H546" s="89">
        <f t="shared" ref="H546:O546" si="387">SUM(H544:H545)</f>
        <v>1633</v>
      </c>
      <c r="I546" s="89">
        <f t="shared" si="387"/>
        <v>11135</v>
      </c>
      <c r="J546" s="89">
        <f t="shared" si="387"/>
        <v>58003</v>
      </c>
      <c r="K546" s="89">
        <f t="shared" si="387"/>
        <v>55780</v>
      </c>
      <c r="L546" s="89">
        <f t="shared" si="387"/>
        <v>54442</v>
      </c>
      <c r="M546" s="89">
        <f t="shared" si="387"/>
        <v>53105</v>
      </c>
      <c r="N546" s="89">
        <f t="shared" si="387"/>
        <v>51767</v>
      </c>
      <c r="O546" s="89">
        <f t="shared" si="387"/>
        <v>386088</v>
      </c>
      <c r="P546" s="91">
        <f t="shared" si="386"/>
        <v>671953</v>
      </c>
    </row>
    <row r="547" spans="1:16" ht="14.25" customHeight="1" x14ac:dyDescent="0.25">
      <c r="A547" s="133">
        <f t="shared" si="385"/>
        <v>180</v>
      </c>
      <c r="B547" s="155" t="s">
        <v>11</v>
      </c>
      <c r="C547" s="163" t="s">
        <v>630</v>
      </c>
      <c r="D547" s="129" t="s">
        <v>624</v>
      </c>
      <c r="E547" s="129" t="s">
        <v>625</v>
      </c>
      <c r="F547" s="11"/>
      <c r="G547" s="41" t="s">
        <v>5</v>
      </c>
      <c r="H547" s="79">
        <v>0</v>
      </c>
      <c r="I547" s="79">
        <v>0</v>
      </c>
      <c r="J547" s="79">
        <v>9820</v>
      </c>
      <c r="K547" s="79">
        <v>9820</v>
      </c>
      <c r="L547" s="79">
        <v>9820</v>
      </c>
      <c r="M547" s="79">
        <v>9820</v>
      </c>
      <c r="N547" s="79">
        <v>9820</v>
      </c>
      <c r="O547" s="79">
        <f>132590-49100</f>
        <v>83490</v>
      </c>
      <c r="P547" s="62">
        <f>SUM(H547:O547)</f>
        <v>132590</v>
      </c>
    </row>
    <row r="548" spans="1:16" ht="14.25" customHeight="1" x14ac:dyDescent="0.25">
      <c r="A548" s="134"/>
      <c r="B548" s="155"/>
      <c r="C548" s="156"/>
      <c r="D548" s="130"/>
      <c r="E548" s="130"/>
      <c r="F548" s="40" t="s">
        <v>568</v>
      </c>
      <c r="G548" s="40" t="s">
        <v>8</v>
      </c>
      <c r="H548" s="86">
        <f>371+199</f>
        <v>570</v>
      </c>
      <c r="I548" s="86">
        <v>4288</v>
      </c>
      <c r="J548" s="86">
        <v>4684</v>
      </c>
      <c r="K548" s="86">
        <v>4129</v>
      </c>
      <c r="L548" s="86">
        <v>3794</v>
      </c>
      <c r="M548" s="86">
        <v>3460</v>
      </c>
      <c r="N548" s="86">
        <v>3125</v>
      </c>
      <c r="O548" s="86">
        <f>36932-23851</f>
        <v>13081</v>
      </c>
      <c r="P548" s="63">
        <f t="shared" ref="P548:P549" si="388">SUM(H548:O548)</f>
        <v>37131</v>
      </c>
    </row>
    <row r="549" spans="1:16" ht="14.25" customHeight="1" x14ac:dyDescent="0.25">
      <c r="A549" s="135"/>
      <c r="B549" s="155"/>
      <c r="C549" s="156"/>
      <c r="D549" s="130"/>
      <c r="E549" s="130"/>
      <c r="F549" s="38"/>
      <c r="G549" s="13" t="s">
        <v>100</v>
      </c>
      <c r="H549" s="89">
        <f t="shared" ref="H549:O549" si="389">SUM(H547:H548)</f>
        <v>570</v>
      </c>
      <c r="I549" s="89">
        <f t="shared" si="389"/>
        <v>4288</v>
      </c>
      <c r="J549" s="89">
        <f t="shared" si="389"/>
        <v>14504</v>
      </c>
      <c r="K549" s="89">
        <f t="shared" si="389"/>
        <v>13949</v>
      </c>
      <c r="L549" s="89">
        <f t="shared" si="389"/>
        <v>13614</v>
      </c>
      <c r="M549" s="89">
        <f t="shared" si="389"/>
        <v>13280</v>
      </c>
      <c r="N549" s="89">
        <f t="shared" si="389"/>
        <v>12945</v>
      </c>
      <c r="O549" s="89">
        <f t="shared" si="389"/>
        <v>96571</v>
      </c>
      <c r="P549" s="91">
        <f t="shared" si="388"/>
        <v>169721</v>
      </c>
    </row>
    <row r="550" spans="1:16" ht="14.25" customHeight="1" x14ac:dyDescent="0.25">
      <c r="A550" s="133">
        <f t="shared" si="385"/>
        <v>181</v>
      </c>
      <c r="B550" s="155" t="s">
        <v>11</v>
      </c>
      <c r="C550" s="163" t="s">
        <v>626</v>
      </c>
      <c r="D550" s="129" t="s">
        <v>627</v>
      </c>
      <c r="E550" s="129" t="s">
        <v>628</v>
      </c>
      <c r="F550" s="11"/>
      <c r="G550" s="41" t="s">
        <v>5</v>
      </c>
      <c r="H550" s="79">
        <v>0</v>
      </c>
      <c r="I550" s="79">
        <v>0</v>
      </c>
      <c r="J550" s="79">
        <v>44477</v>
      </c>
      <c r="K550" s="79">
        <v>44504</v>
      </c>
      <c r="L550" s="79">
        <v>44504</v>
      </c>
      <c r="M550" s="79">
        <v>44504</v>
      </c>
      <c r="N550" s="79">
        <v>44504</v>
      </c>
      <c r="O550" s="79">
        <f>1045817-222493</f>
        <v>823324</v>
      </c>
      <c r="P550" s="62">
        <f>SUM(H550:O550)</f>
        <v>1045817</v>
      </c>
    </row>
    <row r="551" spans="1:16" ht="14.25" customHeight="1" x14ac:dyDescent="0.25">
      <c r="A551" s="134"/>
      <c r="B551" s="155"/>
      <c r="C551" s="156"/>
      <c r="D551" s="130"/>
      <c r="E551" s="130"/>
      <c r="F551" s="40" t="s">
        <v>568</v>
      </c>
      <c r="G551" s="40" t="s">
        <v>8</v>
      </c>
      <c r="H551" s="86">
        <v>284</v>
      </c>
      <c r="I551" s="86">
        <v>29654</v>
      </c>
      <c r="J551" s="86">
        <v>40171</v>
      </c>
      <c r="K551" s="86">
        <v>36516</v>
      </c>
      <c r="L551" s="86">
        <v>34882</v>
      </c>
      <c r="M551" s="86">
        <v>33247</v>
      </c>
      <c r="N551" s="86">
        <v>31613</v>
      </c>
      <c r="O551" s="86">
        <f>496503-206367</f>
        <v>290136</v>
      </c>
      <c r="P551" s="63">
        <f t="shared" ref="P551:P552" si="390">SUM(H551:O551)</f>
        <v>496503</v>
      </c>
    </row>
    <row r="552" spans="1:16" ht="14.25" customHeight="1" x14ac:dyDescent="0.25">
      <c r="A552" s="135"/>
      <c r="B552" s="155"/>
      <c r="C552" s="156"/>
      <c r="D552" s="130"/>
      <c r="E552" s="130"/>
      <c r="F552" s="38"/>
      <c r="G552" s="13" t="s">
        <v>100</v>
      </c>
      <c r="H552" s="89">
        <f t="shared" ref="H552:O552" si="391">SUM(H550:H551)</f>
        <v>284</v>
      </c>
      <c r="I552" s="89">
        <f t="shared" si="391"/>
        <v>29654</v>
      </c>
      <c r="J552" s="89">
        <f t="shared" si="391"/>
        <v>84648</v>
      </c>
      <c r="K552" s="89">
        <f t="shared" si="391"/>
        <v>81020</v>
      </c>
      <c r="L552" s="89">
        <f t="shared" si="391"/>
        <v>79386</v>
      </c>
      <c r="M552" s="89">
        <f t="shared" si="391"/>
        <v>77751</v>
      </c>
      <c r="N552" s="89">
        <f t="shared" si="391"/>
        <v>76117</v>
      </c>
      <c r="O552" s="89">
        <f t="shared" si="391"/>
        <v>1113460</v>
      </c>
      <c r="P552" s="91">
        <f t="shared" si="390"/>
        <v>1542320</v>
      </c>
    </row>
    <row r="553" spans="1:16" ht="14.25" customHeight="1" x14ac:dyDescent="0.25">
      <c r="A553" s="133">
        <f t="shared" si="385"/>
        <v>182</v>
      </c>
      <c r="B553" s="155" t="s">
        <v>11</v>
      </c>
      <c r="C553" s="163" t="s">
        <v>629</v>
      </c>
      <c r="D553" s="129" t="s">
        <v>627</v>
      </c>
      <c r="E553" s="129" t="s">
        <v>628</v>
      </c>
      <c r="F553" s="11"/>
      <c r="G553" s="41" t="s">
        <v>5</v>
      </c>
      <c r="H553" s="79">
        <v>0</v>
      </c>
      <c r="I553" s="79">
        <v>0</v>
      </c>
      <c r="J553" s="79">
        <v>21206</v>
      </c>
      <c r="K553" s="79">
        <v>21208</v>
      </c>
      <c r="L553" s="79">
        <v>21208</v>
      </c>
      <c r="M553" s="79">
        <v>21208</v>
      </c>
      <c r="N553" s="79">
        <v>21208</v>
      </c>
      <c r="O553" s="79">
        <f>498386-106038</f>
        <v>392348</v>
      </c>
      <c r="P553" s="62">
        <f>SUM(H553:O553)</f>
        <v>498386</v>
      </c>
    </row>
    <row r="554" spans="1:16" ht="14.25" customHeight="1" x14ac:dyDescent="0.25">
      <c r="A554" s="134"/>
      <c r="B554" s="155"/>
      <c r="C554" s="156"/>
      <c r="D554" s="130"/>
      <c r="E554" s="130"/>
      <c r="F554" s="40" t="s">
        <v>568</v>
      </c>
      <c r="G554" s="40" t="s">
        <v>8</v>
      </c>
      <c r="H554" s="86">
        <v>283</v>
      </c>
      <c r="I554" s="86">
        <v>17785</v>
      </c>
      <c r="J554" s="86">
        <v>19143</v>
      </c>
      <c r="K554" s="86">
        <v>17401</v>
      </c>
      <c r="L554" s="86">
        <v>16623</v>
      </c>
      <c r="M554" s="86">
        <v>15844</v>
      </c>
      <c r="N554" s="86">
        <v>15065</v>
      </c>
      <c r="O554" s="86">
        <f>240407-102144</f>
        <v>138263</v>
      </c>
      <c r="P554" s="63">
        <f t="shared" ref="P554:P555" si="392">SUM(H554:O554)</f>
        <v>240407</v>
      </c>
    </row>
    <row r="555" spans="1:16" ht="14.25" customHeight="1" x14ac:dyDescent="0.25">
      <c r="A555" s="135"/>
      <c r="B555" s="155"/>
      <c r="C555" s="156"/>
      <c r="D555" s="130"/>
      <c r="E555" s="130"/>
      <c r="F555" s="38"/>
      <c r="G555" s="13" t="s">
        <v>100</v>
      </c>
      <c r="H555" s="89">
        <f t="shared" ref="H555:O555" si="393">SUM(H553:H554)</f>
        <v>283</v>
      </c>
      <c r="I555" s="89">
        <f t="shared" si="393"/>
        <v>17785</v>
      </c>
      <c r="J555" s="89">
        <f t="shared" si="393"/>
        <v>40349</v>
      </c>
      <c r="K555" s="89">
        <f t="shared" si="393"/>
        <v>38609</v>
      </c>
      <c r="L555" s="89">
        <f t="shared" si="393"/>
        <v>37831</v>
      </c>
      <c r="M555" s="89">
        <f t="shared" si="393"/>
        <v>37052</v>
      </c>
      <c r="N555" s="89">
        <f t="shared" si="393"/>
        <v>36273</v>
      </c>
      <c r="O555" s="89">
        <f t="shared" si="393"/>
        <v>530611</v>
      </c>
      <c r="P555" s="91">
        <f t="shared" si="392"/>
        <v>738793</v>
      </c>
    </row>
    <row r="556" spans="1:16" ht="14.25" customHeight="1" x14ac:dyDescent="0.25">
      <c r="A556" s="133">
        <f t="shared" si="385"/>
        <v>183</v>
      </c>
      <c r="B556" s="155" t="s">
        <v>11</v>
      </c>
      <c r="C556" s="163" t="s">
        <v>631</v>
      </c>
      <c r="D556" s="129" t="s">
        <v>633</v>
      </c>
      <c r="E556" s="129" t="s">
        <v>634</v>
      </c>
      <c r="F556" s="11"/>
      <c r="G556" s="41" t="s">
        <v>5</v>
      </c>
      <c r="H556" s="79">
        <v>0</v>
      </c>
      <c r="I556" s="79">
        <v>0</v>
      </c>
      <c r="J556" s="79">
        <v>41964</v>
      </c>
      <c r="K556" s="79">
        <v>42000</v>
      </c>
      <c r="L556" s="79">
        <v>42000</v>
      </c>
      <c r="M556" s="79">
        <v>42000</v>
      </c>
      <c r="N556" s="79">
        <v>42000</v>
      </c>
      <c r="O556" s="79">
        <f>776964-209964</f>
        <v>567000</v>
      </c>
      <c r="P556" s="62">
        <f>SUM(H556:O556)</f>
        <v>776964</v>
      </c>
    </row>
    <row r="557" spans="1:16" ht="14.25" customHeight="1" x14ac:dyDescent="0.25">
      <c r="A557" s="134"/>
      <c r="B557" s="155"/>
      <c r="C557" s="156"/>
      <c r="D557" s="130"/>
      <c r="E557" s="130"/>
      <c r="F557" s="40" t="s">
        <v>568</v>
      </c>
      <c r="G557" s="40" t="s">
        <v>8</v>
      </c>
      <c r="H557" s="86">
        <f>518-192</f>
        <v>326</v>
      </c>
      <c r="I557" s="86">
        <v>13041</v>
      </c>
      <c r="J557" s="86">
        <v>28575</v>
      </c>
      <c r="K557" s="86">
        <v>24623</v>
      </c>
      <c r="L557" s="86">
        <v>23203</v>
      </c>
      <c r="M557" s="86">
        <v>21783</v>
      </c>
      <c r="N557" s="86">
        <v>20363</v>
      </c>
      <c r="O557" s="86">
        <f>268283-132255</f>
        <v>136028</v>
      </c>
      <c r="P557" s="63">
        <f t="shared" ref="P557" si="394">SUM(H557:O557)</f>
        <v>267942</v>
      </c>
    </row>
    <row r="558" spans="1:16" ht="14.25" customHeight="1" x14ac:dyDescent="0.25">
      <c r="A558" s="135"/>
      <c r="B558" s="155"/>
      <c r="C558" s="156"/>
      <c r="D558" s="130"/>
      <c r="E558" s="130"/>
      <c r="F558" s="38"/>
      <c r="G558" s="13" t="s">
        <v>100</v>
      </c>
      <c r="H558" s="89">
        <f t="shared" ref="H558:O558" si="395">SUM(H556:H557)</f>
        <v>326</v>
      </c>
      <c r="I558" s="89">
        <f t="shared" si="395"/>
        <v>13041</v>
      </c>
      <c r="J558" s="89">
        <f t="shared" si="395"/>
        <v>70539</v>
      </c>
      <c r="K558" s="89">
        <f t="shared" si="395"/>
        <v>66623</v>
      </c>
      <c r="L558" s="89">
        <f t="shared" si="395"/>
        <v>65203</v>
      </c>
      <c r="M558" s="89">
        <f t="shared" si="395"/>
        <v>63783</v>
      </c>
      <c r="N558" s="89">
        <f t="shared" si="395"/>
        <v>62363</v>
      </c>
      <c r="O558" s="89">
        <f t="shared" si="395"/>
        <v>703028</v>
      </c>
      <c r="P558" s="91">
        <f t="shared" ref="P558" si="396">SUM(H558:O558)</f>
        <v>1044906</v>
      </c>
    </row>
    <row r="559" spans="1:16" ht="14.25" customHeight="1" x14ac:dyDescent="0.25">
      <c r="A559" s="133">
        <f t="shared" si="385"/>
        <v>184</v>
      </c>
      <c r="B559" s="155" t="s">
        <v>11</v>
      </c>
      <c r="C559" s="163" t="s">
        <v>632</v>
      </c>
      <c r="D559" s="129" t="s">
        <v>633</v>
      </c>
      <c r="E559" s="129" t="s">
        <v>634</v>
      </c>
      <c r="F559" s="11"/>
      <c r="G559" s="41" t="s">
        <v>5</v>
      </c>
      <c r="H559" s="79">
        <v>0</v>
      </c>
      <c r="I559" s="79">
        <v>0</v>
      </c>
      <c r="J559" s="79">
        <v>27833</v>
      </c>
      <c r="K559" s="79">
        <v>27828</v>
      </c>
      <c r="L559" s="79">
        <v>27828</v>
      </c>
      <c r="M559" s="79">
        <v>27828</v>
      </c>
      <c r="N559" s="79">
        <v>27828</v>
      </c>
      <c r="O559" s="79">
        <f>514823-139145</f>
        <v>375678</v>
      </c>
      <c r="P559" s="62">
        <f>SUM(H559:O559)</f>
        <v>514823</v>
      </c>
    </row>
    <row r="560" spans="1:16" ht="14.25" customHeight="1" x14ac:dyDescent="0.25">
      <c r="A560" s="134"/>
      <c r="B560" s="155"/>
      <c r="C560" s="156"/>
      <c r="D560" s="130"/>
      <c r="E560" s="130"/>
      <c r="F560" s="40"/>
      <c r="G560" s="40" t="s">
        <v>8</v>
      </c>
      <c r="H560" s="86">
        <f>744-423</f>
        <v>321</v>
      </c>
      <c r="I560" s="86">
        <v>12133</v>
      </c>
      <c r="J560" s="86">
        <v>18934</v>
      </c>
      <c r="K560" s="86">
        <v>16314</v>
      </c>
      <c r="L560" s="86">
        <v>15373</v>
      </c>
      <c r="M560" s="86">
        <v>14433</v>
      </c>
      <c r="N560" s="86">
        <v>13492</v>
      </c>
      <c r="O560" s="86">
        <f>181848-91719</f>
        <v>90129</v>
      </c>
      <c r="P560" s="63">
        <f t="shared" ref="P560:P561" si="397">SUM(H560:O560)</f>
        <v>181129</v>
      </c>
    </row>
    <row r="561" spans="1:18" ht="14.25" customHeight="1" x14ac:dyDescent="0.25">
      <c r="A561" s="135"/>
      <c r="B561" s="155"/>
      <c r="C561" s="156"/>
      <c r="D561" s="130"/>
      <c r="E561" s="130"/>
      <c r="F561" s="38"/>
      <c r="G561" s="13" t="s">
        <v>100</v>
      </c>
      <c r="H561" s="89">
        <f t="shared" ref="H561:O561" si="398">SUM(H559:H560)</f>
        <v>321</v>
      </c>
      <c r="I561" s="89">
        <f t="shared" si="398"/>
        <v>12133</v>
      </c>
      <c r="J561" s="89">
        <f t="shared" si="398"/>
        <v>46767</v>
      </c>
      <c r="K561" s="89">
        <f t="shared" si="398"/>
        <v>44142</v>
      </c>
      <c r="L561" s="89">
        <f t="shared" si="398"/>
        <v>43201</v>
      </c>
      <c r="M561" s="89">
        <f t="shared" si="398"/>
        <v>42261</v>
      </c>
      <c r="N561" s="89">
        <f t="shared" si="398"/>
        <v>41320</v>
      </c>
      <c r="O561" s="89">
        <f t="shared" si="398"/>
        <v>465807</v>
      </c>
      <c r="P561" s="91">
        <f t="shared" si="397"/>
        <v>695952</v>
      </c>
    </row>
    <row r="562" spans="1:18" ht="14.25" hidden="1" customHeight="1" outlineLevel="1" x14ac:dyDescent="0.25">
      <c r="A562" s="133">
        <f t="shared" si="385"/>
        <v>185</v>
      </c>
      <c r="B562" s="155" t="s">
        <v>11</v>
      </c>
      <c r="C562" s="163"/>
      <c r="D562" s="129"/>
      <c r="E562" s="129"/>
      <c r="F562" s="11"/>
      <c r="G562" s="41" t="s">
        <v>5</v>
      </c>
      <c r="H562" s="79"/>
      <c r="I562" s="72"/>
      <c r="J562" s="72"/>
      <c r="K562" s="72"/>
      <c r="L562" s="72"/>
      <c r="M562" s="72"/>
      <c r="N562" s="72"/>
      <c r="O562" s="72"/>
      <c r="P562" s="12">
        <f>SUM(H562:O562)</f>
        <v>0</v>
      </c>
    </row>
    <row r="563" spans="1:18" ht="14.25" hidden="1" customHeight="1" outlineLevel="1" x14ac:dyDescent="0.25">
      <c r="A563" s="134"/>
      <c r="B563" s="155"/>
      <c r="C563" s="156"/>
      <c r="D563" s="130"/>
      <c r="E563" s="130"/>
      <c r="F563" s="40" t="s">
        <v>568</v>
      </c>
      <c r="G563" s="40" t="s">
        <v>8</v>
      </c>
      <c r="H563" s="39"/>
      <c r="I563" s="39"/>
      <c r="J563" s="39"/>
      <c r="K563" s="39"/>
      <c r="L563" s="39"/>
      <c r="M563" s="39"/>
      <c r="N563" s="39"/>
      <c r="O563" s="39"/>
      <c r="P563" s="16">
        <f t="shared" ref="P563:P564" si="399">SUM(H563:O563)</f>
        <v>0</v>
      </c>
    </row>
    <row r="564" spans="1:18" ht="14.25" hidden="1" customHeight="1" outlineLevel="1" x14ac:dyDescent="0.25">
      <c r="A564" s="135"/>
      <c r="B564" s="155"/>
      <c r="C564" s="156"/>
      <c r="D564" s="130"/>
      <c r="E564" s="130"/>
      <c r="F564" s="38"/>
      <c r="G564" s="13" t="s">
        <v>100</v>
      </c>
      <c r="H564" s="43">
        <f t="shared" ref="H564:O564" si="400">SUM(H562:H563)</f>
        <v>0</v>
      </c>
      <c r="I564" s="43">
        <f t="shared" si="400"/>
        <v>0</v>
      </c>
      <c r="J564" s="43">
        <f t="shared" si="400"/>
        <v>0</v>
      </c>
      <c r="K564" s="43">
        <f t="shared" si="400"/>
        <v>0</v>
      </c>
      <c r="L564" s="43">
        <f t="shared" si="400"/>
        <v>0</v>
      </c>
      <c r="M564" s="43">
        <f t="shared" si="400"/>
        <v>0</v>
      </c>
      <c r="N564" s="43">
        <f t="shared" si="400"/>
        <v>0</v>
      </c>
      <c r="O564" s="43">
        <f t="shared" si="400"/>
        <v>0</v>
      </c>
      <c r="P564" s="80">
        <f t="shared" si="399"/>
        <v>0</v>
      </c>
    </row>
    <row r="565" spans="1:18" ht="14.25" hidden="1" customHeight="1" outlineLevel="1" x14ac:dyDescent="0.25">
      <c r="A565" s="133">
        <f t="shared" si="385"/>
        <v>186</v>
      </c>
      <c r="B565" s="155" t="s">
        <v>11</v>
      </c>
      <c r="C565" s="163"/>
      <c r="D565" s="129"/>
      <c r="E565" s="129"/>
      <c r="F565" s="11"/>
      <c r="G565" s="41" t="s">
        <v>5</v>
      </c>
      <c r="H565" s="79"/>
      <c r="I565" s="72"/>
      <c r="J565" s="72"/>
      <c r="K565" s="72"/>
      <c r="L565" s="72"/>
      <c r="M565" s="72"/>
      <c r="N565" s="72"/>
      <c r="O565" s="72"/>
      <c r="P565" s="12">
        <f>SUM(H565:O565)</f>
        <v>0</v>
      </c>
    </row>
    <row r="566" spans="1:18" ht="14.25" hidden="1" customHeight="1" outlineLevel="1" x14ac:dyDescent="0.25">
      <c r="A566" s="134"/>
      <c r="B566" s="155"/>
      <c r="C566" s="156"/>
      <c r="D566" s="130"/>
      <c r="E566" s="130"/>
      <c r="F566" s="40" t="s">
        <v>568</v>
      </c>
      <c r="G566" s="40" t="s">
        <v>8</v>
      </c>
      <c r="H566" s="39"/>
      <c r="I566" s="39"/>
      <c r="J566" s="39"/>
      <c r="K566" s="39"/>
      <c r="L566" s="39"/>
      <c r="M566" s="39"/>
      <c r="N566" s="39"/>
      <c r="O566" s="39"/>
      <c r="P566" s="16">
        <f t="shared" ref="P566:P567" si="401">SUM(H566:O566)</f>
        <v>0</v>
      </c>
    </row>
    <row r="567" spans="1:18" ht="14.25" hidden="1" customHeight="1" outlineLevel="1" x14ac:dyDescent="0.25">
      <c r="A567" s="135"/>
      <c r="B567" s="155"/>
      <c r="C567" s="156"/>
      <c r="D567" s="130"/>
      <c r="E567" s="130"/>
      <c r="F567" s="38"/>
      <c r="G567" s="13" t="s">
        <v>100</v>
      </c>
      <c r="H567" s="43">
        <f t="shared" ref="H567:O567" si="402">SUM(H565:H566)</f>
        <v>0</v>
      </c>
      <c r="I567" s="43">
        <f t="shared" si="402"/>
        <v>0</v>
      </c>
      <c r="J567" s="43">
        <f t="shared" si="402"/>
        <v>0</v>
      </c>
      <c r="K567" s="43">
        <f t="shared" si="402"/>
        <v>0</v>
      </c>
      <c r="L567" s="43">
        <f t="shared" si="402"/>
        <v>0</v>
      </c>
      <c r="M567" s="43">
        <f t="shared" si="402"/>
        <v>0</v>
      </c>
      <c r="N567" s="43">
        <f t="shared" si="402"/>
        <v>0</v>
      </c>
      <c r="O567" s="43">
        <f t="shared" si="402"/>
        <v>0</v>
      </c>
      <c r="P567" s="80">
        <f t="shared" si="401"/>
        <v>0</v>
      </c>
    </row>
    <row r="568" spans="1:18" ht="14.25" hidden="1" customHeight="1" outlineLevel="1" x14ac:dyDescent="0.25">
      <c r="A568" s="133">
        <f t="shared" si="385"/>
        <v>187</v>
      </c>
      <c r="B568" s="155" t="s">
        <v>11</v>
      </c>
      <c r="C568" s="163"/>
      <c r="D568" s="129"/>
      <c r="E568" s="129"/>
      <c r="F568" s="11"/>
      <c r="G568" s="41" t="s">
        <v>5</v>
      </c>
      <c r="H568" s="79"/>
      <c r="I568" s="72"/>
      <c r="J568" s="72"/>
      <c r="K568" s="72"/>
      <c r="L568" s="72"/>
      <c r="M568" s="72"/>
      <c r="N568" s="72"/>
      <c r="O568" s="72"/>
      <c r="P568" s="12">
        <f>SUM(H568:O568)</f>
        <v>0</v>
      </c>
    </row>
    <row r="569" spans="1:18" ht="14.25" hidden="1" customHeight="1" outlineLevel="1" x14ac:dyDescent="0.25">
      <c r="A569" s="134"/>
      <c r="B569" s="155"/>
      <c r="C569" s="156"/>
      <c r="D569" s="130"/>
      <c r="E569" s="130"/>
      <c r="F569" s="40" t="s">
        <v>568</v>
      </c>
      <c r="G569" s="40" t="s">
        <v>8</v>
      </c>
      <c r="H569" s="39"/>
      <c r="I569" s="39"/>
      <c r="J569" s="39"/>
      <c r="K569" s="39"/>
      <c r="L569" s="39"/>
      <c r="M569" s="39"/>
      <c r="N569" s="39"/>
      <c r="O569" s="39"/>
      <c r="P569" s="16">
        <f t="shared" ref="P569:P570" si="403">SUM(H569:O569)</f>
        <v>0</v>
      </c>
    </row>
    <row r="570" spans="1:18" ht="14.25" hidden="1" customHeight="1" outlineLevel="1" x14ac:dyDescent="0.25">
      <c r="A570" s="135"/>
      <c r="B570" s="155"/>
      <c r="C570" s="156"/>
      <c r="D570" s="130"/>
      <c r="E570" s="130"/>
      <c r="F570" s="38"/>
      <c r="G570" s="13" t="s">
        <v>100</v>
      </c>
      <c r="H570" s="43">
        <f t="shared" ref="H570:O570" si="404">SUM(H568:H569)</f>
        <v>0</v>
      </c>
      <c r="I570" s="43">
        <f t="shared" si="404"/>
        <v>0</v>
      </c>
      <c r="J570" s="43">
        <f t="shared" si="404"/>
        <v>0</v>
      </c>
      <c r="K570" s="43">
        <f t="shared" si="404"/>
        <v>0</v>
      </c>
      <c r="L570" s="43">
        <f t="shared" si="404"/>
        <v>0</v>
      </c>
      <c r="M570" s="43">
        <f t="shared" si="404"/>
        <v>0</v>
      </c>
      <c r="N570" s="43">
        <f t="shared" si="404"/>
        <v>0</v>
      </c>
      <c r="O570" s="43">
        <f t="shared" si="404"/>
        <v>0</v>
      </c>
      <c r="P570" s="80">
        <f t="shared" si="403"/>
        <v>0</v>
      </c>
    </row>
    <row r="571" spans="1:18" ht="14.25" hidden="1" customHeight="1" outlineLevel="1" x14ac:dyDescent="0.25">
      <c r="A571" s="130"/>
      <c r="B571" s="155" t="s">
        <v>11</v>
      </c>
      <c r="C571" s="163"/>
      <c r="D571" s="129"/>
      <c r="E571" s="129"/>
      <c r="F571" s="11"/>
      <c r="G571" s="41" t="s">
        <v>5</v>
      </c>
      <c r="H571" s="79"/>
      <c r="I571" s="72"/>
      <c r="J571" s="72"/>
      <c r="K571" s="72"/>
      <c r="L571" s="72"/>
      <c r="M571" s="72"/>
      <c r="N571" s="72"/>
      <c r="O571" s="72"/>
      <c r="P571" s="12">
        <f>SUM(H571:O571)</f>
        <v>0</v>
      </c>
    </row>
    <row r="572" spans="1:18" ht="14.25" hidden="1" customHeight="1" outlineLevel="1" x14ac:dyDescent="0.25">
      <c r="A572" s="130"/>
      <c r="B572" s="155"/>
      <c r="C572" s="156"/>
      <c r="D572" s="130"/>
      <c r="E572" s="130"/>
      <c r="F572" s="40" t="s">
        <v>568</v>
      </c>
      <c r="G572" s="40" t="s">
        <v>8</v>
      </c>
      <c r="H572" s="39"/>
      <c r="I572" s="39"/>
      <c r="J572" s="39"/>
      <c r="K572" s="39"/>
      <c r="L572" s="39"/>
      <c r="M572" s="39"/>
      <c r="N572" s="39"/>
      <c r="O572" s="39"/>
      <c r="P572" s="16">
        <f t="shared" si="381"/>
        <v>0</v>
      </c>
    </row>
    <row r="573" spans="1:18" ht="14.25" hidden="1" customHeight="1" outlineLevel="1" x14ac:dyDescent="0.25">
      <c r="A573" s="130"/>
      <c r="B573" s="155"/>
      <c r="C573" s="156"/>
      <c r="D573" s="130"/>
      <c r="E573" s="130"/>
      <c r="F573" s="38"/>
      <c r="G573" s="13" t="s">
        <v>100</v>
      </c>
      <c r="H573" s="43">
        <f t="shared" ref="H573:O573" si="405">SUM(H571:H572)</f>
        <v>0</v>
      </c>
      <c r="I573" s="43">
        <f t="shared" si="405"/>
        <v>0</v>
      </c>
      <c r="J573" s="43">
        <f t="shared" si="405"/>
        <v>0</v>
      </c>
      <c r="K573" s="43">
        <f t="shared" si="405"/>
        <v>0</v>
      </c>
      <c r="L573" s="43">
        <f t="shared" si="405"/>
        <v>0</v>
      </c>
      <c r="M573" s="43">
        <f t="shared" si="405"/>
        <v>0</v>
      </c>
      <c r="N573" s="43">
        <f t="shared" si="405"/>
        <v>0</v>
      </c>
      <c r="O573" s="43">
        <f t="shared" si="405"/>
        <v>0</v>
      </c>
      <c r="P573" s="80">
        <f t="shared" si="381"/>
        <v>0</v>
      </c>
    </row>
    <row r="574" spans="1:18" ht="13.5" customHeight="1" collapsed="1" x14ac:dyDescent="0.25">
      <c r="A574" s="192"/>
      <c r="B574" s="148" t="s">
        <v>3</v>
      </c>
      <c r="C574" s="193" t="s">
        <v>438</v>
      </c>
      <c r="D574" s="148" t="s">
        <v>3</v>
      </c>
      <c r="E574" s="148" t="s">
        <v>3</v>
      </c>
      <c r="F574" s="148" t="s">
        <v>3</v>
      </c>
      <c r="G574" s="24" t="s">
        <v>5</v>
      </c>
      <c r="H574" s="34">
        <f>H10+H13+H16+H19+H22+H25+H28+H31+H34+H37+H40+H43+H46+H49+H52+H55+H58+H61+H64+H67+H70+H73+H76+H79+H82+H85+H88+H91+H94+H97+H100+H103+H106+H109+H112+H115+H118+H121+H124+H127+H130+H133+H136+H139+H142+H145+H148+H151+H154+H157+H160+H163+H166+H169+H172+H175+H178+H181+H184+H187+H190+H193+H196+H199+H202+H205+H208+H211+H214+H217+H220+H223+H226+H229+H232+H235+H238+H241+H244+H247+H250+H253+H256+H259+H262+H265+H268+H271+H274+H277+H280+H283+H286+H289+H292+H295+H298+H301+H304+H307+H310+H313+H316+H319+H322+H325+H328+H331+H334+H337+H340+H343+H346+H349+H352+H355+H358+H361+H364+H367+H370+H373+H376+H379+H382+H385+H388+H391+H394+H397+H400+H403+H406+H409+H412+H415+H418+H421+H424+H427+H430+H433+H436+H439+H442+H445+H448+H451+H454+H457+H460+H463+H466+H469+H472+H475+H478+H481+H484+H487+H490+H493+H496+H499+H502+H505+H508+H511+H514+H517+H520+H523+H526+H529+H532+H535+H538+H541+H544+H547+H550+H553+H556+H559+H562+H565+H568+H571</f>
        <v>3830943</v>
      </c>
      <c r="I574" s="34">
        <f t="shared" ref="I574:P574" si="406">I10+I13+I16+I19+I22+I25+I28+I31+I34+I37+I40+I43+I46+I49+I52+I55+I58+I61+I64+I67+I70+I73+I76+I79+I82+I85+I88+I91+I94+I97+I100+I103+I106+I109+I112+I115+I118+I121+I124+I127+I130+I133+I136+I139+I142+I145+I148+I151+I154+I157+I160+I163+I166+I169+I172+I175+I178+I181+I184+I187+I190+I193+I196+I199+I202+I205+I208+I211+I214+I217+I220+I223+I226+I229+I232+I235+I238+I241+I244+I247+I250+I253+I256+I259+I262+I265+I268+I271+I274+I277+I280+I283+I286+I289+I292+I295+I298+I301+I304+I307+I310+I313+I316+I319+I322+I325+I328+I331+I334+I337+I340+I343+I346+I349+I352+I355+I358+I361+I364+I367+I370+I373+I376+I379+I382+I385+I388+I391+I394+I397+I400+I403+I406+I409+I412+I415+I418+I421+I424+I427+I430+I433+I436+I439+I442+I445+I448+I451+I454+I457+I460+I463+I466+I469+I472+I475+I478+I481+I484+I487+I490+I493+I496+I499+I502+I505+I508+I511+I514+I517+I520+I523+I526+I529+I532+I535+I538+I541+I544+I547+I550+I553+I556+I559+I562+I565+I568+I571</f>
        <v>6182766</v>
      </c>
      <c r="J574" s="34">
        <f t="shared" si="406"/>
        <v>6333376</v>
      </c>
      <c r="K574" s="34">
        <f t="shared" si="406"/>
        <v>5426954</v>
      </c>
      <c r="L574" s="34">
        <f t="shared" si="406"/>
        <v>5032515</v>
      </c>
      <c r="M574" s="34">
        <f t="shared" si="406"/>
        <v>4898600</v>
      </c>
      <c r="N574" s="34">
        <f t="shared" si="406"/>
        <v>4799403</v>
      </c>
      <c r="O574" s="34">
        <f t="shared" si="406"/>
        <v>51195992.450000003</v>
      </c>
      <c r="P574" s="34">
        <f t="shared" si="406"/>
        <v>87700549.450000003</v>
      </c>
    </row>
    <row r="575" spans="1:18" ht="13.5" customHeight="1" x14ac:dyDescent="0.25">
      <c r="A575" s="192"/>
      <c r="B575" s="155"/>
      <c r="C575" s="193"/>
      <c r="D575" s="155"/>
      <c r="E575" s="155"/>
      <c r="F575" s="148"/>
      <c r="G575" s="25" t="s">
        <v>8</v>
      </c>
      <c r="H575" s="34">
        <f t="shared" ref="H575:P576" si="407">H11+H14+H17+H20+H23+H26+H29+H32+H35+H38+H41+H44+H47+H50+H53+H56+H59+H62+H65+H68+H71+H74+H77+H80+H83+H86+H89+H92+H95+H98+H101+H104+H107+H110+H113+H116+H119+H122+H125+H128+H131+H134+H137+H140+H143+H146+H149+H152+H155+H158+H161+H164+H167+H170+H173+H176+H179+H182+H185+H188+H191+H194+H197+H200+H203+H206+H209+H212+H215+H218+H221+H224+H227+H230+H233+H236+H239+H242+H245+H248+H251+H254+H257+H260+H263+H266+H269+H272+H275+H278+H281+H284+H287+H290+H293+H296+H299+H302+H305+H308+H311+H314+H317+H320+H323+H326+H329+H332+H335+H338+H341+H344+H347+H350+H353+H356+H359+H362+H365+H368+H371+H374+H377+H380+H383+H386+H389+H392+H395+H398+H401+H404+H407+H410+H413+H416+H419+H422+H425+H428+H431+H434+H437+H440+H443+H446+H449+H452+H455+H458+H461+H464+H467+H470+H473+H476+H479+H482+H485+H488+H491+H494+H497+H500+H503+H506+H509+H512+H515+H518+H521+H524+H527+H530+H533+H536+H539+H542+H545+H548+H551+H554+H557+H560+H563+H566+H569+H572</f>
        <v>2740080</v>
      </c>
      <c r="I575" s="34">
        <f t="shared" si="407"/>
        <v>2568451</v>
      </c>
      <c r="J575" s="34">
        <f t="shared" si="407"/>
        <v>2389354</v>
      </c>
      <c r="K575" s="34">
        <f t="shared" si="407"/>
        <v>2397577</v>
      </c>
      <c r="L575" s="34">
        <f t="shared" si="407"/>
        <v>2216615</v>
      </c>
      <c r="M575" s="34">
        <f t="shared" si="407"/>
        <v>2049090</v>
      </c>
      <c r="N575" s="34">
        <f t="shared" si="407"/>
        <v>1885821</v>
      </c>
      <c r="O575" s="34">
        <f t="shared" si="407"/>
        <v>12497520</v>
      </c>
      <c r="P575" s="34">
        <f t="shared" si="407"/>
        <v>28744508</v>
      </c>
      <c r="R575" s="83"/>
    </row>
    <row r="576" spans="1:18" ht="15" customHeight="1" x14ac:dyDescent="0.25">
      <c r="A576" s="192"/>
      <c r="B576" s="155"/>
      <c r="C576" s="193"/>
      <c r="D576" s="155"/>
      <c r="E576" s="155"/>
      <c r="F576" s="148"/>
      <c r="G576" s="26" t="s">
        <v>439</v>
      </c>
      <c r="H576" s="8">
        <f t="shared" si="407"/>
        <v>6571023</v>
      </c>
      <c r="I576" s="8">
        <f t="shared" si="407"/>
        <v>8751217</v>
      </c>
      <c r="J576" s="8">
        <f t="shared" si="407"/>
        <v>8722730</v>
      </c>
      <c r="K576" s="8">
        <f t="shared" si="407"/>
        <v>7824531</v>
      </c>
      <c r="L576" s="8">
        <f t="shared" si="407"/>
        <v>7249130</v>
      </c>
      <c r="M576" s="8">
        <f t="shared" si="407"/>
        <v>6947690</v>
      </c>
      <c r="N576" s="8">
        <f t="shared" si="407"/>
        <v>6685224</v>
      </c>
      <c r="O576" s="8">
        <f t="shared" si="407"/>
        <v>63693512.450000003</v>
      </c>
      <c r="P576" s="8">
        <f t="shared" si="407"/>
        <v>116445057.45</v>
      </c>
    </row>
    <row r="577" spans="1:16" ht="11.25" customHeight="1" outlineLevel="1" x14ac:dyDescent="0.25">
      <c r="A577" s="27"/>
      <c r="B577" s="3"/>
      <c r="C577" s="49"/>
      <c r="D577" s="46"/>
      <c r="E577" s="46"/>
      <c r="F577" s="46"/>
      <c r="G577" s="47"/>
      <c r="H577" s="48"/>
      <c r="I577" s="48"/>
      <c r="J577" s="48"/>
      <c r="K577" s="48"/>
      <c r="L577" s="48"/>
      <c r="M577" s="48"/>
      <c r="N577" s="48"/>
      <c r="O577" s="48"/>
      <c r="P577" s="48"/>
    </row>
    <row r="578" spans="1:16" ht="13.8" x14ac:dyDescent="0.25">
      <c r="A578" s="131" t="s">
        <v>4</v>
      </c>
      <c r="B578" s="132"/>
      <c r="C578" s="132"/>
      <c r="D578" s="132"/>
      <c r="E578" s="132"/>
      <c r="F578" s="132"/>
      <c r="G578" s="132"/>
      <c r="H578" s="132"/>
      <c r="I578" s="132"/>
      <c r="J578" s="132"/>
      <c r="K578" s="132"/>
      <c r="L578" s="132"/>
      <c r="M578" s="132"/>
      <c r="N578" s="132"/>
      <c r="O578" s="132"/>
      <c r="P578" s="132"/>
    </row>
    <row r="579" spans="1:16" x14ac:dyDescent="0.25">
      <c r="A579" s="6">
        <v>1</v>
      </c>
      <c r="B579" s="6">
        <v>2</v>
      </c>
      <c r="C579" s="6">
        <v>3</v>
      </c>
      <c r="D579" s="6">
        <v>4</v>
      </c>
      <c r="E579" s="6">
        <v>5</v>
      </c>
      <c r="F579" s="19">
        <v>6</v>
      </c>
      <c r="G579" s="19">
        <v>7</v>
      </c>
      <c r="H579" s="19">
        <v>11</v>
      </c>
      <c r="I579" s="19">
        <v>12</v>
      </c>
      <c r="J579" s="19">
        <v>13</v>
      </c>
      <c r="K579" s="19">
        <v>14</v>
      </c>
      <c r="L579" s="19">
        <v>15</v>
      </c>
      <c r="M579" s="19"/>
      <c r="N579" s="19"/>
      <c r="O579" s="19">
        <v>16</v>
      </c>
      <c r="P579" s="19">
        <v>17</v>
      </c>
    </row>
    <row r="580" spans="1:16" ht="17.25" customHeight="1" x14ac:dyDescent="0.25">
      <c r="A580" s="133">
        <v>1</v>
      </c>
      <c r="B580" s="136" t="s">
        <v>11</v>
      </c>
      <c r="C580" s="149" t="s">
        <v>714</v>
      </c>
      <c r="D580" s="115" t="s">
        <v>442</v>
      </c>
      <c r="E580" s="152" t="s">
        <v>131</v>
      </c>
      <c r="F580" s="145" t="s">
        <v>529</v>
      </c>
      <c r="G580" s="11" t="s">
        <v>5</v>
      </c>
      <c r="H580" s="51">
        <v>10968</v>
      </c>
      <c r="I580" s="51">
        <v>10968</v>
      </c>
      <c r="J580" s="58">
        <v>7850</v>
      </c>
      <c r="K580" s="76">
        <v>0</v>
      </c>
      <c r="L580" s="74">
        <v>0</v>
      </c>
      <c r="M580" s="74">
        <v>0</v>
      </c>
      <c r="N580" s="74">
        <v>0</v>
      </c>
      <c r="O580" s="75">
        <v>0</v>
      </c>
      <c r="P580" s="81">
        <f t="shared" ref="P580:P600" si="408">SUM(H580:O580)</f>
        <v>29786</v>
      </c>
    </row>
    <row r="581" spans="1:16" ht="17.25" customHeight="1" x14ac:dyDescent="0.25">
      <c r="A581" s="134"/>
      <c r="B581" s="137"/>
      <c r="C581" s="150"/>
      <c r="D581" s="116"/>
      <c r="E581" s="153"/>
      <c r="F581" s="146"/>
      <c r="G581" s="15" t="s">
        <v>8</v>
      </c>
      <c r="H581" s="53">
        <f>1108+164-80</f>
        <v>1192</v>
      </c>
      <c r="I581" s="53">
        <f>1056-355</f>
        <v>701</v>
      </c>
      <c r="J581" s="59">
        <f>177+50</f>
        <v>227</v>
      </c>
      <c r="K581" s="77">
        <v>0</v>
      </c>
      <c r="L581" s="78">
        <v>0</v>
      </c>
      <c r="M581" s="78">
        <v>0</v>
      </c>
      <c r="N581" s="78">
        <v>0</v>
      </c>
      <c r="O581" s="77">
        <v>0</v>
      </c>
      <c r="P581" s="81">
        <f t="shared" si="408"/>
        <v>2120</v>
      </c>
    </row>
    <row r="582" spans="1:16" x14ac:dyDescent="0.25">
      <c r="A582" s="135"/>
      <c r="B582" s="138"/>
      <c r="C582" s="151"/>
      <c r="D582" s="117"/>
      <c r="E582" s="154"/>
      <c r="F582" s="147"/>
      <c r="G582" s="13" t="s">
        <v>100</v>
      </c>
      <c r="H582" s="54">
        <f t="shared" ref="H582:O582" si="409">SUM(H580:H581)</f>
        <v>12160</v>
      </c>
      <c r="I582" s="54">
        <f t="shared" si="409"/>
        <v>11669</v>
      </c>
      <c r="J582" s="54">
        <f t="shared" si="409"/>
        <v>8077</v>
      </c>
      <c r="K582" s="54">
        <f t="shared" si="409"/>
        <v>0</v>
      </c>
      <c r="L582" s="54">
        <f t="shared" si="409"/>
        <v>0</v>
      </c>
      <c r="M582" s="54">
        <f t="shared" si="409"/>
        <v>0</v>
      </c>
      <c r="N582" s="54">
        <f t="shared" si="409"/>
        <v>0</v>
      </c>
      <c r="O582" s="54">
        <f t="shared" si="409"/>
        <v>0</v>
      </c>
      <c r="P582" s="82">
        <f t="shared" si="408"/>
        <v>31906</v>
      </c>
    </row>
    <row r="583" spans="1:16" x14ac:dyDescent="0.25">
      <c r="A583" s="133">
        <v>2</v>
      </c>
      <c r="B583" s="136" t="s">
        <v>11</v>
      </c>
      <c r="C583" s="139" t="s">
        <v>528</v>
      </c>
      <c r="D583" s="115" t="s">
        <v>44</v>
      </c>
      <c r="E583" s="142" t="s">
        <v>538</v>
      </c>
      <c r="F583" s="145" t="s">
        <v>532</v>
      </c>
      <c r="G583" s="11" t="s">
        <v>5</v>
      </c>
      <c r="H583" s="55">
        <v>46540</v>
      </c>
      <c r="I583" s="55">
        <v>46540</v>
      </c>
      <c r="J583" s="55">
        <v>46540</v>
      </c>
      <c r="K583" s="55">
        <v>46540</v>
      </c>
      <c r="L583" s="55">
        <v>46540</v>
      </c>
      <c r="M583" s="55">
        <v>46540</v>
      </c>
      <c r="N583" s="55">
        <v>46540</v>
      </c>
      <c r="O583" s="55">
        <f>279240-46540-46540</f>
        <v>186160</v>
      </c>
      <c r="P583" s="81">
        <f t="shared" si="408"/>
        <v>511940</v>
      </c>
    </row>
    <row r="584" spans="1:16" x14ac:dyDescent="0.25">
      <c r="A584" s="134"/>
      <c r="B584" s="137"/>
      <c r="C584" s="140"/>
      <c r="D584" s="116"/>
      <c r="E584" s="143"/>
      <c r="F584" s="146"/>
      <c r="G584" s="15" t="s">
        <v>8</v>
      </c>
      <c r="H584" s="53">
        <f>23636-1507</f>
        <v>22129</v>
      </c>
      <c r="I584" s="53">
        <f>21461-1617</f>
        <v>19844</v>
      </c>
      <c r="J584" s="53">
        <f>19280-1453</f>
        <v>17827</v>
      </c>
      <c r="K584" s="57">
        <f>17142-1291</f>
        <v>15851</v>
      </c>
      <c r="L584" s="57">
        <f>14915-1124</f>
        <v>13791</v>
      </c>
      <c r="M584" s="57">
        <v>11776</v>
      </c>
      <c r="N584" s="57">
        <f>M584-2015</f>
        <v>9761</v>
      </c>
      <c r="O584" s="53">
        <f>40371+193448-9761</f>
        <v>224058</v>
      </c>
      <c r="P584" s="81">
        <f t="shared" si="408"/>
        <v>335037</v>
      </c>
    </row>
    <row r="585" spans="1:16" x14ac:dyDescent="0.25">
      <c r="A585" s="135"/>
      <c r="B585" s="138"/>
      <c r="C585" s="141"/>
      <c r="D585" s="117"/>
      <c r="E585" s="144"/>
      <c r="F585" s="147"/>
      <c r="G585" s="13" t="s">
        <v>100</v>
      </c>
      <c r="H585" s="54">
        <f t="shared" ref="H585:O585" si="410">SUM(H583:H584)</f>
        <v>68669</v>
      </c>
      <c r="I585" s="54">
        <f t="shared" si="410"/>
        <v>66384</v>
      </c>
      <c r="J585" s="54">
        <f t="shared" si="410"/>
        <v>64367</v>
      </c>
      <c r="K585" s="54">
        <f t="shared" si="410"/>
        <v>62391</v>
      </c>
      <c r="L585" s="54">
        <f t="shared" si="410"/>
        <v>60331</v>
      </c>
      <c r="M585" s="54">
        <f t="shared" si="410"/>
        <v>58316</v>
      </c>
      <c r="N585" s="54">
        <f t="shared" si="410"/>
        <v>56301</v>
      </c>
      <c r="O585" s="54">
        <f t="shared" si="410"/>
        <v>410218</v>
      </c>
      <c r="P585" s="82">
        <f t="shared" si="408"/>
        <v>846977</v>
      </c>
    </row>
    <row r="586" spans="1:16" x14ac:dyDescent="0.25">
      <c r="A586" s="133">
        <v>3</v>
      </c>
      <c r="B586" s="136" t="s">
        <v>11</v>
      </c>
      <c r="C586" s="197" t="s">
        <v>43</v>
      </c>
      <c r="D586" s="115" t="s">
        <v>45</v>
      </c>
      <c r="E586" s="142" t="s">
        <v>539</v>
      </c>
      <c r="F586" s="145" t="s">
        <v>533</v>
      </c>
      <c r="G586" s="11" t="s">
        <v>5</v>
      </c>
      <c r="H586" s="55">
        <v>12384</v>
      </c>
      <c r="I586" s="55">
        <v>12384</v>
      </c>
      <c r="J586" s="55">
        <v>12384</v>
      </c>
      <c r="K586" s="55">
        <v>12384</v>
      </c>
      <c r="L586" s="55">
        <v>12384</v>
      </c>
      <c r="M586" s="55">
        <v>12384</v>
      </c>
      <c r="N586" s="55">
        <v>12384</v>
      </c>
      <c r="O586" s="55">
        <f>109412-12384-12384</f>
        <v>84644</v>
      </c>
      <c r="P586" s="81">
        <f t="shared" si="408"/>
        <v>171332</v>
      </c>
    </row>
    <row r="587" spans="1:16" x14ac:dyDescent="0.25">
      <c r="A587" s="134"/>
      <c r="B587" s="137"/>
      <c r="C587" s="198"/>
      <c r="D587" s="116"/>
      <c r="E587" s="143"/>
      <c r="F587" s="146"/>
      <c r="G587" s="15" t="s">
        <v>8</v>
      </c>
      <c r="H587" s="53">
        <f>7885-522</f>
        <v>7363</v>
      </c>
      <c r="I587" s="53">
        <f>7305-550</f>
        <v>6755</v>
      </c>
      <c r="J587" s="53">
        <f>6726-507</f>
        <v>6219</v>
      </c>
      <c r="K587" s="57">
        <f>6163-464</f>
        <v>5699</v>
      </c>
      <c r="L587" s="60">
        <f>5565-419</f>
        <v>5146</v>
      </c>
      <c r="M587" s="60">
        <v>4610</v>
      </c>
      <c r="N587" s="60">
        <f>M587-517</f>
        <v>4093</v>
      </c>
      <c r="O587" s="53">
        <f>115751-4093</f>
        <v>111658</v>
      </c>
      <c r="P587" s="81">
        <f t="shared" si="408"/>
        <v>151543</v>
      </c>
    </row>
    <row r="588" spans="1:16" x14ac:dyDescent="0.25">
      <c r="A588" s="135"/>
      <c r="B588" s="138"/>
      <c r="C588" s="199"/>
      <c r="D588" s="117"/>
      <c r="E588" s="144"/>
      <c r="F588" s="147"/>
      <c r="G588" s="13" t="s">
        <v>100</v>
      </c>
      <c r="H588" s="54">
        <f t="shared" ref="H588:O588" si="411">SUM(H586:H587)</f>
        <v>19747</v>
      </c>
      <c r="I588" s="54">
        <f t="shared" si="411"/>
        <v>19139</v>
      </c>
      <c r="J588" s="54">
        <f t="shared" si="411"/>
        <v>18603</v>
      </c>
      <c r="K588" s="54">
        <f t="shared" si="411"/>
        <v>18083</v>
      </c>
      <c r="L588" s="54">
        <f t="shared" si="411"/>
        <v>17530</v>
      </c>
      <c r="M588" s="54">
        <f t="shared" si="411"/>
        <v>16994</v>
      </c>
      <c r="N588" s="54">
        <f t="shared" si="411"/>
        <v>16477</v>
      </c>
      <c r="O588" s="54">
        <f t="shared" si="411"/>
        <v>196302</v>
      </c>
      <c r="P588" s="82">
        <f t="shared" si="408"/>
        <v>322875</v>
      </c>
    </row>
    <row r="589" spans="1:16" x14ac:dyDescent="0.25">
      <c r="A589" s="133">
        <v>4</v>
      </c>
      <c r="B589" s="136" t="s">
        <v>11</v>
      </c>
      <c r="C589" s="139" t="s">
        <v>528</v>
      </c>
      <c r="D589" s="115" t="s">
        <v>38</v>
      </c>
      <c r="E589" s="142" t="s">
        <v>537</v>
      </c>
      <c r="F589" s="194" t="s">
        <v>531</v>
      </c>
      <c r="G589" s="11" t="s">
        <v>5</v>
      </c>
      <c r="H589" s="55">
        <v>76356</v>
      </c>
      <c r="I589" s="55">
        <v>76356</v>
      </c>
      <c r="J589" s="55">
        <v>76356</v>
      </c>
      <c r="K589" s="55">
        <v>76356</v>
      </c>
      <c r="L589" s="55">
        <v>76356</v>
      </c>
      <c r="M589" s="55">
        <v>76356</v>
      </c>
      <c r="N589" s="55">
        <v>76356</v>
      </c>
      <c r="O589" s="55">
        <f>725382-76356-76356</f>
        <v>572670</v>
      </c>
      <c r="P589" s="81">
        <f t="shared" si="408"/>
        <v>1107162</v>
      </c>
    </row>
    <row r="590" spans="1:16" x14ac:dyDescent="0.25">
      <c r="A590" s="134"/>
      <c r="B590" s="137"/>
      <c r="C590" s="140"/>
      <c r="D590" s="116"/>
      <c r="E590" s="143"/>
      <c r="F590" s="195"/>
      <c r="G590" s="15" t="s">
        <v>8</v>
      </c>
      <c r="H590" s="53">
        <f>51294-3864</f>
        <v>47430</v>
      </c>
      <c r="I590" s="53">
        <f>47725-3595</f>
        <v>44130</v>
      </c>
      <c r="J590" s="53">
        <f>44147-3326</f>
        <v>40821</v>
      </c>
      <c r="K590" s="57">
        <f>40674-3064</f>
        <v>37610</v>
      </c>
      <c r="L590" s="57">
        <f>36986-2787</f>
        <v>34199</v>
      </c>
      <c r="M590" s="57">
        <v>30893</v>
      </c>
      <c r="N590" s="57"/>
      <c r="O590" s="53">
        <f>173368+630539</f>
        <v>803907</v>
      </c>
      <c r="P590" s="81">
        <f t="shared" si="408"/>
        <v>1038990</v>
      </c>
    </row>
    <row r="591" spans="1:16" x14ac:dyDescent="0.25">
      <c r="A591" s="135"/>
      <c r="B591" s="138"/>
      <c r="C591" s="141"/>
      <c r="D591" s="117"/>
      <c r="E591" s="144"/>
      <c r="F591" s="196"/>
      <c r="G591" s="13" t="s">
        <v>100</v>
      </c>
      <c r="H591" s="54">
        <f t="shared" ref="H591:O591" si="412">SUM(H589:H590)</f>
        <v>123786</v>
      </c>
      <c r="I591" s="54">
        <f t="shared" si="412"/>
        <v>120486</v>
      </c>
      <c r="J591" s="54">
        <f t="shared" si="412"/>
        <v>117177</v>
      </c>
      <c r="K591" s="54">
        <f t="shared" si="412"/>
        <v>113966</v>
      </c>
      <c r="L591" s="54">
        <f t="shared" si="412"/>
        <v>110555</v>
      </c>
      <c r="M591" s="54">
        <f t="shared" si="412"/>
        <v>107249</v>
      </c>
      <c r="N591" s="54">
        <f t="shared" si="412"/>
        <v>76356</v>
      </c>
      <c r="O591" s="54">
        <f t="shared" si="412"/>
        <v>1376577</v>
      </c>
      <c r="P591" s="82">
        <f t="shared" si="408"/>
        <v>2146152</v>
      </c>
    </row>
    <row r="592" spans="1:16" x14ac:dyDescent="0.25">
      <c r="A592" s="133">
        <v>5</v>
      </c>
      <c r="B592" s="136" t="s">
        <v>11</v>
      </c>
      <c r="C592" s="139" t="s">
        <v>59</v>
      </c>
      <c r="D592" s="115" t="s">
        <v>61</v>
      </c>
      <c r="E592" s="142" t="s">
        <v>540</v>
      </c>
      <c r="F592" s="145" t="s">
        <v>534</v>
      </c>
      <c r="G592" s="11" t="s">
        <v>5</v>
      </c>
      <c r="H592" s="55">
        <v>26380</v>
      </c>
      <c r="I592" s="55">
        <v>19785</v>
      </c>
      <c r="J592" s="66">
        <v>0</v>
      </c>
      <c r="K592" s="67">
        <v>0</v>
      </c>
      <c r="L592" s="68">
        <v>0</v>
      </c>
      <c r="M592" s="68">
        <v>0</v>
      </c>
      <c r="N592" s="68">
        <v>0</v>
      </c>
      <c r="O592" s="66">
        <v>0</v>
      </c>
      <c r="P592" s="81">
        <f t="shared" si="408"/>
        <v>46165</v>
      </c>
    </row>
    <row r="593" spans="1:16" x14ac:dyDescent="0.25">
      <c r="A593" s="134"/>
      <c r="B593" s="137"/>
      <c r="C593" s="140"/>
      <c r="D593" s="116"/>
      <c r="E593" s="143"/>
      <c r="F593" s="146"/>
      <c r="G593" s="15" t="s">
        <v>8</v>
      </c>
      <c r="H593" s="53">
        <f>213+1</f>
        <v>214</v>
      </c>
      <c r="I593" s="53">
        <v>77</v>
      </c>
      <c r="J593" s="50">
        <v>0</v>
      </c>
      <c r="K593" s="65">
        <v>0</v>
      </c>
      <c r="L593" s="52">
        <v>0</v>
      </c>
      <c r="M593" s="52">
        <v>0</v>
      </c>
      <c r="N593" s="52">
        <v>0</v>
      </c>
      <c r="O593" s="50">
        <v>0</v>
      </c>
      <c r="P593" s="81">
        <f t="shared" si="408"/>
        <v>291</v>
      </c>
    </row>
    <row r="594" spans="1:16" x14ac:dyDescent="0.25">
      <c r="A594" s="135"/>
      <c r="B594" s="138"/>
      <c r="C594" s="141"/>
      <c r="D594" s="117"/>
      <c r="E594" s="144"/>
      <c r="F594" s="147"/>
      <c r="G594" s="13" t="s">
        <v>100</v>
      </c>
      <c r="H594" s="54">
        <f t="shared" ref="H594:O594" si="413">SUM(H592:H593)</f>
        <v>26594</v>
      </c>
      <c r="I594" s="54">
        <f t="shared" si="413"/>
        <v>19862</v>
      </c>
      <c r="J594" s="54">
        <f t="shared" si="413"/>
        <v>0</v>
      </c>
      <c r="K594" s="54">
        <f t="shared" si="413"/>
        <v>0</v>
      </c>
      <c r="L594" s="73">
        <f t="shared" si="413"/>
        <v>0</v>
      </c>
      <c r="M594" s="73">
        <f t="shared" si="413"/>
        <v>0</v>
      </c>
      <c r="N594" s="73">
        <f t="shared" si="413"/>
        <v>0</v>
      </c>
      <c r="O594" s="54">
        <f t="shared" si="413"/>
        <v>0</v>
      </c>
      <c r="P594" s="82">
        <f t="shared" si="408"/>
        <v>46456</v>
      </c>
    </row>
    <row r="595" spans="1:16" x14ac:dyDescent="0.25">
      <c r="A595" s="133">
        <v>6</v>
      </c>
      <c r="B595" s="136" t="s">
        <v>11</v>
      </c>
      <c r="C595" s="139" t="s">
        <v>60</v>
      </c>
      <c r="D595" s="115" t="s">
        <v>62</v>
      </c>
      <c r="E595" s="142" t="s">
        <v>327</v>
      </c>
      <c r="F595" s="145" t="s">
        <v>535</v>
      </c>
      <c r="G595" s="11" t="s">
        <v>5</v>
      </c>
      <c r="H595" s="55">
        <v>52732</v>
      </c>
      <c r="I595" s="55">
        <v>52732</v>
      </c>
      <c r="J595" s="55">
        <v>52732</v>
      </c>
      <c r="K595" s="55">
        <v>52732</v>
      </c>
      <c r="L595" s="55">
        <v>52732</v>
      </c>
      <c r="M595" s="55">
        <v>52732</v>
      </c>
      <c r="N595" s="55">
        <v>52732</v>
      </c>
      <c r="O595" s="55">
        <f>237097-52732-52732</f>
        <v>131633</v>
      </c>
      <c r="P595" s="81">
        <f t="shared" si="408"/>
        <v>500757</v>
      </c>
    </row>
    <row r="596" spans="1:16" x14ac:dyDescent="0.25">
      <c r="A596" s="134"/>
      <c r="B596" s="137"/>
      <c r="C596" s="140"/>
      <c r="D596" s="116"/>
      <c r="E596" s="143"/>
      <c r="F596" s="146"/>
      <c r="G596" s="15" t="s">
        <v>8</v>
      </c>
      <c r="H596" s="53">
        <f>21714-2787</f>
        <v>18927</v>
      </c>
      <c r="I596" s="53">
        <f>19394-2489</f>
        <v>16905</v>
      </c>
      <c r="J596" s="53">
        <f>17068-2191</f>
        <v>14877</v>
      </c>
      <c r="K596" s="57">
        <f>14778-1896</f>
        <v>12882</v>
      </c>
      <c r="L596" s="57">
        <f>12412-1593</f>
        <v>10819</v>
      </c>
      <c r="M596" s="57">
        <v>8793</v>
      </c>
      <c r="N596" s="57">
        <f>M596-1985</f>
        <v>6808</v>
      </c>
      <c r="O596" s="53">
        <f>24478-9527-6808</f>
        <v>8143</v>
      </c>
      <c r="P596" s="81">
        <f t="shared" si="408"/>
        <v>98154</v>
      </c>
    </row>
    <row r="597" spans="1:16" x14ac:dyDescent="0.25">
      <c r="A597" s="135"/>
      <c r="B597" s="138"/>
      <c r="C597" s="141"/>
      <c r="D597" s="117"/>
      <c r="E597" s="144"/>
      <c r="F597" s="147"/>
      <c r="G597" s="13" t="s">
        <v>100</v>
      </c>
      <c r="H597" s="54">
        <f t="shared" ref="H597:O597" si="414">SUM(H595:H596)</f>
        <v>71659</v>
      </c>
      <c r="I597" s="54">
        <f t="shared" si="414"/>
        <v>69637</v>
      </c>
      <c r="J597" s="54">
        <f t="shared" si="414"/>
        <v>67609</v>
      </c>
      <c r="K597" s="54">
        <f t="shared" si="414"/>
        <v>65614</v>
      </c>
      <c r="L597" s="54">
        <f t="shared" si="414"/>
        <v>63551</v>
      </c>
      <c r="M597" s="54">
        <f t="shared" si="414"/>
        <v>61525</v>
      </c>
      <c r="N597" s="54">
        <f t="shared" si="414"/>
        <v>59540</v>
      </c>
      <c r="O597" s="54">
        <f t="shared" si="414"/>
        <v>139776</v>
      </c>
      <c r="P597" s="82">
        <f t="shared" si="408"/>
        <v>598911</v>
      </c>
    </row>
    <row r="598" spans="1:16" x14ac:dyDescent="0.25">
      <c r="A598" s="133">
        <v>7</v>
      </c>
      <c r="B598" s="136" t="s">
        <v>11</v>
      </c>
      <c r="C598" s="200" t="s">
        <v>78</v>
      </c>
      <c r="D598" s="115" t="s">
        <v>85</v>
      </c>
      <c r="E598" s="203" t="s">
        <v>407</v>
      </c>
      <c r="F598" s="206" t="s">
        <v>536</v>
      </c>
      <c r="G598" s="11" t="s">
        <v>5</v>
      </c>
      <c r="H598" s="55">
        <v>11492</v>
      </c>
      <c r="I598" s="55">
        <v>11492</v>
      </c>
      <c r="J598" s="55">
        <v>11492</v>
      </c>
      <c r="K598" s="55">
        <v>11492</v>
      </c>
      <c r="L598" s="55">
        <v>11492</v>
      </c>
      <c r="M598" s="55">
        <v>11492</v>
      </c>
      <c r="N598" s="55">
        <v>11492</v>
      </c>
      <c r="O598" s="55">
        <f>135031-11492-11492</f>
        <v>112047</v>
      </c>
      <c r="P598" s="81">
        <f t="shared" si="408"/>
        <v>192491</v>
      </c>
    </row>
    <row r="599" spans="1:16" x14ac:dyDescent="0.25">
      <c r="A599" s="134"/>
      <c r="B599" s="137"/>
      <c r="C599" s="201"/>
      <c r="D599" s="116"/>
      <c r="E599" s="204"/>
      <c r="F599" s="207"/>
      <c r="G599" s="15" t="s">
        <v>8</v>
      </c>
      <c r="H599" s="53">
        <f>9117-194</f>
        <v>8923</v>
      </c>
      <c r="I599" s="53">
        <f>8568-181</f>
        <v>8387</v>
      </c>
      <c r="J599" s="53">
        <f>8019-170</f>
        <v>7849</v>
      </c>
      <c r="K599" s="57">
        <f>7488-158</f>
        <v>7330</v>
      </c>
      <c r="L599" s="57">
        <f>6918-146</f>
        <v>6772</v>
      </c>
      <c r="M599" s="57">
        <v>6234</v>
      </c>
      <c r="N599" s="57">
        <f>M599-518</f>
        <v>5716</v>
      </c>
      <c r="O599" s="53">
        <f>40202-7086-5716</f>
        <v>27400</v>
      </c>
      <c r="P599" s="81">
        <f t="shared" si="408"/>
        <v>78611</v>
      </c>
    </row>
    <row r="600" spans="1:16" x14ac:dyDescent="0.25">
      <c r="A600" s="135"/>
      <c r="B600" s="138"/>
      <c r="C600" s="202"/>
      <c r="D600" s="117"/>
      <c r="E600" s="205"/>
      <c r="F600" s="208"/>
      <c r="G600" s="13" t="s">
        <v>100</v>
      </c>
      <c r="H600" s="54">
        <f t="shared" ref="H600:O600" si="415">SUM(H598:H599)</f>
        <v>20415</v>
      </c>
      <c r="I600" s="54">
        <f t="shared" si="415"/>
        <v>19879</v>
      </c>
      <c r="J600" s="54">
        <f t="shared" si="415"/>
        <v>19341</v>
      </c>
      <c r="K600" s="54">
        <f t="shared" si="415"/>
        <v>18822</v>
      </c>
      <c r="L600" s="54">
        <f t="shared" si="415"/>
        <v>18264</v>
      </c>
      <c r="M600" s="54">
        <f t="shared" si="415"/>
        <v>17726</v>
      </c>
      <c r="N600" s="54">
        <f t="shared" si="415"/>
        <v>17208</v>
      </c>
      <c r="O600" s="54">
        <f t="shared" si="415"/>
        <v>139447</v>
      </c>
      <c r="P600" s="82">
        <f t="shared" si="408"/>
        <v>271102</v>
      </c>
    </row>
    <row r="601" spans="1:16" x14ac:dyDescent="0.25">
      <c r="A601" s="106"/>
      <c r="B601" s="109"/>
      <c r="C601" s="112" t="s">
        <v>530</v>
      </c>
      <c r="D601" s="115"/>
      <c r="E601" s="118"/>
      <c r="F601" s="121"/>
      <c r="G601" s="24" t="s">
        <v>5</v>
      </c>
      <c r="H601" s="55">
        <f t="shared" ref="H601:O603" si="416">H580+H583+H586+H589+H592+H595+H598</f>
        <v>236852</v>
      </c>
      <c r="I601" s="55">
        <f t="shared" si="416"/>
        <v>230257</v>
      </c>
      <c r="J601" s="55">
        <f t="shared" si="416"/>
        <v>207354</v>
      </c>
      <c r="K601" s="55">
        <f t="shared" si="416"/>
        <v>199504</v>
      </c>
      <c r="L601" s="55">
        <f t="shared" si="416"/>
        <v>199504</v>
      </c>
      <c r="M601" s="55">
        <f>M580+M583+M586+M589+M592+M595+M598</f>
        <v>199504</v>
      </c>
      <c r="N601" s="55">
        <f>N580+N583+N586+N589+N592+N595+N598</f>
        <v>199504</v>
      </c>
      <c r="O601" s="55">
        <f t="shared" si="416"/>
        <v>1087154</v>
      </c>
      <c r="P601" s="69">
        <f>P580+P583+P586+P589+P592+P595+P598</f>
        <v>2559633</v>
      </c>
    </row>
    <row r="602" spans="1:16" x14ac:dyDescent="0.25">
      <c r="A602" s="107"/>
      <c r="B602" s="110"/>
      <c r="C602" s="113"/>
      <c r="D602" s="116"/>
      <c r="E602" s="119"/>
      <c r="F602" s="122"/>
      <c r="G602" s="25" t="s">
        <v>8</v>
      </c>
      <c r="H602" s="53">
        <f t="shared" si="416"/>
        <v>106178</v>
      </c>
      <c r="I602" s="53">
        <f t="shared" si="416"/>
        <v>96799</v>
      </c>
      <c r="J602" s="53">
        <f t="shared" si="416"/>
        <v>87820</v>
      </c>
      <c r="K602" s="53">
        <f t="shared" si="416"/>
        <v>79372</v>
      </c>
      <c r="L602" s="53">
        <f t="shared" si="416"/>
        <v>70727</v>
      </c>
      <c r="M602" s="53">
        <f>M581+M584+M587+M590+M593+M596+M599</f>
        <v>62306</v>
      </c>
      <c r="N602" s="53">
        <f>N581+N584+N587+N590+N593+N596+N599</f>
        <v>26378</v>
      </c>
      <c r="O602" s="53">
        <f t="shared" si="416"/>
        <v>1175166</v>
      </c>
      <c r="P602" s="70">
        <f>P581+P584+P587+P590+P593+P596+P599</f>
        <v>1704746</v>
      </c>
    </row>
    <row r="603" spans="1:16" x14ac:dyDescent="0.25">
      <c r="A603" s="108"/>
      <c r="B603" s="111"/>
      <c r="C603" s="114"/>
      <c r="D603" s="117"/>
      <c r="E603" s="120"/>
      <c r="F603" s="123"/>
      <c r="G603" s="26" t="s">
        <v>100</v>
      </c>
      <c r="H603" s="56">
        <f t="shared" si="416"/>
        <v>343030</v>
      </c>
      <c r="I603" s="56">
        <f t="shared" si="416"/>
        <v>327056</v>
      </c>
      <c r="J603" s="56">
        <f t="shared" si="416"/>
        <v>295174</v>
      </c>
      <c r="K603" s="56">
        <f t="shared" si="416"/>
        <v>278876</v>
      </c>
      <c r="L603" s="56">
        <f t="shared" si="416"/>
        <v>270231</v>
      </c>
      <c r="M603" s="56">
        <f t="shared" si="416"/>
        <v>261810</v>
      </c>
      <c r="N603" s="56">
        <f t="shared" si="416"/>
        <v>225882</v>
      </c>
      <c r="O603" s="56">
        <f t="shared" si="416"/>
        <v>2262320</v>
      </c>
      <c r="P603" s="56">
        <f>P582+P585+P588+P591+P594+P597+P600</f>
        <v>4264379</v>
      </c>
    </row>
    <row r="604" spans="1:16" x14ac:dyDescent="0.25">
      <c r="A604" s="21"/>
      <c r="B604" s="124"/>
      <c r="C604" s="124"/>
      <c r="D604" s="124"/>
      <c r="E604" s="124"/>
      <c r="F604" s="4"/>
      <c r="G604" s="21"/>
      <c r="H604" s="9"/>
      <c r="I604" s="9"/>
      <c r="J604" s="9"/>
      <c r="K604" s="20"/>
      <c r="L604" s="20"/>
      <c r="M604" s="20"/>
      <c r="N604" s="20"/>
      <c r="O604" s="9"/>
      <c r="P604" s="9"/>
    </row>
    <row r="606" spans="1:16" ht="17.25" customHeight="1" x14ac:dyDescent="0.25">
      <c r="A606" s="125" t="s">
        <v>527</v>
      </c>
      <c r="B606" s="125"/>
      <c r="C606" s="125"/>
      <c r="D606" s="125"/>
      <c r="E606" s="125"/>
      <c r="F606" s="125"/>
      <c r="G606" s="125"/>
      <c r="H606" s="8">
        <f t="shared" ref="H606:P606" si="417">H576+H603</f>
        <v>6914053</v>
      </c>
      <c r="I606" s="8">
        <f t="shared" si="417"/>
        <v>9078273</v>
      </c>
      <c r="J606" s="8">
        <f t="shared" si="417"/>
        <v>9017904</v>
      </c>
      <c r="K606" s="8">
        <f t="shared" si="417"/>
        <v>8103407</v>
      </c>
      <c r="L606" s="8">
        <f t="shared" si="417"/>
        <v>7519361</v>
      </c>
      <c r="M606" s="8">
        <f t="shared" si="417"/>
        <v>7209500</v>
      </c>
      <c r="N606" s="8">
        <f t="shared" si="417"/>
        <v>6911106</v>
      </c>
      <c r="O606" s="8">
        <f t="shared" si="417"/>
        <v>65955832.450000003</v>
      </c>
      <c r="P606" s="8">
        <f t="shared" si="417"/>
        <v>120709436.45</v>
      </c>
    </row>
    <row r="608" spans="1:16" ht="13.2" customHeight="1" x14ac:dyDescent="0.25">
      <c r="B608" s="126" t="s">
        <v>6</v>
      </c>
      <c r="C608" s="127"/>
      <c r="D608" s="127"/>
      <c r="E608" s="127"/>
      <c r="F608" s="127"/>
      <c r="G608" s="128"/>
      <c r="H608" s="5">
        <f t="shared" ref="H608:N608" si="418">H606*100/($P$609)</f>
        <v>9.1485126185920116</v>
      </c>
      <c r="I608" s="5">
        <f t="shared" si="418"/>
        <v>12.012157716396324</v>
      </c>
      <c r="J608" s="5">
        <f t="shared" si="418"/>
        <v>11.932278872790153</v>
      </c>
      <c r="K608" s="5">
        <f t="shared" si="418"/>
        <v>10.722237910685214</v>
      </c>
      <c r="L608" s="5">
        <f t="shared" si="418"/>
        <v>9.9494419542703305</v>
      </c>
      <c r="M608" s="5">
        <f t="shared" si="418"/>
        <v>9.5394411532192631</v>
      </c>
      <c r="N608" s="5">
        <f t="shared" si="418"/>
        <v>9.1446132173743777</v>
      </c>
      <c r="O608" s="21"/>
      <c r="P608" s="21"/>
    </row>
    <row r="609" spans="2:16" ht="16.2" customHeight="1" x14ac:dyDescent="0.25">
      <c r="B609" s="105" t="s">
        <v>7</v>
      </c>
      <c r="C609" s="105"/>
      <c r="D609" s="105"/>
      <c r="E609" s="105"/>
      <c r="P609" s="104">
        <v>75575706</v>
      </c>
    </row>
    <row r="610" spans="2:16" x14ac:dyDescent="0.25">
      <c r="G610" s="44"/>
      <c r="H610" s="45"/>
      <c r="I610" s="45"/>
      <c r="J610" s="45"/>
      <c r="K610" s="45"/>
      <c r="L610" s="45"/>
      <c r="M610" s="45"/>
      <c r="N610" s="45"/>
    </row>
    <row r="612" spans="2:16" x14ac:dyDescent="0.25">
      <c r="G612" s="1"/>
      <c r="H612" s="83"/>
    </row>
  </sheetData>
  <mergeCells count="1004">
    <mergeCell ref="K1:P1"/>
    <mergeCell ref="K2:P2"/>
    <mergeCell ref="K3:P3"/>
    <mergeCell ref="K4:P4"/>
    <mergeCell ref="A556:A558"/>
    <mergeCell ref="B556:B558"/>
    <mergeCell ref="C556:C558"/>
    <mergeCell ref="D556:D558"/>
    <mergeCell ref="E556:E558"/>
    <mergeCell ref="A559:A561"/>
    <mergeCell ref="B559:B561"/>
    <mergeCell ref="C559:C561"/>
    <mergeCell ref="D559:D561"/>
    <mergeCell ref="E559:E561"/>
    <mergeCell ref="A592:A594"/>
    <mergeCell ref="B592:B594"/>
    <mergeCell ref="C592:C594"/>
    <mergeCell ref="D592:D594"/>
    <mergeCell ref="E592:E594"/>
    <mergeCell ref="F592:F594"/>
    <mergeCell ref="A598:A600"/>
    <mergeCell ref="B598:B600"/>
    <mergeCell ref="C598:C600"/>
    <mergeCell ref="D598:D600"/>
    <mergeCell ref="E598:E600"/>
    <mergeCell ref="F598:F600"/>
    <mergeCell ref="D589:D591"/>
    <mergeCell ref="E589:E591"/>
    <mergeCell ref="F589:F591"/>
    <mergeCell ref="A586:A588"/>
    <mergeCell ref="B586:B588"/>
    <mergeCell ref="C586:C588"/>
    <mergeCell ref="D586:D588"/>
    <mergeCell ref="E586:E588"/>
    <mergeCell ref="F586:F588"/>
    <mergeCell ref="A562:A564"/>
    <mergeCell ref="B562:B564"/>
    <mergeCell ref="C562:C564"/>
    <mergeCell ref="D562:D564"/>
    <mergeCell ref="E562:E564"/>
    <mergeCell ref="A574:A576"/>
    <mergeCell ref="B574:B576"/>
    <mergeCell ref="C574:C576"/>
    <mergeCell ref="D574:D576"/>
    <mergeCell ref="E574:E576"/>
    <mergeCell ref="A565:A567"/>
    <mergeCell ref="B565:B567"/>
    <mergeCell ref="C565:C567"/>
    <mergeCell ref="D565:D567"/>
    <mergeCell ref="E565:E567"/>
    <mergeCell ref="A568:A570"/>
    <mergeCell ref="B568:B570"/>
    <mergeCell ref="C568:C570"/>
    <mergeCell ref="D568:D570"/>
    <mergeCell ref="E568:E570"/>
    <mergeCell ref="A571:A573"/>
    <mergeCell ref="B571:B573"/>
    <mergeCell ref="C571:C573"/>
    <mergeCell ref="D571:D573"/>
    <mergeCell ref="A550:A552"/>
    <mergeCell ref="B550:B552"/>
    <mergeCell ref="C550:C552"/>
    <mergeCell ref="D550:D552"/>
    <mergeCell ref="E550:E552"/>
    <mergeCell ref="A553:A555"/>
    <mergeCell ref="B553:B555"/>
    <mergeCell ref="C553:C555"/>
    <mergeCell ref="D553:D555"/>
    <mergeCell ref="E553:E555"/>
    <mergeCell ref="A544:A546"/>
    <mergeCell ref="B544:B546"/>
    <mergeCell ref="C544:C546"/>
    <mergeCell ref="D544:D546"/>
    <mergeCell ref="E544:E546"/>
    <mergeCell ref="A547:A549"/>
    <mergeCell ref="B547:B549"/>
    <mergeCell ref="C547:C549"/>
    <mergeCell ref="D547:D549"/>
    <mergeCell ref="E547:E549"/>
    <mergeCell ref="A538:A540"/>
    <mergeCell ref="B538:B540"/>
    <mergeCell ref="C538:C540"/>
    <mergeCell ref="D538:D540"/>
    <mergeCell ref="E538:E540"/>
    <mergeCell ref="A541:A543"/>
    <mergeCell ref="B541:B543"/>
    <mergeCell ref="C541:C543"/>
    <mergeCell ref="D541:D543"/>
    <mergeCell ref="E541:E543"/>
    <mergeCell ref="A532:A534"/>
    <mergeCell ref="B532:B534"/>
    <mergeCell ref="C532:C534"/>
    <mergeCell ref="D532:D534"/>
    <mergeCell ref="E532:E534"/>
    <mergeCell ref="A535:A537"/>
    <mergeCell ref="B535:B537"/>
    <mergeCell ref="C535:C537"/>
    <mergeCell ref="D535:D537"/>
    <mergeCell ref="E535:E537"/>
    <mergeCell ref="A526:A528"/>
    <mergeCell ref="B526:B528"/>
    <mergeCell ref="C526:C528"/>
    <mergeCell ref="D526:D528"/>
    <mergeCell ref="E526:E528"/>
    <mergeCell ref="A529:A531"/>
    <mergeCell ref="B529:B531"/>
    <mergeCell ref="C529:C531"/>
    <mergeCell ref="D529:D531"/>
    <mergeCell ref="E529:E531"/>
    <mergeCell ref="A520:A522"/>
    <mergeCell ref="B520:B522"/>
    <mergeCell ref="C520:C522"/>
    <mergeCell ref="D520:D522"/>
    <mergeCell ref="E520:E522"/>
    <mergeCell ref="A523:A525"/>
    <mergeCell ref="B523:B525"/>
    <mergeCell ref="C523:C525"/>
    <mergeCell ref="D523:D525"/>
    <mergeCell ref="E523:E525"/>
    <mergeCell ref="A514:A516"/>
    <mergeCell ref="B514:B516"/>
    <mergeCell ref="C514:C516"/>
    <mergeCell ref="D514:D516"/>
    <mergeCell ref="E514:E516"/>
    <mergeCell ref="A517:A519"/>
    <mergeCell ref="B517:B519"/>
    <mergeCell ref="C517:C519"/>
    <mergeCell ref="D517:D519"/>
    <mergeCell ref="E517:E519"/>
    <mergeCell ref="A508:A510"/>
    <mergeCell ref="B508:B510"/>
    <mergeCell ref="C508:C510"/>
    <mergeCell ref="D508:D510"/>
    <mergeCell ref="E508:E510"/>
    <mergeCell ref="A511:A513"/>
    <mergeCell ref="B511:B513"/>
    <mergeCell ref="C511:C513"/>
    <mergeCell ref="D511:D513"/>
    <mergeCell ref="E511:E513"/>
    <mergeCell ref="A502:A504"/>
    <mergeCell ref="B502:B504"/>
    <mergeCell ref="C502:C504"/>
    <mergeCell ref="D502:D504"/>
    <mergeCell ref="E502:E504"/>
    <mergeCell ref="A505:A507"/>
    <mergeCell ref="B505:B507"/>
    <mergeCell ref="C505:C507"/>
    <mergeCell ref="D505:D507"/>
    <mergeCell ref="E505:E507"/>
    <mergeCell ref="A496:A498"/>
    <mergeCell ref="B496:B498"/>
    <mergeCell ref="C496:C498"/>
    <mergeCell ref="D496:D498"/>
    <mergeCell ref="E496:E498"/>
    <mergeCell ref="A499:A501"/>
    <mergeCell ref="B499:B501"/>
    <mergeCell ref="C499:C501"/>
    <mergeCell ref="D499:D501"/>
    <mergeCell ref="E499:E501"/>
    <mergeCell ref="A490:A492"/>
    <mergeCell ref="B490:B492"/>
    <mergeCell ref="C490:C492"/>
    <mergeCell ref="D490:D492"/>
    <mergeCell ref="E490:E492"/>
    <mergeCell ref="A493:A495"/>
    <mergeCell ref="B493:B495"/>
    <mergeCell ref="C493:C495"/>
    <mergeCell ref="D493:D495"/>
    <mergeCell ref="E493:E495"/>
    <mergeCell ref="A484:A486"/>
    <mergeCell ref="B484:B486"/>
    <mergeCell ref="C484:C486"/>
    <mergeCell ref="D484:D486"/>
    <mergeCell ref="E484:E486"/>
    <mergeCell ref="A487:A489"/>
    <mergeCell ref="B487:B489"/>
    <mergeCell ref="C487:C489"/>
    <mergeCell ref="D487:D489"/>
    <mergeCell ref="E487:E489"/>
    <mergeCell ref="A478:A480"/>
    <mergeCell ref="B478:B480"/>
    <mergeCell ref="C478:C480"/>
    <mergeCell ref="D478:D480"/>
    <mergeCell ref="E478:E480"/>
    <mergeCell ref="A481:A483"/>
    <mergeCell ref="B481:B483"/>
    <mergeCell ref="C481:C483"/>
    <mergeCell ref="D481:D483"/>
    <mergeCell ref="E481:E483"/>
    <mergeCell ref="A472:A474"/>
    <mergeCell ref="B472:B474"/>
    <mergeCell ref="C472:C474"/>
    <mergeCell ref="D472:D474"/>
    <mergeCell ref="E472:E474"/>
    <mergeCell ref="A475:A477"/>
    <mergeCell ref="B475:B477"/>
    <mergeCell ref="C475:C477"/>
    <mergeCell ref="D475:D477"/>
    <mergeCell ref="E475:E477"/>
    <mergeCell ref="A466:A468"/>
    <mergeCell ref="B466:B468"/>
    <mergeCell ref="C466:C468"/>
    <mergeCell ref="D466:D468"/>
    <mergeCell ref="E466:E468"/>
    <mergeCell ref="A469:A471"/>
    <mergeCell ref="B469:B471"/>
    <mergeCell ref="C469:C471"/>
    <mergeCell ref="D469:D471"/>
    <mergeCell ref="E469:E471"/>
    <mergeCell ref="A460:A462"/>
    <mergeCell ref="B460:B462"/>
    <mergeCell ref="C460:C462"/>
    <mergeCell ref="D460:D462"/>
    <mergeCell ref="E460:E462"/>
    <mergeCell ref="A463:A465"/>
    <mergeCell ref="B463:B465"/>
    <mergeCell ref="C463:C465"/>
    <mergeCell ref="D463:D465"/>
    <mergeCell ref="E463:E465"/>
    <mergeCell ref="A454:A456"/>
    <mergeCell ref="B454:B456"/>
    <mergeCell ref="C454:C456"/>
    <mergeCell ref="D454:D456"/>
    <mergeCell ref="E454:E456"/>
    <mergeCell ref="A457:A459"/>
    <mergeCell ref="B457:B459"/>
    <mergeCell ref="C457:C459"/>
    <mergeCell ref="D457:D459"/>
    <mergeCell ref="E457:E459"/>
    <mergeCell ref="A448:A450"/>
    <mergeCell ref="B448:B450"/>
    <mergeCell ref="C448:C450"/>
    <mergeCell ref="D448:D450"/>
    <mergeCell ref="E448:E450"/>
    <mergeCell ref="A451:A453"/>
    <mergeCell ref="B451:B453"/>
    <mergeCell ref="C451:C453"/>
    <mergeCell ref="D451:D453"/>
    <mergeCell ref="E451:E453"/>
    <mergeCell ref="A442:A444"/>
    <mergeCell ref="B442:B444"/>
    <mergeCell ref="C442:C444"/>
    <mergeCell ref="D442:D444"/>
    <mergeCell ref="E442:E444"/>
    <mergeCell ref="A445:A447"/>
    <mergeCell ref="B445:B447"/>
    <mergeCell ref="C445:C447"/>
    <mergeCell ref="D445:D447"/>
    <mergeCell ref="E445:E447"/>
    <mergeCell ref="A436:A438"/>
    <mergeCell ref="B436:B438"/>
    <mergeCell ref="C436:C438"/>
    <mergeCell ref="D436:D438"/>
    <mergeCell ref="E436:E438"/>
    <mergeCell ref="A439:A441"/>
    <mergeCell ref="B439:B441"/>
    <mergeCell ref="C439:C441"/>
    <mergeCell ref="D439:D441"/>
    <mergeCell ref="E439:E441"/>
    <mergeCell ref="A430:A432"/>
    <mergeCell ref="B430:B432"/>
    <mergeCell ref="C430:C432"/>
    <mergeCell ref="D430:D432"/>
    <mergeCell ref="E430:E432"/>
    <mergeCell ref="A433:A435"/>
    <mergeCell ref="B433:B435"/>
    <mergeCell ref="C433:C435"/>
    <mergeCell ref="D433:D435"/>
    <mergeCell ref="E433:E435"/>
    <mergeCell ref="A424:A426"/>
    <mergeCell ref="B424:B426"/>
    <mergeCell ref="C424:C426"/>
    <mergeCell ref="D424:D426"/>
    <mergeCell ref="E424:E426"/>
    <mergeCell ref="A427:A429"/>
    <mergeCell ref="B427:B429"/>
    <mergeCell ref="C427:C429"/>
    <mergeCell ref="D427:D429"/>
    <mergeCell ref="E427:E429"/>
    <mergeCell ref="A418:A420"/>
    <mergeCell ref="B418:B420"/>
    <mergeCell ref="C418:C420"/>
    <mergeCell ref="D418:D420"/>
    <mergeCell ref="E418:E420"/>
    <mergeCell ref="A421:A423"/>
    <mergeCell ref="B421:B423"/>
    <mergeCell ref="C421:C423"/>
    <mergeCell ref="D421:D423"/>
    <mergeCell ref="E421:E423"/>
    <mergeCell ref="A412:A414"/>
    <mergeCell ref="B412:B414"/>
    <mergeCell ref="C412:C414"/>
    <mergeCell ref="D412:D414"/>
    <mergeCell ref="E412:E414"/>
    <mergeCell ref="A415:A417"/>
    <mergeCell ref="B415:B417"/>
    <mergeCell ref="C415:C417"/>
    <mergeCell ref="D415:D417"/>
    <mergeCell ref="E415:E417"/>
    <mergeCell ref="A406:A408"/>
    <mergeCell ref="B406:B408"/>
    <mergeCell ref="C406:C408"/>
    <mergeCell ref="D406:D408"/>
    <mergeCell ref="E406:E408"/>
    <mergeCell ref="A409:A411"/>
    <mergeCell ref="B409:B411"/>
    <mergeCell ref="C409:C411"/>
    <mergeCell ref="D409:D411"/>
    <mergeCell ref="E409:E411"/>
    <mergeCell ref="A400:A402"/>
    <mergeCell ref="B400:B402"/>
    <mergeCell ref="C400:C402"/>
    <mergeCell ref="D400:D402"/>
    <mergeCell ref="E400:E402"/>
    <mergeCell ref="A403:A405"/>
    <mergeCell ref="B403:B405"/>
    <mergeCell ref="C403:C405"/>
    <mergeCell ref="D403:D405"/>
    <mergeCell ref="E403:E405"/>
    <mergeCell ref="A394:A396"/>
    <mergeCell ref="B394:B396"/>
    <mergeCell ref="C394:C396"/>
    <mergeCell ref="D394:D396"/>
    <mergeCell ref="E394:E396"/>
    <mergeCell ref="A397:A399"/>
    <mergeCell ref="B397:B399"/>
    <mergeCell ref="C397:C399"/>
    <mergeCell ref="D397:D399"/>
    <mergeCell ref="E397:E399"/>
    <mergeCell ref="A388:A390"/>
    <mergeCell ref="B388:B390"/>
    <mergeCell ref="C388:C390"/>
    <mergeCell ref="D388:D390"/>
    <mergeCell ref="E388:E390"/>
    <mergeCell ref="A391:A393"/>
    <mergeCell ref="B391:B393"/>
    <mergeCell ref="C391:C393"/>
    <mergeCell ref="D391:D393"/>
    <mergeCell ref="E391:E393"/>
    <mergeCell ref="A382:A384"/>
    <mergeCell ref="B382:B384"/>
    <mergeCell ref="C382:C384"/>
    <mergeCell ref="D382:D384"/>
    <mergeCell ref="E382:E384"/>
    <mergeCell ref="A385:A387"/>
    <mergeCell ref="B385:B387"/>
    <mergeCell ref="C385:C387"/>
    <mergeCell ref="D385:D387"/>
    <mergeCell ref="E385:E387"/>
    <mergeCell ref="A376:A378"/>
    <mergeCell ref="B376:B378"/>
    <mergeCell ref="C376:C378"/>
    <mergeCell ref="D376:D378"/>
    <mergeCell ref="E376:E378"/>
    <mergeCell ref="A379:A381"/>
    <mergeCell ref="B379:B381"/>
    <mergeCell ref="C379:C381"/>
    <mergeCell ref="D379:D381"/>
    <mergeCell ref="E379:E381"/>
    <mergeCell ref="A370:A372"/>
    <mergeCell ref="B370:B372"/>
    <mergeCell ref="C370:C372"/>
    <mergeCell ref="D370:D372"/>
    <mergeCell ref="E370:E372"/>
    <mergeCell ref="A373:A375"/>
    <mergeCell ref="B373:B375"/>
    <mergeCell ref="C373:C375"/>
    <mergeCell ref="D373:D375"/>
    <mergeCell ref="E373:E375"/>
    <mergeCell ref="A364:A366"/>
    <mergeCell ref="B364:B366"/>
    <mergeCell ref="C364:C366"/>
    <mergeCell ref="D364:D366"/>
    <mergeCell ref="E364:E366"/>
    <mergeCell ref="A367:A369"/>
    <mergeCell ref="B367:B369"/>
    <mergeCell ref="C367:C369"/>
    <mergeCell ref="D367:D369"/>
    <mergeCell ref="E367:E369"/>
    <mergeCell ref="A358:A360"/>
    <mergeCell ref="B358:B360"/>
    <mergeCell ref="C358:C360"/>
    <mergeCell ref="D358:D360"/>
    <mergeCell ref="E358:E360"/>
    <mergeCell ref="A361:A363"/>
    <mergeCell ref="B361:B363"/>
    <mergeCell ref="C361:C363"/>
    <mergeCell ref="D361:D363"/>
    <mergeCell ref="E361:E363"/>
    <mergeCell ref="A352:A354"/>
    <mergeCell ref="B352:B354"/>
    <mergeCell ref="C352:C354"/>
    <mergeCell ref="D352:D354"/>
    <mergeCell ref="E352:E354"/>
    <mergeCell ref="A355:A357"/>
    <mergeCell ref="B355:B357"/>
    <mergeCell ref="C355:C357"/>
    <mergeCell ref="D355:D357"/>
    <mergeCell ref="E355:E357"/>
    <mergeCell ref="A346:A348"/>
    <mergeCell ref="B346:B348"/>
    <mergeCell ref="C346:C348"/>
    <mergeCell ref="D346:D348"/>
    <mergeCell ref="E346:E348"/>
    <mergeCell ref="A349:A351"/>
    <mergeCell ref="B349:B351"/>
    <mergeCell ref="C349:C351"/>
    <mergeCell ref="D349:D351"/>
    <mergeCell ref="E349:E351"/>
    <mergeCell ref="A340:A342"/>
    <mergeCell ref="B340:B342"/>
    <mergeCell ref="C340:C342"/>
    <mergeCell ref="D340:D342"/>
    <mergeCell ref="E340:E342"/>
    <mergeCell ref="A343:A345"/>
    <mergeCell ref="B343:B345"/>
    <mergeCell ref="C343:C345"/>
    <mergeCell ref="D343:D345"/>
    <mergeCell ref="E343:E345"/>
    <mergeCell ref="A334:A336"/>
    <mergeCell ref="B334:B336"/>
    <mergeCell ref="C334:C336"/>
    <mergeCell ref="D334:D336"/>
    <mergeCell ref="E334:E336"/>
    <mergeCell ref="A337:A339"/>
    <mergeCell ref="B337:B339"/>
    <mergeCell ref="C337:C339"/>
    <mergeCell ref="D337:D339"/>
    <mergeCell ref="E337:E339"/>
    <mergeCell ref="A328:A330"/>
    <mergeCell ref="B328:B330"/>
    <mergeCell ref="C328:C330"/>
    <mergeCell ref="D328:D330"/>
    <mergeCell ref="E328:E330"/>
    <mergeCell ref="A331:A333"/>
    <mergeCell ref="B331:B333"/>
    <mergeCell ref="C331:C333"/>
    <mergeCell ref="D331:D333"/>
    <mergeCell ref="E331:E333"/>
    <mergeCell ref="A322:A324"/>
    <mergeCell ref="B322:B324"/>
    <mergeCell ref="C322:C324"/>
    <mergeCell ref="D322:D324"/>
    <mergeCell ref="E322:E324"/>
    <mergeCell ref="A325:A327"/>
    <mergeCell ref="B325:B327"/>
    <mergeCell ref="C325:C327"/>
    <mergeCell ref="D325:D327"/>
    <mergeCell ref="E325:E327"/>
    <mergeCell ref="A316:A318"/>
    <mergeCell ref="B316:B318"/>
    <mergeCell ref="C316:C318"/>
    <mergeCell ref="D316:D318"/>
    <mergeCell ref="E316:E318"/>
    <mergeCell ref="A319:A321"/>
    <mergeCell ref="B319:B321"/>
    <mergeCell ref="C319:C321"/>
    <mergeCell ref="D319:D321"/>
    <mergeCell ref="E319:E321"/>
    <mergeCell ref="A310:A312"/>
    <mergeCell ref="B310:B312"/>
    <mergeCell ref="C310:C312"/>
    <mergeCell ref="D310:D312"/>
    <mergeCell ref="E310:E312"/>
    <mergeCell ref="A313:A315"/>
    <mergeCell ref="B313:B315"/>
    <mergeCell ref="C313:C315"/>
    <mergeCell ref="D313:D315"/>
    <mergeCell ref="E313:E315"/>
    <mergeCell ref="A304:A306"/>
    <mergeCell ref="B304:B306"/>
    <mergeCell ref="C304:C306"/>
    <mergeCell ref="D304:D306"/>
    <mergeCell ref="E304:E306"/>
    <mergeCell ref="A307:A309"/>
    <mergeCell ref="B307:B309"/>
    <mergeCell ref="C307:C309"/>
    <mergeCell ref="D307:D309"/>
    <mergeCell ref="E307:E309"/>
    <mergeCell ref="A298:A300"/>
    <mergeCell ref="B298:B300"/>
    <mergeCell ref="C298:C300"/>
    <mergeCell ref="D298:D300"/>
    <mergeCell ref="E298:E300"/>
    <mergeCell ref="A301:A303"/>
    <mergeCell ref="B301:B303"/>
    <mergeCell ref="C301:C303"/>
    <mergeCell ref="D301:D303"/>
    <mergeCell ref="E301:E303"/>
    <mergeCell ref="A292:A294"/>
    <mergeCell ref="B292:B294"/>
    <mergeCell ref="C292:C294"/>
    <mergeCell ref="D292:D294"/>
    <mergeCell ref="E292:E294"/>
    <mergeCell ref="A295:A297"/>
    <mergeCell ref="B295:B297"/>
    <mergeCell ref="C295:C297"/>
    <mergeCell ref="D295:D297"/>
    <mergeCell ref="E295:E297"/>
    <mergeCell ref="A286:A288"/>
    <mergeCell ref="B286:B288"/>
    <mergeCell ref="C286:C288"/>
    <mergeCell ref="D286:D288"/>
    <mergeCell ref="E286:E288"/>
    <mergeCell ref="A289:A291"/>
    <mergeCell ref="B289:B291"/>
    <mergeCell ref="C289:C291"/>
    <mergeCell ref="D289:D291"/>
    <mergeCell ref="E289:E291"/>
    <mergeCell ref="A280:A282"/>
    <mergeCell ref="B280:B282"/>
    <mergeCell ref="C280:C282"/>
    <mergeCell ref="D280:D282"/>
    <mergeCell ref="E280:E282"/>
    <mergeCell ref="A283:A285"/>
    <mergeCell ref="B283:B285"/>
    <mergeCell ref="C283:C285"/>
    <mergeCell ref="D283:D285"/>
    <mergeCell ref="E283:E285"/>
    <mergeCell ref="A274:A276"/>
    <mergeCell ref="B274:B276"/>
    <mergeCell ref="C274:C276"/>
    <mergeCell ref="D274:D276"/>
    <mergeCell ref="E274:E276"/>
    <mergeCell ref="A277:A279"/>
    <mergeCell ref="B277:B279"/>
    <mergeCell ref="C277:C279"/>
    <mergeCell ref="D277:D279"/>
    <mergeCell ref="E277:E279"/>
    <mergeCell ref="A268:A270"/>
    <mergeCell ref="B268:B270"/>
    <mergeCell ref="C268:C270"/>
    <mergeCell ref="D268:D270"/>
    <mergeCell ref="E268:E270"/>
    <mergeCell ref="A271:A273"/>
    <mergeCell ref="B271:B273"/>
    <mergeCell ref="C271:C273"/>
    <mergeCell ref="D271:D273"/>
    <mergeCell ref="E271:E273"/>
    <mergeCell ref="A262:A264"/>
    <mergeCell ref="B262:B264"/>
    <mergeCell ref="C262:C264"/>
    <mergeCell ref="D262:D264"/>
    <mergeCell ref="E262:E264"/>
    <mergeCell ref="A265:A267"/>
    <mergeCell ref="B265:B267"/>
    <mergeCell ref="C265:C267"/>
    <mergeCell ref="D265:D267"/>
    <mergeCell ref="E265:E267"/>
    <mergeCell ref="A256:A258"/>
    <mergeCell ref="B256:B258"/>
    <mergeCell ref="C256:C258"/>
    <mergeCell ref="D256:D258"/>
    <mergeCell ref="E256:E258"/>
    <mergeCell ref="A259:A261"/>
    <mergeCell ref="B259:B261"/>
    <mergeCell ref="C259:C261"/>
    <mergeCell ref="D259:D261"/>
    <mergeCell ref="E259:E261"/>
    <mergeCell ref="A250:A252"/>
    <mergeCell ref="B250:B252"/>
    <mergeCell ref="C250:C252"/>
    <mergeCell ref="D250:D252"/>
    <mergeCell ref="E250:E252"/>
    <mergeCell ref="A253:A255"/>
    <mergeCell ref="B253:B255"/>
    <mergeCell ref="C253:C255"/>
    <mergeCell ref="D253:D255"/>
    <mergeCell ref="E253:E255"/>
    <mergeCell ref="A244:A246"/>
    <mergeCell ref="B244:B246"/>
    <mergeCell ref="C244:C246"/>
    <mergeCell ref="D244:D246"/>
    <mergeCell ref="E244:E246"/>
    <mergeCell ref="A247:A249"/>
    <mergeCell ref="B247:B249"/>
    <mergeCell ref="C247:C249"/>
    <mergeCell ref="D247:D249"/>
    <mergeCell ref="E247:E249"/>
    <mergeCell ref="A238:A240"/>
    <mergeCell ref="B238:B240"/>
    <mergeCell ref="C238:C240"/>
    <mergeCell ref="D238:D240"/>
    <mergeCell ref="E238:E240"/>
    <mergeCell ref="A241:A243"/>
    <mergeCell ref="B241:B243"/>
    <mergeCell ref="C241:C243"/>
    <mergeCell ref="D241:D243"/>
    <mergeCell ref="E241:E243"/>
    <mergeCell ref="A232:A234"/>
    <mergeCell ref="B232:B234"/>
    <mergeCell ref="C232:C234"/>
    <mergeCell ref="D232:D234"/>
    <mergeCell ref="E232:E234"/>
    <mergeCell ref="A235:A237"/>
    <mergeCell ref="B235:B237"/>
    <mergeCell ref="C235:C237"/>
    <mergeCell ref="D235:D237"/>
    <mergeCell ref="E235:E237"/>
    <mergeCell ref="A226:A228"/>
    <mergeCell ref="B226:B228"/>
    <mergeCell ref="C226:C228"/>
    <mergeCell ref="D226:D228"/>
    <mergeCell ref="E226:E228"/>
    <mergeCell ref="A229:A231"/>
    <mergeCell ref="B229:B231"/>
    <mergeCell ref="C229:C231"/>
    <mergeCell ref="D229:D231"/>
    <mergeCell ref="E229:E231"/>
    <mergeCell ref="A220:A222"/>
    <mergeCell ref="B220:B222"/>
    <mergeCell ref="C220:C222"/>
    <mergeCell ref="D220:D222"/>
    <mergeCell ref="E220:E222"/>
    <mergeCell ref="A223:A225"/>
    <mergeCell ref="B223:B225"/>
    <mergeCell ref="C223:C225"/>
    <mergeCell ref="D223:D225"/>
    <mergeCell ref="E223:E225"/>
    <mergeCell ref="A214:A216"/>
    <mergeCell ref="B214:B216"/>
    <mergeCell ref="C214:C216"/>
    <mergeCell ref="D214:D216"/>
    <mergeCell ref="E214:E216"/>
    <mergeCell ref="A217:A219"/>
    <mergeCell ref="B217:B219"/>
    <mergeCell ref="C217:C219"/>
    <mergeCell ref="D217:D219"/>
    <mergeCell ref="E217:E219"/>
    <mergeCell ref="A208:A210"/>
    <mergeCell ref="B208:B210"/>
    <mergeCell ref="C208:C210"/>
    <mergeCell ref="D208:D210"/>
    <mergeCell ref="E208:E210"/>
    <mergeCell ref="A211:A213"/>
    <mergeCell ref="B211:B213"/>
    <mergeCell ref="C211:C213"/>
    <mergeCell ref="D211:D213"/>
    <mergeCell ref="E211:E213"/>
    <mergeCell ref="A202:A204"/>
    <mergeCell ref="B202:B204"/>
    <mergeCell ref="C202:C204"/>
    <mergeCell ref="D202:D204"/>
    <mergeCell ref="E202:E204"/>
    <mergeCell ref="A205:A207"/>
    <mergeCell ref="B205:B207"/>
    <mergeCell ref="C205:C207"/>
    <mergeCell ref="D205:D207"/>
    <mergeCell ref="E205:E207"/>
    <mergeCell ref="A196:A198"/>
    <mergeCell ref="B196:B198"/>
    <mergeCell ref="C196:C198"/>
    <mergeCell ref="D196:D198"/>
    <mergeCell ref="E196:E198"/>
    <mergeCell ref="A199:A201"/>
    <mergeCell ref="B199:B201"/>
    <mergeCell ref="C199:C201"/>
    <mergeCell ref="D199:D201"/>
    <mergeCell ref="E199:E201"/>
    <mergeCell ref="A190:A192"/>
    <mergeCell ref="B190:B192"/>
    <mergeCell ref="C190:C192"/>
    <mergeCell ref="D190:D192"/>
    <mergeCell ref="E190:E192"/>
    <mergeCell ref="A193:A195"/>
    <mergeCell ref="B193:B195"/>
    <mergeCell ref="C193:C195"/>
    <mergeCell ref="D193:D195"/>
    <mergeCell ref="E193:E195"/>
    <mergeCell ref="A184:A186"/>
    <mergeCell ref="B184:B186"/>
    <mergeCell ref="C184:C186"/>
    <mergeCell ref="D184:D186"/>
    <mergeCell ref="E184:E186"/>
    <mergeCell ref="A187:A189"/>
    <mergeCell ref="B187:B189"/>
    <mergeCell ref="C187:C189"/>
    <mergeCell ref="D187:D189"/>
    <mergeCell ref="E187:E189"/>
    <mergeCell ref="A178:A180"/>
    <mergeCell ref="B178:B180"/>
    <mergeCell ref="C178:C180"/>
    <mergeCell ref="D178:D180"/>
    <mergeCell ref="E178:E180"/>
    <mergeCell ref="A181:A183"/>
    <mergeCell ref="B181:B183"/>
    <mergeCell ref="C181:C183"/>
    <mergeCell ref="D181:D183"/>
    <mergeCell ref="E181:E183"/>
    <mergeCell ref="A172:A174"/>
    <mergeCell ref="B172:B174"/>
    <mergeCell ref="C172:C174"/>
    <mergeCell ref="D172:D174"/>
    <mergeCell ref="E172:E174"/>
    <mergeCell ref="A175:A177"/>
    <mergeCell ref="B175:B177"/>
    <mergeCell ref="C175:C177"/>
    <mergeCell ref="D175:D177"/>
    <mergeCell ref="E175:E177"/>
    <mergeCell ref="A166:A168"/>
    <mergeCell ref="B166:B168"/>
    <mergeCell ref="C166:C168"/>
    <mergeCell ref="D166:D168"/>
    <mergeCell ref="E166:E168"/>
    <mergeCell ref="A169:A171"/>
    <mergeCell ref="B169:B171"/>
    <mergeCell ref="C169:C171"/>
    <mergeCell ref="D169:D171"/>
    <mergeCell ref="E169:E171"/>
    <mergeCell ref="A160:A162"/>
    <mergeCell ref="B160:B162"/>
    <mergeCell ref="C160:C162"/>
    <mergeCell ref="D160:D162"/>
    <mergeCell ref="E160:E162"/>
    <mergeCell ref="A163:A165"/>
    <mergeCell ref="B163:B165"/>
    <mergeCell ref="C163:C165"/>
    <mergeCell ref="D163:D165"/>
    <mergeCell ref="E163:E165"/>
    <mergeCell ref="A154:A156"/>
    <mergeCell ref="B154:B156"/>
    <mergeCell ref="C154:C156"/>
    <mergeCell ref="D154:D156"/>
    <mergeCell ref="E154:E156"/>
    <mergeCell ref="A157:A159"/>
    <mergeCell ref="B157:B159"/>
    <mergeCell ref="C157:C159"/>
    <mergeCell ref="D157:D159"/>
    <mergeCell ref="E157:E159"/>
    <mergeCell ref="A148:A150"/>
    <mergeCell ref="B148:B150"/>
    <mergeCell ref="C148:C150"/>
    <mergeCell ref="D148:D150"/>
    <mergeCell ref="E148:E150"/>
    <mergeCell ref="A151:A153"/>
    <mergeCell ref="B151:B153"/>
    <mergeCell ref="C151:C153"/>
    <mergeCell ref="D151:D153"/>
    <mergeCell ref="E151:E153"/>
    <mergeCell ref="A142:A144"/>
    <mergeCell ref="B142:B144"/>
    <mergeCell ref="C142:C144"/>
    <mergeCell ref="D142:D144"/>
    <mergeCell ref="E142:E144"/>
    <mergeCell ref="A145:A147"/>
    <mergeCell ref="B145:B147"/>
    <mergeCell ref="C145:C147"/>
    <mergeCell ref="D145:D147"/>
    <mergeCell ref="E145:E147"/>
    <mergeCell ref="A136:A138"/>
    <mergeCell ref="B136:B138"/>
    <mergeCell ref="C136:C138"/>
    <mergeCell ref="D136:D138"/>
    <mergeCell ref="E136:E138"/>
    <mergeCell ref="A139:A141"/>
    <mergeCell ref="B139:B141"/>
    <mergeCell ref="C139:C141"/>
    <mergeCell ref="D139:D141"/>
    <mergeCell ref="E139:E141"/>
    <mergeCell ref="A130:A132"/>
    <mergeCell ref="B130:B132"/>
    <mergeCell ref="C130:C132"/>
    <mergeCell ref="D130:D132"/>
    <mergeCell ref="E130:E132"/>
    <mergeCell ref="A133:A135"/>
    <mergeCell ref="B133:B135"/>
    <mergeCell ref="C133:C135"/>
    <mergeCell ref="D133:D135"/>
    <mergeCell ref="E133:E135"/>
    <mergeCell ref="A124:A126"/>
    <mergeCell ref="B124:B126"/>
    <mergeCell ref="C124:C126"/>
    <mergeCell ref="D124:D126"/>
    <mergeCell ref="E124:E126"/>
    <mergeCell ref="A127:A129"/>
    <mergeCell ref="B127:B129"/>
    <mergeCell ref="C127:C129"/>
    <mergeCell ref="D127:D129"/>
    <mergeCell ref="E127:E129"/>
    <mergeCell ref="A118:A120"/>
    <mergeCell ref="B118:B120"/>
    <mergeCell ref="C118:C120"/>
    <mergeCell ref="D118:D120"/>
    <mergeCell ref="E118:E120"/>
    <mergeCell ref="A121:A123"/>
    <mergeCell ref="B121:B123"/>
    <mergeCell ref="C121:C123"/>
    <mergeCell ref="D121:D123"/>
    <mergeCell ref="E121:E123"/>
    <mergeCell ref="A112:A114"/>
    <mergeCell ref="B112:B114"/>
    <mergeCell ref="C112:C114"/>
    <mergeCell ref="D112:D114"/>
    <mergeCell ref="E112:E114"/>
    <mergeCell ref="A115:A117"/>
    <mergeCell ref="B115:B117"/>
    <mergeCell ref="C115:C117"/>
    <mergeCell ref="D115:D117"/>
    <mergeCell ref="E115:E117"/>
    <mergeCell ref="A106:A108"/>
    <mergeCell ref="B106:B108"/>
    <mergeCell ref="C106:C108"/>
    <mergeCell ref="D106:D108"/>
    <mergeCell ref="E106:E108"/>
    <mergeCell ref="A109:A111"/>
    <mergeCell ref="B109:B111"/>
    <mergeCell ref="C109:C111"/>
    <mergeCell ref="D109:D111"/>
    <mergeCell ref="E109:E111"/>
    <mergeCell ref="A100:A102"/>
    <mergeCell ref="B100:B102"/>
    <mergeCell ref="C100:C102"/>
    <mergeCell ref="D100:D102"/>
    <mergeCell ref="E100:E102"/>
    <mergeCell ref="A103:A105"/>
    <mergeCell ref="B103:B105"/>
    <mergeCell ref="C103:C105"/>
    <mergeCell ref="D103:D105"/>
    <mergeCell ref="E103:E105"/>
    <mergeCell ref="A94:A96"/>
    <mergeCell ref="B94:B96"/>
    <mergeCell ref="C94:C96"/>
    <mergeCell ref="D94:D96"/>
    <mergeCell ref="E94:E96"/>
    <mergeCell ref="A97:A99"/>
    <mergeCell ref="B97:B99"/>
    <mergeCell ref="C97:C99"/>
    <mergeCell ref="D97:D99"/>
    <mergeCell ref="E97:E99"/>
    <mergeCell ref="A88:A90"/>
    <mergeCell ref="B88:B90"/>
    <mergeCell ref="C88:C90"/>
    <mergeCell ref="D88:D90"/>
    <mergeCell ref="E88:E90"/>
    <mergeCell ref="A91:A93"/>
    <mergeCell ref="B91:B93"/>
    <mergeCell ref="C91:C93"/>
    <mergeCell ref="D91:D93"/>
    <mergeCell ref="E91:E93"/>
    <mergeCell ref="A82:A84"/>
    <mergeCell ref="B82:B84"/>
    <mergeCell ref="C82:C84"/>
    <mergeCell ref="D82:D84"/>
    <mergeCell ref="E82:E84"/>
    <mergeCell ref="A85:A87"/>
    <mergeCell ref="B85:B87"/>
    <mergeCell ref="C85:C87"/>
    <mergeCell ref="D85:D87"/>
    <mergeCell ref="E85:E87"/>
    <mergeCell ref="A76:A78"/>
    <mergeCell ref="B76:B78"/>
    <mergeCell ref="C76:C78"/>
    <mergeCell ref="D76:D78"/>
    <mergeCell ref="E76:E78"/>
    <mergeCell ref="A79:A81"/>
    <mergeCell ref="B79:B81"/>
    <mergeCell ref="C79:C81"/>
    <mergeCell ref="D79:D81"/>
    <mergeCell ref="E79:E81"/>
    <mergeCell ref="A70:A72"/>
    <mergeCell ref="B70:B72"/>
    <mergeCell ref="C70:C72"/>
    <mergeCell ref="D70:D72"/>
    <mergeCell ref="E70:E72"/>
    <mergeCell ref="A73:A75"/>
    <mergeCell ref="B73:B75"/>
    <mergeCell ref="C73:C75"/>
    <mergeCell ref="D73:D75"/>
    <mergeCell ref="E73:E75"/>
    <mergeCell ref="A64:A66"/>
    <mergeCell ref="B64:B66"/>
    <mergeCell ref="C64:C66"/>
    <mergeCell ref="D64:D66"/>
    <mergeCell ref="E64:E66"/>
    <mergeCell ref="A67:A69"/>
    <mergeCell ref="B67:B69"/>
    <mergeCell ref="C67:C69"/>
    <mergeCell ref="D67:D69"/>
    <mergeCell ref="E67:E69"/>
    <mergeCell ref="A58:A60"/>
    <mergeCell ref="B58:B60"/>
    <mergeCell ref="C58:C60"/>
    <mergeCell ref="D58:D60"/>
    <mergeCell ref="E58:E60"/>
    <mergeCell ref="A61:A63"/>
    <mergeCell ref="B61:B63"/>
    <mergeCell ref="C61:C63"/>
    <mergeCell ref="D61:D63"/>
    <mergeCell ref="E61:E63"/>
    <mergeCell ref="A52:A54"/>
    <mergeCell ref="B52:B54"/>
    <mergeCell ref="C52:C54"/>
    <mergeCell ref="D52:D54"/>
    <mergeCell ref="E52:E54"/>
    <mergeCell ref="A55:A57"/>
    <mergeCell ref="B55:B57"/>
    <mergeCell ref="C55:C57"/>
    <mergeCell ref="D55:D57"/>
    <mergeCell ref="E55:E57"/>
    <mergeCell ref="A46:A48"/>
    <mergeCell ref="B46:B48"/>
    <mergeCell ref="C46:C48"/>
    <mergeCell ref="D46:D48"/>
    <mergeCell ref="E46:E48"/>
    <mergeCell ref="A49:A51"/>
    <mergeCell ref="B49:B51"/>
    <mergeCell ref="C49:C51"/>
    <mergeCell ref="D49:D51"/>
    <mergeCell ref="E49:E51"/>
    <mergeCell ref="A40:A42"/>
    <mergeCell ref="B40:B42"/>
    <mergeCell ref="C40:C42"/>
    <mergeCell ref="D40:D42"/>
    <mergeCell ref="E40:E42"/>
    <mergeCell ref="A43:A45"/>
    <mergeCell ref="B43:B45"/>
    <mergeCell ref="C43:C45"/>
    <mergeCell ref="D43:D45"/>
    <mergeCell ref="E43:E45"/>
    <mergeCell ref="A34:A36"/>
    <mergeCell ref="B34:B36"/>
    <mergeCell ref="C34:C36"/>
    <mergeCell ref="D34:D36"/>
    <mergeCell ref="E34:E36"/>
    <mergeCell ref="A37:A39"/>
    <mergeCell ref="B37:B39"/>
    <mergeCell ref="C37:C39"/>
    <mergeCell ref="D37:D39"/>
    <mergeCell ref="E37:E39"/>
    <mergeCell ref="A28:A30"/>
    <mergeCell ref="B28:B30"/>
    <mergeCell ref="C28:C30"/>
    <mergeCell ref="D28:D30"/>
    <mergeCell ref="E28:E30"/>
    <mergeCell ref="A31:A33"/>
    <mergeCell ref="B31:B33"/>
    <mergeCell ref="C31:C33"/>
    <mergeCell ref="D31:D33"/>
    <mergeCell ref="E31:E33"/>
    <mergeCell ref="A22:A24"/>
    <mergeCell ref="B22:B24"/>
    <mergeCell ref="C22:C24"/>
    <mergeCell ref="D22:D24"/>
    <mergeCell ref="E22:E24"/>
    <mergeCell ref="A25:A27"/>
    <mergeCell ref="B25:B27"/>
    <mergeCell ref="C25:C27"/>
    <mergeCell ref="D25:D27"/>
    <mergeCell ref="E25:E27"/>
    <mergeCell ref="A16:A18"/>
    <mergeCell ref="B16:B18"/>
    <mergeCell ref="C16:C18"/>
    <mergeCell ref="D16:D18"/>
    <mergeCell ref="E16:E18"/>
    <mergeCell ref="A19:A21"/>
    <mergeCell ref="B19:B21"/>
    <mergeCell ref="C19:C21"/>
    <mergeCell ref="D19:D21"/>
    <mergeCell ref="E19:E21"/>
    <mergeCell ref="A10:A12"/>
    <mergeCell ref="B10:B12"/>
    <mergeCell ref="C10:C12"/>
    <mergeCell ref="D10:D12"/>
    <mergeCell ref="E10:E12"/>
    <mergeCell ref="F10:F12"/>
    <mergeCell ref="A13:A15"/>
    <mergeCell ref="B13:B15"/>
    <mergeCell ref="C13:C15"/>
    <mergeCell ref="D13:D15"/>
    <mergeCell ref="E13:E15"/>
    <mergeCell ref="E571:E573"/>
    <mergeCell ref="A578:P578"/>
    <mergeCell ref="A595:A597"/>
    <mergeCell ref="B595:B597"/>
    <mergeCell ref="C595:C597"/>
    <mergeCell ref="D595:D597"/>
    <mergeCell ref="E595:E597"/>
    <mergeCell ref="F595:F597"/>
    <mergeCell ref="F574:F576"/>
    <mergeCell ref="A583:A585"/>
    <mergeCell ref="B583:B585"/>
    <mergeCell ref="C583:C585"/>
    <mergeCell ref="D583:D585"/>
    <mergeCell ref="E583:E585"/>
    <mergeCell ref="F583:F585"/>
    <mergeCell ref="A580:A582"/>
    <mergeCell ref="B580:B582"/>
    <mergeCell ref="C580:C582"/>
    <mergeCell ref="D580:D582"/>
    <mergeCell ref="E580:E582"/>
    <mergeCell ref="F580:F582"/>
    <mergeCell ref="A589:A591"/>
    <mergeCell ref="B589:B591"/>
    <mergeCell ref="C589:C591"/>
    <mergeCell ref="B609:E609"/>
    <mergeCell ref="A601:A603"/>
    <mergeCell ref="B601:B603"/>
    <mergeCell ref="C601:C603"/>
    <mergeCell ref="D601:D603"/>
    <mergeCell ref="E601:E603"/>
    <mergeCell ref="F601:F603"/>
    <mergeCell ref="B604:E604"/>
    <mergeCell ref="A606:G606"/>
    <mergeCell ref="B608:G608"/>
  </mergeCells>
  <pageMargins left="0.11811023622047245" right="0.11811023622047245" top="0.74803149606299213" bottom="0.55118110236220474" header="0.31496062992125984" footer="0.11811023622047245"/>
  <pageSetup paperSize="9" scale="65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4.piel 09.2025</vt:lpstr>
      <vt:lpstr>'4.piel 09.2025'!Print_Titles</vt:lpstr>
    </vt:vector>
  </TitlesOfParts>
  <Company>Valmieras pilsetas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 dala</dc:creator>
  <cp:lastModifiedBy>Sanita Djadela</cp:lastModifiedBy>
  <cp:lastPrinted>2025-09-25T13:22:24Z</cp:lastPrinted>
  <dcterms:created xsi:type="dcterms:W3CDTF">2012-01-17T09:24:01Z</dcterms:created>
  <dcterms:modified xsi:type="dcterms:W3CDTF">2025-09-26T12:38:32Z</dcterms:modified>
</cp:coreProperties>
</file>