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64A63E6-406C-4200-AAFA-12F2797B7460}" xr6:coauthVersionLast="47" xr6:coauthVersionMax="47" xr10:uidLastSave="{00000000-0000-0000-0000-000000000000}"/>
  <bookViews>
    <workbookView xWindow="-108" yWindow="-108" windowWidth="23256" windowHeight="12456" tabRatio="637" xr2:uid="{00000000-000D-0000-FFFF-FFFF00000000}"/>
  </bookViews>
  <sheets>
    <sheet name="4.pielikums" sheetId="83" r:id="rId1"/>
  </sheets>
  <definedNames>
    <definedName name="_xlnm.Print_Titles" localSheetId="0">'4.pielikums'!$6:$7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6" i="83" l="1"/>
  <c r="H487" i="83" s="1"/>
  <c r="N487" i="83"/>
  <c r="M487" i="83"/>
  <c r="L487" i="83"/>
  <c r="K487" i="83"/>
  <c r="J487" i="83"/>
  <c r="I487" i="83"/>
  <c r="O486" i="83"/>
  <c r="O485" i="83"/>
  <c r="O487" i="83" s="1"/>
  <c r="N484" i="83"/>
  <c r="M484" i="83"/>
  <c r="L484" i="83"/>
  <c r="K484" i="83"/>
  <c r="J484" i="83"/>
  <c r="I484" i="83"/>
  <c r="H484" i="83"/>
  <c r="O483" i="83"/>
  <c r="O482" i="83"/>
  <c r="N481" i="83"/>
  <c r="M481" i="83"/>
  <c r="L481" i="83"/>
  <c r="K481" i="83"/>
  <c r="J481" i="83"/>
  <c r="I481" i="83"/>
  <c r="H481" i="83"/>
  <c r="O480" i="83"/>
  <c r="O479" i="83"/>
  <c r="N478" i="83"/>
  <c r="M478" i="83"/>
  <c r="L478" i="83"/>
  <c r="K478" i="83"/>
  <c r="J478" i="83"/>
  <c r="I478" i="83"/>
  <c r="H478" i="83"/>
  <c r="O477" i="83"/>
  <c r="O476" i="83"/>
  <c r="N475" i="83"/>
  <c r="M475" i="83"/>
  <c r="L475" i="83"/>
  <c r="K475" i="83"/>
  <c r="J475" i="83"/>
  <c r="I475" i="83"/>
  <c r="H475" i="83"/>
  <c r="O474" i="83"/>
  <c r="O473" i="83"/>
  <c r="N472" i="83"/>
  <c r="M472" i="83"/>
  <c r="L472" i="83"/>
  <c r="K472" i="83"/>
  <c r="J472" i="83"/>
  <c r="I472" i="83"/>
  <c r="H472" i="83"/>
  <c r="O471" i="83"/>
  <c r="O470" i="83"/>
  <c r="N469" i="83"/>
  <c r="M469" i="83"/>
  <c r="L469" i="83"/>
  <c r="K469" i="83"/>
  <c r="J469" i="83"/>
  <c r="I469" i="83"/>
  <c r="H469" i="83"/>
  <c r="O468" i="83"/>
  <c r="O467" i="83"/>
  <c r="N466" i="83"/>
  <c r="M466" i="83"/>
  <c r="L466" i="83"/>
  <c r="K466" i="83"/>
  <c r="J466" i="83"/>
  <c r="I466" i="83"/>
  <c r="H466" i="83"/>
  <c r="O465" i="83"/>
  <c r="O464" i="83"/>
  <c r="N463" i="83"/>
  <c r="M463" i="83"/>
  <c r="L463" i="83"/>
  <c r="K463" i="83"/>
  <c r="J463" i="83"/>
  <c r="I463" i="83"/>
  <c r="H463" i="83"/>
  <c r="O462" i="83"/>
  <c r="O461" i="83"/>
  <c r="O460" i="83"/>
  <c r="N460" i="83"/>
  <c r="M460" i="83"/>
  <c r="L460" i="83"/>
  <c r="K460" i="83"/>
  <c r="J460" i="83"/>
  <c r="N457" i="83"/>
  <c r="M457" i="83"/>
  <c r="L457" i="83"/>
  <c r="K457" i="83"/>
  <c r="J457" i="83"/>
  <c r="O456" i="83"/>
  <c r="O455" i="83"/>
  <c r="O457" i="83" s="1"/>
  <c r="N454" i="83"/>
  <c r="M454" i="83"/>
  <c r="L454" i="83"/>
  <c r="K454" i="83"/>
  <c r="J454" i="83"/>
  <c r="O453" i="83"/>
  <c r="O452" i="83"/>
  <c r="O454" i="83" s="1"/>
  <c r="N451" i="83"/>
  <c r="M451" i="83"/>
  <c r="L451" i="83"/>
  <c r="K451" i="83"/>
  <c r="J451" i="83"/>
  <c r="O450" i="83"/>
  <c r="O449" i="83"/>
  <c r="O451" i="83" s="1"/>
  <c r="N448" i="83"/>
  <c r="M448" i="83"/>
  <c r="L448" i="83"/>
  <c r="K448" i="83"/>
  <c r="J448" i="83"/>
  <c r="O447" i="83"/>
  <c r="O446" i="83"/>
  <c r="O448" i="83" s="1"/>
  <c r="N445" i="83"/>
  <c r="M445" i="83"/>
  <c r="L445" i="83"/>
  <c r="K445" i="83"/>
  <c r="J445" i="83"/>
  <c r="O444" i="83"/>
  <c r="O443" i="83"/>
  <c r="N442" i="83"/>
  <c r="M442" i="83"/>
  <c r="K442" i="83"/>
  <c r="O441" i="83"/>
  <c r="O440" i="83"/>
  <c r="L440" i="83"/>
  <c r="L442" i="83" s="1"/>
  <c r="K440" i="83"/>
  <c r="J440" i="83"/>
  <c r="J442" i="83" s="1"/>
  <c r="N439" i="83"/>
  <c r="K439" i="83"/>
  <c r="O438" i="83"/>
  <c r="O439" i="83" s="1"/>
  <c r="O437" i="83"/>
  <c r="M437" i="83"/>
  <c r="M439" i="83" s="1"/>
  <c r="L437" i="83"/>
  <c r="L439" i="83" s="1"/>
  <c r="K437" i="83"/>
  <c r="J437" i="83"/>
  <c r="J439" i="83" s="1"/>
  <c r="N436" i="83"/>
  <c r="O435" i="83"/>
  <c r="O434" i="83"/>
  <c r="O436" i="83" s="1"/>
  <c r="M434" i="83"/>
  <c r="M436" i="83" s="1"/>
  <c r="L434" i="83"/>
  <c r="L436" i="83" s="1"/>
  <c r="K434" i="83"/>
  <c r="K436" i="83" s="1"/>
  <c r="J434" i="83"/>
  <c r="J436" i="83" s="1"/>
  <c r="N433" i="83"/>
  <c r="O432" i="83"/>
  <c r="O431" i="83"/>
  <c r="M431" i="83"/>
  <c r="M433" i="83" s="1"/>
  <c r="L431" i="83"/>
  <c r="L433" i="83" s="1"/>
  <c r="K431" i="83"/>
  <c r="K433" i="83" s="1"/>
  <c r="J431" i="83"/>
  <c r="J433" i="83" s="1"/>
  <c r="N430" i="83"/>
  <c r="M430" i="83"/>
  <c r="L430" i="83"/>
  <c r="K430" i="83"/>
  <c r="J430" i="83"/>
  <c r="O429" i="83"/>
  <c r="O428" i="83"/>
  <c r="O430" i="83" s="1"/>
  <c r="N427" i="83"/>
  <c r="M427" i="83"/>
  <c r="L427" i="83"/>
  <c r="K427" i="83"/>
  <c r="J427" i="83"/>
  <c r="O426" i="83"/>
  <c r="O425" i="83"/>
  <c r="N424" i="83"/>
  <c r="M424" i="83"/>
  <c r="L424" i="83"/>
  <c r="K424" i="83"/>
  <c r="J424" i="83"/>
  <c r="O423" i="83"/>
  <c r="O422" i="83"/>
  <c r="O424" i="83" s="1"/>
  <c r="N421" i="83"/>
  <c r="O420" i="83"/>
  <c r="O419" i="83"/>
  <c r="M419" i="83"/>
  <c r="M421" i="83" s="1"/>
  <c r="L419" i="83"/>
  <c r="L421" i="83" s="1"/>
  <c r="K419" i="83"/>
  <c r="K421" i="83" s="1"/>
  <c r="J419" i="83"/>
  <c r="J421" i="83" s="1"/>
  <c r="N418" i="83"/>
  <c r="M418" i="83"/>
  <c r="L418" i="83"/>
  <c r="K418" i="83"/>
  <c r="J418" i="83"/>
  <c r="O417" i="83"/>
  <c r="O416" i="83"/>
  <c r="O418" i="83" s="1"/>
  <c r="N415" i="83"/>
  <c r="M415" i="83"/>
  <c r="L415" i="83"/>
  <c r="K415" i="83"/>
  <c r="J415" i="83"/>
  <c r="O414" i="83"/>
  <c r="O413" i="83"/>
  <c r="O415" i="83" s="1"/>
  <c r="N412" i="83"/>
  <c r="M412" i="83"/>
  <c r="L412" i="83"/>
  <c r="K412" i="83"/>
  <c r="J412" i="83"/>
  <c r="O411" i="83"/>
  <c r="O410" i="83"/>
  <c r="N409" i="83"/>
  <c r="M409" i="83"/>
  <c r="L409" i="83"/>
  <c r="K409" i="83"/>
  <c r="J409" i="83"/>
  <c r="O408" i="83"/>
  <c r="O407" i="83"/>
  <c r="O409" i="83" s="1"/>
  <c r="N406" i="83"/>
  <c r="M406" i="83"/>
  <c r="L406" i="83"/>
  <c r="K406" i="83"/>
  <c r="J406" i="83"/>
  <c r="O405" i="83"/>
  <c r="O404" i="83"/>
  <c r="O406" i="83" s="1"/>
  <c r="N403" i="83"/>
  <c r="M403" i="83"/>
  <c r="L403" i="83"/>
  <c r="K403" i="83"/>
  <c r="J403" i="83"/>
  <c r="O402" i="83"/>
  <c r="O401" i="83"/>
  <c r="N400" i="83"/>
  <c r="M400" i="83"/>
  <c r="L400" i="83"/>
  <c r="K400" i="83"/>
  <c r="J400" i="83"/>
  <c r="O399" i="83"/>
  <c r="O398" i="83"/>
  <c r="O400" i="83" s="1"/>
  <c r="N397" i="83"/>
  <c r="M397" i="83"/>
  <c r="L397" i="83"/>
  <c r="K397" i="83"/>
  <c r="J397" i="83"/>
  <c r="O396" i="83"/>
  <c r="O395" i="83"/>
  <c r="O397" i="83" s="1"/>
  <c r="N394" i="83"/>
  <c r="M394" i="83"/>
  <c r="L394" i="83"/>
  <c r="K394" i="83"/>
  <c r="J394" i="83"/>
  <c r="O393" i="83"/>
  <c r="O392" i="83"/>
  <c r="O394" i="83" s="1"/>
  <c r="N391" i="83"/>
  <c r="M391" i="83"/>
  <c r="L391" i="83"/>
  <c r="K391" i="83"/>
  <c r="J391" i="83"/>
  <c r="O390" i="83"/>
  <c r="O389" i="83"/>
  <c r="O391" i="83" s="1"/>
  <c r="N388" i="83"/>
  <c r="M388" i="83"/>
  <c r="L388" i="83"/>
  <c r="K388" i="83"/>
  <c r="J388" i="83"/>
  <c r="O387" i="83"/>
  <c r="O386" i="83"/>
  <c r="N385" i="83"/>
  <c r="M385" i="83"/>
  <c r="L385" i="83"/>
  <c r="K385" i="83"/>
  <c r="J385" i="83"/>
  <c r="O384" i="83"/>
  <c r="O383" i="83"/>
  <c r="O385" i="83" s="1"/>
  <c r="N382" i="83"/>
  <c r="M382" i="83"/>
  <c r="L382" i="83"/>
  <c r="K382" i="83"/>
  <c r="J382" i="83"/>
  <c r="O381" i="83"/>
  <c r="O380" i="83"/>
  <c r="O382" i="83" s="1"/>
  <c r="N379" i="83"/>
  <c r="M379" i="83"/>
  <c r="L379" i="83"/>
  <c r="K379" i="83"/>
  <c r="J379" i="83"/>
  <c r="O378" i="83"/>
  <c r="O377" i="83"/>
  <c r="N376" i="83"/>
  <c r="M376" i="83"/>
  <c r="L376" i="83"/>
  <c r="K376" i="83"/>
  <c r="J376" i="83"/>
  <c r="O375" i="83"/>
  <c r="O374" i="83"/>
  <c r="O376" i="83" s="1"/>
  <c r="N373" i="83"/>
  <c r="M373" i="83"/>
  <c r="L373" i="83"/>
  <c r="K373" i="83"/>
  <c r="J373" i="83"/>
  <c r="O371" i="83"/>
  <c r="O373" i="83" s="1"/>
  <c r="N370" i="83"/>
  <c r="M370" i="83"/>
  <c r="L370" i="83"/>
  <c r="K370" i="83"/>
  <c r="J370" i="83"/>
  <c r="O369" i="83"/>
  <c r="O368" i="83"/>
  <c r="N367" i="83"/>
  <c r="O366" i="83"/>
  <c r="O365" i="83"/>
  <c r="M365" i="83"/>
  <c r="M367" i="83" s="1"/>
  <c r="L365" i="83"/>
  <c r="L367" i="83" s="1"/>
  <c r="K365" i="83"/>
  <c r="K367" i="83" s="1"/>
  <c r="J365" i="83"/>
  <c r="J367" i="83" s="1"/>
  <c r="N364" i="83"/>
  <c r="M364" i="83"/>
  <c r="L364" i="83"/>
  <c r="K364" i="83"/>
  <c r="J364" i="83"/>
  <c r="O363" i="83"/>
  <c r="O362" i="83"/>
  <c r="N361" i="83"/>
  <c r="M361" i="83"/>
  <c r="L361" i="83"/>
  <c r="K361" i="83"/>
  <c r="J361" i="83"/>
  <c r="O360" i="83"/>
  <c r="O359" i="83"/>
  <c r="O361" i="83" s="1"/>
  <c r="N358" i="83"/>
  <c r="M358" i="83"/>
  <c r="L358" i="83"/>
  <c r="K358" i="83"/>
  <c r="J358" i="83"/>
  <c r="O357" i="83"/>
  <c r="O356" i="83"/>
  <c r="O354" i="83"/>
  <c r="N354" i="83"/>
  <c r="N355" i="83" s="1"/>
  <c r="M354" i="83"/>
  <c r="M355" i="83" s="1"/>
  <c r="L354" i="83"/>
  <c r="L355" i="83" s="1"/>
  <c r="K354" i="83"/>
  <c r="K355" i="83" s="1"/>
  <c r="J354" i="83"/>
  <c r="J355" i="83" s="1"/>
  <c r="O353" i="83"/>
  <c r="N352" i="83"/>
  <c r="M352" i="83"/>
  <c r="L352" i="83"/>
  <c r="K352" i="83"/>
  <c r="J352" i="83"/>
  <c r="O351" i="83"/>
  <c r="O350" i="83"/>
  <c r="O352" i="83" s="1"/>
  <c r="N349" i="83"/>
  <c r="M349" i="83"/>
  <c r="L349" i="83"/>
  <c r="K349" i="83"/>
  <c r="J349" i="83"/>
  <c r="O348" i="83"/>
  <c r="O347" i="83"/>
  <c r="O349" i="83" s="1"/>
  <c r="O346" i="83"/>
  <c r="N346" i="83"/>
  <c r="M346" i="83"/>
  <c r="L346" i="83"/>
  <c r="K346" i="83"/>
  <c r="J346" i="83"/>
  <c r="O343" i="83"/>
  <c r="N343" i="83"/>
  <c r="M343" i="83"/>
  <c r="L343" i="83"/>
  <c r="K343" i="83"/>
  <c r="J343" i="83"/>
  <c r="N340" i="83"/>
  <c r="M340" i="83"/>
  <c r="L340" i="83"/>
  <c r="K340" i="83"/>
  <c r="J340" i="83"/>
  <c r="O339" i="83"/>
  <c r="O338" i="83"/>
  <c r="N337" i="83"/>
  <c r="M337" i="83"/>
  <c r="L337" i="83"/>
  <c r="K337" i="83"/>
  <c r="J337" i="83"/>
  <c r="O336" i="83"/>
  <c r="O335" i="83"/>
  <c r="N334" i="83"/>
  <c r="M334" i="83"/>
  <c r="L334" i="83"/>
  <c r="K334" i="83"/>
  <c r="J334" i="83"/>
  <c r="O333" i="83"/>
  <c r="O332" i="83"/>
  <c r="N331" i="83"/>
  <c r="M331" i="83"/>
  <c r="L331" i="83"/>
  <c r="K331" i="83"/>
  <c r="J331" i="83"/>
  <c r="O330" i="83"/>
  <c r="O329" i="83"/>
  <c r="O331" i="83" s="1"/>
  <c r="O328" i="83"/>
  <c r="N328" i="83"/>
  <c r="M328" i="83"/>
  <c r="L328" i="83"/>
  <c r="K328" i="83"/>
  <c r="J328" i="83"/>
  <c r="O325" i="83"/>
  <c r="N325" i="83"/>
  <c r="M325" i="83"/>
  <c r="L325" i="83"/>
  <c r="K325" i="83"/>
  <c r="J324" i="83"/>
  <c r="J323" i="83"/>
  <c r="J325" i="83" s="1"/>
  <c r="N322" i="83"/>
  <c r="M322" i="83"/>
  <c r="L322" i="83"/>
  <c r="K322" i="83"/>
  <c r="J322" i="83"/>
  <c r="O321" i="83"/>
  <c r="O320" i="83"/>
  <c r="N319" i="83"/>
  <c r="M319" i="83"/>
  <c r="L319" i="83"/>
  <c r="K319" i="83"/>
  <c r="J319" i="83"/>
  <c r="O318" i="83"/>
  <c r="O317" i="83"/>
  <c r="N316" i="83"/>
  <c r="M316" i="83"/>
  <c r="L316" i="83"/>
  <c r="K316" i="83"/>
  <c r="J316" i="83"/>
  <c r="O315" i="83"/>
  <c r="O314" i="83"/>
  <c r="N313" i="83"/>
  <c r="M313" i="83"/>
  <c r="L313" i="83"/>
  <c r="K313" i="83"/>
  <c r="J313" i="83"/>
  <c r="O312" i="83"/>
  <c r="O311" i="83"/>
  <c r="N310" i="83"/>
  <c r="O309" i="83"/>
  <c r="O308" i="83"/>
  <c r="M308" i="83"/>
  <c r="M310" i="83" s="1"/>
  <c r="L308" i="83"/>
  <c r="L310" i="83" s="1"/>
  <c r="K308" i="83"/>
  <c r="K310" i="83" s="1"/>
  <c r="J308" i="83"/>
  <c r="J310" i="83" s="1"/>
  <c r="O307" i="83"/>
  <c r="N307" i="83"/>
  <c r="M307" i="83"/>
  <c r="L307" i="83"/>
  <c r="K307" i="83"/>
  <c r="J307" i="83"/>
  <c r="O304" i="83"/>
  <c r="N304" i="83"/>
  <c r="M304" i="83"/>
  <c r="L304" i="83"/>
  <c r="K304" i="83"/>
  <c r="J304" i="83"/>
  <c r="N301" i="83"/>
  <c r="M301" i="83"/>
  <c r="L301" i="83"/>
  <c r="K301" i="83"/>
  <c r="J301" i="83"/>
  <c r="O299" i="83"/>
  <c r="O301" i="83" s="1"/>
  <c r="O298" i="83"/>
  <c r="N298" i="83"/>
  <c r="M298" i="83"/>
  <c r="L298" i="83"/>
  <c r="K298" i="83"/>
  <c r="J298" i="83"/>
  <c r="O296" i="83"/>
  <c r="N295" i="83"/>
  <c r="M295" i="83"/>
  <c r="L295" i="83"/>
  <c r="K295" i="83"/>
  <c r="J295" i="83"/>
  <c r="O294" i="83"/>
  <c r="O293" i="83"/>
  <c r="O295" i="83" s="1"/>
  <c r="O292" i="83"/>
  <c r="N292" i="83"/>
  <c r="L292" i="83"/>
  <c r="K292" i="83"/>
  <c r="J292" i="83"/>
  <c r="M290" i="83"/>
  <c r="M292" i="83" s="1"/>
  <c r="N289" i="83"/>
  <c r="M289" i="83"/>
  <c r="L289" i="83"/>
  <c r="K289" i="83"/>
  <c r="J289" i="83"/>
  <c r="O288" i="83"/>
  <c r="O287" i="83"/>
  <c r="O289" i="83" s="1"/>
  <c r="N286" i="83"/>
  <c r="M286" i="83"/>
  <c r="L286" i="83"/>
  <c r="K286" i="83"/>
  <c r="J286" i="83"/>
  <c r="O284" i="83"/>
  <c r="O286" i="83" s="1"/>
  <c r="N283" i="83"/>
  <c r="M283" i="83"/>
  <c r="L283" i="83"/>
  <c r="K283" i="83"/>
  <c r="J283" i="83"/>
  <c r="O281" i="83"/>
  <c r="O283" i="83" s="1"/>
  <c r="N280" i="83"/>
  <c r="M280" i="83"/>
  <c r="L280" i="83"/>
  <c r="K280" i="83"/>
  <c r="J280" i="83"/>
  <c r="O278" i="83"/>
  <c r="O280" i="83" s="1"/>
  <c r="O277" i="83"/>
  <c r="N277" i="83"/>
  <c r="M277" i="83"/>
  <c r="L277" i="83"/>
  <c r="K277" i="83"/>
  <c r="J277" i="83"/>
  <c r="N274" i="83"/>
  <c r="M274" i="83"/>
  <c r="L274" i="83"/>
  <c r="K274" i="83"/>
  <c r="J274" i="83"/>
  <c r="O273" i="83"/>
  <c r="O272" i="83"/>
  <c r="N271" i="83"/>
  <c r="M271" i="83"/>
  <c r="L271" i="83"/>
  <c r="K271" i="83"/>
  <c r="J271" i="83"/>
  <c r="O270" i="83"/>
  <c r="O269" i="83"/>
  <c r="O268" i="83"/>
  <c r="N268" i="83"/>
  <c r="M268" i="83"/>
  <c r="L267" i="83"/>
  <c r="K267" i="83"/>
  <c r="K268" i="83" s="1"/>
  <c r="J267" i="83"/>
  <c r="J268" i="83" s="1"/>
  <c r="L266" i="83"/>
  <c r="O264" i="83"/>
  <c r="N264" i="83"/>
  <c r="N265" i="83" s="1"/>
  <c r="M264" i="83"/>
  <c r="M265" i="83" s="1"/>
  <c r="L264" i="83"/>
  <c r="L265" i="83" s="1"/>
  <c r="K264" i="83"/>
  <c r="K265" i="83" s="1"/>
  <c r="J264" i="83"/>
  <c r="J265" i="83" s="1"/>
  <c r="O263" i="83"/>
  <c r="O262" i="83"/>
  <c r="N262" i="83"/>
  <c r="M262" i="83"/>
  <c r="L261" i="83"/>
  <c r="K261" i="83"/>
  <c r="K262" i="83" s="1"/>
  <c r="J261" i="83"/>
  <c r="J262" i="83" s="1"/>
  <c r="L260" i="83"/>
  <c r="O259" i="83"/>
  <c r="N259" i="83"/>
  <c r="M259" i="83"/>
  <c r="L259" i="83"/>
  <c r="K259" i="83"/>
  <c r="J259" i="83"/>
  <c r="O256" i="83"/>
  <c r="N256" i="83"/>
  <c r="M256" i="83"/>
  <c r="L256" i="83"/>
  <c r="K256" i="83"/>
  <c r="J256" i="83"/>
  <c r="N253" i="83"/>
  <c r="L253" i="83"/>
  <c r="O252" i="83"/>
  <c r="N252" i="83"/>
  <c r="M252" i="83"/>
  <c r="M253" i="83" s="1"/>
  <c r="L252" i="83"/>
  <c r="K252" i="83"/>
  <c r="K253" i="83" s="1"/>
  <c r="J252" i="83"/>
  <c r="J253" i="83" s="1"/>
  <c r="O251" i="83"/>
  <c r="O249" i="83"/>
  <c r="N249" i="83"/>
  <c r="N250" i="83" s="1"/>
  <c r="M249" i="83"/>
  <c r="M250" i="83" s="1"/>
  <c r="L249" i="83"/>
  <c r="L250" i="83" s="1"/>
  <c r="K249" i="83"/>
  <c r="K250" i="83" s="1"/>
  <c r="J249" i="83"/>
  <c r="J250" i="83" s="1"/>
  <c r="O248" i="83"/>
  <c r="N247" i="83"/>
  <c r="M247" i="83"/>
  <c r="L247" i="83"/>
  <c r="K247" i="83"/>
  <c r="J247" i="83"/>
  <c r="O246" i="83"/>
  <c r="O245" i="83"/>
  <c r="O244" i="83"/>
  <c r="N244" i="83"/>
  <c r="M244" i="83"/>
  <c r="L243" i="83"/>
  <c r="K243" i="83"/>
  <c r="K244" i="83" s="1"/>
  <c r="J243" i="83"/>
  <c r="J244" i="83" s="1"/>
  <c r="L242" i="83"/>
  <c r="N241" i="83"/>
  <c r="M241" i="83"/>
  <c r="L241" i="83"/>
  <c r="K241" i="83"/>
  <c r="J241" i="83"/>
  <c r="O240" i="83"/>
  <c r="O239" i="83"/>
  <c r="O238" i="83"/>
  <c r="N238" i="83"/>
  <c r="M238" i="83"/>
  <c r="L238" i="83"/>
  <c r="K238" i="83"/>
  <c r="J238" i="83"/>
  <c r="O235" i="83"/>
  <c r="N235" i="83"/>
  <c r="M235" i="83"/>
  <c r="L234" i="83"/>
  <c r="K234" i="83"/>
  <c r="K235" i="83" s="1"/>
  <c r="J234" i="83"/>
  <c r="J235" i="83" s="1"/>
  <c r="L233" i="83"/>
  <c r="L235" i="83" s="1"/>
  <c r="O232" i="83"/>
  <c r="N232" i="83"/>
  <c r="M232" i="83"/>
  <c r="L232" i="83"/>
  <c r="K231" i="83"/>
  <c r="K232" i="83" s="1"/>
  <c r="J231" i="83"/>
  <c r="J232" i="83" s="1"/>
  <c r="O229" i="83"/>
  <c r="N229" i="83"/>
  <c r="M229" i="83"/>
  <c r="L229" i="83"/>
  <c r="K228" i="83"/>
  <c r="K229" i="83" s="1"/>
  <c r="J228" i="83"/>
  <c r="J229" i="83" s="1"/>
  <c r="O225" i="83"/>
  <c r="N225" i="83"/>
  <c r="N226" i="83" s="1"/>
  <c r="M225" i="83"/>
  <c r="M226" i="83" s="1"/>
  <c r="L225" i="83"/>
  <c r="L226" i="83" s="1"/>
  <c r="K225" i="83"/>
  <c r="K226" i="83" s="1"/>
  <c r="J225" i="83"/>
  <c r="J226" i="83" s="1"/>
  <c r="O224" i="83"/>
  <c r="O226" i="83" s="1"/>
  <c r="O223" i="83"/>
  <c r="N223" i="83"/>
  <c r="M223" i="83"/>
  <c r="L223" i="83"/>
  <c r="K222" i="83"/>
  <c r="J222" i="83"/>
  <c r="J223" i="83" s="1"/>
  <c r="K221" i="83"/>
  <c r="O220" i="83"/>
  <c r="N220" i="83"/>
  <c r="M220" i="83"/>
  <c r="L220" i="83"/>
  <c r="K219" i="83"/>
  <c r="J219" i="83"/>
  <c r="J220" i="83" s="1"/>
  <c r="K218" i="83"/>
  <c r="N217" i="83"/>
  <c r="M217" i="83"/>
  <c r="L217" i="83"/>
  <c r="K217" i="83"/>
  <c r="J217" i="83"/>
  <c r="O216" i="83"/>
  <c r="O215" i="83"/>
  <c r="O217" i="83" s="1"/>
  <c r="N214" i="83"/>
  <c r="O213" i="83"/>
  <c r="N213" i="83"/>
  <c r="M213" i="83"/>
  <c r="M214" i="83" s="1"/>
  <c r="L213" i="83"/>
  <c r="L214" i="83" s="1"/>
  <c r="K213" i="83"/>
  <c r="K214" i="83" s="1"/>
  <c r="J213" i="83"/>
  <c r="J214" i="83" s="1"/>
  <c r="O212" i="83"/>
  <c r="O214" i="83" s="1"/>
  <c r="N211" i="83"/>
  <c r="O210" i="83"/>
  <c r="N210" i="83"/>
  <c r="M210" i="83"/>
  <c r="M211" i="83" s="1"/>
  <c r="L210" i="83"/>
  <c r="L211" i="83" s="1"/>
  <c r="K210" i="83"/>
  <c r="K211" i="83" s="1"/>
  <c r="J210" i="83"/>
  <c r="J211" i="83" s="1"/>
  <c r="O209" i="83"/>
  <c r="O207" i="83"/>
  <c r="N207" i="83"/>
  <c r="N208" i="83" s="1"/>
  <c r="M207" i="83"/>
  <c r="M208" i="83" s="1"/>
  <c r="L207" i="83"/>
  <c r="L208" i="83" s="1"/>
  <c r="K207" i="83"/>
  <c r="K208" i="83" s="1"/>
  <c r="J207" i="83"/>
  <c r="J208" i="83" s="1"/>
  <c r="O206" i="83"/>
  <c r="O204" i="83"/>
  <c r="N204" i="83"/>
  <c r="N205" i="83" s="1"/>
  <c r="M204" i="83"/>
  <c r="M205" i="83" s="1"/>
  <c r="L204" i="83"/>
  <c r="L205" i="83" s="1"/>
  <c r="K204" i="83"/>
  <c r="K205" i="83" s="1"/>
  <c r="J204" i="83"/>
  <c r="J205" i="83" s="1"/>
  <c r="O203" i="83"/>
  <c r="O201" i="83"/>
  <c r="N201" i="83"/>
  <c r="N202" i="83" s="1"/>
  <c r="M201" i="83"/>
  <c r="M202" i="83" s="1"/>
  <c r="L201" i="83"/>
  <c r="L202" i="83" s="1"/>
  <c r="K201" i="83"/>
  <c r="K202" i="83" s="1"/>
  <c r="J201" i="83"/>
  <c r="J202" i="83" s="1"/>
  <c r="O200" i="83"/>
  <c r="O198" i="83"/>
  <c r="N198" i="83"/>
  <c r="N199" i="83" s="1"/>
  <c r="M198" i="83"/>
  <c r="M199" i="83" s="1"/>
  <c r="L198" i="83"/>
  <c r="L199" i="83" s="1"/>
  <c r="K198" i="83"/>
  <c r="K199" i="83" s="1"/>
  <c r="J198" i="83"/>
  <c r="J199" i="83" s="1"/>
  <c r="O197" i="83"/>
  <c r="O195" i="83"/>
  <c r="N195" i="83"/>
  <c r="N196" i="83" s="1"/>
  <c r="M195" i="83"/>
  <c r="M196" i="83" s="1"/>
  <c r="L195" i="83"/>
  <c r="L196" i="83" s="1"/>
  <c r="K195" i="83"/>
  <c r="K196" i="83" s="1"/>
  <c r="J195" i="83"/>
  <c r="J196" i="83" s="1"/>
  <c r="O194" i="83"/>
  <c r="J193" i="83"/>
  <c r="O192" i="83"/>
  <c r="N192" i="83"/>
  <c r="N193" i="83" s="1"/>
  <c r="M192" i="83"/>
  <c r="M193" i="83" s="1"/>
  <c r="L192" i="83"/>
  <c r="L193" i="83" s="1"/>
  <c r="K192" i="83"/>
  <c r="K193" i="83" s="1"/>
  <c r="J192" i="83"/>
  <c r="O191" i="83"/>
  <c r="O190" i="83"/>
  <c r="N190" i="83"/>
  <c r="M190" i="83"/>
  <c r="L190" i="83"/>
  <c r="K190" i="83"/>
  <c r="J189" i="83"/>
  <c r="J188" i="83"/>
  <c r="O187" i="83"/>
  <c r="N187" i="83"/>
  <c r="M187" i="83"/>
  <c r="L187" i="83"/>
  <c r="K187" i="83"/>
  <c r="J186" i="83"/>
  <c r="J185" i="83"/>
  <c r="J187" i="83" s="1"/>
  <c r="O184" i="83"/>
  <c r="N184" i="83"/>
  <c r="M184" i="83"/>
  <c r="L184" i="83"/>
  <c r="K184" i="83"/>
  <c r="J183" i="83"/>
  <c r="J182" i="83"/>
  <c r="O180" i="83"/>
  <c r="N180" i="83"/>
  <c r="N181" i="83" s="1"/>
  <c r="M180" i="83"/>
  <c r="L180" i="83"/>
  <c r="K180" i="83"/>
  <c r="J180" i="83"/>
  <c r="O179" i="83"/>
  <c r="M179" i="83"/>
  <c r="L179" i="83"/>
  <c r="K179" i="83"/>
  <c r="J179" i="83"/>
  <c r="O177" i="83"/>
  <c r="N177" i="83"/>
  <c r="N178" i="83" s="1"/>
  <c r="M177" i="83"/>
  <c r="L177" i="83"/>
  <c r="K177" i="83"/>
  <c r="J177" i="83"/>
  <c r="O176" i="83"/>
  <c r="M176" i="83"/>
  <c r="L176" i="83"/>
  <c r="K176" i="83"/>
  <c r="J176" i="83"/>
  <c r="O174" i="83"/>
  <c r="O175" i="83" s="1"/>
  <c r="N174" i="83"/>
  <c r="N175" i="83" s="1"/>
  <c r="M174" i="83"/>
  <c r="M175" i="83" s="1"/>
  <c r="L174" i="83"/>
  <c r="L175" i="83" s="1"/>
  <c r="K174" i="83"/>
  <c r="K175" i="83" s="1"/>
  <c r="J174" i="83"/>
  <c r="J175" i="83" s="1"/>
  <c r="O173" i="83"/>
  <c r="M172" i="83"/>
  <c r="O171" i="83"/>
  <c r="N171" i="83"/>
  <c r="N172" i="83" s="1"/>
  <c r="M171" i="83"/>
  <c r="L171" i="83"/>
  <c r="L172" i="83" s="1"/>
  <c r="K171" i="83"/>
  <c r="K172" i="83" s="1"/>
  <c r="J171" i="83"/>
  <c r="J172" i="83" s="1"/>
  <c r="O170" i="83"/>
  <c r="M169" i="83"/>
  <c r="O168" i="83"/>
  <c r="N168" i="83"/>
  <c r="N169" i="83" s="1"/>
  <c r="M168" i="83"/>
  <c r="L168" i="83"/>
  <c r="L169" i="83" s="1"/>
  <c r="K168" i="83"/>
  <c r="K169" i="83" s="1"/>
  <c r="J168" i="83"/>
  <c r="J169" i="83" s="1"/>
  <c r="O167" i="83"/>
  <c r="O166" i="83"/>
  <c r="N166" i="83"/>
  <c r="M166" i="83"/>
  <c r="L166" i="83"/>
  <c r="K166" i="83"/>
  <c r="J166" i="83"/>
  <c r="O163" i="83"/>
  <c r="N163" i="83"/>
  <c r="M162" i="83"/>
  <c r="M163" i="83" s="1"/>
  <c r="L162" i="83"/>
  <c r="L163" i="83" s="1"/>
  <c r="K162" i="83"/>
  <c r="K163" i="83" s="1"/>
  <c r="J162" i="83"/>
  <c r="J163" i="83" s="1"/>
  <c r="O159" i="83"/>
  <c r="N159" i="83"/>
  <c r="N160" i="83" s="1"/>
  <c r="M159" i="83"/>
  <c r="M160" i="83" s="1"/>
  <c r="L159" i="83"/>
  <c r="L160" i="83" s="1"/>
  <c r="K159" i="83"/>
  <c r="K160" i="83" s="1"/>
  <c r="J159" i="83"/>
  <c r="J160" i="83" s="1"/>
  <c r="O158" i="83"/>
  <c r="O157" i="83"/>
  <c r="N157" i="83"/>
  <c r="M156" i="83"/>
  <c r="L156" i="83"/>
  <c r="L157" i="83" s="1"/>
  <c r="K156" i="83"/>
  <c r="K157" i="83" s="1"/>
  <c r="J156" i="83"/>
  <c r="J157" i="83" s="1"/>
  <c r="M155" i="83"/>
  <c r="O153" i="83"/>
  <c r="N153" i="83"/>
  <c r="N154" i="83" s="1"/>
  <c r="M153" i="83"/>
  <c r="L153" i="83"/>
  <c r="K153" i="83"/>
  <c r="J153" i="83"/>
  <c r="O152" i="83"/>
  <c r="M152" i="83"/>
  <c r="L152" i="83"/>
  <c r="K152" i="83"/>
  <c r="J152" i="83"/>
  <c r="O151" i="83"/>
  <c r="N151" i="83"/>
  <c r="M150" i="83"/>
  <c r="L150" i="83"/>
  <c r="K150" i="83"/>
  <c r="J150" i="83"/>
  <c r="M149" i="83"/>
  <c r="L149" i="83"/>
  <c r="K149" i="83"/>
  <c r="K151" i="83" s="1"/>
  <c r="J149" i="83"/>
  <c r="O147" i="83"/>
  <c r="N147" i="83"/>
  <c r="N148" i="83" s="1"/>
  <c r="M147" i="83"/>
  <c r="L147" i="83"/>
  <c r="K147" i="83"/>
  <c r="J147" i="83"/>
  <c r="O146" i="83"/>
  <c r="M146" i="83"/>
  <c r="L146" i="83"/>
  <c r="K146" i="83"/>
  <c r="K148" i="83" s="1"/>
  <c r="J146" i="83"/>
  <c r="O145" i="83"/>
  <c r="N145" i="83"/>
  <c r="M144" i="83"/>
  <c r="M145" i="83" s="1"/>
  <c r="L144" i="83"/>
  <c r="L145" i="83" s="1"/>
  <c r="K144" i="83"/>
  <c r="K145" i="83" s="1"/>
  <c r="J144" i="83"/>
  <c r="J145" i="83" s="1"/>
  <c r="O141" i="83"/>
  <c r="N141" i="83"/>
  <c r="N142" i="83" s="1"/>
  <c r="M141" i="83"/>
  <c r="M142" i="83" s="1"/>
  <c r="L141" i="83"/>
  <c r="L142" i="83" s="1"/>
  <c r="K141" i="83"/>
  <c r="K142" i="83" s="1"/>
  <c r="J141" i="83"/>
  <c r="J142" i="83" s="1"/>
  <c r="O140" i="83"/>
  <c r="O139" i="83"/>
  <c r="N139" i="83"/>
  <c r="M139" i="83"/>
  <c r="L138" i="83"/>
  <c r="L139" i="83" s="1"/>
  <c r="K138" i="83"/>
  <c r="K139" i="83" s="1"/>
  <c r="J138" i="83"/>
  <c r="J139" i="83" s="1"/>
  <c r="O136" i="83"/>
  <c r="N136" i="83"/>
  <c r="M136" i="83"/>
  <c r="L136" i="83"/>
  <c r="K136" i="83"/>
  <c r="J136" i="83"/>
  <c r="O132" i="83"/>
  <c r="N132" i="83"/>
  <c r="N133" i="83" s="1"/>
  <c r="M132" i="83"/>
  <c r="M133" i="83" s="1"/>
  <c r="L132" i="83"/>
  <c r="L133" i="83" s="1"/>
  <c r="K132" i="83"/>
  <c r="K133" i="83" s="1"/>
  <c r="J132" i="83"/>
  <c r="J133" i="83" s="1"/>
  <c r="O131" i="83"/>
  <c r="O133" i="83" s="1"/>
  <c r="O129" i="83"/>
  <c r="N129" i="83"/>
  <c r="N130" i="83" s="1"/>
  <c r="M129" i="83"/>
  <c r="M130" i="83" s="1"/>
  <c r="L129" i="83"/>
  <c r="L130" i="83" s="1"/>
  <c r="K129" i="83"/>
  <c r="K130" i="83" s="1"/>
  <c r="J129" i="83"/>
  <c r="J130" i="83" s="1"/>
  <c r="O128" i="83"/>
  <c r="J127" i="83"/>
  <c r="O126" i="83"/>
  <c r="N126" i="83"/>
  <c r="N127" i="83" s="1"/>
  <c r="M126" i="83"/>
  <c r="M127" i="83" s="1"/>
  <c r="L126" i="83"/>
  <c r="L127" i="83" s="1"/>
  <c r="K126" i="83"/>
  <c r="K127" i="83" s="1"/>
  <c r="J126" i="83"/>
  <c r="O125" i="83"/>
  <c r="O127" i="83" s="1"/>
  <c r="O124" i="83"/>
  <c r="N124" i="83"/>
  <c r="M124" i="83"/>
  <c r="L123" i="83"/>
  <c r="L124" i="83" s="1"/>
  <c r="K123" i="83"/>
  <c r="K124" i="83" s="1"/>
  <c r="J123" i="83"/>
  <c r="J124" i="83" s="1"/>
  <c r="O121" i="83"/>
  <c r="N121" i="83"/>
  <c r="M120" i="83"/>
  <c r="M121" i="83" s="1"/>
  <c r="L120" i="83"/>
  <c r="L121" i="83" s="1"/>
  <c r="K120" i="83"/>
  <c r="K121" i="83" s="1"/>
  <c r="J120" i="83"/>
  <c r="J121" i="83" s="1"/>
  <c r="O117" i="83"/>
  <c r="N117" i="83"/>
  <c r="N118" i="83" s="1"/>
  <c r="M117" i="83"/>
  <c r="M118" i="83" s="1"/>
  <c r="L117" i="83"/>
  <c r="L118" i="83" s="1"/>
  <c r="K117" i="83"/>
  <c r="K118" i="83" s="1"/>
  <c r="J117" i="83"/>
  <c r="J118" i="83" s="1"/>
  <c r="O116" i="83"/>
  <c r="O115" i="83"/>
  <c r="N115" i="83"/>
  <c r="M115" i="83"/>
  <c r="L115" i="83"/>
  <c r="K114" i="83"/>
  <c r="J114" i="83"/>
  <c r="J115" i="83" s="1"/>
  <c r="K113" i="83"/>
  <c r="O112" i="83"/>
  <c r="N112" i="83"/>
  <c r="M112" i="83"/>
  <c r="L112" i="83"/>
  <c r="K112" i="83"/>
  <c r="J111" i="83"/>
  <c r="J112" i="83" s="1"/>
  <c r="O109" i="83"/>
  <c r="N109" i="83"/>
  <c r="M109" i="83"/>
  <c r="L109" i="83"/>
  <c r="K109" i="83"/>
  <c r="J108" i="83"/>
  <c r="J109" i="83" s="1"/>
  <c r="O106" i="83"/>
  <c r="N106" i="83"/>
  <c r="M106" i="83"/>
  <c r="L106" i="83"/>
  <c r="K106" i="83"/>
  <c r="J105" i="83"/>
  <c r="J106" i="83" s="1"/>
  <c r="M103" i="83"/>
  <c r="O102" i="83"/>
  <c r="N102" i="83"/>
  <c r="N103" i="83" s="1"/>
  <c r="M102" i="83"/>
  <c r="L102" i="83"/>
  <c r="L103" i="83" s="1"/>
  <c r="K102" i="83"/>
  <c r="K103" i="83" s="1"/>
  <c r="J102" i="83"/>
  <c r="J103" i="83" s="1"/>
  <c r="O101" i="83"/>
  <c r="O103" i="83" s="1"/>
  <c r="O99" i="83"/>
  <c r="N99" i="83"/>
  <c r="N100" i="83" s="1"/>
  <c r="M99" i="83"/>
  <c r="M100" i="83" s="1"/>
  <c r="L99" i="83"/>
  <c r="L100" i="83" s="1"/>
  <c r="K99" i="83"/>
  <c r="K100" i="83" s="1"/>
  <c r="J99" i="83"/>
  <c r="J100" i="83" s="1"/>
  <c r="O98" i="83"/>
  <c r="M97" i="83"/>
  <c r="O96" i="83"/>
  <c r="N96" i="83"/>
  <c r="N97" i="83" s="1"/>
  <c r="M96" i="83"/>
  <c r="L96" i="83"/>
  <c r="L97" i="83" s="1"/>
  <c r="K96" i="83"/>
  <c r="K97" i="83" s="1"/>
  <c r="J96" i="83"/>
  <c r="J97" i="83" s="1"/>
  <c r="O95" i="83"/>
  <c r="O93" i="83"/>
  <c r="N93" i="83"/>
  <c r="N94" i="83" s="1"/>
  <c r="M93" i="83"/>
  <c r="M94" i="83" s="1"/>
  <c r="L93" i="83"/>
  <c r="L94" i="83" s="1"/>
  <c r="K93" i="83"/>
  <c r="K94" i="83" s="1"/>
  <c r="J93" i="83"/>
  <c r="J94" i="83" s="1"/>
  <c r="O92" i="83"/>
  <c r="O91" i="83"/>
  <c r="N91" i="83"/>
  <c r="M90" i="83"/>
  <c r="M91" i="83" s="1"/>
  <c r="L90" i="83"/>
  <c r="L91" i="83" s="1"/>
  <c r="K90" i="83"/>
  <c r="K91" i="83" s="1"/>
  <c r="J90" i="83"/>
  <c r="J91" i="83" s="1"/>
  <c r="O87" i="83"/>
  <c r="O88" i="83" s="1"/>
  <c r="N87" i="83"/>
  <c r="N88" i="83" s="1"/>
  <c r="M87" i="83"/>
  <c r="M88" i="83" s="1"/>
  <c r="L87" i="83"/>
  <c r="L88" i="83" s="1"/>
  <c r="K87" i="83"/>
  <c r="K88" i="83" s="1"/>
  <c r="J87" i="83"/>
  <c r="J88" i="83" s="1"/>
  <c r="O86" i="83"/>
  <c r="O85" i="83"/>
  <c r="N85" i="83"/>
  <c r="M85" i="83"/>
  <c r="L85" i="83"/>
  <c r="K85" i="83"/>
  <c r="J85" i="83"/>
  <c r="O82" i="83"/>
  <c r="N82" i="83"/>
  <c r="M82" i="83"/>
  <c r="L82" i="83"/>
  <c r="K82" i="83"/>
  <c r="J82" i="83"/>
  <c r="O79" i="83"/>
  <c r="N79" i="83"/>
  <c r="M79" i="83"/>
  <c r="L79" i="83"/>
  <c r="K79" i="83"/>
  <c r="J79" i="83"/>
  <c r="O75" i="83"/>
  <c r="N75" i="83"/>
  <c r="N76" i="83" s="1"/>
  <c r="M75" i="83"/>
  <c r="M76" i="83" s="1"/>
  <c r="L75" i="83"/>
  <c r="L76" i="83" s="1"/>
  <c r="K75" i="83"/>
  <c r="K76" i="83" s="1"/>
  <c r="J75" i="83"/>
  <c r="J76" i="83" s="1"/>
  <c r="O74" i="83"/>
  <c r="O73" i="83"/>
  <c r="N73" i="83"/>
  <c r="M73" i="83"/>
  <c r="K73" i="83"/>
  <c r="M72" i="83"/>
  <c r="L72" i="83"/>
  <c r="L73" i="83" s="1"/>
  <c r="K72" i="83"/>
  <c r="J72" i="83"/>
  <c r="J73" i="83" s="1"/>
  <c r="O70" i="83"/>
  <c r="N70" i="83"/>
  <c r="M70" i="83"/>
  <c r="L70" i="83"/>
  <c r="K70" i="83"/>
  <c r="J70" i="83"/>
  <c r="O66" i="83"/>
  <c r="N66" i="83"/>
  <c r="N67" i="83" s="1"/>
  <c r="M66" i="83"/>
  <c r="M67" i="83" s="1"/>
  <c r="L66" i="83"/>
  <c r="L67" i="83" s="1"/>
  <c r="K66" i="83"/>
  <c r="K67" i="83" s="1"/>
  <c r="J66" i="83"/>
  <c r="J67" i="83" s="1"/>
  <c r="O65" i="83"/>
  <c r="O64" i="83"/>
  <c r="N64" i="83"/>
  <c r="M63" i="83"/>
  <c r="M64" i="83" s="1"/>
  <c r="L63" i="83"/>
  <c r="L64" i="83" s="1"/>
  <c r="K63" i="83"/>
  <c r="K64" i="83" s="1"/>
  <c r="J63" i="83"/>
  <c r="J64" i="83" s="1"/>
  <c r="O61" i="83"/>
  <c r="N61" i="83"/>
  <c r="M60" i="83"/>
  <c r="M61" i="83" s="1"/>
  <c r="L60" i="83"/>
  <c r="L61" i="83" s="1"/>
  <c r="K60" i="83"/>
  <c r="K61" i="83" s="1"/>
  <c r="J60" i="83"/>
  <c r="J61" i="83" s="1"/>
  <c r="O58" i="83"/>
  <c r="N58" i="83"/>
  <c r="M58" i="83"/>
  <c r="L57" i="83"/>
  <c r="L58" i="83" s="1"/>
  <c r="K57" i="83"/>
  <c r="K58" i="83" s="1"/>
  <c r="J57" i="83"/>
  <c r="J58" i="83" s="1"/>
  <c r="O55" i="83"/>
  <c r="N55" i="83"/>
  <c r="M55" i="83"/>
  <c r="L55" i="83"/>
  <c r="K54" i="83"/>
  <c r="K55" i="83" s="1"/>
  <c r="J54" i="83"/>
  <c r="J55" i="83" s="1"/>
  <c r="N52" i="83"/>
  <c r="O51" i="83"/>
  <c r="N51" i="83"/>
  <c r="M51" i="83"/>
  <c r="M52" i="83" s="1"/>
  <c r="L51" i="83"/>
  <c r="L52" i="83" s="1"/>
  <c r="K51" i="83"/>
  <c r="K52" i="83" s="1"/>
  <c r="J51" i="83"/>
  <c r="J52" i="83" s="1"/>
  <c r="O50" i="83"/>
  <c r="O49" i="83"/>
  <c r="N49" i="83"/>
  <c r="M49" i="83"/>
  <c r="J49" i="83"/>
  <c r="L48" i="83"/>
  <c r="L49" i="83" s="1"/>
  <c r="K48" i="83"/>
  <c r="J48" i="83"/>
  <c r="K47" i="83"/>
  <c r="O45" i="83"/>
  <c r="N45" i="83"/>
  <c r="N46" i="83" s="1"/>
  <c r="M45" i="83"/>
  <c r="M46" i="83" s="1"/>
  <c r="L45" i="83"/>
  <c r="L46" i="83" s="1"/>
  <c r="K45" i="83"/>
  <c r="K46" i="83" s="1"/>
  <c r="J45" i="83"/>
  <c r="J46" i="83" s="1"/>
  <c r="O44" i="83"/>
  <c r="O43" i="83"/>
  <c r="N43" i="83"/>
  <c r="M43" i="83"/>
  <c r="L42" i="83"/>
  <c r="L43" i="83" s="1"/>
  <c r="K42" i="83"/>
  <c r="J42" i="83"/>
  <c r="J43" i="83" s="1"/>
  <c r="K41" i="83"/>
  <c r="J41" i="83"/>
  <c r="O39" i="83"/>
  <c r="N39" i="83"/>
  <c r="N40" i="83" s="1"/>
  <c r="M39" i="83"/>
  <c r="M40" i="83" s="1"/>
  <c r="L39" i="83"/>
  <c r="L40" i="83" s="1"/>
  <c r="K39" i="83"/>
  <c r="K40" i="83" s="1"/>
  <c r="J39" i="83"/>
  <c r="J40" i="83" s="1"/>
  <c r="O38" i="83"/>
  <c r="O36" i="83"/>
  <c r="N36" i="83"/>
  <c r="N37" i="83" s="1"/>
  <c r="M36" i="83"/>
  <c r="M37" i="83" s="1"/>
  <c r="L36" i="83"/>
  <c r="L37" i="83" s="1"/>
  <c r="K36" i="83"/>
  <c r="K37" i="83" s="1"/>
  <c r="J36" i="83"/>
  <c r="J37" i="83" s="1"/>
  <c r="O35" i="83"/>
  <c r="O472" i="83" l="1"/>
  <c r="O181" i="83"/>
  <c r="O118" i="83"/>
  <c r="K49" i="83"/>
  <c r="L154" i="83"/>
  <c r="K43" i="83"/>
  <c r="O160" i="83"/>
  <c r="K181" i="83"/>
  <c r="K223" i="83"/>
  <c r="O313" i="83"/>
  <c r="O334" i="83"/>
  <c r="O358" i="83"/>
  <c r="O379" i="83"/>
  <c r="O403" i="83"/>
  <c r="O427" i="83"/>
  <c r="O433" i="83"/>
  <c r="J178" i="83"/>
  <c r="O76" i="83"/>
  <c r="K115" i="83"/>
  <c r="L151" i="83"/>
  <c r="K178" i="83"/>
  <c r="O247" i="83"/>
  <c r="O388" i="83"/>
  <c r="O412" i="83"/>
  <c r="O445" i="83"/>
  <c r="O148" i="83"/>
  <c r="O172" i="83"/>
  <c r="O40" i="83"/>
  <c r="M151" i="83"/>
  <c r="L178" i="83"/>
  <c r="O199" i="83"/>
  <c r="L244" i="83"/>
  <c r="O271" i="83"/>
  <c r="O319" i="83"/>
  <c r="O340" i="83"/>
  <c r="O484" i="83"/>
  <c r="M154" i="83"/>
  <c r="M157" i="83"/>
  <c r="J181" i="83"/>
  <c r="M181" i="83"/>
  <c r="O205" i="83"/>
  <c r="O250" i="83"/>
  <c r="O316" i="83"/>
  <c r="O355" i="83"/>
  <c r="O421" i="83"/>
  <c r="O46" i="83"/>
  <c r="O52" i="83"/>
  <c r="O142" i="83"/>
  <c r="O154" i="83"/>
  <c r="O178" i="83"/>
  <c r="O196" i="83"/>
  <c r="O202" i="83"/>
  <c r="L148" i="83"/>
  <c r="L181" i="83"/>
  <c r="O478" i="83"/>
  <c r="J184" i="83"/>
  <c r="O442" i="83"/>
  <c r="O97" i="83"/>
  <c r="O100" i="83"/>
  <c r="O274" i="83"/>
  <c r="O310" i="83"/>
  <c r="O322" i="83"/>
  <c r="O466" i="83"/>
  <c r="O37" i="83"/>
  <c r="O94" i="83"/>
  <c r="O130" i="83"/>
  <c r="J154" i="83"/>
  <c r="O193" i="83"/>
  <c r="O208" i="83"/>
  <c r="O253" i="83"/>
  <c r="O469" i="83"/>
  <c r="J148" i="83"/>
  <c r="M148" i="83"/>
  <c r="K154" i="83"/>
  <c r="J190" i="83"/>
  <c r="O241" i="83"/>
  <c r="O337" i="83"/>
  <c r="O364" i="83"/>
  <c r="O370" i="83"/>
  <c r="O475" i="83"/>
  <c r="O211" i="83"/>
  <c r="O67" i="83"/>
  <c r="O169" i="83"/>
  <c r="O265" i="83"/>
  <c r="O367" i="83"/>
  <c r="O481" i="83"/>
  <c r="M178" i="83"/>
  <c r="O463" i="83"/>
  <c r="J151" i="83"/>
  <c r="K220" i="83"/>
  <c r="L262" i="83"/>
  <c r="L268" i="83"/>
  <c r="O543" i="83"/>
  <c r="O542" i="83"/>
  <c r="O540" i="83"/>
  <c r="O539" i="83"/>
  <c r="O537" i="83"/>
  <c r="O536" i="83"/>
  <c r="O534" i="83"/>
  <c r="O533" i="83"/>
  <c r="O531" i="83"/>
  <c r="O530" i="83"/>
  <c r="O528" i="83"/>
  <c r="O527" i="83"/>
  <c r="O525" i="83"/>
  <c r="O524" i="83"/>
  <c r="O522" i="83"/>
  <c r="O521" i="83"/>
  <c r="O519" i="83"/>
  <c r="O518" i="83"/>
  <c r="P583" i="83"/>
  <c r="N548" i="83" l="1"/>
  <c r="O544" i="83"/>
  <c r="N544" i="83"/>
  <c r="M544" i="83"/>
  <c r="L544" i="83"/>
  <c r="K544" i="83"/>
  <c r="J544" i="83"/>
  <c r="I544" i="83"/>
  <c r="H544" i="83"/>
  <c r="P543" i="83"/>
  <c r="P542" i="83"/>
  <c r="O515" i="83"/>
  <c r="O513" i="83"/>
  <c r="O512" i="83"/>
  <c r="O510" i="83"/>
  <c r="O509" i="83"/>
  <c r="P544" i="83" l="1"/>
  <c r="O541" i="83"/>
  <c r="N541" i="83"/>
  <c r="M541" i="83"/>
  <c r="L541" i="83"/>
  <c r="K541" i="83"/>
  <c r="J541" i="83"/>
  <c r="I541" i="83"/>
  <c r="H541" i="83"/>
  <c r="P540" i="83"/>
  <c r="P539" i="83"/>
  <c r="O538" i="83"/>
  <c r="N538" i="83"/>
  <c r="M538" i="83"/>
  <c r="L538" i="83"/>
  <c r="K538" i="83"/>
  <c r="J538" i="83"/>
  <c r="I538" i="83"/>
  <c r="H538" i="83"/>
  <c r="P537" i="83"/>
  <c r="P536" i="83"/>
  <c r="O535" i="83"/>
  <c r="N535" i="83"/>
  <c r="M535" i="83"/>
  <c r="L535" i="83"/>
  <c r="K535" i="83"/>
  <c r="J535" i="83"/>
  <c r="I535" i="83"/>
  <c r="H535" i="83"/>
  <c r="P534" i="83"/>
  <c r="P533" i="83"/>
  <c r="O532" i="83"/>
  <c r="N532" i="83"/>
  <c r="M532" i="83"/>
  <c r="L532" i="83"/>
  <c r="K532" i="83"/>
  <c r="J532" i="83"/>
  <c r="I532" i="83"/>
  <c r="H532" i="83"/>
  <c r="P531" i="83"/>
  <c r="P530" i="83"/>
  <c r="O529" i="83"/>
  <c r="N529" i="83"/>
  <c r="M529" i="83"/>
  <c r="L529" i="83"/>
  <c r="K529" i="83"/>
  <c r="J529" i="83"/>
  <c r="I529" i="83"/>
  <c r="H529" i="83"/>
  <c r="P528" i="83"/>
  <c r="P527" i="83"/>
  <c r="O526" i="83"/>
  <c r="N526" i="83"/>
  <c r="M526" i="83"/>
  <c r="L526" i="83"/>
  <c r="K526" i="83"/>
  <c r="J526" i="83"/>
  <c r="I526" i="83"/>
  <c r="H526" i="83"/>
  <c r="P525" i="83"/>
  <c r="P524" i="83"/>
  <c r="O523" i="83"/>
  <c r="N523" i="83"/>
  <c r="M523" i="83"/>
  <c r="L523" i="83"/>
  <c r="K523" i="83"/>
  <c r="J523" i="83"/>
  <c r="I523" i="83"/>
  <c r="H523" i="83"/>
  <c r="P522" i="83"/>
  <c r="P521" i="83"/>
  <c r="O520" i="83"/>
  <c r="N520" i="83"/>
  <c r="M520" i="83"/>
  <c r="L520" i="83"/>
  <c r="K520" i="83"/>
  <c r="J520" i="83"/>
  <c r="I520" i="83"/>
  <c r="H520" i="83"/>
  <c r="P519" i="83"/>
  <c r="P518" i="83"/>
  <c r="O501" i="83"/>
  <c r="O500" i="83"/>
  <c r="N502" i="83"/>
  <c r="M502" i="83"/>
  <c r="L502" i="83"/>
  <c r="K502" i="83"/>
  <c r="J502" i="83"/>
  <c r="I502" i="83"/>
  <c r="H502" i="83"/>
  <c r="P500" i="83"/>
  <c r="O498" i="83"/>
  <c r="O497" i="83"/>
  <c r="O502" i="83" l="1"/>
  <c r="P532" i="83"/>
  <c r="P520" i="83"/>
  <c r="P529" i="83"/>
  <c r="P541" i="83"/>
  <c r="P526" i="83"/>
  <c r="P538" i="83"/>
  <c r="P501" i="83"/>
  <c r="P523" i="83"/>
  <c r="P535" i="83"/>
  <c r="P502" i="83"/>
  <c r="O495" i="83" l="1"/>
  <c r="O504" i="83"/>
  <c r="O503" i="83"/>
  <c r="P503" i="83" s="1"/>
  <c r="O507" i="83"/>
  <c r="O506" i="83"/>
  <c r="O494" i="83" l="1"/>
  <c r="O492" i="83"/>
  <c r="O491" i="83"/>
  <c r="O489" i="83"/>
  <c r="O488" i="83"/>
  <c r="O508" i="83"/>
  <c r="N508" i="83"/>
  <c r="M508" i="83"/>
  <c r="L508" i="83"/>
  <c r="K508" i="83"/>
  <c r="J508" i="83"/>
  <c r="I508" i="83"/>
  <c r="H508" i="83"/>
  <c r="P507" i="83"/>
  <c r="P506" i="83"/>
  <c r="O505" i="83"/>
  <c r="N505" i="83"/>
  <c r="M505" i="83"/>
  <c r="L505" i="83"/>
  <c r="K505" i="83"/>
  <c r="J505" i="83"/>
  <c r="I505" i="83"/>
  <c r="H505" i="83"/>
  <c r="P504" i="83"/>
  <c r="O499" i="83"/>
  <c r="N499" i="83"/>
  <c r="M499" i="83"/>
  <c r="L499" i="83"/>
  <c r="K499" i="83"/>
  <c r="J499" i="83"/>
  <c r="I499" i="83"/>
  <c r="H499" i="83"/>
  <c r="P498" i="83"/>
  <c r="P497" i="83"/>
  <c r="P499" i="83" l="1"/>
  <c r="P508" i="83"/>
  <c r="P505" i="83"/>
  <c r="O573" i="83"/>
  <c r="N573" i="83"/>
  <c r="O570" i="83"/>
  <c r="N570" i="83"/>
  <c r="O561" i="83"/>
  <c r="N561" i="83"/>
  <c r="O558" i="83"/>
  <c r="N558" i="83"/>
  <c r="N576" i="83" l="1"/>
  <c r="M576" i="83"/>
  <c r="N575" i="83"/>
  <c r="M575" i="83"/>
  <c r="L575" i="83"/>
  <c r="K575" i="83"/>
  <c r="J575" i="83"/>
  <c r="I575" i="83"/>
  <c r="H575" i="83"/>
  <c r="N574" i="83"/>
  <c r="M574" i="83"/>
  <c r="L573" i="83"/>
  <c r="L574" i="83" s="1"/>
  <c r="K573" i="83"/>
  <c r="K574" i="83" s="1"/>
  <c r="J573" i="83"/>
  <c r="J574" i="83" s="1"/>
  <c r="I573" i="83"/>
  <c r="I574" i="83" s="1"/>
  <c r="H573" i="83"/>
  <c r="H574" i="83" s="1"/>
  <c r="O572" i="83"/>
  <c r="P572" i="83" s="1"/>
  <c r="N571" i="83"/>
  <c r="M571" i="83"/>
  <c r="L570" i="83"/>
  <c r="L571" i="83" s="1"/>
  <c r="K570" i="83"/>
  <c r="K571" i="83" s="1"/>
  <c r="J570" i="83"/>
  <c r="J571" i="83" s="1"/>
  <c r="I570" i="83"/>
  <c r="I571" i="83" s="1"/>
  <c r="H570" i="83"/>
  <c r="O569" i="83"/>
  <c r="P569" i="83" s="1"/>
  <c r="O568" i="83"/>
  <c r="N568" i="83"/>
  <c r="M568" i="83"/>
  <c r="L568" i="83"/>
  <c r="K568" i="83"/>
  <c r="J568" i="83"/>
  <c r="I568" i="83"/>
  <c r="H567" i="83"/>
  <c r="H568" i="83" s="1"/>
  <c r="P566" i="83"/>
  <c r="N565" i="83"/>
  <c r="M565" i="83"/>
  <c r="O564" i="83"/>
  <c r="L564" i="83"/>
  <c r="L565" i="83" s="1"/>
  <c r="K564" i="83"/>
  <c r="K565" i="83" s="1"/>
  <c r="J564" i="83"/>
  <c r="J565" i="83" s="1"/>
  <c r="I564" i="83"/>
  <c r="I565" i="83" s="1"/>
  <c r="H564" i="83"/>
  <c r="H565" i="83" s="1"/>
  <c r="O563" i="83"/>
  <c r="P563" i="83" s="1"/>
  <c r="N562" i="83"/>
  <c r="M562" i="83"/>
  <c r="L561" i="83"/>
  <c r="L562" i="83" s="1"/>
  <c r="K561" i="83"/>
  <c r="K562" i="83" s="1"/>
  <c r="J561" i="83"/>
  <c r="J562" i="83" s="1"/>
  <c r="I561" i="83"/>
  <c r="I562" i="83" s="1"/>
  <c r="H561" i="83"/>
  <c r="H562" i="83" s="1"/>
  <c r="O560" i="83"/>
  <c r="O562" i="83" s="1"/>
  <c r="N559" i="83"/>
  <c r="M559" i="83"/>
  <c r="L558" i="83"/>
  <c r="L559" i="83" s="1"/>
  <c r="K558" i="83"/>
  <c r="J558" i="83"/>
  <c r="J559" i="83" s="1"/>
  <c r="I558" i="83"/>
  <c r="I559" i="83" s="1"/>
  <c r="H558" i="83"/>
  <c r="O557" i="83"/>
  <c r="P557" i="83" s="1"/>
  <c r="O556" i="83"/>
  <c r="N556" i="83"/>
  <c r="M556" i="83"/>
  <c r="L556" i="83"/>
  <c r="K556" i="83"/>
  <c r="J555" i="83"/>
  <c r="J556" i="83" s="1"/>
  <c r="I555" i="83"/>
  <c r="I556" i="83" s="1"/>
  <c r="H555" i="83"/>
  <c r="P554" i="83"/>
  <c r="O547" i="83"/>
  <c r="N547" i="83"/>
  <c r="M547" i="83"/>
  <c r="L547" i="83"/>
  <c r="K547" i="83"/>
  <c r="J547" i="83"/>
  <c r="I547" i="83"/>
  <c r="H547" i="83"/>
  <c r="P546" i="83"/>
  <c r="P545" i="83"/>
  <c r="O517" i="83"/>
  <c r="N517" i="83"/>
  <c r="M517" i="83"/>
  <c r="L517" i="83"/>
  <c r="K517" i="83"/>
  <c r="J517" i="83"/>
  <c r="I517" i="83"/>
  <c r="H517" i="83"/>
  <c r="P516" i="83"/>
  <c r="P515" i="83"/>
  <c r="O514" i="83"/>
  <c r="N514" i="83"/>
  <c r="M514" i="83"/>
  <c r="L514" i="83"/>
  <c r="K514" i="83"/>
  <c r="J514" i="83"/>
  <c r="I514" i="83"/>
  <c r="H514" i="83"/>
  <c r="P513" i="83"/>
  <c r="P512" i="83"/>
  <c r="O511" i="83"/>
  <c r="N511" i="83"/>
  <c r="M511" i="83"/>
  <c r="L511" i="83"/>
  <c r="K511" i="83"/>
  <c r="J511" i="83"/>
  <c r="I511" i="83"/>
  <c r="H511" i="83"/>
  <c r="P510" i="83"/>
  <c r="P509" i="83"/>
  <c r="O496" i="83"/>
  <c r="N496" i="83"/>
  <c r="M496" i="83"/>
  <c r="L496" i="83"/>
  <c r="K496" i="83"/>
  <c r="J496" i="83"/>
  <c r="I496" i="83"/>
  <c r="H496" i="83"/>
  <c r="P495" i="83"/>
  <c r="P494" i="83"/>
  <c r="O493" i="83"/>
  <c r="N493" i="83"/>
  <c r="M493" i="83"/>
  <c r="L493" i="83"/>
  <c r="K493" i="83"/>
  <c r="J493" i="83"/>
  <c r="I493" i="83"/>
  <c r="H493" i="83"/>
  <c r="P492" i="83"/>
  <c r="P491" i="83"/>
  <c r="O490" i="83"/>
  <c r="N490" i="83"/>
  <c r="M490" i="83"/>
  <c r="L490" i="83"/>
  <c r="K490" i="83"/>
  <c r="J490" i="83"/>
  <c r="I490" i="83"/>
  <c r="H490" i="83"/>
  <c r="P489" i="83"/>
  <c r="P488" i="83"/>
  <c r="P486" i="83"/>
  <c r="P483" i="83"/>
  <c r="P482" i="83"/>
  <c r="P480" i="83"/>
  <c r="P479" i="83"/>
  <c r="P477" i="83"/>
  <c r="P476" i="83"/>
  <c r="P474" i="83"/>
  <c r="P473" i="83"/>
  <c r="P471" i="83"/>
  <c r="P470" i="83"/>
  <c r="P468" i="83"/>
  <c r="P465" i="83"/>
  <c r="P462" i="83"/>
  <c r="P461" i="83"/>
  <c r="I460" i="83"/>
  <c r="H460" i="83"/>
  <c r="P459" i="83"/>
  <c r="P458" i="83"/>
  <c r="I457" i="83"/>
  <c r="H457" i="83"/>
  <c r="P455" i="83"/>
  <c r="I454" i="83"/>
  <c r="H454" i="83"/>
  <c r="P453" i="83"/>
  <c r="I451" i="83"/>
  <c r="H451" i="83"/>
  <c r="P450" i="83"/>
  <c r="P449" i="83"/>
  <c r="I448" i="83"/>
  <c r="H448" i="83"/>
  <c r="P447" i="83"/>
  <c r="I445" i="83"/>
  <c r="H445" i="83"/>
  <c r="P444" i="83"/>
  <c r="P441" i="83"/>
  <c r="I440" i="83"/>
  <c r="H440" i="83"/>
  <c r="H442" i="83" s="1"/>
  <c r="P438" i="83"/>
  <c r="I437" i="83"/>
  <c r="I439" i="83" s="1"/>
  <c r="H437" i="83"/>
  <c r="P435" i="83"/>
  <c r="I434" i="83"/>
  <c r="I436" i="83" s="1"/>
  <c r="H434" i="83"/>
  <c r="I431" i="83"/>
  <c r="I433" i="83" s="1"/>
  <c r="H431" i="83"/>
  <c r="I430" i="83"/>
  <c r="H430" i="83"/>
  <c r="P428" i="83"/>
  <c r="I427" i="83"/>
  <c r="H427" i="83"/>
  <c r="P426" i="83"/>
  <c r="I424" i="83"/>
  <c r="H424" i="83"/>
  <c r="P423" i="83"/>
  <c r="P420" i="83"/>
  <c r="I419" i="83"/>
  <c r="I421" i="83" s="1"/>
  <c r="H419" i="83"/>
  <c r="H421" i="83" s="1"/>
  <c r="I418" i="83"/>
  <c r="H418" i="83"/>
  <c r="P417" i="83"/>
  <c r="I415" i="83"/>
  <c r="H415" i="83"/>
  <c r="P414" i="83"/>
  <c r="P413" i="83"/>
  <c r="I412" i="83"/>
  <c r="H412" i="83"/>
  <c r="P411" i="83"/>
  <c r="I409" i="83"/>
  <c r="H409" i="83"/>
  <c r="P408" i="83"/>
  <c r="I406" i="83"/>
  <c r="H406" i="83"/>
  <c r="P405" i="83"/>
  <c r="P404" i="83"/>
  <c r="I403" i="83"/>
  <c r="H403" i="83"/>
  <c r="P402" i="83"/>
  <c r="I400" i="83"/>
  <c r="H400" i="83"/>
  <c r="P399" i="83"/>
  <c r="I397" i="83"/>
  <c r="H397" i="83"/>
  <c r="P396" i="83"/>
  <c r="I394" i="83"/>
  <c r="H394" i="83"/>
  <c r="P393" i="83"/>
  <c r="P392" i="83"/>
  <c r="I391" i="83"/>
  <c r="H391" i="83"/>
  <c r="P390" i="83"/>
  <c r="I388" i="83"/>
  <c r="H388" i="83"/>
  <c r="P387" i="83"/>
  <c r="I385" i="83"/>
  <c r="H385" i="83"/>
  <c r="P384" i="83"/>
  <c r="I382" i="83"/>
  <c r="H382" i="83"/>
  <c r="P381" i="83"/>
  <c r="P380" i="83"/>
  <c r="I379" i="83"/>
  <c r="H379" i="83"/>
  <c r="P378" i="83"/>
  <c r="I376" i="83"/>
  <c r="H376" i="83"/>
  <c r="P375" i="83"/>
  <c r="I373" i="83"/>
  <c r="H373" i="83"/>
  <c r="P372" i="83"/>
  <c r="I370" i="83"/>
  <c r="H370" i="83"/>
  <c r="P369" i="83"/>
  <c r="P368" i="83"/>
  <c r="P366" i="83"/>
  <c r="I365" i="83"/>
  <c r="I367" i="83" s="1"/>
  <c r="H365" i="83"/>
  <c r="I364" i="83"/>
  <c r="H364" i="83"/>
  <c r="P363" i="83"/>
  <c r="I361" i="83"/>
  <c r="H361" i="83"/>
  <c r="P360" i="83"/>
  <c r="I358" i="83"/>
  <c r="H358" i="83"/>
  <c r="P357" i="83"/>
  <c r="P356" i="83"/>
  <c r="I354" i="83"/>
  <c r="I355" i="83" s="1"/>
  <c r="H354" i="83"/>
  <c r="H355" i="83" s="1"/>
  <c r="I352" i="83"/>
  <c r="H352" i="83"/>
  <c r="P351" i="83"/>
  <c r="I349" i="83"/>
  <c r="H349" i="83"/>
  <c r="P348" i="83"/>
  <c r="I346" i="83"/>
  <c r="H346" i="83"/>
  <c r="P345" i="83"/>
  <c r="P344" i="83"/>
  <c r="I343" i="83"/>
  <c r="H343" i="83"/>
  <c r="P342" i="83"/>
  <c r="P341" i="83"/>
  <c r="I340" i="83"/>
  <c r="H340" i="83"/>
  <c r="P339" i="83"/>
  <c r="P338" i="83"/>
  <c r="I337" i="83"/>
  <c r="H337" i="83"/>
  <c r="P336" i="83"/>
  <c r="I334" i="83"/>
  <c r="H334" i="83"/>
  <c r="P333" i="83"/>
  <c r="I331" i="83"/>
  <c r="H331" i="83"/>
  <c r="P330" i="83"/>
  <c r="I328" i="83"/>
  <c r="H328" i="83"/>
  <c r="P327" i="83"/>
  <c r="P326" i="83"/>
  <c r="I324" i="83"/>
  <c r="I325" i="83" s="1"/>
  <c r="H324" i="83"/>
  <c r="H325" i="83" s="1"/>
  <c r="I322" i="83"/>
  <c r="H322" i="83"/>
  <c r="P321" i="83"/>
  <c r="P320" i="83"/>
  <c r="I319" i="83"/>
  <c r="H319" i="83"/>
  <c r="P318" i="83"/>
  <c r="I316" i="83"/>
  <c r="H316" i="83"/>
  <c r="P315" i="83"/>
  <c r="P312" i="83"/>
  <c r="I313" i="83"/>
  <c r="H313" i="83"/>
  <c r="P309" i="83"/>
  <c r="I308" i="83"/>
  <c r="I310" i="83" s="1"/>
  <c r="H308" i="83"/>
  <c r="H310" i="83" s="1"/>
  <c r="I307" i="83"/>
  <c r="H307" i="83"/>
  <c r="P306" i="83"/>
  <c r="P305" i="83"/>
  <c r="I304" i="83"/>
  <c r="H304" i="83"/>
  <c r="P303" i="83"/>
  <c r="P302" i="83"/>
  <c r="I301" i="83"/>
  <c r="H301" i="83"/>
  <c r="P300" i="83"/>
  <c r="I298" i="83"/>
  <c r="H298" i="83"/>
  <c r="P297" i="83"/>
  <c r="I295" i="83"/>
  <c r="H295" i="83"/>
  <c r="P294" i="83"/>
  <c r="I292" i="83"/>
  <c r="H292" i="83"/>
  <c r="P291" i="83"/>
  <c r="I289" i="83"/>
  <c r="H289" i="83"/>
  <c r="P288" i="83"/>
  <c r="P287" i="83"/>
  <c r="I286" i="83"/>
  <c r="H286" i="83"/>
  <c r="P285" i="83"/>
  <c r="I283" i="83"/>
  <c r="H283" i="83"/>
  <c r="P282" i="83"/>
  <c r="I280" i="83"/>
  <c r="H280" i="83"/>
  <c r="P279" i="83"/>
  <c r="I277" i="83"/>
  <c r="P276" i="83"/>
  <c r="H275" i="83"/>
  <c r="P275" i="83" s="1"/>
  <c r="I274" i="83"/>
  <c r="H274" i="83"/>
  <c r="P273" i="83"/>
  <c r="I271" i="83"/>
  <c r="H271" i="83"/>
  <c r="P270" i="83"/>
  <c r="P269" i="83"/>
  <c r="I267" i="83"/>
  <c r="I268" i="83" s="1"/>
  <c r="H267" i="83"/>
  <c r="H268" i="83" s="1"/>
  <c r="P266" i="83"/>
  <c r="I264" i="83"/>
  <c r="I265" i="83" s="1"/>
  <c r="H264" i="83"/>
  <c r="H265" i="83" s="1"/>
  <c r="P263" i="83"/>
  <c r="I261" i="83"/>
  <c r="I262" i="83" s="1"/>
  <c r="H261" i="83"/>
  <c r="P260" i="83"/>
  <c r="I259" i="83"/>
  <c r="H259" i="83"/>
  <c r="P258" i="83"/>
  <c r="P257" i="83"/>
  <c r="I255" i="83"/>
  <c r="I256" i="83" s="1"/>
  <c r="H255" i="83"/>
  <c r="P254" i="83"/>
  <c r="I252" i="83"/>
  <c r="I253" i="83" s="1"/>
  <c r="H252" i="83"/>
  <c r="H253" i="83" s="1"/>
  <c r="P251" i="83"/>
  <c r="I249" i="83"/>
  <c r="I250" i="83" s="1"/>
  <c r="H249" i="83"/>
  <c r="I247" i="83"/>
  <c r="I243" i="83"/>
  <c r="I244" i="83" s="1"/>
  <c r="H243" i="83"/>
  <c r="H244" i="83" s="1"/>
  <c r="P242" i="83"/>
  <c r="I241" i="83"/>
  <c r="H241" i="83"/>
  <c r="P240" i="83"/>
  <c r="P239" i="83"/>
  <c r="I237" i="83"/>
  <c r="I238" i="83" s="1"/>
  <c r="H237" i="83"/>
  <c r="P236" i="83"/>
  <c r="I234" i="83"/>
  <c r="I235" i="83" s="1"/>
  <c r="H234" i="83"/>
  <c r="I231" i="83"/>
  <c r="I232" i="83" s="1"/>
  <c r="H231" i="83"/>
  <c r="H232" i="83" s="1"/>
  <c r="P230" i="83"/>
  <c r="I228" i="83"/>
  <c r="I229" i="83" s="1"/>
  <c r="H228" i="83"/>
  <c r="H229" i="83" s="1"/>
  <c r="P227" i="83"/>
  <c r="I225" i="83"/>
  <c r="I226" i="83" s="1"/>
  <c r="H225" i="83"/>
  <c r="H226" i="83" s="1"/>
  <c r="I222" i="83"/>
  <c r="I223" i="83" s="1"/>
  <c r="H222" i="83"/>
  <c r="H223" i="83" s="1"/>
  <c r="I219" i="83"/>
  <c r="I220" i="83" s="1"/>
  <c r="H219" i="83"/>
  <c r="H220" i="83" s="1"/>
  <c r="I217" i="83"/>
  <c r="H217" i="83"/>
  <c r="I213" i="83"/>
  <c r="I214" i="83" s="1"/>
  <c r="H213" i="83"/>
  <c r="H214" i="83" s="1"/>
  <c r="I210" i="83"/>
  <c r="I211" i="83" s="1"/>
  <c r="H210" i="83"/>
  <c r="P209" i="83"/>
  <c r="I207" i="83"/>
  <c r="I208" i="83" s="1"/>
  <c r="H207" i="83"/>
  <c r="H208" i="83" s="1"/>
  <c r="I204" i="83"/>
  <c r="I205" i="83" s="1"/>
  <c r="H204" i="83"/>
  <c r="H205" i="83" s="1"/>
  <c r="P203" i="83"/>
  <c r="I201" i="83"/>
  <c r="I202" i="83" s="1"/>
  <c r="H201" i="83"/>
  <c r="H202" i="83" s="1"/>
  <c r="P200" i="83"/>
  <c r="I198" i="83"/>
  <c r="I199" i="83" s="1"/>
  <c r="H198" i="83"/>
  <c r="P197" i="83"/>
  <c r="I195" i="83"/>
  <c r="H195" i="83"/>
  <c r="H196" i="83" s="1"/>
  <c r="I192" i="83"/>
  <c r="I193" i="83" s="1"/>
  <c r="H192" i="83"/>
  <c r="I189" i="83"/>
  <c r="I190" i="83" s="1"/>
  <c r="H189" i="83"/>
  <c r="I186" i="83"/>
  <c r="I187" i="83" s="1"/>
  <c r="H186" i="83"/>
  <c r="P185" i="83"/>
  <c r="I183" i="83"/>
  <c r="H183" i="83"/>
  <c r="I182" i="83"/>
  <c r="H182" i="83"/>
  <c r="I180" i="83"/>
  <c r="H180" i="83"/>
  <c r="I179" i="83"/>
  <c r="H179" i="83"/>
  <c r="I177" i="83"/>
  <c r="H177" i="83"/>
  <c r="I176" i="83"/>
  <c r="H176" i="83"/>
  <c r="I174" i="83"/>
  <c r="I175" i="83" s="1"/>
  <c r="H174" i="83"/>
  <c r="I171" i="83"/>
  <c r="I172" i="83" s="1"/>
  <c r="H171" i="83"/>
  <c r="H172" i="83" s="1"/>
  <c r="I168" i="83"/>
  <c r="I169" i="83" s="1"/>
  <c r="H168" i="83"/>
  <c r="H169" i="83" s="1"/>
  <c r="I166" i="83"/>
  <c r="H165" i="83"/>
  <c r="H166" i="83" s="1"/>
  <c r="P164" i="83"/>
  <c r="I162" i="83"/>
  <c r="I163" i="83" s="1"/>
  <c r="H162" i="83"/>
  <c r="H163" i="83" s="1"/>
  <c r="P161" i="83"/>
  <c r="I159" i="83"/>
  <c r="I160" i="83" s="1"/>
  <c r="H159" i="83"/>
  <c r="H160" i="83" s="1"/>
  <c r="I156" i="83"/>
  <c r="I157" i="83" s="1"/>
  <c r="H156" i="83"/>
  <c r="H157" i="83" s="1"/>
  <c r="P155" i="83"/>
  <c r="I153" i="83"/>
  <c r="H153" i="83"/>
  <c r="I152" i="83"/>
  <c r="H152" i="83"/>
  <c r="I150" i="83"/>
  <c r="H150" i="83"/>
  <c r="I149" i="83"/>
  <c r="H149" i="83"/>
  <c r="I147" i="83"/>
  <c r="H147" i="83"/>
  <c r="I146" i="83"/>
  <c r="H146" i="83"/>
  <c r="I144" i="83"/>
  <c r="I145" i="83" s="1"/>
  <c r="H144" i="83"/>
  <c r="H145" i="83" s="1"/>
  <c r="P143" i="83"/>
  <c r="I141" i="83"/>
  <c r="I142" i="83" s="1"/>
  <c r="H141" i="83"/>
  <c r="H142" i="83" s="1"/>
  <c r="I138" i="83"/>
  <c r="I139" i="83" s="1"/>
  <c r="H138" i="83"/>
  <c r="H139" i="83" s="1"/>
  <c r="P137" i="83"/>
  <c r="I136" i="83"/>
  <c r="H135" i="83"/>
  <c r="P135" i="83" s="1"/>
  <c r="P134" i="83"/>
  <c r="I132" i="83"/>
  <c r="H132" i="83"/>
  <c r="H133" i="83" s="1"/>
  <c r="I129" i="83"/>
  <c r="H129" i="83"/>
  <c r="H130" i="83" s="1"/>
  <c r="I126" i="83"/>
  <c r="H126" i="83"/>
  <c r="H127" i="83" s="1"/>
  <c r="I123" i="83"/>
  <c r="I124" i="83" s="1"/>
  <c r="H123" i="83"/>
  <c r="H124" i="83" s="1"/>
  <c r="P122" i="83"/>
  <c r="I120" i="83"/>
  <c r="I121" i="83" s="1"/>
  <c r="H120" i="83"/>
  <c r="H121" i="83" s="1"/>
  <c r="P119" i="83"/>
  <c r="I117" i="83"/>
  <c r="I118" i="83" s="1"/>
  <c r="H117" i="83"/>
  <c r="I114" i="83"/>
  <c r="I115" i="83" s="1"/>
  <c r="H114" i="83"/>
  <c r="H115" i="83" s="1"/>
  <c r="I111" i="83"/>
  <c r="H111" i="83"/>
  <c r="H112" i="83" s="1"/>
  <c r="P110" i="83"/>
  <c r="I108" i="83"/>
  <c r="I109" i="83" s="1"/>
  <c r="H108" i="83"/>
  <c r="P107" i="83"/>
  <c r="I105" i="83"/>
  <c r="I106" i="83" s="1"/>
  <c r="H105" i="83"/>
  <c r="H106" i="83" s="1"/>
  <c r="P104" i="83"/>
  <c r="I102" i="83"/>
  <c r="I103" i="83" s="1"/>
  <c r="H102" i="83"/>
  <c r="H103" i="83" s="1"/>
  <c r="I99" i="83"/>
  <c r="I100" i="83" s="1"/>
  <c r="H99" i="83"/>
  <c r="H100" i="83" s="1"/>
  <c r="I96" i="83"/>
  <c r="I97" i="83" s="1"/>
  <c r="H96" i="83"/>
  <c r="H97" i="83" s="1"/>
  <c r="I93" i="83"/>
  <c r="I94" i="83" s="1"/>
  <c r="H93" i="83"/>
  <c r="H94" i="83" s="1"/>
  <c r="I90" i="83"/>
  <c r="I91" i="83" s="1"/>
  <c r="H90" i="83"/>
  <c r="H91" i="83" s="1"/>
  <c r="P89" i="83"/>
  <c r="I87" i="83"/>
  <c r="I88" i="83" s="1"/>
  <c r="H87" i="83"/>
  <c r="I84" i="83"/>
  <c r="H84" i="83"/>
  <c r="H85" i="83" s="1"/>
  <c r="P83" i="83"/>
  <c r="I81" i="83"/>
  <c r="I82" i="83" s="1"/>
  <c r="H81" i="83"/>
  <c r="H82" i="83" s="1"/>
  <c r="P80" i="83"/>
  <c r="I78" i="83"/>
  <c r="H78" i="83"/>
  <c r="H79" i="83" s="1"/>
  <c r="P77" i="83"/>
  <c r="I75" i="83"/>
  <c r="H75" i="83"/>
  <c r="H76" i="83" s="1"/>
  <c r="I72" i="83"/>
  <c r="I73" i="83" s="1"/>
  <c r="H72" i="83"/>
  <c r="H73" i="83" s="1"/>
  <c r="P71" i="83"/>
  <c r="I70" i="83"/>
  <c r="H69" i="83"/>
  <c r="H70" i="83" s="1"/>
  <c r="P68" i="83"/>
  <c r="I66" i="83"/>
  <c r="I67" i="83" s="1"/>
  <c r="H66" i="83"/>
  <c r="I63" i="83"/>
  <c r="I64" i="83" s="1"/>
  <c r="H63" i="83"/>
  <c r="P62" i="83"/>
  <c r="I60" i="83"/>
  <c r="I61" i="83" s="1"/>
  <c r="H60" i="83"/>
  <c r="H61" i="83" s="1"/>
  <c r="P59" i="83"/>
  <c r="I57" i="83"/>
  <c r="I58" i="83" s="1"/>
  <c r="H57" i="83"/>
  <c r="H58" i="83" s="1"/>
  <c r="P56" i="83"/>
  <c r="I54" i="83"/>
  <c r="I55" i="83" s="1"/>
  <c r="H54" i="83"/>
  <c r="H55" i="83" s="1"/>
  <c r="P53" i="83"/>
  <c r="I51" i="83"/>
  <c r="I52" i="83" s="1"/>
  <c r="H51" i="83"/>
  <c r="P50" i="83"/>
  <c r="I48" i="83"/>
  <c r="H48" i="83"/>
  <c r="H49" i="83" s="1"/>
  <c r="P47" i="83"/>
  <c r="I45" i="83"/>
  <c r="I46" i="83" s="1"/>
  <c r="H45" i="83"/>
  <c r="P44" i="83"/>
  <c r="I42" i="83"/>
  <c r="H42" i="83"/>
  <c r="I41" i="83"/>
  <c r="H41" i="83"/>
  <c r="I39" i="83"/>
  <c r="I40" i="83" s="1"/>
  <c r="H39" i="83"/>
  <c r="I36" i="83"/>
  <c r="I37" i="83" s="1"/>
  <c r="H36" i="83"/>
  <c r="H37" i="83" s="1"/>
  <c r="O34" i="83"/>
  <c r="N34" i="83"/>
  <c r="M34" i="83"/>
  <c r="L34" i="83"/>
  <c r="K33" i="83"/>
  <c r="J33" i="83"/>
  <c r="J34" i="83" s="1"/>
  <c r="I33" i="83"/>
  <c r="I34" i="83" s="1"/>
  <c r="H33" i="83"/>
  <c r="H34" i="83" s="1"/>
  <c r="K32" i="83"/>
  <c r="O31" i="83"/>
  <c r="N31" i="83"/>
  <c r="M31" i="83"/>
  <c r="L31" i="83"/>
  <c r="K31" i="83"/>
  <c r="J30" i="83"/>
  <c r="I30" i="83"/>
  <c r="I31" i="83" s="1"/>
  <c r="H30" i="83"/>
  <c r="H31" i="83" s="1"/>
  <c r="J29" i="83"/>
  <c r="O28" i="83"/>
  <c r="N28" i="83"/>
  <c r="M28" i="83"/>
  <c r="L28" i="83"/>
  <c r="K28" i="83"/>
  <c r="J27" i="83"/>
  <c r="J28" i="83" s="1"/>
  <c r="I27" i="83"/>
  <c r="I28" i="83" s="1"/>
  <c r="H27" i="83"/>
  <c r="H28" i="83" s="1"/>
  <c r="P26" i="83"/>
  <c r="O25" i="83"/>
  <c r="N25" i="83"/>
  <c r="M25" i="83"/>
  <c r="L25" i="83"/>
  <c r="K25" i="83"/>
  <c r="J25" i="83"/>
  <c r="I25" i="83"/>
  <c r="H25" i="83"/>
  <c r="P24" i="83"/>
  <c r="P23" i="83"/>
  <c r="O22" i="83"/>
  <c r="N22" i="83"/>
  <c r="M22" i="83"/>
  <c r="L22" i="83"/>
  <c r="K22" i="83"/>
  <c r="J22" i="83"/>
  <c r="I21" i="83"/>
  <c r="I22" i="83" s="1"/>
  <c r="H21" i="83"/>
  <c r="P20" i="83"/>
  <c r="O19" i="83"/>
  <c r="N19" i="83"/>
  <c r="M19" i="83"/>
  <c r="L19" i="83"/>
  <c r="K19" i="83"/>
  <c r="J19" i="83"/>
  <c r="I19" i="83"/>
  <c r="H19" i="83"/>
  <c r="P18" i="83"/>
  <c r="P17" i="83"/>
  <c r="O16" i="83"/>
  <c r="N16" i="83"/>
  <c r="M16" i="83"/>
  <c r="L16" i="83"/>
  <c r="K16" i="83"/>
  <c r="J15" i="83"/>
  <c r="I15" i="83"/>
  <c r="I16" i="83" s="1"/>
  <c r="H15" i="83"/>
  <c r="P14" i="83"/>
  <c r="O13" i="83"/>
  <c r="N13" i="83"/>
  <c r="M13" i="83"/>
  <c r="L13" i="83"/>
  <c r="K13" i="83"/>
  <c r="J13" i="83"/>
  <c r="I12" i="83"/>
  <c r="H12" i="83"/>
  <c r="P11" i="83"/>
  <c r="A11" i="83"/>
  <c r="A14" i="83" s="1"/>
  <c r="A17" i="83" s="1"/>
  <c r="A20" i="83" s="1"/>
  <c r="A23" i="83" s="1"/>
  <c r="A26" i="83" s="1"/>
  <c r="A29" i="83" s="1"/>
  <c r="A32" i="83" s="1"/>
  <c r="A35" i="83" s="1"/>
  <c r="A38" i="83" s="1"/>
  <c r="A41" i="83" s="1"/>
  <c r="A44" i="83" s="1"/>
  <c r="A47" i="83" s="1"/>
  <c r="A50" i="83" s="1"/>
  <c r="A53" i="83" s="1"/>
  <c r="A56" i="83" s="1"/>
  <c r="A59" i="83" s="1"/>
  <c r="A62" i="83" s="1"/>
  <c r="A65" i="83" s="1"/>
  <c r="A68" i="83" s="1"/>
  <c r="A71" i="83" s="1"/>
  <c r="A74" i="83" s="1"/>
  <c r="A77" i="83" s="1"/>
  <c r="A80" i="83" s="1"/>
  <c r="A83" i="83" s="1"/>
  <c r="A86" i="83" s="1"/>
  <c r="A89" i="83" s="1"/>
  <c r="A92" i="83" s="1"/>
  <c r="A95" i="83" s="1"/>
  <c r="A98" i="83" s="1"/>
  <c r="A101" i="83" s="1"/>
  <c r="A104" i="83" s="1"/>
  <c r="A107" i="83" s="1"/>
  <c r="A110" i="83" s="1"/>
  <c r="A113" i="83" s="1"/>
  <c r="A116" i="83" s="1"/>
  <c r="A119" i="83" s="1"/>
  <c r="A122" i="83" s="1"/>
  <c r="A125" i="83" s="1"/>
  <c r="A128" i="83" s="1"/>
  <c r="A131" i="83" s="1"/>
  <c r="A134" i="83" s="1"/>
  <c r="A137" i="83" s="1"/>
  <c r="A140" i="83" s="1"/>
  <c r="A143" i="83" s="1"/>
  <c r="A146" i="83" s="1"/>
  <c r="A149" i="83" s="1"/>
  <c r="A152" i="83" s="1"/>
  <c r="A155" i="83" s="1"/>
  <c r="A158" i="83" s="1"/>
  <c r="A161" i="83" s="1"/>
  <c r="A164" i="83" s="1"/>
  <c r="A167" i="83" s="1"/>
  <c r="A170" i="83" s="1"/>
  <c r="A173" i="83" s="1"/>
  <c r="A176" i="83" s="1"/>
  <c r="A179" i="83" s="1"/>
  <c r="A182" i="83" s="1"/>
  <c r="A185" i="83" s="1"/>
  <c r="A188" i="83" s="1"/>
  <c r="A191" i="83" s="1"/>
  <c r="A194" i="83" s="1"/>
  <c r="A197" i="83" s="1"/>
  <c r="A200" i="83" s="1"/>
  <c r="A203" i="83" s="1"/>
  <c r="A206" i="83" s="1"/>
  <c r="A209" i="83" s="1"/>
  <c r="A212" i="83" s="1"/>
  <c r="A215" i="83" s="1"/>
  <c r="A218" i="83" s="1"/>
  <c r="A221" i="83" s="1"/>
  <c r="A224" i="83" s="1"/>
  <c r="A227" i="83" s="1"/>
  <c r="A230" i="83" s="1"/>
  <c r="A233" i="83" s="1"/>
  <c r="A236" i="83" s="1"/>
  <c r="A239" i="83" s="1"/>
  <c r="A242" i="83" s="1"/>
  <c r="A245" i="83" s="1"/>
  <c r="A248" i="83" s="1"/>
  <c r="A251" i="83" s="1"/>
  <c r="A254" i="83" s="1"/>
  <c r="A257" i="83" s="1"/>
  <c r="A260" i="83" s="1"/>
  <c r="A263" i="83" s="1"/>
  <c r="A266" i="83" s="1"/>
  <c r="A269" i="83" s="1"/>
  <c r="A272" i="83" s="1"/>
  <c r="A275" i="83" s="1"/>
  <c r="A278" i="83" s="1"/>
  <c r="A281" i="83" s="1"/>
  <c r="A284" i="83" s="1"/>
  <c r="A287" i="83" s="1"/>
  <c r="A290" i="83" s="1"/>
  <c r="A293" i="83" s="1"/>
  <c r="A296" i="83" s="1"/>
  <c r="A299" i="83" s="1"/>
  <c r="A302" i="83" s="1"/>
  <c r="A305" i="83" s="1"/>
  <c r="A308" i="83" s="1"/>
  <c r="A311" i="83" s="1"/>
  <c r="A314" i="83" s="1"/>
  <c r="A317" i="83" s="1"/>
  <c r="A320" i="83" s="1"/>
  <c r="A323" i="83" s="1"/>
  <c r="A326" i="83" s="1"/>
  <c r="A329" i="83" s="1"/>
  <c r="A332" i="83" s="1"/>
  <c r="A335" i="83" s="1"/>
  <c r="A338" i="83" s="1"/>
  <c r="A341" i="83" s="1"/>
  <c r="A344" i="83" s="1"/>
  <c r="A347" i="83" s="1"/>
  <c r="A350" i="83" s="1"/>
  <c r="A353" i="83" s="1"/>
  <c r="A356" i="83" s="1"/>
  <c r="A359" i="83" s="1"/>
  <c r="A362" i="83" s="1"/>
  <c r="A365" i="83" s="1"/>
  <c r="A368" i="83" s="1"/>
  <c r="A371" i="83" s="1"/>
  <c r="A374" i="83" s="1"/>
  <c r="A377" i="83" s="1"/>
  <c r="A380" i="83" s="1"/>
  <c r="A383" i="83" s="1"/>
  <c r="A386" i="83" s="1"/>
  <c r="A389" i="83" s="1"/>
  <c r="A392" i="83" s="1"/>
  <c r="A395" i="83" s="1"/>
  <c r="A398" i="83" s="1"/>
  <c r="A401" i="83" s="1"/>
  <c r="A404" i="83" s="1"/>
  <c r="A407" i="83" s="1"/>
  <c r="A410" i="83" s="1"/>
  <c r="A413" i="83" s="1"/>
  <c r="A416" i="83" s="1"/>
  <c r="A419" i="83" s="1"/>
  <c r="A422" i="83" s="1"/>
  <c r="A425" i="83" s="1"/>
  <c r="A428" i="83" s="1"/>
  <c r="A431" i="83" s="1"/>
  <c r="A434" i="83" s="1"/>
  <c r="A437" i="83" s="1"/>
  <c r="A440" i="83" s="1"/>
  <c r="A443" i="83" s="1"/>
  <c r="A446" i="83" s="1"/>
  <c r="A449" i="83" s="1"/>
  <c r="A452" i="83" s="1"/>
  <c r="A455" i="83" s="1"/>
  <c r="A458" i="83" s="1"/>
  <c r="A461" i="83" s="1"/>
  <c r="A464" i="83" s="1"/>
  <c r="A467" i="83" s="1"/>
  <c r="A470" i="83" s="1"/>
  <c r="A473" i="83" s="1"/>
  <c r="A476" i="83" s="1"/>
  <c r="A479" i="83" s="1"/>
  <c r="A482" i="83" s="1"/>
  <c r="A485" i="83" s="1"/>
  <c r="A488" i="83" s="1"/>
  <c r="A491" i="83" s="1"/>
  <c r="A494" i="83" s="1"/>
  <c r="A497" i="83" s="1"/>
  <c r="A500" i="83" s="1"/>
  <c r="A503" i="83" s="1"/>
  <c r="A506" i="83" s="1"/>
  <c r="A509" i="83" s="1"/>
  <c r="A512" i="83" s="1"/>
  <c r="A515" i="83" s="1"/>
  <c r="A518" i="83" s="1"/>
  <c r="A521" i="83" s="1"/>
  <c r="A524" i="83" s="1"/>
  <c r="A527" i="83" s="1"/>
  <c r="A530" i="83" s="1"/>
  <c r="A533" i="83" s="1"/>
  <c r="A536" i="83" s="1"/>
  <c r="A539" i="83" s="1"/>
  <c r="A542" i="83" s="1"/>
  <c r="N10" i="83"/>
  <c r="M10" i="83"/>
  <c r="L10" i="83"/>
  <c r="K10" i="83"/>
  <c r="J10" i="83"/>
  <c r="I10" i="83"/>
  <c r="H10" i="83"/>
  <c r="P9" i="83"/>
  <c r="O8" i="83"/>
  <c r="P255" i="83" l="1"/>
  <c r="H548" i="83"/>
  <c r="J549" i="83"/>
  <c r="K549" i="83"/>
  <c r="I548" i="83"/>
  <c r="O548" i="83"/>
  <c r="L549" i="83"/>
  <c r="J548" i="83"/>
  <c r="M549" i="83"/>
  <c r="H549" i="83"/>
  <c r="P32" i="83"/>
  <c r="K548" i="83"/>
  <c r="N549" i="83"/>
  <c r="I549" i="83"/>
  <c r="O549" i="83"/>
  <c r="L548" i="83"/>
  <c r="P30" i="83"/>
  <c r="M548" i="83"/>
  <c r="P189" i="83"/>
  <c r="H154" i="83"/>
  <c r="P469" i="83"/>
  <c r="H13" i="83"/>
  <c r="P21" i="83"/>
  <c r="M550" i="83"/>
  <c r="L550" i="83"/>
  <c r="H576" i="83"/>
  <c r="P29" i="83"/>
  <c r="I13" i="83"/>
  <c r="P115" i="83"/>
  <c r="P129" i="83"/>
  <c r="I178" i="83"/>
  <c r="M577" i="83"/>
  <c r="P25" i="83"/>
  <c r="P63" i="83"/>
  <c r="P81" i="83"/>
  <c r="P325" i="83"/>
  <c r="P560" i="83"/>
  <c r="P74" i="83"/>
  <c r="P131" i="83"/>
  <c r="P355" i="83"/>
  <c r="P38" i="83"/>
  <c r="I43" i="83"/>
  <c r="P48" i="83"/>
  <c r="P84" i="83"/>
  <c r="P191" i="83"/>
  <c r="P206" i="83"/>
  <c r="P293" i="83"/>
  <c r="P317" i="83"/>
  <c r="P323" i="83"/>
  <c r="P329" i="83"/>
  <c r="P340" i="83"/>
  <c r="P371" i="83"/>
  <c r="P452" i="83"/>
  <c r="P15" i="83"/>
  <c r="P212" i="83"/>
  <c r="P224" i="83"/>
  <c r="P383" i="83"/>
  <c r="P403" i="83"/>
  <c r="P484" i="83"/>
  <c r="P496" i="83"/>
  <c r="P547" i="83"/>
  <c r="H22" i="83"/>
  <c r="P22" i="83" s="1"/>
  <c r="P105" i="83"/>
  <c r="H136" i="83"/>
  <c r="P136" i="83" s="1"/>
  <c r="P140" i="83"/>
  <c r="P186" i="83"/>
  <c r="P221" i="83"/>
  <c r="P226" i="83"/>
  <c r="P237" i="83"/>
  <c r="P274" i="83"/>
  <c r="P290" i="83"/>
  <c r="P370" i="83"/>
  <c r="P407" i="83"/>
  <c r="P416" i="83"/>
  <c r="P422" i="83"/>
  <c r="K34" i="83"/>
  <c r="K550" i="83" s="1"/>
  <c r="P69" i="83"/>
  <c r="P94" i="83"/>
  <c r="P97" i="83"/>
  <c r="P100" i="83"/>
  <c r="P103" i="83"/>
  <c r="P106" i="83"/>
  <c r="P117" i="83"/>
  <c r="H148" i="83"/>
  <c r="I151" i="83"/>
  <c r="P220" i="83"/>
  <c r="P246" i="83"/>
  <c r="H256" i="83"/>
  <c r="P256" i="83" s="1"/>
  <c r="H277" i="83"/>
  <c r="P277" i="83" s="1"/>
  <c r="P304" i="83"/>
  <c r="P319" i="83"/>
  <c r="P555" i="83"/>
  <c r="P568" i="83"/>
  <c r="O571" i="83"/>
  <c r="P55" i="83"/>
  <c r="H64" i="83"/>
  <c r="P64" i="83" s="1"/>
  <c r="P73" i="83"/>
  <c r="P126" i="83"/>
  <c r="P128" i="83"/>
  <c r="I148" i="83"/>
  <c r="P182" i="83"/>
  <c r="P217" i="83"/>
  <c r="H238" i="83"/>
  <c r="P238" i="83" s="1"/>
  <c r="P259" i="83"/>
  <c r="P278" i="83"/>
  <c r="P324" i="83"/>
  <c r="P343" i="83"/>
  <c r="P379" i="83"/>
  <c r="P382" i="83"/>
  <c r="P395" i="83"/>
  <c r="P460" i="83"/>
  <c r="P33" i="83"/>
  <c r="P39" i="83"/>
  <c r="H40" i="83"/>
  <c r="P40" i="83" s="1"/>
  <c r="P108" i="83"/>
  <c r="P147" i="83"/>
  <c r="H178" i="83"/>
  <c r="H181" i="83"/>
  <c r="I184" i="83"/>
  <c r="P232" i="83"/>
  <c r="P244" i="83"/>
  <c r="P248" i="83"/>
  <c r="P271" i="83"/>
  <c r="P307" i="83"/>
  <c r="L577" i="83"/>
  <c r="K576" i="83"/>
  <c r="P12" i="83"/>
  <c r="P28" i="83"/>
  <c r="P57" i="83"/>
  <c r="P87" i="83"/>
  <c r="P90" i="83"/>
  <c r="P111" i="83"/>
  <c r="P113" i="83"/>
  <c r="P124" i="83"/>
  <c r="P157" i="83"/>
  <c r="P177" i="83"/>
  <c r="P183" i="83"/>
  <c r="P219" i="83"/>
  <c r="P233" i="83"/>
  <c r="P272" i="83"/>
  <c r="P281" i="83"/>
  <c r="P322" i="83"/>
  <c r="P331" i="83"/>
  <c r="P347" i="83"/>
  <c r="P362" i="83"/>
  <c r="P401" i="83"/>
  <c r="P485" i="83"/>
  <c r="O576" i="83"/>
  <c r="P280" i="83"/>
  <c r="P45" i="83"/>
  <c r="H46" i="83"/>
  <c r="P46" i="83" s="1"/>
  <c r="P51" i="83"/>
  <c r="H52" i="83"/>
  <c r="P114" i="83"/>
  <c r="P123" i="83"/>
  <c r="P132" i="83"/>
  <c r="P145" i="83"/>
  <c r="P295" i="83"/>
  <c r="P478" i="83"/>
  <c r="P511" i="83"/>
  <c r="P153" i="83"/>
  <c r="P166" i="83"/>
  <c r="P214" i="83"/>
  <c r="P337" i="83"/>
  <c r="P349" i="83"/>
  <c r="P456" i="83"/>
  <c r="P467" i="83"/>
  <c r="P19" i="83"/>
  <c r="P27" i="83"/>
  <c r="I49" i="83"/>
  <c r="P60" i="83"/>
  <c r="P66" i="83"/>
  <c r="P70" i="83"/>
  <c r="P75" i="83"/>
  <c r="P78" i="83"/>
  <c r="P125" i="83"/>
  <c r="H151" i="83"/>
  <c r="P152" i="83"/>
  <c r="P156" i="83"/>
  <c r="P162" i="83"/>
  <c r="P169" i="83"/>
  <c r="P172" i="83"/>
  <c r="P188" i="83"/>
  <c r="P223" i="83"/>
  <c r="P229" i="83"/>
  <c r="P245" i="83"/>
  <c r="H247" i="83"/>
  <c r="P247" i="83" s="1"/>
  <c r="P289" i="83"/>
  <c r="P301" i="83"/>
  <c r="P354" i="83"/>
  <c r="P364" i="83"/>
  <c r="P365" i="83"/>
  <c r="H367" i="83"/>
  <c r="P367" i="83" s="1"/>
  <c r="P391" i="83"/>
  <c r="P406" i="83"/>
  <c r="P429" i="83"/>
  <c r="P437" i="83"/>
  <c r="P446" i="83"/>
  <c r="P457" i="83"/>
  <c r="P514" i="83"/>
  <c r="P562" i="83"/>
  <c r="P160" i="83"/>
  <c r="P139" i="83"/>
  <c r="P142" i="83"/>
  <c r="P163" i="83"/>
  <c r="P58" i="83"/>
  <c r="P61" i="83"/>
  <c r="P82" i="83"/>
  <c r="P91" i="83"/>
  <c r="P121" i="83"/>
  <c r="H16" i="83"/>
  <c r="P42" i="83"/>
  <c r="H67" i="83"/>
  <c r="P67" i="83" s="1"/>
  <c r="I76" i="83"/>
  <c r="H88" i="83"/>
  <c r="P88" i="83" s="1"/>
  <c r="H109" i="83"/>
  <c r="P109" i="83" s="1"/>
  <c r="I112" i="83"/>
  <c r="P112" i="83" s="1"/>
  <c r="H118" i="83"/>
  <c r="P118" i="83" s="1"/>
  <c r="I127" i="83"/>
  <c r="P127" i="83" s="1"/>
  <c r="I130" i="83"/>
  <c r="P130" i="83" s="1"/>
  <c r="I133" i="83"/>
  <c r="P133" i="83" s="1"/>
  <c r="P138" i="83"/>
  <c r="P141" i="83"/>
  <c r="P146" i="83"/>
  <c r="P150" i="83"/>
  <c r="I154" i="83"/>
  <c r="P176" i="83"/>
  <c r="H211" i="83"/>
  <c r="P210" i="83"/>
  <c r="P222" i="83"/>
  <c r="H250" i="83"/>
  <c r="P250" i="83" s="1"/>
  <c r="P249" i="83"/>
  <c r="P376" i="83"/>
  <c r="P374" i="83"/>
  <c r="P398" i="83"/>
  <c r="P8" i="83"/>
  <c r="P35" i="83"/>
  <c r="N550" i="83"/>
  <c r="H43" i="83"/>
  <c r="I79" i="83"/>
  <c r="P79" i="83" s="1"/>
  <c r="I85" i="83"/>
  <c r="P85" i="83" s="1"/>
  <c r="P92" i="83"/>
  <c r="P93" i="83"/>
  <c r="P95" i="83"/>
  <c r="P96" i="83"/>
  <c r="P98" i="83"/>
  <c r="P99" i="83"/>
  <c r="P101" i="83"/>
  <c r="P102" i="83"/>
  <c r="P120" i="83"/>
  <c r="P149" i="83"/>
  <c r="P158" i="83"/>
  <c r="P159" i="83"/>
  <c r="P165" i="83"/>
  <c r="P167" i="83"/>
  <c r="P168" i="83"/>
  <c r="P170" i="83"/>
  <c r="P171" i="83"/>
  <c r="P173" i="83"/>
  <c r="I181" i="83"/>
  <c r="H184" i="83"/>
  <c r="H187" i="83"/>
  <c r="H190" i="83"/>
  <c r="P190" i="83" s="1"/>
  <c r="P194" i="83"/>
  <c r="H199" i="83"/>
  <c r="P198" i="83"/>
  <c r="P225" i="83"/>
  <c r="P228" i="83"/>
  <c r="P231" i="83"/>
  <c r="P268" i="83"/>
  <c r="O10" i="83"/>
  <c r="J16" i="83"/>
  <c r="P36" i="83"/>
  <c r="P41" i="83"/>
  <c r="P54" i="83"/>
  <c r="P72" i="83"/>
  <c r="P144" i="83"/>
  <c r="H175" i="83"/>
  <c r="P175" i="83" s="1"/>
  <c r="P174" i="83"/>
  <c r="H193" i="83"/>
  <c r="P193" i="83" s="1"/>
  <c r="P192" i="83"/>
  <c r="P205" i="83"/>
  <c r="H235" i="83"/>
  <c r="P234" i="83"/>
  <c r="P241" i="83"/>
  <c r="P243" i="83"/>
  <c r="P265" i="83"/>
  <c r="P286" i="83"/>
  <c r="P284" i="83"/>
  <c r="P292" i="83"/>
  <c r="P388" i="83"/>
  <c r="P386" i="83"/>
  <c r="I442" i="83"/>
  <c r="P442" i="83" s="1"/>
  <c r="P440" i="83"/>
  <c r="P10" i="83"/>
  <c r="J31" i="83"/>
  <c r="P31" i="83" s="1"/>
  <c r="P65" i="83"/>
  <c r="P86" i="83"/>
  <c r="P116" i="83"/>
  <c r="P180" i="83"/>
  <c r="P195" i="83"/>
  <c r="P204" i="83"/>
  <c r="P207" i="83"/>
  <c r="H262" i="83"/>
  <c r="P261" i="83"/>
  <c r="P264" i="83"/>
  <c r="P283" i="83"/>
  <c r="P298" i="83"/>
  <c r="P296" i="83"/>
  <c r="I196" i="83"/>
  <c r="P201" i="83"/>
  <c r="P202" i="83"/>
  <c r="P252" i="83"/>
  <c r="P253" i="83"/>
  <c r="P311" i="83"/>
  <c r="P316" i="83"/>
  <c r="P314" i="83"/>
  <c r="P328" i="83"/>
  <c r="P346" i="83"/>
  <c r="P373" i="83"/>
  <c r="P385" i="83"/>
  <c r="P397" i="83"/>
  <c r="P412" i="83"/>
  <c r="P410" i="83"/>
  <c r="P443" i="83"/>
  <c r="P445" i="83"/>
  <c r="P464" i="83"/>
  <c r="P466" i="83"/>
  <c r="O565" i="83"/>
  <c r="P565" i="83" s="1"/>
  <c r="P179" i="83"/>
  <c r="P208" i="83"/>
  <c r="P213" i="83"/>
  <c r="P215" i="83"/>
  <c r="P216" i="83"/>
  <c r="P218" i="83"/>
  <c r="P267" i="83"/>
  <c r="P299" i="83"/>
  <c r="P310" i="83"/>
  <c r="P313" i="83"/>
  <c r="P361" i="83"/>
  <c r="P359" i="83"/>
  <c r="P394" i="83"/>
  <c r="P400" i="83"/>
  <c r="P409" i="83"/>
  <c r="P419" i="83"/>
  <c r="P421" i="83"/>
  <c r="P575" i="83"/>
  <c r="P573" i="83"/>
  <c r="P334" i="83"/>
  <c r="P332" i="83"/>
  <c r="P352" i="83"/>
  <c r="P350" i="83"/>
  <c r="P434" i="83"/>
  <c r="H436" i="83"/>
  <c r="P436" i="83" s="1"/>
  <c r="P308" i="83"/>
  <c r="P358" i="83"/>
  <c r="P415" i="83"/>
  <c r="P424" i="83"/>
  <c r="P427" i="83"/>
  <c r="P425" i="83"/>
  <c r="H439" i="83"/>
  <c r="P439" i="83" s="1"/>
  <c r="P451" i="83"/>
  <c r="P463" i="83"/>
  <c r="P472" i="83"/>
  <c r="P487" i="83"/>
  <c r="P493" i="83"/>
  <c r="H556" i="83"/>
  <c r="N577" i="83"/>
  <c r="H559" i="83"/>
  <c r="P558" i="83"/>
  <c r="P561" i="83"/>
  <c r="P570" i="83"/>
  <c r="O574" i="83"/>
  <c r="P335" i="83"/>
  <c r="P377" i="83"/>
  <c r="P389" i="83"/>
  <c r="P418" i="83"/>
  <c r="P454" i="83"/>
  <c r="P481" i="83"/>
  <c r="I577" i="83"/>
  <c r="P574" i="83"/>
  <c r="I576" i="83"/>
  <c r="P353" i="83"/>
  <c r="P430" i="83"/>
  <c r="P431" i="83"/>
  <c r="H433" i="83"/>
  <c r="P432" i="83"/>
  <c r="P448" i="83"/>
  <c r="P475" i="83"/>
  <c r="P490" i="83"/>
  <c r="P517" i="83"/>
  <c r="J577" i="83"/>
  <c r="P564" i="83"/>
  <c r="P567" i="83"/>
  <c r="H571" i="83"/>
  <c r="P571" i="83" s="1"/>
  <c r="L576" i="83"/>
  <c r="K559" i="83"/>
  <c r="K577" i="83" s="1"/>
  <c r="O559" i="83"/>
  <c r="O575" i="83"/>
  <c r="J576" i="83"/>
  <c r="P184" i="83" l="1"/>
  <c r="P34" i="83"/>
  <c r="H550" i="83"/>
  <c r="I550" i="83"/>
  <c r="N580" i="83"/>
  <c r="N582" i="83" s="1"/>
  <c r="P549" i="83"/>
  <c r="P433" i="83"/>
  <c r="P548" i="83"/>
  <c r="O550" i="83"/>
  <c r="P235" i="83"/>
  <c r="J550" i="83"/>
  <c r="P37" i="83"/>
  <c r="P196" i="83"/>
  <c r="M580" i="83"/>
  <c r="M582" i="83" s="1"/>
  <c r="P154" i="83"/>
  <c r="P178" i="83"/>
  <c r="P52" i="83"/>
  <c r="P13" i="83"/>
  <c r="P148" i="83"/>
  <c r="P49" i="83"/>
  <c r="O577" i="83"/>
  <c r="P43" i="83"/>
  <c r="P16" i="83"/>
  <c r="P181" i="83"/>
  <c r="P262" i="83"/>
  <c r="P576" i="83"/>
  <c r="P187" i="83"/>
  <c r="P151" i="83"/>
  <c r="H577" i="83"/>
  <c r="P556" i="83"/>
  <c r="P211" i="83"/>
  <c r="P76" i="83"/>
  <c r="K585" i="83"/>
  <c r="K580" i="83"/>
  <c r="K582" i="83" s="1"/>
  <c r="P559" i="83"/>
  <c r="P199" i="83"/>
  <c r="I580" i="83" l="1"/>
  <c r="I582" i="83" s="1"/>
  <c r="P550" i="83"/>
  <c r="P580" i="83" s="1"/>
  <c r="J585" i="83"/>
  <c r="O580" i="83"/>
  <c r="M585" i="83"/>
  <c r="P577" i="83"/>
  <c r="J580" i="83"/>
  <c r="J582" i="83" s="1"/>
  <c r="I585" i="83"/>
  <c r="K586" i="83"/>
  <c r="H585" i="83"/>
  <c r="H580" i="83"/>
  <c r="H582" i="83" s="1"/>
  <c r="L585" i="83"/>
  <c r="L580" i="83"/>
  <c r="L582" i="83" s="1"/>
  <c r="I586" i="83" l="1"/>
  <c r="J586" i="83"/>
  <c r="H586" i="83"/>
  <c r="L586" i="8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Inta Stefenberga</author>
  </authors>
  <commentList>
    <comment ref="P488" authorId="0" shapeId="0" xr:uid="{748752C6-B979-4E57-95B6-CF7DDF3FFF18}">
      <text>
        <r>
          <rPr>
            <b/>
            <sz val="9"/>
            <color indexed="81"/>
            <rFont val="Tahoma"/>
            <charset val="1"/>
          </rPr>
          <t>Inta Stefenberga:</t>
        </r>
        <r>
          <rPr>
            <sz val="9"/>
            <color indexed="81"/>
            <rFont val="Tahoma"/>
            <charset val="1"/>
          </rPr>
          <t xml:space="preserve">
pēc gala maks. ~338401</t>
        </r>
      </text>
    </comment>
    <comment ref="P503" authorId="0" shapeId="0" xr:uid="{1AFC09B4-2AA0-4125-AF3C-B9D623700E98}">
      <text>
        <r>
          <rPr>
            <b/>
            <sz val="9"/>
            <color indexed="81"/>
            <rFont val="Tahoma"/>
            <family val="2"/>
            <charset val="186"/>
          </rPr>
          <t>Inta Stefenberga:</t>
        </r>
        <r>
          <rPr>
            <sz val="9"/>
            <color indexed="81"/>
            <rFont val="Tahoma"/>
            <family val="2"/>
            <charset val="186"/>
          </rPr>
          <t xml:space="preserve">
pēc ANMP ga;a maks. ~708457</t>
        </r>
      </text>
    </comment>
  </commentList>
</comments>
</file>

<file path=xl/sharedStrings.xml><?xml version="1.0" encoding="utf-8"?>
<sst xmlns="http://schemas.openxmlformats.org/spreadsheetml/2006/main" count="1570" uniqueCount="687">
  <si>
    <t>Mērķis</t>
  </si>
  <si>
    <t>Aizdevējs</t>
  </si>
  <si>
    <t>turpmākajos gados</t>
  </si>
  <si>
    <t>x</t>
  </si>
  <si>
    <t>II. Galvojumi</t>
  </si>
  <si>
    <t>pamatsumma</t>
  </si>
  <si>
    <t xml:space="preserve"> Saistību apjoms % </t>
  </si>
  <si>
    <t>no pamatbudžeta ieņēmumiem (bez mērķdotācijām un iemaksām PFIF) **</t>
  </si>
  <si>
    <t>%; apkalpošana</t>
  </si>
  <si>
    <t xml:space="preserve">Dienesta viesnīcas Ausekļa ielā energoefektivitātes paaugstināšana un pārbūve- 2.kārta, SAM 4.2.2.  </t>
  </si>
  <si>
    <t>Valmieras pirmsskolas izglītības iestādes "Varavīksne" telpu Raiņa ielā 11, Valmiera pārbūve</t>
  </si>
  <si>
    <t>Valsts kase</t>
  </si>
  <si>
    <t>J.Endzelīna Kauguru pamatskolas ēku renovācijai</t>
  </si>
  <si>
    <t>ELFLA projekts Matīšu pamatskolas āra sporta laukuma vienkāršotā rekonstrukcija</t>
  </si>
  <si>
    <t>ERAF Burtnieku novada Rencēnu sociālās dzīvojamās mājas vienkāršotā renovācija</t>
  </si>
  <si>
    <t>KPFI Matīšu bērnudārza vienkāršotā rekonstrukcija</t>
  </si>
  <si>
    <t>Burtnieku novada Burtnieku PII rekonstrukcija</t>
  </si>
  <si>
    <t>Matīšu pagasts pirmsskolas izglītības iestādes vienkāršotā rekonstrukcija</t>
  </si>
  <si>
    <t>Dzirnavu un Ozolu ielu posmu rekonstrukcija Valmiermuižā</t>
  </si>
  <si>
    <t>Pirmsskolas izglītības iestādes būvniecība ar ārējām komunikācijām Ozolu iela 2A, Valmiermuižā</t>
  </si>
  <si>
    <t>KPFI projekts Burtnieku Ausekļa vidusskolā</t>
  </si>
  <si>
    <t>KPFI projekts Rencēnu pagasta 2.bibliotēkas ēka</t>
  </si>
  <si>
    <t>Burtnieku novada pašvaldības PII "Burtiņš" III kārtas būvniecība</t>
  </si>
  <si>
    <t>Rencēnu internāta ēkas atjaunošana Valmieras ielā 23, Rencēnos</t>
  </si>
  <si>
    <t>Lauku ielas seguma pārbūves I kārta Valmieras pagastā</t>
  </si>
  <si>
    <t>Nekustamā īpašuma "Ēveles klubs" rekonstrukcija</t>
  </si>
  <si>
    <t>Prioritārā investīciju projekta "Nekustamā īpašuma "Matīšu kultūras nams" rekonstrukcija" īstenošanai</t>
  </si>
  <si>
    <t>Projekta "Burtnieku novada pašvaldības pirmsskolas izglītības iestādes "Sienāzītis" pārbūve" īstenošanai</t>
  </si>
  <si>
    <t>Projekta "Viestura ciema ielu seguma pārbūve Valmieras pagastā, Burtnieku novadā"īstenošanai</t>
  </si>
  <si>
    <t>Projekta "Dzirnavu ielas pārbūve un gājēju ietves izbūve (Alejas iela) Valmieras pagastā, Burtnieku novadā, īstenošanai</t>
  </si>
  <si>
    <t>Projekta "Nekustamā īpašuma "Matīšu kultūras nams" rekonstrukcija" īstenošanai</t>
  </si>
  <si>
    <t>Projekta "Rencēnu pamatskolas stadiona pārbūve Rencēnos, Rencēnu pagastā Burtnieku novadā" īstenošanai</t>
  </si>
  <si>
    <t>Projekta "Lauku ielas seguma pārbūves 2.kārta Valmiermuižā, Valmieras pagastā, Burtnieku novadā" īstenošanai</t>
  </si>
  <si>
    <t>Projekta "Dzirnavu ielas seguma pārbūve Valmieras pagastā, Burtnieku novadā" īstenošanai</t>
  </si>
  <si>
    <t>Projekta "Burtnieku novada pašvaldības autoceļu remontdarbi 2018.gada vasaras periodā" īstenošanai</t>
  </si>
  <si>
    <t>ELFLA projekta "Pašvaldības nozīmes koplietošanas meliorācijas sistēmas atjaunošana Burtnieku novadā</t>
  </si>
  <si>
    <t>ELFLA projekta (Nr.18-09-A00702-000108) "Grants ceļa Graudiņi - Pučurga - Matīši pārbūve 3.078 km garumā" īstenošanai</t>
  </si>
  <si>
    <t>ELFLA projekta (Nr.18-09-A00702-000085) "Grants ceļa Sauļi - Melluplūķi pārbūve 3.51 km garumā" īstenošanai</t>
  </si>
  <si>
    <t>12.07.2019</t>
  </si>
  <si>
    <t>Prioritārais investīciju projekts "Stāvlaukuma pārbūve Alejas ielā 8, Kocēnos,Kocēnu pagastā, Kocēnu novadā" īstenošanai</t>
  </si>
  <si>
    <t>projekta "Vaidavas ciema centra laukuma un tam piegulošās teritorijas labiekārtošanas 1.kārta - Skolas iela Vaidavā, Vaidavas pagastā" īstenošanai</t>
  </si>
  <si>
    <t>ERAF projekta Nr.9.3.1.1/18/I007 "Pakalpojumu infrastruktūras attīstība deinstitucionalizācijas plāna īstenošanai Kocēnu novadā" īstenošanai</t>
  </si>
  <si>
    <t>ERAF projekta Nr.3.3.1.0/16/I/024 "Uzņemējdarbības attīstībai nepieciešamās infrastruktūras attīstība Kocēnu novada Kocēnu pagasta Kocēnos", īstenošanai</t>
  </si>
  <si>
    <t>17.11.2015</t>
  </si>
  <si>
    <t>09.11.2018</t>
  </si>
  <si>
    <t>Ēkas Pasta ielā 3 piemērošana Mazsalacas mūzikas un mākslas skolas vajadzībām</t>
  </si>
  <si>
    <t>Mazsalacas pilsētas kultūras centra skatuves un aktieru telpas renovācija P-178/2017</t>
  </si>
  <si>
    <t>SIA Banga KPU pamatkapitāla pelielināšanai P-162/2008</t>
  </si>
  <si>
    <t>SIA Banga KPU pamatkapitāla palielināšanai Kohēzijas fonda projekta īstenošanai (trančes Nr.P-392/2010)</t>
  </si>
  <si>
    <t>Projekta "Mazsalacā Parka ielas pārbūve posmā no Lazdu ielas līdz Muižas ielai (pārvads)" īstenošanai (tranče Nr.P-587/2017)</t>
  </si>
  <si>
    <t>Ieguldījums SIA Rūjienas Siltums pamatkapitālā</t>
  </si>
  <si>
    <t>ELFLA projekts "Autoceļa "Pagasts-Birzītes" rekonstrukcija Vilpulkas pagastā, Valmieras rajonā"</t>
  </si>
  <si>
    <t>Rūjienas vidusskolas sporta zāles projektēšana un būvniecība</t>
  </si>
  <si>
    <t>Kompleksi risinājumi siltumnīcefekta gāzu emisiju samazināšanai Rūjienas kultūras nama ēkā</t>
  </si>
  <si>
    <t>Prioritārais investīciju projekts "Rūjienas vidusskolas sporta laukuma rekonstrukcijas un teritorijas labiekārtošanas 1. kārta"</t>
  </si>
  <si>
    <t>Prioritārais investīciju projekts "Rūjienas estrādes rekonstrukcija"</t>
  </si>
  <si>
    <t>Projekta "Valdemāra ielas pārbūve posmā no Rīgas iela līdz Aldara ielai Rūjienā, Rūjienas novadā" īstenošanai</t>
  </si>
  <si>
    <t>Katlu mājas Rūjienā, Rīgas ielā 67a tehnoloģisko iekārtu un konstrukciju piegāde un montāža</t>
  </si>
  <si>
    <t>Siltumavota efektivitātes uzlabošana katlu mājā Ausekļa ielā 5, Rūjienā</t>
  </si>
  <si>
    <t>30.08.2016</t>
  </si>
  <si>
    <t>02.07.2019</t>
  </si>
  <si>
    <t>Naukšēnu novada vidusskolas nepabeigtās piebūves renovācija</t>
  </si>
  <si>
    <t>ERAF projekts Uzņēmējdarbības attīstībai nepieciešamās infrastruktūras attīstība Naukšēnu pagastā</t>
  </si>
  <si>
    <t>ERAF projekts Naukšēnu novada pašvaldības administratīvās ēkas energoefektivitātes paaugstināšana</t>
  </si>
  <si>
    <t>Dānijas Unibankas bezprocentu kredīta atmaksa</t>
  </si>
  <si>
    <t>Ūdenssaimniecības attīstība Strenču pilsētā</t>
  </si>
  <si>
    <t>Energoefektivitātes paaugstināšana pašv. ēkās</t>
  </si>
  <si>
    <t>Ūdenssaimniecības attīstība Strenču pilsētā 2 . etaps</t>
  </si>
  <si>
    <t>Sedas kultūras nama rekonstrukcija I kārta</t>
  </si>
  <si>
    <t>Ūdenssaimniecības infrastruktūras attīstība Jērcēnu pagastā</t>
  </si>
  <si>
    <t>Ūdenssaimniecības attīstība Strenču novada Plāņu pagasta Plāņu ciemā</t>
  </si>
  <si>
    <t>Ūdenssaimniecības attīstība Strenču pilsētā, 3.etaps</t>
  </si>
  <si>
    <t>Tranzītielas posma Valkas ielā rekonstrukcija Strenču pilsētā</t>
  </si>
  <si>
    <t>Ūdenssaimnicības attīstība Strenču pilsētā 4.etaps</t>
  </si>
  <si>
    <t>Strenču novada vidusskolas ēkas logu,ārdurvju un pādējā stāva pārseguma siltināšana</t>
  </si>
  <si>
    <t>Ūdenssaimniecības attīstība-rekonstrukcija Sedas pilsētā,2.etaps</t>
  </si>
  <si>
    <t>"Trīsstūris", Hallartes ielas 1.kārtas izbūve Valmieras pagastā, Burtnieku novadā</t>
  </si>
  <si>
    <t>SIA "Rūjienas siltums" aizņēmumam KF projekta Nr.5.3.1.0/17/I/026 īstenošanai</t>
  </si>
  <si>
    <t>Līguma noslēgšanas datums</t>
  </si>
  <si>
    <t>Strenču kultūras nama rekonstrukcija</t>
  </si>
  <si>
    <t>Strenču kultūras nama rekonstrukcija II kārta</t>
  </si>
  <si>
    <t>Ūdenssaimniecības attīstība-rekonstrukcija Sedas pilsētā</t>
  </si>
  <si>
    <t>Zilākalna pagasta kultūras ielas un gājēju ietves rekonstrukcija</t>
  </si>
  <si>
    <t>ERAF projekta (Nr.9.3.1.1/19/I/043) "Sabiedrībā balstītu sociālo pakalpojumu centra izveide Rūjienā" īstenošanai</t>
  </si>
  <si>
    <t>07.12.2021.</t>
  </si>
  <si>
    <t>Daudzfunkcionālā sociālo pakalpojumu centra un grupu dzīvokļu izveide Valmieras pilsētā - SAM 9.3.1.1.</t>
  </si>
  <si>
    <t>A2/1/21/612</t>
  </si>
  <si>
    <t>A2/1/21/458</t>
  </si>
  <si>
    <t>A2/1/21/610</t>
  </si>
  <si>
    <t>A2/1/21/611</t>
  </si>
  <si>
    <t>Finanšu stabilizācija Strenči</t>
  </si>
  <si>
    <t>Kultūras centra rekonstrukcija, Burtnieku nov.</t>
  </si>
  <si>
    <t>PII būvniecībai Burtnieku nov.</t>
  </si>
  <si>
    <t>06.10.2021.</t>
  </si>
  <si>
    <t>23.12.2021.</t>
  </si>
  <si>
    <t>03.08.2020.</t>
  </si>
  <si>
    <t>Aizņēmuma beigu termiņš</t>
  </si>
  <si>
    <t>20.12.2035.</t>
  </si>
  <si>
    <t>0001/A666</t>
  </si>
  <si>
    <t xml:space="preserve">Kopā </t>
  </si>
  <si>
    <t>A2/1/07/130</t>
  </si>
  <si>
    <t>FS-1/2007</t>
  </si>
  <si>
    <t>22.03.2027.</t>
  </si>
  <si>
    <t>20.04.2027.</t>
  </si>
  <si>
    <t>A2/1/07/275</t>
  </si>
  <si>
    <t>P-177/2007</t>
  </si>
  <si>
    <t>A2/1/07/276</t>
  </si>
  <si>
    <t>P-178/2007</t>
  </si>
  <si>
    <t>A2/1/07/431</t>
  </si>
  <si>
    <t>P-280/2007</t>
  </si>
  <si>
    <t>21.06.2027.</t>
  </si>
  <si>
    <t>A2/1/07/430</t>
  </si>
  <si>
    <t>P-278/2007</t>
  </si>
  <si>
    <t>20.05.2027.</t>
  </si>
  <si>
    <t>A2/1/07/490</t>
  </si>
  <si>
    <t>FS-11/2007</t>
  </si>
  <si>
    <t>20.09.2027.</t>
  </si>
  <si>
    <t>20.12.2027.</t>
  </si>
  <si>
    <t>A2/1/07/662</t>
  </si>
  <si>
    <t>FS-15/2007</t>
  </si>
  <si>
    <t>A2/1/08/385</t>
  </si>
  <si>
    <t>P-90/2008</t>
  </si>
  <si>
    <t>20.04.2028.</t>
  </si>
  <si>
    <t>A2/1/08/462</t>
  </si>
  <si>
    <t>P-137/2008</t>
  </si>
  <si>
    <t>20.04.2033.</t>
  </si>
  <si>
    <t>A2/1/08/520</t>
  </si>
  <si>
    <t>P-162/2008</t>
  </si>
  <si>
    <t>A2/1/08/530</t>
  </si>
  <si>
    <t>FS-3/2008</t>
  </si>
  <si>
    <t>20.11.2028.</t>
  </si>
  <si>
    <t>20.06.2033.</t>
  </si>
  <si>
    <t>A2/1/08/623</t>
  </si>
  <si>
    <t>P-223/2008</t>
  </si>
  <si>
    <t>A2/1/08/876</t>
  </si>
  <si>
    <t>P-379/2008</t>
  </si>
  <si>
    <t>20.12.2028.</t>
  </si>
  <si>
    <t>A2/1/08/967</t>
  </si>
  <si>
    <t>P-418/2008</t>
  </si>
  <si>
    <t>20.12.2038.</t>
  </si>
  <si>
    <t>A2/1/09/94</t>
  </si>
  <si>
    <t>P-21/2009</t>
  </si>
  <si>
    <t>20.03.2029.</t>
  </si>
  <si>
    <t>A2/1/09/250</t>
  </si>
  <si>
    <t>P-126./2009</t>
  </si>
  <si>
    <t>20.05.2029.</t>
  </si>
  <si>
    <t>20.12.2030.</t>
  </si>
  <si>
    <t>A2/1/10/223</t>
  </si>
  <si>
    <t>P-41/2010</t>
  </si>
  <si>
    <t>A2/1/10/329</t>
  </si>
  <si>
    <t>P-111/2010</t>
  </si>
  <si>
    <t>20.03.2040.</t>
  </si>
  <si>
    <t>A2/1/10/507</t>
  </si>
  <si>
    <t>P-197/2010</t>
  </si>
  <si>
    <t>A2/1/10/595</t>
  </si>
  <si>
    <t>P-246/2010</t>
  </si>
  <si>
    <t>20.07.2025.</t>
  </si>
  <si>
    <t>A2/1/10/791</t>
  </si>
  <si>
    <t>P-392/2010</t>
  </si>
  <si>
    <t>20.09.2030.</t>
  </si>
  <si>
    <t>22.10.2040.</t>
  </si>
  <si>
    <t>A2/1/10/947</t>
  </si>
  <si>
    <t>P-495/2010</t>
  </si>
  <si>
    <t>20.04.2026.</t>
  </si>
  <si>
    <t>A2/1/11/128</t>
  </si>
  <si>
    <t>P-52/2011</t>
  </si>
  <si>
    <t>A2/1/11/127</t>
  </si>
  <si>
    <t>P-53/2011</t>
  </si>
  <si>
    <t>A2/1/11/722</t>
  </si>
  <si>
    <t>P-437/2011</t>
  </si>
  <si>
    <t>20.11.2026.</t>
  </si>
  <si>
    <t>20.01.2032.</t>
  </si>
  <si>
    <t>A2/1/12/21</t>
  </si>
  <si>
    <t>P-5/2012</t>
  </si>
  <si>
    <t>A2/1/12/100</t>
  </si>
  <si>
    <t>P-64/2012</t>
  </si>
  <si>
    <t>20.04.2042.</t>
  </si>
  <si>
    <t>A2/1/12/101</t>
  </si>
  <si>
    <t>P-65/2012</t>
  </si>
  <si>
    <t>A2/1/12/102</t>
  </si>
  <si>
    <t>P-66/2012</t>
  </si>
  <si>
    <t>20.07.2042.</t>
  </si>
  <si>
    <t>A2/1/12/99</t>
  </si>
  <si>
    <t>P-221/2012</t>
  </si>
  <si>
    <t>A2/1/12/413</t>
  </si>
  <si>
    <t>P-287/2012</t>
  </si>
  <si>
    <t>20.08.2042.</t>
  </si>
  <si>
    <t>A2/1/12/475</t>
  </si>
  <si>
    <t>P-318/2012</t>
  </si>
  <si>
    <t>20.08.2027.</t>
  </si>
  <si>
    <t>20.10.2027.</t>
  </si>
  <si>
    <t>A2/1/12/652</t>
  </si>
  <si>
    <t>P-419/2012.</t>
  </si>
  <si>
    <t>22.11.2027.</t>
  </si>
  <si>
    <t>A2/1/12/691</t>
  </si>
  <si>
    <t>P-430/2012</t>
  </si>
  <si>
    <t>A2/1/13/29</t>
  </si>
  <si>
    <t>P-13/2013</t>
  </si>
  <si>
    <t>20.01.2028.</t>
  </si>
  <si>
    <t>20.07.2043.</t>
  </si>
  <si>
    <t>A2/1/13/365</t>
  </si>
  <si>
    <t>P248/2013</t>
  </si>
  <si>
    <t>KPFI projekts (Nr.KPFI-15.2/131) oglekļa dioksīda emisiju samazināšana,uzlabojot Naukšēnu novada Naukšēnu vidusskolas ēkas enorgoefektivitāti"  īstenošanai</t>
  </si>
  <si>
    <t>20.12.2023.</t>
  </si>
  <si>
    <t>A2/1/14/659</t>
  </si>
  <si>
    <t>P-423/2014</t>
  </si>
  <si>
    <t>A2/1/14/97</t>
  </si>
  <si>
    <t>P-54/2014</t>
  </si>
  <si>
    <t>20.02.2029.</t>
  </si>
  <si>
    <t>20.04.2034.</t>
  </si>
  <si>
    <t>A2/1/14/252</t>
  </si>
  <si>
    <t>P-154/2014</t>
  </si>
  <si>
    <t>A2/1/14/491</t>
  </si>
  <si>
    <t>P-327/2014</t>
  </si>
  <si>
    <t>P-328/2014</t>
  </si>
  <si>
    <t>A2/1/14/492</t>
  </si>
  <si>
    <t>20.07.2044.</t>
  </si>
  <si>
    <t>A2/1/14/835</t>
  </si>
  <si>
    <t>P-545/2014</t>
  </si>
  <si>
    <t>20.12.2024.</t>
  </si>
  <si>
    <t>A2/1/14/871</t>
  </si>
  <si>
    <t>P-562/2014</t>
  </si>
  <si>
    <t>20.11.2034.</t>
  </si>
  <si>
    <t>A2/1/14/870</t>
  </si>
  <si>
    <t>P-561/2014</t>
  </si>
  <si>
    <t>20.11.2029.</t>
  </si>
  <si>
    <t>A2/1/14/964</t>
  </si>
  <si>
    <t>P-612/2014</t>
  </si>
  <si>
    <t>A2/1/15/137</t>
  </si>
  <si>
    <t>P-85/2015</t>
  </si>
  <si>
    <t>20.03.2045.</t>
  </si>
  <si>
    <t>A2/1/15/412</t>
  </si>
  <si>
    <t>P-276/2015</t>
  </si>
  <si>
    <t>22.07.2030.</t>
  </si>
  <si>
    <t>20.07.2035.</t>
  </si>
  <si>
    <t>A2/1/15/413</t>
  </si>
  <si>
    <t>P-277/2015</t>
  </si>
  <si>
    <t>A2/1/15/376</t>
  </si>
  <si>
    <t>P-251/2015</t>
  </si>
  <si>
    <t>A2/1/15/434</t>
  </si>
  <si>
    <t>P-295/2015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</si>
  <si>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</si>
  <si>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</si>
  <si>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</si>
  <si>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</si>
  <si>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</si>
  <si>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</si>
  <si>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A2/1/16/345</t>
  </si>
  <si>
    <t>P-241/2016</t>
  </si>
  <si>
    <t>20.08.2036.</t>
  </si>
  <si>
    <t>20.05.2042.</t>
  </si>
  <si>
    <t>A2/1/17/333</t>
  </si>
  <si>
    <t>P-228/2017</t>
  </si>
  <si>
    <t>A2/1/17/498</t>
  </si>
  <si>
    <t>P-365/2017</t>
  </si>
  <si>
    <t>20.07.2032.</t>
  </si>
  <si>
    <t>A2/1/17/587</t>
  </si>
  <si>
    <t>P442/2017</t>
  </si>
  <si>
    <t>20.08.2037.</t>
  </si>
  <si>
    <t>A2/1/17/661</t>
  </si>
  <si>
    <t>P-506/2017</t>
  </si>
  <si>
    <t>EFLA projekts Autoceļa Ķire-Jaunlambikas un tilta pār Rūju pārbūve / Naukšēni</t>
  </si>
  <si>
    <t>A2/1/17/672</t>
  </si>
  <si>
    <t>P-520/2017</t>
  </si>
  <si>
    <t>A2/1/17/715</t>
  </si>
  <si>
    <t>P-554/2017</t>
  </si>
  <si>
    <t>A2/1/17/758</t>
  </si>
  <si>
    <t>P-587/2017</t>
  </si>
  <si>
    <t>20.10.2032.</t>
  </si>
  <si>
    <t>A2/1/17/765</t>
  </si>
  <si>
    <t>P-595/2017</t>
  </si>
  <si>
    <t>A2/1/17/805</t>
  </si>
  <si>
    <t>P-625/2017</t>
  </si>
  <si>
    <t>A2/1/17/917</t>
  </si>
  <si>
    <t>P-687/2017</t>
  </si>
  <si>
    <t>22.12.2042.</t>
  </si>
  <si>
    <t>A2/1/18/94</t>
  </si>
  <si>
    <t>P-76/2018</t>
  </si>
  <si>
    <t>20.02.2043.</t>
  </si>
  <si>
    <t>20.05.2043.</t>
  </si>
  <si>
    <t>A2/1/18/311</t>
  </si>
  <si>
    <t>P-253/2018</t>
  </si>
  <si>
    <t>A2/1/18/402</t>
  </si>
  <si>
    <t>P-336/2018</t>
  </si>
  <si>
    <t>22.06.2043.</t>
  </si>
  <si>
    <t>20.06.2038.</t>
  </si>
  <si>
    <t>A2/1/18/404</t>
  </si>
  <si>
    <t>P-334/2018</t>
  </si>
  <si>
    <t>A2/1/18/470</t>
  </si>
  <si>
    <t>P-389/2018</t>
  </si>
  <si>
    <t>20.07.2033.</t>
  </si>
  <si>
    <t>A2/1/18/525</t>
  </si>
  <si>
    <t>P-442/2018</t>
  </si>
  <si>
    <t>A2/1/18/584</t>
  </si>
  <si>
    <t>P-496/2018</t>
  </si>
  <si>
    <t>20.08.2028.</t>
  </si>
  <si>
    <t>20.09.2028.</t>
  </si>
  <si>
    <t>A2/1/18/686</t>
  </si>
  <si>
    <t>P-592/2018</t>
  </si>
  <si>
    <t>A2/1/18/733</t>
  </si>
  <si>
    <t>P-615/2018</t>
  </si>
  <si>
    <t>20.10.2033.</t>
  </si>
  <si>
    <t>A2/1/18/766</t>
  </si>
  <si>
    <t>P-631/2018</t>
  </si>
  <si>
    <t>20.10.2028.</t>
  </si>
  <si>
    <t>A2/1/18/837</t>
  </si>
  <si>
    <t>P-684/2018</t>
  </si>
  <si>
    <t>20.04.2029.</t>
  </si>
  <si>
    <t>A2/1/18/836</t>
  </si>
  <si>
    <t>P-685/2018</t>
  </si>
  <si>
    <t>A2/1/18/857</t>
  </si>
  <si>
    <t>P-711/2018</t>
  </si>
  <si>
    <t>22.12.2025.</t>
  </si>
  <si>
    <t>A2/1/19/53</t>
  </si>
  <si>
    <t>P-22/2019</t>
  </si>
  <si>
    <t>21.03.2044.</t>
  </si>
  <si>
    <t>A2/1/19/119</t>
  </si>
  <si>
    <t>P-60/2019</t>
  </si>
  <si>
    <t>A2/1/19/155</t>
  </si>
  <si>
    <t>P-109/2019</t>
  </si>
  <si>
    <t>20.04.2049.</t>
  </si>
  <si>
    <t>A2/1/19/218</t>
  </si>
  <si>
    <t>P-128/2019</t>
  </si>
  <si>
    <t>20.05.2039.</t>
  </si>
  <si>
    <t>A2/1/19/240</t>
  </si>
  <si>
    <t>P-163/2019</t>
  </si>
  <si>
    <t>20.06.2034.</t>
  </si>
  <si>
    <t>A2/1/19/242</t>
  </si>
  <si>
    <t>P-152/2019</t>
  </si>
  <si>
    <t>A2/1/19/260</t>
  </si>
  <si>
    <t>P-172/2019</t>
  </si>
  <si>
    <t>A2/1/19/350</t>
  </si>
  <si>
    <t>P-230/2019</t>
  </si>
  <si>
    <t>20.09.2029.</t>
  </si>
  <si>
    <t>20.10.2034.</t>
  </si>
  <si>
    <t>A2/1/19/382</t>
  </si>
  <si>
    <t>P-250/2019</t>
  </si>
  <si>
    <t>A2/1/19/464</t>
  </si>
  <si>
    <t>P-294/2019</t>
  </si>
  <si>
    <t>20.04.2045.</t>
  </si>
  <si>
    <t>A2/1/20/362</t>
  </si>
  <si>
    <t>P-149/2020</t>
  </si>
  <si>
    <t>A2/1/20/439</t>
  </si>
  <si>
    <t>P-184/2020</t>
  </si>
  <si>
    <t>20.07.2045.</t>
  </si>
  <si>
    <t>A2/1/20/484</t>
  </si>
  <si>
    <t>P-220/2020</t>
  </si>
  <si>
    <t>A2/1/20/535</t>
  </si>
  <si>
    <t>P-233/2020</t>
  </si>
  <si>
    <t>A2/1/20/534</t>
  </si>
  <si>
    <t>P-234/2020</t>
  </si>
  <si>
    <t>20.08.2035.</t>
  </si>
  <si>
    <t>A2/1/20/619</t>
  </si>
  <si>
    <t>P-288/2020</t>
  </si>
  <si>
    <t>A2/1/20/728</t>
  </si>
  <si>
    <t>P-379/2020</t>
  </si>
  <si>
    <t>20.09.2045.</t>
  </si>
  <si>
    <t>A2/1/20/749</t>
  </si>
  <si>
    <t>P-388/2020</t>
  </si>
  <si>
    <t>A2/1/20/855</t>
  </si>
  <si>
    <t>P-475/2020</t>
  </si>
  <si>
    <t>20.11.2035.</t>
  </si>
  <si>
    <t>20.11.2040.</t>
  </si>
  <si>
    <t>A2/1/20/856</t>
  </si>
  <si>
    <t>P-474/2020</t>
  </si>
  <si>
    <t>A2/1/20/884</t>
  </si>
  <si>
    <t>P-486/2020</t>
  </si>
  <si>
    <t>20.11.2030.</t>
  </si>
  <si>
    <t>A2/1/20/893</t>
  </si>
  <si>
    <t>P-496/2020</t>
  </si>
  <si>
    <t>A2/1/20/892</t>
  </si>
  <si>
    <t>P-497/2020</t>
  </si>
  <si>
    <t>A2/1/21/15</t>
  </si>
  <si>
    <t>P-6/2021</t>
  </si>
  <si>
    <t>21.01.2041.</t>
  </si>
  <si>
    <t>A2/1/21/25</t>
  </si>
  <si>
    <t>PP-2/2021</t>
  </si>
  <si>
    <t>20.11.2043.</t>
  </si>
  <si>
    <t>A2/1/21/40</t>
  </si>
  <si>
    <t>P-13/2021</t>
  </si>
  <si>
    <t>20.02.2041.</t>
  </si>
  <si>
    <t>A2/1/21/93</t>
  </si>
  <si>
    <t>P-47/2021</t>
  </si>
  <si>
    <t>20.03.2036.</t>
  </si>
  <si>
    <t>A2/1/21/151</t>
  </si>
  <si>
    <t>P-101/2021</t>
  </si>
  <si>
    <t>23.04.2041.</t>
  </si>
  <si>
    <t>A2/1/21/200</t>
  </si>
  <si>
    <t>PP-15/2021</t>
  </si>
  <si>
    <t>A2/1/21/293</t>
  </si>
  <si>
    <t>P-199/2021</t>
  </si>
  <si>
    <t>20.05.2041.</t>
  </si>
  <si>
    <t>20.05.2031.</t>
  </si>
  <si>
    <t>P-197/2021</t>
  </si>
  <si>
    <t>A2/1/21/292</t>
  </si>
  <si>
    <t>A2/1/21/341</t>
  </si>
  <si>
    <t>P-229/2021</t>
  </si>
  <si>
    <t>20.06.2036</t>
  </si>
  <si>
    <t>20.06.2036.</t>
  </si>
  <si>
    <t>A2/1/21/356</t>
  </si>
  <si>
    <t>P-251/2021</t>
  </si>
  <si>
    <t>20.07.2051.</t>
  </si>
  <si>
    <t>P-332/2021</t>
  </si>
  <si>
    <t>P-449/2021</t>
  </si>
  <si>
    <t>22.09.2031.</t>
  </si>
  <si>
    <t>P-448/2021</t>
  </si>
  <si>
    <t>20.09.2041.</t>
  </si>
  <si>
    <t>P-428/2021</t>
  </si>
  <si>
    <t>A2/1/21/743</t>
  </si>
  <si>
    <t>P-565/2021</t>
  </si>
  <si>
    <t>20.11.2046.</t>
  </si>
  <si>
    <t>A2/1/21/777</t>
  </si>
  <si>
    <t>P-582/2021</t>
  </si>
  <si>
    <t>20.12.2041.</t>
  </si>
  <si>
    <t>A2/1/21/778</t>
  </si>
  <si>
    <t>P-581/2021</t>
  </si>
  <si>
    <t>28.02.2022.</t>
  </si>
  <si>
    <t>20.02.2047.</t>
  </si>
  <si>
    <t>20.02.2042.</t>
  </si>
  <si>
    <t>A2/1/22/32</t>
  </si>
  <si>
    <t>P -10/ 2022</t>
  </si>
  <si>
    <t>A2/1/22/33</t>
  </si>
  <si>
    <t>P - 9 /2022</t>
  </si>
  <si>
    <t>Latvijas - Krievijas pārrobežu sadarbības programmas projekta (Nr.LV-RU-016) "Ilgtspējīgas zaļās infrastruktūras un pievilcīgu atpūtas zonu attīstība dabā" (Zaļie torņi)" investīciju daļas īstenošanai</t>
  </si>
  <si>
    <t>Ūdens ielas (posmā no Smiltenes līdz Pleskavas ielai) Valmierā pārbūve</t>
  </si>
  <si>
    <t>Ielu divkārtu virsmu apstrāde Valmierā 1.kārta</t>
  </si>
  <si>
    <t>Ielu divkārtu virsmu apstrāde Valmierā 2.kārta</t>
  </si>
  <si>
    <t>Gājēju ietvju atjaunošana Ādama Alkšņa ielā un Raiņa ielā Rūjienā, Valmieras novadā</t>
  </si>
  <si>
    <t>Raiņa ielas divkārtu asfalta seguma atjaunošana Rūjienā, Valmieras novadā</t>
  </si>
  <si>
    <t>Projekta"Teodora Ūdera un Tālavas ielas Valmierā pārbūve" īstenošanai</t>
  </si>
  <si>
    <t>Projekta "Valmieras pilsētas pašvaldības transporta infrastruktūras attīstība - kopējo gājēju un velosipēdistu ceļu izbūve Valkas ielā un Rubenes ielā, Valmierā" īstenošanai</t>
  </si>
  <si>
    <t>Pašvaldības ēkas Palejas ielā 5, Valmierā energoefektivitātes paaugstināšana - SAM 4.2.2.</t>
  </si>
  <si>
    <t>A2/1/22/167</t>
  </si>
  <si>
    <t>P -111/2022</t>
  </si>
  <si>
    <t>04.07.2022.</t>
  </si>
  <si>
    <t>20.06.2042.</t>
  </si>
  <si>
    <t>Līguma Nr.; Trančes Nr.</t>
  </si>
  <si>
    <t xml:space="preserve">Valmieras novada pašvaldības aizņēmumi </t>
  </si>
  <si>
    <t>Kopā</t>
  </si>
  <si>
    <t>ERAF projekta (Nr.8.1.2.0/18/I/004) "Valmieras Pārgaujas ģimnāzijas un Valmieras Viestura vidusskolas mācību vides uzlabošana un Dienesta viesīcas Ausekļa ielā pārbūve" īstenošanai</t>
  </si>
  <si>
    <t>Satiksmes drošības uzlabošana Pulkveža Zemitāna ielā Strenčos ( posmā no 0,005 km līdz krustojumam ar Miera ielu)</t>
  </si>
  <si>
    <t xml:space="preserve">20.11.2018. </t>
  </si>
  <si>
    <t>Ēkas iegāde, Burtnieku novads</t>
  </si>
  <si>
    <t>5</t>
  </si>
  <si>
    <t xml:space="preserve">Pavisam </t>
  </si>
  <si>
    <t>Latvijas -Šveices projekts Multifunkcionālā jaunatnes iniciatīvu centra izveide Burtniekos</t>
  </si>
  <si>
    <t>ERAF projektu Nr.8.1.2.0/18/I/004; Nr.4.2.2.0/18/I/ 002 Dienesta viesnīcas Ausekļa ielā 25 C, Valmierā pārbūves uzsākšanai</t>
  </si>
  <si>
    <t>ERAF projekta Nr.8.1.2.0/18/I/004 daļas Valmieras Pārgaujas ģimnāzija Zvaigžņu ielā 4, Valmierā pārbūve, mācību vides uzlabošana</t>
  </si>
  <si>
    <t>ERAF projekta Nr.8.1.2.0/18/I/004 daļas- Valmieras Viestura vidusskolas pārbūve, mācību vides uzlabošana īstenošanai</t>
  </si>
  <si>
    <t>Valsts nozīmes sporta infrasruktūras attīstības projekta Vidzemes Olimpiskā centra Valmierā attīstības projekta daļas BMX trases būvniecības daļēja finansēšana</t>
  </si>
  <si>
    <t>Valsts nozīmes sporta infrastruktūras attīstības projekta "J.Daliņa stadiona rekonstrukcija un vieglatlētikas manēžas būvniecība" īstenošanai"</t>
  </si>
  <si>
    <t>ERAF projekta (Nr.3.3.1.0/19/I/001) "Atbalsts komercdarbībai - Kauguru ielas pārbūve" īstenošanai</t>
  </si>
  <si>
    <t>ERAF projekta (Nr.4.2.2.0/18/I/002) "Dienesta viesnīcas Ausekļa ielā energoefektivitātes paaugstināšana un pārbūve  īstenošanai</t>
  </si>
  <si>
    <t>EKII projekta (Nr.EKII-3/30) "Viedo tehnoloģiju ieviešana Valmieras pilsētas apgaismojuma sistēmā" īstenošanai</t>
  </si>
  <si>
    <t>ERAF projekta (Nr.5.5.1.0/17/I/004) "Kultūra,vēsture,arhitektūra Gaujas un laika lokos" īstenošanai</t>
  </si>
  <si>
    <t>Investīciju projektu īstenošanai (saistību pārjaunojums)</t>
  </si>
  <si>
    <t>Prioritārā investīciju projekta "Aktīvās atpūtas un sporta parka izbūve Rīgas ielā 43A, Valmierā" īstenošanai</t>
  </si>
  <si>
    <t>Projekta "Arāju ielas pārbūve Kocēnos" īstenošanai</t>
  </si>
  <si>
    <t>Projekta "Bērzu  ielas pārbūve Kocēnos" īstenošanai</t>
  </si>
  <si>
    <t>Investīciju projektu īstenošanai (saistību pārjaunojums- Kocēnu novada aizņēmumiem)</t>
  </si>
  <si>
    <t>17.08.2022.</t>
  </si>
  <si>
    <t>20.07.2037.</t>
  </si>
  <si>
    <t>A2/1/22/315</t>
  </si>
  <si>
    <t>P -227/2022</t>
  </si>
  <si>
    <t>A2/1/22/316</t>
  </si>
  <si>
    <t>P -228/2022</t>
  </si>
  <si>
    <t>A2/1/22/317</t>
  </si>
  <si>
    <t>P -229/2022</t>
  </si>
  <si>
    <t>A2/1/22/318</t>
  </si>
  <si>
    <t>P -230/2022</t>
  </si>
  <si>
    <t>A2/1/22/319</t>
  </si>
  <si>
    <t>P -231/2022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</si>
  <si>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</si>
  <si>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</si>
  <si>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</si>
  <si>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</si>
  <si>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</si>
  <si>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</si>
  <si>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</si>
  <si>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(Nr.4.2.2.0/19/I/002) "Ēkas Stacijas ielā 26, Valmierā energoefektivitātes paaugstināšana" īstenošanai</t>
  </si>
  <si>
    <t>ERAF projekta (Nr.5.5.1.0/20/I/001) "Valmieras Vēsturiskā centra attīstība" īstenošanai</t>
  </si>
  <si>
    <t>ERAF projekta (Nr.5.5.1.0/20/I/001) "Valmieras Vēsturiskā centra attīstība" papildus finansēšanai</t>
  </si>
  <si>
    <t>ERAF projekta" Industriālo teritoriju attīstība Valmierā - 1.kārta" - SAM 5.6.2.</t>
  </si>
  <si>
    <t>EKII projekta (Nr.EKII-7/26) "Publisko teritoriju ielu apgaismojuma inženiertīklu pārbūve Valmierā, Valmieras novadā" īstenošanai</t>
  </si>
  <si>
    <t>Valmieras 2.vidusskolas investīciju projekts "Mazās sporta zāles pārbūve"</t>
  </si>
  <si>
    <t>Ceļa darbu un apgaismojuma pārbūve Ozolu ielā un Iršuparka alejā, Valmiermuiža, Valmieras pag., valmieras novadā</t>
  </si>
  <si>
    <t>Dārza ielas pārbūve, Kocēnu pagastā, Valmieras novadā</t>
  </si>
  <si>
    <t>Grantēto ielu divkārtu virsmas pastrāde Kalna iela un Jāņa Lielā iela, Mazsalacā</t>
  </si>
  <si>
    <t xml:space="preserve">Tērbatas iela posmā no apaļā veikala līdz Viestura alejai, ieskaitot krustojumus, Valmierā asfalta virskārtas nomaiņa </t>
  </si>
  <si>
    <t xml:space="preserve">Lietus ūdens atvades izbūve Uzvaras un Dārza ielās, Sedas pilsētā </t>
  </si>
  <si>
    <t>Rubenes, Raiņa, Valkas ielu rotācijas aplis, Valmierā pārbūve</t>
  </si>
  <si>
    <t>1.06.2023.</t>
  </si>
  <si>
    <t>20.05.2033.</t>
  </si>
  <si>
    <t>A2/1/23/127</t>
  </si>
  <si>
    <t>A2/1/23/128</t>
  </si>
  <si>
    <t xml:space="preserve">Gājēju ietves un lietus ūdens atvades risinājuma būvniecība Trikātas ielā un Pulkveža Brieža ielā, Strenčos </t>
  </si>
  <si>
    <t xml:space="preserve">Gājēju ietves pārbūve Rubenes ciemā, Kocēnu pagastā </t>
  </si>
  <si>
    <t xml:space="preserve">Vanšu tilta atjaunošana Valmierā </t>
  </si>
  <si>
    <t>19.06.2023.</t>
  </si>
  <si>
    <t>A2/1/23/144</t>
  </si>
  <si>
    <t>P -94/2023</t>
  </si>
  <si>
    <t xml:space="preserve">Ielas un ietves atjaunošana Rīgas iela, Rūjienā (posmā no Blaumaņa līdz Pērnavas ielai) </t>
  </si>
  <si>
    <t>Georga Apiņa ielas, Valmierā (posmā no Rīgas ielas līdz Beātes ielai)  remontam</t>
  </si>
  <si>
    <t>A2/1/23/222</t>
  </si>
  <si>
    <t>P -160/2023</t>
  </si>
  <si>
    <t>31.07.2023.</t>
  </si>
  <si>
    <t>20.07.2038.</t>
  </si>
  <si>
    <t>P -81/2023</t>
  </si>
  <si>
    <t>P -82/2023</t>
  </si>
  <si>
    <t>13.07.2023.</t>
  </si>
  <si>
    <t>A2/1/23/206</t>
  </si>
  <si>
    <t>P-146/2023</t>
  </si>
  <si>
    <t>12.07.2023.</t>
  </si>
  <si>
    <t>A2/1/23/197</t>
  </si>
  <si>
    <t>P-141/2023</t>
  </si>
  <si>
    <t>21.06.2038.</t>
  </si>
  <si>
    <t>A2/1/23/198</t>
  </si>
  <si>
    <t>P-142/2023</t>
  </si>
  <si>
    <t>A2/1/23/196</t>
  </si>
  <si>
    <t>P-140/2023</t>
  </si>
  <si>
    <t>A2/1/23/194</t>
  </si>
  <si>
    <t>P-138/2023</t>
  </si>
  <si>
    <t>A2/1/23/195</t>
  </si>
  <si>
    <t>P-139/2023</t>
  </si>
  <si>
    <t>A2/1/23/192</t>
  </si>
  <si>
    <t>P-137/2023</t>
  </si>
  <si>
    <t>noslēgtie līgumi</t>
  </si>
  <si>
    <t xml:space="preserve">Valmieras novada pašvaldības saistības  kopā </t>
  </si>
  <si>
    <t>Eiropas Savienības Kohēzijas fonda projektu īstenošanai / SIA Kocēnu komunālā saimniecība</t>
  </si>
  <si>
    <t>A1/1/18/812</t>
  </si>
  <si>
    <t>Valmieras novada pašvaldības galvojumi</t>
  </si>
  <si>
    <t>A1/1/19/262; A1/1/19/263; A1/1/19/265</t>
  </si>
  <si>
    <t>A1/1/15/613</t>
  </si>
  <si>
    <t>A1/1/18/760</t>
  </si>
  <si>
    <t>A1/1/16/317</t>
  </si>
  <si>
    <t>A1/1/19/246</t>
  </si>
  <si>
    <t>A2/1/21/749;   K-20/2021</t>
  </si>
  <si>
    <t>20.06.2039.</t>
  </si>
  <si>
    <t>20.10.2035.</t>
  </si>
  <si>
    <t>20.10.2038.</t>
  </si>
  <si>
    <t>20.08.2026.</t>
  </si>
  <si>
    <t>A2/1/23/352</t>
  </si>
  <si>
    <t>P-274/2023</t>
  </si>
  <si>
    <t>11.09.2023.</t>
  </si>
  <si>
    <t>20.08.2038.</t>
  </si>
  <si>
    <t>A2/1/23/356</t>
  </si>
  <si>
    <t>P-278/2023</t>
  </si>
  <si>
    <t>20.08.2033.</t>
  </si>
  <si>
    <t>A2/1/23/355</t>
  </si>
  <si>
    <t>P-277/2023</t>
  </si>
  <si>
    <t>A2/1/23/354</t>
  </si>
  <si>
    <t>P-276/2023</t>
  </si>
  <si>
    <t>A2/1/23/353</t>
  </si>
  <si>
    <t>P-275/2023</t>
  </si>
  <si>
    <t>A2/1/23/350</t>
  </si>
  <si>
    <t>P-273/2023</t>
  </si>
  <si>
    <t>26.09.2023.</t>
  </si>
  <si>
    <t>20.09.2043.</t>
  </si>
  <si>
    <t>A2/1/23/402</t>
  </si>
  <si>
    <t>P - 327/2023</t>
  </si>
  <si>
    <t>04.12.2023.</t>
  </si>
  <si>
    <t>22.11.2038.</t>
  </si>
  <si>
    <t>A2/1/23/479</t>
  </si>
  <si>
    <t>P -390/2023</t>
  </si>
  <si>
    <t>A2/1/23/436</t>
  </si>
  <si>
    <t>P-349/2023</t>
  </si>
  <si>
    <t>01.11.2023.</t>
  </si>
  <si>
    <t>apkalpošana</t>
  </si>
  <si>
    <t>Projekti</t>
  </si>
  <si>
    <t>ANMP projekts Industriālās teritorijas attīstība Valmierā</t>
  </si>
  <si>
    <t>Autoceļa Breidas - Zemgaļi, Naukšēnu ter. pārbūves 2.kārta</t>
  </si>
  <si>
    <t>Pansionāta "Valmiera" investīciju projektu īstenošanai</t>
  </si>
  <si>
    <t>Tranzītielas posma Rīgas-Valkas ielā rekonstrukcija Strenču pilsētā</t>
  </si>
  <si>
    <t>Ozolu ielas, Valmiermuižā rekonstrukcija</t>
  </si>
  <si>
    <t>Gājēju ietves un apgaismojuma izbūve Zilākalnā, Zilākalna pagastā, Valmieras novadā</t>
  </si>
  <si>
    <t>Rietekļa ielas un siltumtrases Rietekļa ielā, Valmierā būvniecība</t>
  </si>
  <si>
    <t>28.06.2024.</t>
  </si>
  <si>
    <t>Valmieras novada pašvaldības budžeta un finanšu vadībai</t>
  </si>
  <si>
    <t>A2/1/24/105</t>
  </si>
  <si>
    <t>Strauta ielas, Valmierā, Valmieras novadā, pārbūve</t>
  </si>
  <si>
    <t>P-100/2024</t>
  </si>
  <si>
    <t>A2/1/24/124</t>
  </si>
  <si>
    <t>P-119/2024</t>
  </si>
  <si>
    <t>30.07.2024.</t>
  </si>
  <si>
    <t>20.07.2039.</t>
  </si>
  <si>
    <t>A2/1/24/125</t>
  </si>
  <si>
    <t>P-120/2024</t>
  </si>
  <si>
    <t>Skolas ielas (posmā no Viestura ielas līdz Dzirnavu ielai) un Skolas ielas gājēju ietves (posmā no Viestura ielas līdz Bērzu ielai) pārbūve Rūjienā, Valmieras novadā</t>
  </si>
  <si>
    <t>A2/1/24/126</t>
  </si>
  <si>
    <t>P-121/2024</t>
  </si>
  <si>
    <t>20.07.2027.</t>
  </si>
  <si>
    <t>Cēsu ielas (posmā no Rīgas ielas līdz Linarda Laicena, Stacijas, Mazās Stacijas ielas rotācijas aplim) asfalta dilumkārtas atjaunošana, Valmierā, Valmieras novadā</t>
  </si>
  <si>
    <t>Beātes ielas (posmā no Raiņa ielas līdz Kārļa Baumaņa ielai) asfalta dilumkārtas atjaunošana, Valmierā, Valmieras novadā</t>
  </si>
  <si>
    <t>Parka ielas (posmā no Gustava Ērenpreisa ielas līdz Lazdu ielai), asfalta virskārtas atjaunošana Mazsalacā, Valmieras nov</t>
  </si>
  <si>
    <t>05.09.2024.</t>
  </si>
  <si>
    <t>20.08.2039.</t>
  </si>
  <si>
    <t>A2/1/24/195</t>
  </si>
  <si>
    <t>P-183/2024</t>
  </si>
  <si>
    <t>A2/1/24/196</t>
  </si>
  <si>
    <t>P-184/2024</t>
  </si>
  <si>
    <t>A2/1/24/197</t>
  </si>
  <si>
    <t>P-185/2024</t>
  </si>
  <si>
    <t>A2/1/24/198</t>
  </si>
  <si>
    <t>P-186/2024</t>
  </si>
  <si>
    <t>20.08.2034.</t>
  </si>
  <si>
    <t>A2/1/24/199</t>
  </si>
  <si>
    <t>P-187/2024</t>
  </si>
  <si>
    <t>10.09.2024.</t>
  </si>
  <si>
    <t>A2/1/24/218</t>
  </si>
  <si>
    <t>P-206/2024</t>
  </si>
  <si>
    <t>29.10.2024.</t>
  </si>
  <si>
    <t>20.10.2039.</t>
  </si>
  <si>
    <t>A2/1/24/279</t>
  </si>
  <si>
    <t>P-258/2024</t>
  </si>
  <si>
    <t>ANMP projekts Industriālās teritorijas attīstība Valmierā / ar riska procenta likmi/</t>
  </si>
  <si>
    <t>22.11.2024.</t>
  </si>
  <si>
    <t>20.11.2054.</t>
  </si>
  <si>
    <t>A2/1/24/296</t>
  </si>
  <si>
    <t>P-274/2024</t>
  </si>
  <si>
    <t>A2/1/24/297</t>
  </si>
  <si>
    <t>P-275/2024</t>
  </si>
  <si>
    <t>Projekta "Liepu ielas pārbūve Kocēnos" īstenošanai</t>
  </si>
  <si>
    <t>Projekta "Vidus ielas pārbūve Kocēnos, 2.kārta" īstenošanai</t>
  </si>
  <si>
    <t>Industriālās teritorijas attīstība Valmieras valstspilsētā -3.kārta / SAM 5.1.1.1.</t>
  </si>
  <si>
    <t>06.2025.</t>
  </si>
  <si>
    <t>06.2040.</t>
  </si>
  <si>
    <t>04.2025.</t>
  </si>
  <si>
    <t>03.2040.</t>
  </si>
  <si>
    <t>ANMP 3.1.1.5. projekts Mācību vides uzlabošana vispārējās izglītības iestādēs Valmieras novadā</t>
  </si>
  <si>
    <t>09.2025.</t>
  </si>
  <si>
    <t>08.2050.</t>
  </si>
  <si>
    <t>ANMP 3.1.1.5. projekts Mācību vides uzlabošana vispārējās izglītības iestādēs Valmieras novadā papildus izmaksas / prioritārais projekts</t>
  </si>
  <si>
    <t>Industriālās teritorijas attīstība Valmieras valstspilsētā -3.kārta  ārpusprojekta izmaksas / prioritārais projekts</t>
  </si>
  <si>
    <t xml:space="preserve">Rūjienas vidusskolas ēkas vienkāršota pārbūve </t>
  </si>
  <si>
    <t>Valmieras novada Trikātas pamatskolas sporta halles jumta remonts</t>
  </si>
  <si>
    <t xml:space="preserve">05.2025. </t>
  </si>
  <si>
    <t>Jumta nomaiņa izglītības iestādes ēkai Skolas iela 11, Matīši</t>
  </si>
  <si>
    <t>04.2045.</t>
  </si>
  <si>
    <t>SAM 5.1.1.3.projekts Valmieras valstspilsētas Gaujas krasta promenāde</t>
  </si>
  <si>
    <t>SAM 5.1.1.3.projekts Valmieras valstspilsētas Gaujas krasta promenāde papildus izmaksas / prioritārais projekts</t>
  </si>
  <si>
    <t>08.2025.</t>
  </si>
  <si>
    <t>07.2045.</t>
  </si>
  <si>
    <t>SAM 6.1.1.6. projekts Bezemisijas transportlīdzekļu izmantošanas veicināšana Valmieras novadā</t>
  </si>
  <si>
    <t>07.2032.</t>
  </si>
  <si>
    <t>05.2025.</t>
  </si>
  <si>
    <t>04.2040.</t>
  </si>
  <si>
    <t>Ausekļa ielas (posmā no Rīgas ielas līdz Voldemāra Baloža ielai), Valmierā dilumkārtas atjaunošana</t>
  </si>
  <si>
    <t>Ošu ielas, Kocēnos pārbūve un apgaismojuma izbūve</t>
  </si>
  <si>
    <t>05.2040.</t>
  </si>
  <si>
    <t>Pašvaldības autoceļa Burtnieki - Pintes (5,42 km) seguma atjaunošana</t>
  </si>
  <si>
    <t>Autoceļa Matīši - Jaunkriķi - Strazdi seguma atjaunošana</t>
  </si>
  <si>
    <t>07.2025.</t>
  </si>
  <si>
    <t>Semināra ielas, Valmierā no Pāvila Rozīša ielas līdz  pārbūve</t>
  </si>
  <si>
    <t>Parka ielas, Mazsalacā seguma atjaunošana unseguma remonts</t>
  </si>
  <si>
    <t>Valkas ielas (posmā no Raiņa ielas līdz Tērbatas ielai), Valmierā seguma atjaunošana</t>
  </si>
  <si>
    <t>Gājēju ietves Pulkveža Brieža ielā (posmā no Beverīnas ielas līdz Smilšu ielai), Strenčos izbūve</t>
  </si>
  <si>
    <t>Jāņu ielas, Kalēju ielas, Aspazijas ielas, Bērzu ielas, Rūjienā divkārtu virsmas apstrāde</t>
  </si>
  <si>
    <t>4. pielikums</t>
  </si>
  <si>
    <t>Valmieras novada pašvaldības saistošajiem noteikumiem Nr. 146</t>
  </si>
  <si>
    <t>"Par Valmieras novada pašvaldības 2025. gada budžetu"</t>
  </si>
  <si>
    <t>Valmieras novada pašvaldības aizņēmumu, galvojumu un ilgtermiņa saistību apmērs 2025. gadā  un turpmākajos gados</t>
  </si>
  <si>
    <t>Informācijas, izglītības,sporta un sociālās aprūpes dienas centra "Kaimiņi" būvniecībai</t>
  </si>
  <si>
    <t>Informācijas, izglītības,sporta un sociālās aprūpes dienas centra "Kaimiņi" būvniecības pabeigšanai</t>
  </si>
  <si>
    <t>Igaunijas-Latvijas pārrobežu sadarbības programmas projekta "Zaļais dzelzceļš – bijušo dzelzceļa līniju pielāgošana videi draudzīgā tūrisma maršrutā (investīciju daļas) īstenošanai"</t>
  </si>
  <si>
    <t>ERAF projekta (Nr.4.2.2.0/17/I/096) "Energoefektivitātes paaugstināšana izglītības iestādē, Nākotnes ielā 1, Vaidava" īstenošanai</t>
  </si>
  <si>
    <t>KF projekta (Nr.6.1.4.2/17/I/007) "Valmieras pilsētas Rietumu industriālās maģistrāles attīstība - L.Paegles ielas savienojums ar TNT-T tīklu" īstenošanai</t>
  </si>
  <si>
    <t>ERAF projekta (Nr.4.2.2.0/17/I/095) "Energoefektivitātes paaugstināšana Kocēnu inovada domes ēkā Alejas iela 8, Kocēni" īstenošanai</t>
  </si>
  <si>
    <t>Projekta "Mālu ielas Valmierā (posmā no Beātes ielas līdz Matīšu šosejai)pārbūve" īstenošanai</t>
  </si>
  <si>
    <t xml:space="preserve">ERAF projekta (Nr.9.3.1.1/18/I/027) "Sabiedrības balstītu sociālo pakalpojumu infrastruktūras izveide Mazsalacas novadā" īstenošanai </t>
  </si>
  <si>
    <t xml:space="preserve">Pašvaldības autoceļa "Rūjienas šoseja - Slaunes - Valkas šoseja" posma pārbūve (0.00 līdz 0.680 km </t>
  </si>
  <si>
    <t>"Divkārtu virsmas apstrāde autoceļu posmos "Mūrmuižas-Bāle-Brieži ceļš" un "Bāles stacija-Cēsu ceļš", Kauguru pagastā, Valmieras novadā</t>
  </si>
  <si>
    <t>ELFLA projekta (Nr.18-09-A00702-000106) "Pašvaldības grantētā ceļa "Jaunmakuļi - Zilaiskalns" pārbūve" īstenošanai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</si>
  <si>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</si>
  <si>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>Ceļa "Apvedceļš - Sapas" divkārtu virsmu apstrāde Kauguru pagastā, Valmieras novadā</t>
  </si>
  <si>
    <t xml:space="preserve">ERAF projekta "Pašvaldības pakalpojuma centra Valmieras ielā 13, Rencēnos energoefektivitātes paaugstināšana" </t>
  </si>
  <si>
    <t>ERAF SAM 4.2.2. projekta "Pašvaldības ēkas Vaidavā, Skolas ielā 1 energoefektivitātes uzlabošana"</t>
  </si>
  <si>
    <t>ERAF SAM 5.4.3. projekta "Antropogēnās slodzes samazināšana un kompleksu apsaimniekošanas pasākumu īstenošana dabas liegumā "Zilaiskalns""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</si>
  <si>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</si>
  <si>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Autoceļa "Doktorāts – Silavas" asfaltseguma atjaunošana Naukšēnos, Naukšēnu pagastā, Valmieras novadā</t>
  </si>
  <si>
    <t>Prioritārā investīciju projekta "Rūjienas pirmsskolas izglītības iestādes "Vārpiņa" teritroijas labiekārtošanas darbu 4.kārtas un 5.kārtas realizēšanas" īstenošanai</t>
  </si>
  <si>
    <t>Ķieģeļu ielas, Valmierā, izbūvei posmā no Dzegu ielas līdz Parka ielai,</t>
  </si>
  <si>
    <t>Projekta "Cietā kurināmā apkures katla ar granulu degli piegāde un uzstādīšana Burtnieku ciema un Burtnieku skolas katlu mājās / SIA Kocēnu komunālā saimniecība" (no 28.12.2022.)</t>
  </si>
  <si>
    <t>Prioritārā investīciju projekta "Valtenberģu muižas jumta seguma maiņa Mazsalacā" īstenošanai P-631/2018</t>
  </si>
  <si>
    <t>ELFLA projekta (Nr.17-09-AL20-A019.2202-000012) "Tūrisma, izziņas, novadpētniecības veicināšana Kocēnu novada Zilākalna ciemā" īstenošanai"</t>
  </si>
  <si>
    <t>ERAF projekta "Industriālo teritoriju attīstība Valmierā - 1.kārta" SAM 5.6.2. ar komercdarbības atbalstu</t>
  </si>
  <si>
    <t>Valmieras valsts ģimnāzijas mācību vides uzlabošana un dienesta viesnīcas Ausekļa ielā pārbūve 2.kārta, SAM 8.1.2.</t>
  </si>
  <si>
    <t xml:space="preserve">Ielu un ietvju atjaunošana Skolas iela (posmā no Dārza līdz Viestura ielai, Viestura iela (posmā no Skolas līdz Lāčplēša ielai), Stacijas iela (posmā no Skolas līdz Viestura ielai), Rūjienā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</si>
</sst>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0" x14ac:knownFonts="1">
    <font>
      <sz val="10"/>
      <name val="Arial"/>
    </font>
    <font>
      <sz val="10"/>
      <name val="Arial"/>
      <family val="2"/>
      <charset val="186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ahoma"/>
      <family val="2"/>
      <charset val="186"/>
    </font>
    <font>
      <sz val="8"/>
      <name val="Arial"/>
      <family val="2"/>
      <charset val="186"/>
    </font>
    <font>
      <b/>
      <sz val="10"/>
      <color indexed="8"/>
      <name val="Arial"/>
      <family val="2"/>
      <charset val="186"/>
    </font>
    <font>
      <sz val="9.5"/>
      <name val="Arial"/>
      <family val="2"/>
      <charset val="186"/>
    </font>
    <font>
      <sz val="8"/>
      <color indexed="8"/>
      <name val="Arial"/>
      <family val="2"/>
      <charset val="186"/>
    </font>
    <font>
      <b/>
      <sz val="9"/>
      <name val="Arial"/>
      <family val="2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rgb="FF00B050"/>
      <name val="Arial"/>
      <family val="2"/>
      <charset val="186"/>
    </font>
    <font>
      <b/>
      <sz val="11"/>
      <color rgb="FF00B050"/>
      <name val="Arial"/>
      <family val="2"/>
      <charset val="186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</fonts>
  <fills count="10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9" fillId="0" borderId="0"/>
    <xf numFmtId="0" fontId="8" fillId="0" borderId="0"/>
    <xf numFmtId="0" fontId="1" fillId="0" borderId="0"/>
    <xf numFmtId="0" fontId="9" fillId="0" borderId="0"/>
    <xf numFmtId="0" fontId="12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2" fillId="0" borderId="0"/>
    <xf numFmtId="0" fontId="1" fillId="0" borderId="0"/>
    <xf numFmtId="0" fontId="2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4" fontId="3" fillId="2" borderId="1" applyNumberFormat="0" applyProtection="0">
      <alignment horizontal="left" vertical="center" indent="1"/>
    </xf>
    <xf numFmtId="4" fontId="3" fillId="0" borderId="1" applyNumberFormat="0" applyProtection="0">
      <alignment horizontal="right" vertical="center"/>
    </xf>
    <xf numFmtId="4" fontId="3" fillId="2" borderId="1" applyNumberFormat="0" applyProtection="0">
      <alignment horizontal="left" vertical="center" indent="1"/>
    </xf>
  </cellStyleXfs>
  <cellXfs count="20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1" fillId="0" borderId="3" xfId="0" applyFont="1" applyBorder="1"/>
    <xf numFmtId="2" fontId="1" fillId="0" borderId="3" xfId="0" applyNumberFormat="1" applyFont="1" applyBorder="1"/>
    <xf numFmtId="0" fontId="7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 vertical="center" wrapText="1"/>
    </xf>
    <xf numFmtId="3" fontId="11" fillId="0" borderId="3" xfId="0" applyNumberFormat="1" applyFont="1" applyBorder="1"/>
    <xf numFmtId="3" fontId="11" fillId="0" borderId="3" xfId="37" applyNumberFormat="1" applyFont="1" applyBorder="1" applyAlignment="1">
      <alignment horizontal="right" vertical="center" wrapText="1"/>
    </xf>
    <xf numFmtId="0" fontId="1" fillId="0" borderId="4" xfId="0" applyFont="1" applyBorder="1"/>
    <xf numFmtId="3" fontId="0" fillId="0" borderId="4" xfId="0" applyNumberFormat="1" applyBorder="1" applyAlignment="1">
      <alignment vertical="center" wrapText="1"/>
    </xf>
    <xf numFmtId="14" fontId="1" fillId="0" borderId="5" xfId="0" applyNumberFormat="1" applyFont="1" applyBorder="1" applyAlignment="1">
      <alignment vertical="center" wrapText="1"/>
    </xf>
    <xf numFmtId="3" fontId="0" fillId="0" borderId="5" xfId="0" applyNumberFormat="1" applyBorder="1" applyAlignment="1">
      <alignment vertical="center" wrapText="1"/>
    </xf>
    <xf numFmtId="0" fontId="1" fillId="0" borderId="6" xfId="0" applyFont="1" applyBorder="1"/>
    <xf numFmtId="3" fontId="0" fillId="0" borderId="6" xfId="0" applyNumberForma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1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3" fontId="11" fillId="0" borderId="7" xfId="37" applyNumberFormat="1" applyFont="1" applyBorder="1" applyAlignment="1">
      <alignment horizontal="right" vertical="center" wrapText="1"/>
    </xf>
    <xf numFmtId="0" fontId="0" fillId="0" borderId="3" xfId="0" applyBorder="1"/>
    <xf numFmtId="14" fontId="1" fillId="0" borderId="4" xfId="0" applyNumberFormat="1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11" fillId="0" borderId="4" xfId="0" applyFont="1" applyBorder="1"/>
    <xf numFmtId="0" fontId="11" fillId="0" borderId="6" xfId="0" applyFont="1" applyBorder="1"/>
    <xf numFmtId="14" fontId="11" fillId="0" borderId="5" xfId="0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0" fontId="11" fillId="0" borderId="3" xfId="0" applyFont="1" applyBorder="1" applyAlignment="1">
      <alignment vertical="center" wrapText="1"/>
    </xf>
    <xf numFmtId="49" fontId="17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49" fontId="19" fillId="4" borderId="3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3" fontId="11" fillId="0" borderId="4" xfId="0" applyNumberFormat="1" applyFont="1" applyBorder="1"/>
    <xf numFmtId="0" fontId="20" fillId="0" borderId="3" xfId="0" applyFont="1" applyBorder="1" applyAlignment="1">
      <alignment vertical="center" wrapText="1"/>
    </xf>
    <xf numFmtId="3" fontId="10" fillId="0" borderId="6" xfId="0" applyNumberFormat="1" applyFont="1" applyBorder="1" applyAlignment="1">
      <alignment vertical="center" wrapText="1"/>
    </xf>
    <xf numFmtId="49" fontId="14" fillId="3" borderId="4" xfId="0" applyNumberFormat="1" applyFont="1" applyFill="1" applyBorder="1" applyAlignment="1">
      <alignment horizontal="left" vertical="top" wrapText="1"/>
    </xf>
    <xf numFmtId="49" fontId="14" fillId="3" borderId="6" xfId="0" applyNumberFormat="1" applyFont="1" applyFill="1" applyBorder="1" applyAlignment="1">
      <alignment horizontal="left" vertical="top" wrapText="1"/>
    </xf>
    <xf numFmtId="0" fontId="1" fillId="0" borderId="5" xfId="0" applyFont="1" applyBorder="1"/>
    <xf numFmtId="3" fontId="0" fillId="0" borderId="4" xfId="0" applyNumberFormat="1" applyBorder="1"/>
    <xf numFmtId="3" fontId="0" fillId="0" borderId="6" xfId="0" applyNumberFormat="1" applyBorder="1"/>
    <xf numFmtId="3" fontId="10" fillId="0" borderId="6" xfId="0" applyNumberFormat="1" applyFont="1" applyBorder="1"/>
    <xf numFmtId="0" fontId="10" fillId="0" borderId="6" xfId="0" applyFont="1" applyBorder="1"/>
    <xf numFmtId="0" fontId="10" fillId="0" borderId="4" xfId="0" applyFont="1" applyBorder="1"/>
    <xf numFmtId="14" fontId="10" fillId="0" borderId="5" xfId="0" applyNumberFormat="1" applyFont="1" applyBorder="1" applyAlignment="1">
      <alignment vertical="center" wrapText="1"/>
    </xf>
    <xf numFmtId="3" fontId="10" fillId="0" borderId="5" xfId="0" applyNumberFormat="1" applyFont="1" applyBorder="1" applyAlignment="1">
      <alignment vertical="center" wrapText="1"/>
    </xf>
    <xf numFmtId="0" fontId="10" fillId="0" borderId="0" xfId="0" applyFont="1"/>
    <xf numFmtId="2" fontId="10" fillId="0" borderId="0" xfId="0" applyNumberFormat="1" applyFont="1"/>
    <xf numFmtId="3" fontId="1" fillId="0" borderId="6" xfId="0" applyNumberFormat="1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3" fontId="24" fillId="0" borderId="0" xfId="0" applyNumberFormat="1" applyFont="1" applyAlignment="1">
      <alignment vertical="center" wrapText="1"/>
    </xf>
    <xf numFmtId="3" fontId="24" fillId="0" borderId="0" xfId="0" applyNumberFormat="1" applyFont="1"/>
    <xf numFmtId="0" fontId="4" fillId="5" borderId="0" xfId="0" applyFont="1" applyFill="1" applyAlignment="1">
      <alignment wrapText="1"/>
    </xf>
    <xf numFmtId="0" fontId="10" fillId="6" borderId="0" xfId="0" applyFont="1" applyFill="1"/>
    <xf numFmtId="2" fontId="10" fillId="6" borderId="0" xfId="0" applyNumberFormat="1" applyFont="1" applyFill="1"/>
    <xf numFmtId="0" fontId="25" fillId="0" borderId="0" xfId="0" applyFont="1" applyAlignment="1">
      <alignment horizontal="right" vertical="center" wrapText="1"/>
    </xf>
    <xf numFmtId="3" fontId="1" fillId="0" borderId="2" xfId="37" applyNumberFormat="1" applyBorder="1" applyAlignment="1" applyProtection="1">
      <alignment horizontal="right" vertical="center"/>
      <protection locked="0"/>
    </xf>
    <xf numFmtId="3" fontId="1" fillId="0" borderId="10" xfId="37" applyNumberFormat="1" applyBorder="1" applyAlignment="1" applyProtection="1">
      <alignment horizontal="right" vertical="center"/>
      <protection locked="0"/>
    </xf>
    <xf numFmtId="0" fontId="0" fillId="0" borderId="2" xfId="0" applyBorder="1" applyAlignment="1">
      <alignment horizontal="center" vertical="center"/>
    </xf>
    <xf numFmtId="3" fontId="1" fillId="0" borderId="6" xfId="37" applyNumberFormat="1" applyBorder="1" applyAlignment="1" applyProtection="1">
      <alignment horizontal="right" vertical="center"/>
      <protection locked="0"/>
    </xf>
    <xf numFmtId="3" fontId="1" fillId="0" borderId="11" xfId="37" applyNumberFormat="1" applyBorder="1" applyAlignment="1" applyProtection="1">
      <alignment horizontal="right" vertical="center"/>
      <protection locked="0"/>
    </xf>
    <xf numFmtId="3" fontId="1" fillId="0" borderId="4" xfId="37" applyNumberFormat="1" applyBorder="1" applyAlignment="1" applyProtection="1">
      <alignment horizontal="right" vertical="center"/>
      <protection locked="0"/>
    </xf>
    <xf numFmtId="3" fontId="11" fillId="0" borderId="5" xfId="37" applyNumberFormat="1" applyFont="1" applyBorder="1" applyAlignment="1">
      <alignment horizontal="right" vertical="center" wrapText="1"/>
    </xf>
    <xf numFmtId="3" fontId="1" fillId="0" borderId="12" xfId="37" applyNumberFormat="1" applyBorder="1" applyAlignment="1" applyProtection="1">
      <alignment horizontal="right" vertical="center"/>
      <protection locked="0"/>
    </xf>
    <xf numFmtId="3" fontId="1" fillId="5" borderId="10" xfId="37" applyNumberFormat="1" applyFill="1" applyBorder="1" applyAlignment="1" applyProtection="1">
      <alignment horizontal="right" vertical="center"/>
      <protection locked="0"/>
    </xf>
    <xf numFmtId="3" fontId="1" fillId="5" borderId="6" xfId="37" applyNumberFormat="1" applyFill="1" applyBorder="1" applyAlignment="1" applyProtection="1">
      <alignment horizontal="right" vertical="center"/>
      <protection locked="0"/>
    </xf>
    <xf numFmtId="3" fontId="0" fillId="0" borderId="12" xfId="0" applyNumberFormat="1" applyBorder="1" applyAlignment="1">
      <alignment horizontal="right" vertical="center"/>
    </xf>
    <xf numFmtId="3" fontId="1" fillId="0" borderId="4" xfId="0" applyNumberFormat="1" applyFont="1" applyBorder="1"/>
    <xf numFmtId="3" fontId="1" fillId="5" borderId="6" xfId="0" applyNumberFormat="1" applyFont="1" applyFill="1" applyBorder="1"/>
    <xf numFmtId="3" fontId="1" fillId="0" borderId="6" xfId="0" applyNumberFormat="1" applyFont="1" applyBorder="1"/>
    <xf numFmtId="3" fontId="1" fillId="0" borderId="5" xfId="0" applyNumberFormat="1" applyFont="1" applyBorder="1" applyAlignment="1">
      <alignment vertical="center" wrapText="1"/>
    </xf>
    <xf numFmtId="3" fontId="0" fillId="5" borderId="4" xfId="0" applyNumberFormat="1" applyFill="1" applyBorder="1" applyAlignment="1">
      <alignment vertical="center" wrapText="1"/>
    </xf>
    <xf numFmtId="3" fontId="0" fillId="5" borderId="6" xfId="0" applyNumberFormat="1" applyFill="1" applyBorder="1" applyAlignment="1">
      <alignment vertical="center" wrapText="1"/>
    </xf>
    <xf numFmtId="3" fontId="1" fillId="5" borderId="6" xfId="0" applyNumberFormat="1" applyFont="1" applyFill="1" applyBorder="1" applyAlignment="1">
      <alignment vertical="center" wrapText="1"/>
    </xf>
    <xf numFmtId="3" fontId="1" fillId="0" borderId="13" xfId="37" applyNumberFormat="1" applyBorder="1" applyAlignment="1" applyProtection="1">
      <alignment horizontal="right" vertical="center"/>
      <protection locked="0"/>
    </xf>
    <xf numFmtId="3" fontId="1" fillId="0" borderId="8" xfId="37" applyNumberFormat="1" applyBorder="1" applyAlignment="1" applyProtection="1">
      <alignment horizontal="right" vertical="center"/>
      <protection locked="0"/>
    </xf>
    <xf numFmtId="3" fontId="1" fillId="0" borderId="14" xfId="37" applyNumberFormat="1" applyBorder="1" applyAlignment="1" applyProtection="1">
      <alignment horizontal="right" vertical="center"/>
      <protection locked="0"/>
    </xf>
    <xf numFmtId="0" fontId="0" fillId="0" borderId="8" xfId="0" applyBorder="1" applyAlignment="1">
      <alignment horizontal="center" vertical="center"/>
    </xf>
    <xf numFmtId="3" fontId="11" fillId="0" borderId="4" xfId="37" applyNumberFormat="1" applyFont="1" applyBorder="1" applyAlignment="1" applyProtection="1">
      <alignment horizontal="right" vertical="center"/>
      <protection locked="0"/>
    </xf>
    <xf numFmtId="3" fontId="11" fillId="0" borderId="6" xfId="37" applyNumberFormat="1" applyFont="1" applyBorder="1" applyAlignment="1" applyProtection="1">
      <alignment horizontal="right" vertical="center"/>
      <protection locked="0"/>
    </xf>
    <xf numFmtId="3" fontId="1" fillId="5" borderId="4" xfId="0" applyNumberFormat="1" applyFont="1" applyFill="1" applyBorder="1"/>
    <xf numFmtId="3" fontId="10" fillId="0" borderId="4" xfId="0" applyNumberFormat="1" applyFont="1" applyBorder="1"/>
    <xf numFmtId="3" fontId="1" fillId="0" borderId="11" xfId="37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vertical="center"/>
    </xf>
    <xf numFmtId="3" fontId="1" fillId="0" borderId="2" xfId="37" applyNumberFormat="1" applyBorder="1" applyAlignment="1" applyProtection="1">
      <alignment vertical="center"/>
      <protection locked="0"/>
    </xf>
    <xf numFmtId="3" fontId="1" fillId="0" borderId="0" xfId="37" applyNumberFormat="1" applyAlignment="1" applyProtection="1">
      <alignment vertical="center"/>
      <protection locked="0"/>
    </xf>
    <xf numFmtId="3" fontId="1" fillId="0" borderId="6" xfId="37" applyNumberFormat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3" fontId="10" fillId="5" borderId="4" xfId="0" applyNumberFormat="1" applyFont="1" applyFill="1" applyBorder="1"/>
    <xf numFmtId="3" fontId="1" fillId="0" borderId="2" xfId="0" applyNumberFormat="1" applyFont="1" applyBorder="1"/>
    <xf numFmtId="3" fontId="1" fillId="0" borderId="8" xfId="0" applyNumberFormat="1" applyFont="1" applyBorder="1"/>
    <xf numFmtId="3" fontId="0" fillId="0" borderId="2" xfId="0" applyNumberFormat="1" applyBorder="1" applyAlignment="1">
      <alignment vertical="center" wrapText="1"/>
    </xf>
    <xf numFmtId="3" fontId="1" fillId="0" borderId="4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vertical="center" wrapText="1"/>
    </xf>
    <xf numFmtId="3" fontId="1" fillId="0" borderId="11" xfId="0" applyNumberFormat="1" applyFont="1" applyBorder="1" applyAlignment="1">
      <alignment vertical="center" wrapText="1"/>
    </xf>
    <xf numFmtId="3" fontId="0" fillId="0" borderId="11" xfId="0" applyNumberFormat="1" applyBorder="1" applyAlignment="1">
      <alignment vertical="center" wrapText="1"/>
    </xf>
    <xf numFmtId="3" fontId="11" fillId="0" borderId="9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horizontal="right" vertical="center"/>
    </xf>
    <xf numFmtId="3" fontId="0" fillId="0" borderId="0" xfId="0" applyNumberFormat="1"/>
    <xf numFmtId="3" fontId="11" fillId="8" borderId="3" xfId="0" applyNumberFormat="1" applyFont="1" applyFill="1" applyBorder="1"/>
    <xf numFmtId="3" fontId="0" fillId="9" borderId="4" xfId="0" applyNumberForma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3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9" fillId="0" borderId="7" xfId="0" applyFont="1" applyBorder="1" applyAlignment="1">
      <alignment horizontal="left" wrapText="1"/>
    </xf>
    <xf numFmtId="0" fontId="9" fillId="0" borderId="17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0" fontId="4" fillId="8" borderId="3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49" fontId="11" fillId="5" borderId="4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2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5" xfId="37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37" applyNumberFormat="1" applyBorder="1" applyAlignment="1" applyProtection="1">
      <alignment horizontal="center" vertical="center" wrapText="1"/>
      <protection locked="0"/>
    </xf>
    <xf numFmtId="49" fontId="1" fillId="0" borderId="2" xfId="37" applyNumberFormat="1" applyBorder="1" applyAlignment="1" applyProtection="1">
      <alignment horizontal="center" vertical="center" wrapText="1"/>
      <protection locked="0"/>
    </xf>
    <xf numFmtId="49" fontId="1" fillId="0" borderId="5" xfId="37" applyNumberFormat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9" fillId="0" borderId="4" xfId="10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9" fillId="0" borderId="5" xfId="10" applyFont="1" applyBorder="1" applyAlignment="1">
      <alignment horizontal="center" vertical="center" wrapText="1"/>
    </xf>
    <xf numFmtId="49" fontId="1" fillId="5" borderId="4" xfId="37" applyNumberFormat="1" applyFill="1" applyBorder="1" applyAlignment="1" applyProtection="1">
      <alignment horizontal="left" vertical="center" wrapText="1"/>
      <protection locked="0"/>
    </xf>
    <xf numFmtId="49" fontId="1" fillId="5" borderId="2" xfId="37" applyNumberFormat="1" applyFill="1" applyBorder="1" applyAlignment="1" applyProtection="1">
      <alignment horizontal="left" vertical="center" wrapText="1"/>
      <protection locked="0"/>
    </xf>
    <xf numFmtId="49" fontId="1" fillId="5" borderId="5" xfId="37" applyNumberFormat="1" applyFill="1" applyBorder="1" applyAlignment="1" applyProtection="1">
      <alignment horizontal="left" vertical="center" wrapText="1"/>
      <protection locked="0"/>
    </xf>
    <xf numFmtId="0" fontId="1" fillId="5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4" xfId="37" applyNumberFormat="1" applyBorder="1" applyAlignment="1" applyProtection="1">
      <alignment horizontal="left" vertical="center" wrapText="1"/>
      <protection locked="0"/>
    </xf>
    <xf numFmtId="49" fontId="1" fillId="0" borderId="2" xfId="37" applyNumberFormat="1" applyBorder="1" applyAlignment="1" applyProtection="1">
      <alignment horizontal="left" vertical="center" wrapText="1"/>
      <protection locked="0"/>
    </xf>
    <xf numFmtId="49" fontId="1" fillId="0" borderId="5" xfId="37" applyNumberFormat="1" applyBorder="1" applyAlignment="1" applyProtection="1">
      <alignment horizontal="left" vertical="center" wrapText="1"/>
      <protection locked="0"/>
    </xf>
    <xf numFmtId="14" fontId="1" fillId="5" borderId="4" xfId="0" applyNumberFormat="1" applyFont="1" applyFill="1" applyBorder="1" applyAlignment="1">
      <alignment horizontal="center" vertical="center" wrapText="1"/>
    </xf>
    <xf numFmtId="14" fontId="1" fillId="5" borderId="2" xfId="0" applyNumberFormat="1" applyFont="1" applyFill="1" applyBorder="1" applyAlignment="1">
      <alignment horizontal="center" vertical="center" wrapText="1"/>
    </xf>
    <xf numFmtId="14" fontId="1" fillId="5" borderId="5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49" fontId="18" fillId="0" borderId="4" xfId="37" applyNumberFormat="1" applyFont="1" applyBorder="1" applyAlignment="1" applyProtection="1">
      <alignment horizontal="left" vertical="center" wrapText="1"/>
      <protection locked="0"/>
    </xf>
    <xf numFmtId="49" fontId="18" fillId="0" borderId="2" xfId="37" applyNumberFormat="1" applyFont="1" applyBorder="1" applyAlignment="1" applyProtection="1">
      <alignment horizontal="left" vertical="center" wrapText="1"/>
      <protection locked="0"/>
    </xf>
    <xf numFmtId="49" fontId="18" fillId="0" borderId="5" xfId="37" applyNumberFormat="1" applyFont="1" applyBorder="1" applyAlignment="1" applyProtection="1">
      <alignment horizontal="left" vertical="center" wrapText="1"/>
      <protection locked="0"/>
    </xf>
    <xf numFmtId="0" fontId="13" fillId="0" borderId="13" xfId="0" applyFont="1" applyBorder="1" applyAlignment="1">
      <alignment horizontal="left"/>
    </xf>
    <xf numFmtId="0" fontId="13" fillId="0" borderId="0" xfId="0" applyFont="1" applyAlignment="1">
      <alignment horizontal="left"/>
    </xf>
    <xf numFmtId="49" fontId="7" fillId="0" borderId="15" xfId="37" applyNumberFormat="1" applyFont="1" applyBorder="1" applyAlignment="1" applyProtection="1">
      <alignment horizontal="left" vertical="center" wrapText="1"/>
      <protection locked="0"/>
    </xf>
    <xf numFmtId="49" fontId="7" fillId="0" borderId="13" xfId="37" applyNumberFormat="1" applyFont="1" applyBorder="1" applyAlignment="1" applyProtection="1">
      <alignment horizontal="left" vertical="center" wrapText="1"/>
      <protection locked="0"/>
    </xf>
    <xf numFmtId="49" fontId="7" fillId="0" borderId="16" xfId="37" applyNumberFormat="1" applyFont="1" applyBorder="1" applyAlignment="1" applyProtection="1">
      <alignment horizontal="left" vertical="center" wrapText="1"/>
      <protection locked="0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3" xfId="0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0" fillId="7" borderId="3" xfId="0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" fillId="5" borderId="3" xfId="10" applyFill="1" applyBorder="1" applyAlignment="1">
      <alignment horizontal="left" vertical="center" wrapText="1"/>
    </xf>
    <xf numFmtId="49" fontId="1" fillId="5" borderId="3" xfId="37" applyNumberFormat="1" applyFill="1" applyBorder="1" applyAlignment="1" applyProtection="1">
      <alignment horizontal="left" vertical="center" wrapText="1"/>
      <protection locked="0"/>
    </xf>
    <xf numFmtId="49" fontId="15" fillId="3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14" fontId="0" fillId="5" borderId="3" xfId="0" applyNumberFormat="1" applyFill="1" applyBorder="1" applyAlignment="1">
      <alignment horizontal="center" vertical="center" wrapText="1"/>
    </xf>
    <xf numFmtId="14" fontId="0" fillId="5" borderId="4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1" fillId="0" borderId="3" xfId="0" quotePrefix="1" applyNumberFormat="1" applyFont="1" applyBorder="1" applyAlignment="1">
      <alignment horizontal="center" vertical="center" wrapText="1"/>
    </xf>
    <xf numFmtId="3" fontId="23" fillId="0" borderId="0" xfId="0" applyNumberFormat="1" applyFont="1" applyAlignment="1">
      <alignment horizontal="right"/>
    </xf>
  </cellXfs>
  <cellStyles count="46">
    <cellStyle name="Comma 2" xfId="1" xr:uid="{00000000-0005-0000-0000-000000000000}"/>
    <cellStyle name="Comma 2 2" xfId="2" xr:uid="{00000000-0005-0000-0000-000001000000}"/>
    <cellStyle name="Comma 2 2 2" xfId="3" xr:uid="{00000000-0005-0000-0000-000002000000}"/>
    <cellStyle name="Comma 2 3" xfId="4" xr:uid="{00000000-0005-0000-0000-000003000000}"/>
    <cellStyle name="Comma 2 3 2" xfId="5" xr:uid="{00000000-0005-0000-0000-000004000000}"/>
    <cellStyle name="Comma 3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2 2" xfId="9" xr:uid="{00000000-0005-0000-0000-000009000000}"/>
    <cellStyle name="Normal 2 2 2 2" xfId="10" xr:uid="{00000000-0005-0000-0000-00000A000000}"/>
    <cellStyle name="Normal 2 2 3" xfId="11" xr:uid="{00000000-0005-0000-0000-00000B000000}"/>
    <cellStyle name="Normal 2 2 3 2" xfId="12" xr:uid="{00000000-0005-0000-0000-00000C000000}"/>
    <cellStyle name="Normal 2 2 4" xfId="13" xr:uid="{00000000-0005-0000-0000-00000D000000}"/>
    <cellStyle name="Normal 2 3" xfId="14" xr:uid="{00000000-0005-0000-0000-00000E000000}"/>
    <cellStyle name="Normal 2 3 2" xfId="15" xr:uid="{00000000-0005-0000-0000-00000F000000}"/>
    <cellStyle name="Normal 2 4" xfId="16" xr:uid="{00000000-0005-0000-0000-000010000000}"/>
    <cellStyle name="Normal 2 5" xfId="17" xr:uid="{00000000-0005-0000-0000-000011000000}"/>
    <cellStyle name="Normal 2 5 2" xfId="18" xr:uid="{00000000-0005-0000-0000-000012000000}"/>
    <cellStyle name="Normal 3" xfId="19" xr:uid="{00000000-0005-0000-0000-000013000000}"/>
    <cellStyle name="Normal 3 2" xfId="20" xr:uid="{00000000-0005-0000-0000-000014000000}"/>
    <cellStyle name="Normal 3 2 2" xfId="21" xr:uid="{00000000-0005-0000-0000-000015000000}"/>
    <cellStyle name="Normal 3 3" xfId="22" xr:uid="{00000000-0005-0000-0000-000016000000}"/>
    <cellStyle name="Normal 3 4" xfId="23" xr:uid="{00000000-0005-0000-0000-000017000000}"/>
    <cellStyle name="Normal 3 4 2" xfId="24" xr:uid="{00000000-0005-0000-0000-000018000000}"/>
    <cellStyle name="Normal 4" xfId="25" xr:uid="{00000000-0005-0000-0000-000019000000}"/>
    <cellStyle name="Normal 4 2" xfId="26" xr:uid="{00000000-0005-0000-0000-00001A000000}"/>
    <cellStyle name="Normal 4 2 2" xfId="27" xr:uid="{00000000-0005-0000-0000-00001B000000}"/>
    <cellStyle name="Normal 4 3" xfId="28" xr:uid="{00000000-0005-0000-0000-00001C000000}"/>
    <cellStyle name="Normal 5" xfId="29" xr:uid="{00000000-0005-0000-0000-00001D000000}"/>
    <cellStyle name="Normal 5 2" xfId="30" xr:uid="{00000000-0005-0000-0000-00001E000000}"/>
    <cellStyle name="Normal 5 2 2" xfId="31" xr:uid="{00000000-0005-0000-0000-00001F000000}"/>
    <cellStyle name="Normal 5 3" xfId="32" xr:uid="{00000000-0005-0000-0000-000020000000}"/>
    <cellStyle name="Normal 5 3 2" xfId="33" xr:uid="{00000000-0005-0000-0000-000021000000}"/>
    <cellStyle name="Normal 6" xfId="34" xr:uid="{00000000-0005-0000-0000-000022000000}"/>
    <cellStyle name="Normal 6 2" xfId="35" xr:uid="{00000000-0005-0000-0000-000023000000}"/>
    <cellStyle name="Normal 7" xfId="36" xr:uid="{00000000-0005-0000-0000-000024000000}"/>
    <cellStyle name="Normal_Pamatformas" xfId="37" xr:uid="{00000000-0005-0000-0000-000025000000}"/>
    <cellStyle name="Percent 2" xfId="38" xr:uid="{00000000-0005-0000-0000-000026000000}"/>
    <cellStyle name="Percent 2 2" xfId="39" xr:uid="{00000000-0005-0000-0000-000027000000}"/>
    <cellStyle name="Percent 2 2 2" xfId="40" xr:uid="{00000000-0005-0000-0000-000028000000}"/>
    <cellStyle name="Percent 2 3" xfId="41" xr:uid="{00000000-0005-0000-0000-000029000000}"/>
    <cellStyle name="Percent 2 3 2" xfId="42" xr:uid="{00000000-0005-0000-0000-00002A000000}"/>
    <cellStyle name="SAPBEXchaText" xfId="43" xr:uid="{00000000-0005-0000-0000-00002B000000}"/>
    <cellStyle name="SAPBEXstdData" xfId="44" xr:uid="{00000000-0005-0000-0000-00002C000000}"/>
    <cellStyle name="SAPBEXstdItem" xfId="45" xr:uid="{00000000-0005-0000-0000-00002D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033BA-30B2-4A5D-AEFF-FAC784E97046}">
  <dimension ref="A1:P589"/>
  <sheetViews>
    <sheetView tabSelected="1" zoomScale="90" zoomScaleNormal="90" workbookViewId="0">
      <pane xSplit="5" ySplit="7" topLeftCell="F414" activePane="bottomRight" state="frozen"/>
      <selection pane="topRight" activeCell="F1" sqref="F1"/>
      <selection pane="bottomLeft" activeCell="A8" sqref="A8"/>
      <selection pane="bottomRight" activeCell="C422" sqref="C422:C424"/>
    </sheetView>
  </sheetViews>
  <sheetFormatPr defaultRowHeight="13.2" outlineLevelRow="1" outlineLevelCol="1" x14ac:dyDescent="0.25"/>
  <cols>
    <col min="1" max="1" width="6.44140625" customWidth="1"/>
    <col min="2" max="2" width="10.88671875" customWidth="1"/>
    <col min="3" max="3" width="45.33203125" customWidth="1"/>
    <col min="4" max="4" width="12.109375" customWidth="1"/>
    <col min="5" max="5" width="11.6640625" customWidth="1"/>
    <col min="6" max="6" width="13" style="1" customWidth="1"/>
    <col min="7" max="7" width="15.33203125" customWidth="1"/>
    <col min="8" max="8" width="11.6640625" customWidth="1" outlineLevel="1"/>
    <col min="9" max="10" width="11" customWidth="1" outlineLevel="1"/>
    <col min="11" max="11" width="10.88671875" customWidth="1" outlineLevel="1"/>
    <col min="12" max="14" width="11.109375" customWidth="1" outlineLevel="1"/>
    <col min="15" max="15" width="12.109375" customWidth="1" outlineLevel="1"/>
    <col min="16" max="16" width="12.88671875" customWidth="1" outlineLevel="1"/>
  </cols>
  <sheetData>
    <row r="1" spans="1:16" x14ac:dyDescent="0.25">
      <c r="I1" s="206" t="s">
        <v>657</v>
      </c>
      <c r="J1" s="206"/>
      <c r="K1" s="206"/>
      <c r="L1" s="206"/>
      <c r="M1" s="206"/>
      <c r="N1" s="206"/>
      <c r="O1" s="206"/>
      <c r="P1" s="206"/>
    </row>
    <row r="2" spans="1:16" x14ac:dyDescent="0.25">
      <c r="I2" s="206" t="s">
        <v>658</v>
      </c>
      <c r="J2" s="206"/>
      <c r="K2" s="206"/>
      <c r="L2" s="206"/>
      <c r="M2" s="206"/>
      <c r="N2" s="206"/>
      <c r="O2" s="206"/>
      <c r="P2" s="206"/>
    </row>
    <row r="3" spans="1:16" x14ac:dyDescent="0.25">
      <c r="I3" s="206" t="s">
        <v>659</v>
      </c>
      <c r="J3" s="206"/>
      <c r="K3" s="206"/>
      <c r="L3" s="206"/>
      <c r="M3" s="206"/>
      <c r="N3" s="206"/>
      <c r="O3" s="206"/>
      <c r="P3" s="206"/>
    </row>
    <row r="4" spans="1:16" ht="15.6" x14ac:dyDescent="0.3">
      <c r="C4" s="2" t="s">
        <v>660</v>
      </c>
    </row>
    <row r="5" spans="1:16" ht="7.5" customHeight="1" x14ac:dyDescent="0.25"/>
    <row r="6" spans="1:16" ht="42.6" customHeight="1" x14ac:dyDescent="0.25">
      <c r="A6" s="21"/>
      <c r="B6" s="28" t="s">
        <v>1</v>
      </c>
      <c r="C6" s="28" t="s">
        <v>0</v>
      </c>
      <c r="D6" s="28" t="s">
        <v>78</v>
      </c>
      <c r="E6" s="29" t="s">
        <v>96</v>
      </c>
      <c r="F6" s="28" t="s">
        <v>436</v>
      </c>
      <c r="G6" s="28"/>
      <c r="H6" s="33">
        <v>2025</v>
      </c>
      <c r="I6" s="33">
        <v>2026</v>
      </c>
      <c r="J6" s="33">
        <v>2027</v>
      </c>
      <c r="K6" s="33">
        <v>2028</v>
      </c>
      <c r="L6" s="33">
        <v>2029</v>
      </c>
      <c r="M6" s="33">
        <v>2030</v>
      </c>
      <c r="N6" s="33">
        <v>2031</v>
      </c>
      <c r="O6" s="35" t="s">
        <v>2</v>
      </c>
      <c r="P6" s="33" t="s">
        <v>444</v>
      </c>
    </row>
    <row r="7" spans="1:16" ht="12.6" customHeight="1" x14ac:dyDescent="0.25">
      <c r="A7" s="30">
        <v>1</v>
      </c>
      <c r="B7" s="7">
        <v>2</v>
      </c>
      <c r="C7" s="7">
        <v>3</v>
      </c>
      <c r="D7" s="7">
        <v>4</v>
      </c>
      <c r="E7" s="31" t="s">
        <v>443</v>
      </c>
      <c r="F7" s="7">
        <v>6</v>
      </c>
      <c r="G7" s="32">
        <v>7</v>
      </c>
      <c r="H7" s="32">
        <v>8</v>
      </c>
      <c r="I7" s="32">
        <v>9</v>
      </c>
      <c r="J7" s="32">
        <v>10</v>
      </c>
      <c r="K7" s="32">
        <v>11</v>
      </c>
      <c r="L7" s="32">
        <v>12</v>
      </c>
      <c r="M7" s="32">
        <v>13</v>
      </c>
      <c r="N7" s="32">
        <v>14</v>
      </c>
      <c r="O7" s="32">
        <v>15</v>
      </c>
      <c r="P7" s="32">
        <v>16</v>
      </c>
    </row>
    <row r="8" spans="1:16" ht="18" customHeight="1" x14ac:dyDescent="0.25">
      <c r="A8" s="109">
        <v>1</v>
      </c>
      <c r="B8" s="105" t="s">
        <v>11</v>
      </c>
      <c r="C8" s="107" t="s">
        <v>64</v>
      </c>
      <c r="D8" s="182">
        <v>36607</v>
      </c>
      <c r="E8" s="182" t="s">
        <v>97</v>
      </c>
      <c r="F8" s="205" t="s">
        <v>98</v>
      </c>
      <c r="G8" s="10" t="s">
        <v>5</v>
      </c>
      <c r="H8" s="11">
        <v>68349</v>
      </c>
      <c r="I8" s="11">
        <v>68349</v>
      </c>
      <c r="J8" s="11">
        <v>68349</v>
      </c>
      <c r="K8" s="11">
        <v>68349</v>
      </c>
      <c r="L8" s="11">
        <v>68349</v>
      </c>
      <c r="M8" s="11">
        <v>68349</v>
      </c>
      <c r="N8" s="11">
        <v>68349</v>
      </c>
      <c r="O8" s="11">
        <f>468779-68349-68349-68349</f>
        <v>263732</v>
      </c>
      <c r="P8" s="11">
        <f>SUM(H8:O8)</f>
        <v>742175</v>
      </c>
    </row>
    <row r="9" spans="1:16" ht="15.75" customHeight="1" x14ac:dyDescent="0.25">
      <c r="A9" s="109"/>
      <c r="B9" s="105"/>
      <c r="C9" s="107"/>
      <c r="D9" s="182"/>
      <c r="E9" s="182"/>
      <c r="F9" s="205"/>
      <c r="G9" s="14" t="s">
        <v>8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f t="shared" ref="P9:P66" si="0">SUM(H9:O9)</f>
        <v>0</v>
      </c>
    </row>
    <row r="10" spans="1:16" ht="15.75" customHeight="1" x14ac:dyDescent="0.25">
      <c r="A10" s="109"/>
      <c r="B10" s="105"/>
      <c r="C10" s="107"/>
      <c r="D10" s="182"/>
      <c r="E10" s="182"/>
      <c r="F10" s="205"/>
      <c r="G10" s="12" t="s">
        <v>99</v>
      </c>
      <c r="H10" s="13">
        <f t="shared" ref="H10:O10" si="1">SUM(H8:H9)</f>
        <v>68349</v>
      </c>
      <c r="I10" s="13">
        <f t="shared" si="1"/>
        <v>68349</v>
      </c>
      <c r="J10" s="13">
        <f t="shared" si="1"/>
        <v>68349</v>
      </c>
      <c r="K10" s="13">
        <f t="shared" si="1"/>
        <v>68349</v>
      </c>
      <c r="L10" s="13">
        <f t="shared" si="1"/>
        <v>68349</v>
      </c>
      <c r="M10" s="13">
        <f t="shared" si="1"/>
        <v>68349</v>
      </c>
      <c r="N10" s="13">
        <f t="shared" si="1"/>
        <v>68349</v>
      </c>
      <c r="O10" s="13">
        <f t="shared" si="1"/>
        <v>263732</v>
      </c>
      <c r="P10" s="92">
        <f t="shared" si="0"/>
        <v>742175</v>
      </c>
    </row>
    <row r="11" spans="1:16" ht="19.5" customHeight="1" x14ac:dyDescent="0.25">
      <c r="A11" s="109">
        <f>A8+1</f>
        <v>2</v>
      </c>
      <c r="B11" s="105" t="s">
        <v>11</v>
      </c>
      <c r="C11" s="107" t="s">
        <v>65</v>
      </c>
      <c r="D11" s="190">
        <v>39191</v>
      </c>
      <c r="E11" s="166" t="s">
        <v>102</v>
      </c>
      <c r="F11" s="22" t="s">
        <v>100</v>
      </c>
      <c r="G11" s="10" t="s">
        <v>5</v>
      </c>
      <c r="H11" s="11">
        <v>8488</v>
      </c>
      <c r="I11" s="11">
        <v>8488</v>
      </c>
      <c r="J11" s="11">
        <v>2116</v>
      </c>
      <c r="K11" s="11">
        <v>0</v>
      </c>
      <c r="L11" s="11">
        <v>0</v>
      </c>
      <c r="M11" s="11">
        <v>0</v>
      </c>
      <c r="N11" s="11">
        <v>0</v>
      </c>
      <c r="O11" s="16">
        <v>0</v>
      </c>
      <c r="P11" s="11">
        <f>SUM(H11:O11)</f>
        <v>19092</v>
      </c>
    </row>
    <row r="12" spans="1:16" ht="15.75" customHeight="1" x14ac:dyDescent="0.25">
      <c r="A12" s="109"/>
      <c r="B12" s="105"/>
      <c r="C12" s="107"/>
      <c r="D12" s="203"/>
      <c r="E12" s="167"/>
      <c r="F12" s="17" t="s">
        <v>101</v>
      </c>
      <c r="G12" s="14" t="s">
        <v>8</v>
      </c>
      <c r="H12" s="15">
        <f>573+45</f>
        <v>618</v>
      </c>
      <c r="I12" s="15">
        <f>269+24</f>
        <v>293</v>
      </c>
      <c r="J12" s="15">
        <v>46</v>
      </c>
      <c r="K12" s="15">
        <v>0</v>
      </c>
      <c r="L12" s="15">
        <v>0</v>
      </c>
      <c r="M12" s="15">
        <v>0</v>
      </c>
      <c r="N12" s="15">
        <v>0</v>
      </c>
      <c r="O12" s="18">
        <v>0</v>
      </c>
      <c r="P12" s="15">
        <f t="shared" si="0"/>
        <v>957</v>
      </c>
    </row>
    <row r="13" spans="1:16" ht="15.75" customHeight="1" x14ac:dyDescent="0.25">
      <c r="A13" s="109"/>
      <c r="B13" s="105"/>
      <c r="C13" s="107"/>
      <c r="D13" s="204"/>
      <c r="E13" s="168"/>
      <c r="F13" s="12"/>
      <c r="G13" s="12" t="s">
        <v>99</v>
      </c>
      <c r="H13" s="13">
        <f t="shared" ref="H13:O13" si="2">SUM(H11:H12)</f>
        <v>9106</v>
      </c>
      <c r="I13" s="13">
        <f t="shared" si="2"/>
        <v>8781</v>
      </c>
      <c r="J13" s="13">
        <f t="shared" si="2"/>
        <v>2162</v>
      </c>
      <c r="K13" s="13">
        <f t="shared" si="2"/>
        <v>0</v>
      </c>
      <c r="L13" s="13">
        <f>SUM(L11:L12)</f>
        <v>0</v>
      </c>
      <c r="M13" s="13">
        <f>SUM(M11:M12)</f>
        <v>0</v>
      </c>
      <c r="N13" s="13">
        <f>SUM(N11:N12)</f>
        <v>0</v>
      </c>
      <c r="O13" s="13">
        <f t="shared" si="2"/>
        <v>0</v>
      </c>
      <c r="P13" s="92">
        <f t="shared" si="0"/>
        <v>20049</v>
      </c>
    </row>
    <row r="14" spans="1:16" ht="15" customHeight="1" x14ac:dyDescent="0.25">
      <c r="A14" s="109">
        <f>A11+1</f>
        <v>3</v>
      </c>
      <c r="B14" s="105" t="s">
        <v>11</v>
      </c>
      <c r="C14" s="107" t="s">
        <v>45</v>
      </c>
      <c r="D14" s="190">
        <v>39238</v>
      </c>
      <c r="E14" s="166" t="s">
        <v>103</v>
      </c>
      <c r="F14" s="22" t="s">
        <v>104</v>
      </c>
      <c r="G14" s="10" t="s">
        <v>5</v>
      </c>
      <c r="H14" s="11">
        <v>17044</v>
      </c>
      <c r="I14" s="11">
        <v>17044</v>
      </c>
      <c r="J14" s="11">
        <v>8515</v>
      </c>
      <c r="K14" s="11">
        <v>0</v>
      </c>
      <c r="L14" s="11">
        <v>0</v>
      </c>
      <c r="M14" s="11">
        <v>0</v>
      </c>
      <c r="N14" s="11">
        <v>0</v>
      </c>
      <c r="O14" s="16">
        <v>0</v>
      </c>
      <c r="P14" s="11">
        <f>SUM(H14:O14)</f>
        <v>42603</v>
      </c>
    </row>
    <row r="15" spans="1:16" ht="14.25" customHeight="1" x14ac:dyDescent="0.25">
      <c r="A15" s="109"/>
      <c r="B15" s="105"/>
      <c r="C15" s="107"/>
      <c r="D15" s="203"/>
      <c r="E15" s="167"/>
      <c r="F15" s="17" t="s">
        <v>105</v>
      </c>
      <c r="G15" s="14" t="s">
        <v>8</v>
      </c>
      <c r="H15" s="15">
        <f>1216+101</f>
        <v>1317</v>
      </c>
      <c r="I15" s="15">
        <f>623+58</f>
        <v>681</v>
      </c>
      <c r="J15" s="15">
        <f>143+13</f>
        <v>156</v>
      </c>
      <c r="K15" s="15">
        <v>0</v>
      </c>
      <c r="L15" s="15">
        <v>0</v>
      </c>
      <c r="M15" s="15">
        <v>0</v>
      </c>
      <c r="N15" s="15">
        <v>0</v>
      </c>
      <c r="O15" s="18">
        <v>0</v>
      </c>
      <c r="P15" s="15">
        <f t="shared" si="0"/>
        <v>2154</v>
      </c>
    </row>
    <row r="16" spans="1:16" ht="14.25" customHeight="1" x14ac:dyDescent="0.25">
      <c r="A16" s="109"/>
      <c r="B16" s="105"/>
      <c r="C16" s="107"/>
      <c r="D16" s="204"/>
      <c r="E16" s="168"/>
      <c r="F16" s="12"/>
      <c r="G16" s="12" t="s">
        <v>99</v>
      </c>
      <c r="H16" s="13">
        <f t="shared" ref="H16:O16" si="3">SUM(H14:H15)</f>
        <v>18361</v>
      </c>
      <c r="I16" s="13">
        <f t="shared" si="3"/>
        <v>17725</v>
      </c>
      <c r="J16" s="13">
        <f t="shared" si="3"/>
        <v>8671</v>
      </c>
      <c r="K16" s="13">
        <f t="shared" si="3"/>
        <v>0</v>
      </c>
      <c r="L16" s="13">
        <f>SUM(L14:L15)</f>
        <v>0</v>
      </c>
      <c r="M16" s="13">
        <f>SUM(M14:M15)</f>
        <v>0</v>
      </c>
      <c r="N16" s="13">
        <f>SUM(N14:N15)</f>
        <v>0</v>
      </c>
      <c r="O16" s="13">
        <f t="shared" si="3"/>
        <v>0</v>
      </c>
      <c r="P16" s="92">
        <f t="shared" si="0"/>
        <v>44757</v>
      </c>
    </row>
    <row r="17" spans="1:16" ht="17.25" customHeight="1" x14ac:dyDescent="0.25">
      <c r="A17" s="109">
        <f>A14+1</f>
        <v>4</v>
      </c>
      <c r="B17" s="105" t="s">
        <v>11</v>
      </c>
      <c r="C17" s="107" t="s">
        <v>46</v>
      </c>
      <c r="D17" s="182">
        <v>39238</v>
      </c>
      <c r="E17" s="181" t="s">
        <v>103</v>
      </c>
      <c r="F17" s="22" t="s">
        <v>106</v>
      </c>
      <c r="G17" s="10" t="s">
        <v>5</v>
      </c>
      <c r="H17" s="11">
        <v>3412</v>
      </c>
      <c r="I17" s="11">
        <v>3412</v>
      </c>
      <c r="J17" s="16">
        <v>1696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1">
        <f>SUM(H17:O17)</f>
        <v>8520</v>
      </c>
    </row>
    <row r="18" spans="1:16" ht="15.75" customHeight="1" x14ac:dyDescent="0.25">
      <c r="A18" s="109"/>
      <c r="B18" s="105"/>
      <c r="C18" s="107"/>
      <c r="D18" s="182"/>
      <c r="E18" s="181"/>
      <c r="F18" s="17" t="s">
        <v>107</v>
      </c>
      <c r="G18" s="14" t="s">
        <v>8</v>
      </c>
      <c r="H18" s="15">
        <v>263</v>
      </c>
      <c r="I18" s="15">
        <v>136</v>
      </c>
      <c r="J18" s="18">
        <v>31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5">
        <f t="shared" si="0"/>
        <v>430</v>
      </c>
    </row>
    <row r="19" spans="1:16" ht="15.75" customHeight="1" x14ac:dyDescent="0.25">
      <c r="A19" s="109"/>
      <c r="B19" s="105"/>
      <c r="C19" s="107"/>
      <c r="D19" s="182"/>
      <c r="E19" s="181"/>
      <c r="F19" s="12"/>
      <c r="G19" s="12" t="s">
        <v>99</v>
      </c>
      <c r="H19" s="13">
        <f t="shared" ref="H19:O19" si="4">SUM(H17:H18)</f>
        <v>3675</v>
      </c>
      <c r="I19" s="13">
        <f t="shared" si="4"/>
        <v>3548</v>
      </c>
      <c r="J19" s="13">
        <f t="shared" si="4"/>
        <v>1727</v>
      </c>
      <c r="K19" s="13">
        <f t="shared" si="4"/>
        <v>0</v>
      </c>
      <c r="L19" s="13">
        <f>SUM(L17:L18)</f>
        <v>0</v>
      </c>
      <c r="M19" s="13">
        <f>SUM(M17:M18)</f>
        <v>0</v>
      </c>
      <c r="N19" s="13">
        <f>SUM(N17:N18)</f>
        <v>0</v>
      </c>
      <c r="O19" s="13">
        <f t="shared" si="4"/>
        <v>0</v>
      </c>
      <c r="P19" s="92">
        <f t="shared" si="0"/>
        <v>8950</v>
      </c>
    </row>
    <row r="20" spans="1:16" ht="16.5" customHeight="1" x14ac:dyDescent="0.25">
      <c r="A20" s="109">
        <f>A17+1</f>
        <v>5</v>
      </c>
      <c r="B20" s="105" t="s">
        <v>11</v>
      </c>
      <c r="C20" s="107" t="s">
        <v>12</v>
      </c>
      <c r="D20" s="182">
        <v>39328</v>
      </c>
      <c r="E20" s="181" t="s">
        <v>110</v>
      </c>
      <c r="F20" s="22" t="s">
        <v>108</v>
      </c>
      <c r="G20" s="10" t="s">
        <v>5</v>
      </c>
      <c r="H20" s="11">
        <v>23523</v>
      </c>
      <c r="I20" s="11">
        <v>23523</v>
      </c>
      <c r="J20" s="11">
        <v>11684</v>
      </c>
      <c r="K20" s="11">
        <v>0</v>
      </c>
      <c r="L20" s="11">
        <v>0</v>
      </c>
      <c r="M20" s="11">
        <v>0</v>
      </c>
      <c r="N20" s="11">
        <v>0</v>
      </c>
      <c r="O20" s="16">
        <v>0</v>
      </c>
      <c r="P20" s="11">
        <f>SUM(H20:O20)</f>
        <v>58730</v>
      </c>
    </row>
    <row r="21" spans="1:16" ht="16.5" customHeight="1" x14ac:dyDescent="0.25">
      <c r="A21" s="109"/>
      <c r="B21" s="105"/>
      <c r="C21" s="107"/>
      <c r="D21" s="182"/>
      <c r="E21" s="181"/>
      <c r="F21" s="17" t="s">
        <v>109</v>
      </c>
      <c r="G21" s="14" t="s">
        <v>8</v>
      </c>
      <c r="H21" s="15">
        <f>1332+140</f>
        <v>1472</v>
      </c>
      <c r="I21" s="15">
        <f>1095+80</f>
        <v>1175</v>
      </c>
      <c r="J21" s="15">
        <v>307</v>
      </c>
      <c r="K21" s="15">
        <v>0</v>
      </c>
      <c r="L21" s="15">
        <v>0</v>
      </c>
      <c r="M21" s="15">
        <v>0</v>
      </c>
      <c r="N21" s="15">
        <v>0</v>
      </c>
      <c r="O21" s="18">
        <v>0</v>
      </c>
      <c r="P21" s="15">
        <f t="shared" si="0"/>
        <v>2954</v>
      </c>
    </row>
    <row r="22" spans="1:16" ht="15.75" customHeight="1" x14ac:dyDescent="0.25">
      <c r="A22" s="109"/>
      <c r="B22" s="105"/>
      <c r="C22" s="107"/>
      <c r="D22" s="182"/>
      <c r="E22" s="181"/>
      <c r="F22" s="12"/>
      <c r="G22" s="12" t="s">
        <v>99</v>
      </c>
      <c r="H22" s="13">
        <f t="shared" ref="H22:O22" si="5">SUM(H20:H21)</f>
        <v>24995</v>
      </c>
      <c r="I22" s="13">
        <f t="shared" si="5"/>
        <v>24698</v>
      </c>
      <c r="J22" s="13">
        <f t="shared" si="5"/>
        <v>11991</v>
      </c>
      <c r="K22" s="13">
        <f t="shared" si="5"/>
        <v>0</v>
      </c>
      <c r="L22" s="13">
        <f>SUM(L20:L21)</f>
        <v>0</v>
      </c>
      <c r="M22" s="13">
        <f>SUM(M20:M21)</f>
        <v>0</v>
      </c>
      <c r="N22" s="13">
        <f>SUM(N20:N21)</f>
        <v>0</v>
      </c>
      <c r="O22" s="13">
        <f t="shared" si="5"/>
        <v>0</v>
      </c>
      <c r="P22" s="92">
        <f t="shared" si="0"/>
        <v>61684</v>
      </c>
    </row>
    <row r="23" spans="1:16" ht="17.25" customHeight="1" x14ac:dyDescent="0.25">
      <c r="A23" s="109">
        <f>A20+1</f>
        <v>6</v>
      </c>
      <c r="B23" s="105" t="s">
        <v>11</v>
      </c>
      <c r="C23" s="106" t="s">
        <v>91</v>
      </c>
      <c r="D23" s="182">
        <v>39328</v>
      </c>
      <c r="E23" s="181" t="s">
        <v>113</v>
      </c>
      <c r="F23" s="22" t="s">
        <v>111</v>
      </c>
      <c r="G23" s="10" t="s">
        <v>5</v>
      </c>
      <c r="H23" s="11">
        <v>34128</v>
      </c>
      <c r="I23" s="11">
        <v>34128</v>
      </c>
      <c r="J23" s="11">
        <v>17060</v>
      </c>
      <c r="K23" s="11">
        <v>0</v>
      </c>
      <c r="L23" s="11">
        <v>0</v>
      </c>
      <c r="M23" s="11">
        <v>0</v>
      </c>
      <c r="N23" s="11">
        <v>0</v>
      </c>
      <c r="O23" s="16">
        <v>0</v>
      </c>
      <c r="P23" s="11">
        <f>SUM(H23:O23)</f>
        <v>85316</v>
      </c>
    </row>
    <row r="24" spans="1:16" ht="15.75" customHeight="1" x14ac:dyDescent="0.25">
      <c r="A24" s="109"/>
      <c r="B24" s="105"/>
      <c r="C24" s="106"/>
      <c r="D24" s="182"/>
      <c r="E24" s="181"/>
      <c r="F24" s="17" t="s">
        <v>112</v>
      </c>
      <c r="G24" s="14" t="s">
        <v>8</v>
      </c>
      <c r="H24" s="15">
        <v>3277</v>
      </c>
      <c r="I24" s="15">
        <v>1886</v>
      </c>
      <c r="J24" s="15">
        <v>465</v>
      </c>
      <c r="K24" s="15">
        <v>0</v>
      </c>
      <c r="L24" s="15">
        <v>0</v>
      </c>
      <c r="M24" s="15">
        <v>0</v>
      </c>
      <c r="N24" s="15">
        <v>0</v>
      </c>
      <c r="O24" s="18">
        <v>0</v>
      </c>
      <c r="P24" s="15">
        <f t="shared" si="0"/>
        <v>5628</v>
      </c>
    </row>
    <row r="25" spans="1:16" ht="15" customHeight="1" x14ac:dyDescent="0.25">
      <c r="A25" s="109"/>
      <c r="B25" s="105"/>
      <c r="C25" s="106"/>
      <c r="D25" s="182"/>
      <c r="E25" s="181"/>
      <c r="F25" s="12"/>
      <c r="G25" s="12" t="s">
        <v>99</v>
      </c>
      <c r="H25" s="13">
        <f t="shared" ref="H25:O25" si="6">SUM(H23:H24)</f>
        <v>37405</v>
      </c>
      <c r="I25" s="13">
        <f t="shared" si="6"/>
        <v>36014</v>
      </c>
      <c r="J25" s="13">
        <f t="shared" si="6"/>
        <v>17525</v>
      </c>
      <c r="K25" s="13">
        <f t="shared" si="6"/>
        <v>0</v>
      </c>
      <c r="L25" s="13">
        <f>SUM(L23:L24)</f>
        <v>0</v>
      </c>
      <c r="M25" s="13">
        <f>SUM(M23:M24)</f>
        <v>0</v>
      </c>
      <c r="N25" s="13">
        <f>SUM(N23:N24)</f>
        <v>0</v>
      </c>
      <c r="O25" s="13">
        <f t="shared" si="6"/>
        <v>0</v>
      </c>
      <c r="P25" s="92">
        <f t="shared" si="0"/>
        <v>90944</v>
      </c>
    </row>
    <row r="26" spans="1:16" ht="17.25" customHeight="1" x14ac:dyDescent="0.25">
      <c r="A26" s="109">
        <f>A23+1</f>
        <v>7</v>
      </c>
      <c r="B26" s="105" t="s">
        <v>11</v>
      </c>
      <c r="C26" s="107" t="s">
        <v>65</v>
      </c>
      <c r="D26" s="182">
        <v>39356</v>
      </c>
      <c r="E26" s="181" t="s">
        <v>116</v>
      </c>
      <c r="F26" s="22" t="s">
        <v>114</v>
      </c>
      <c r="G26" s="10" t="s">
        <v>5</v>
      </c>
      <c r="H26" s="11">
        <v>16376</v>
      </c>
      <c r="I26" s="11">
        <v>16376</v>
      </c>
      <c r="J26" s="11">
        <v>12275</v>
      </c>
      <c r="K26" s="11">
        <v>0</v>
      </c>
      <c r="L26" s="11">
        <v>0</v>
      </c>
      <c r="M26" s="11">
        <v>0</v>
      </c>
      <c r="N26" s="11">
        <v>0</v>
      </c>
      <c r="O26" s="16">
        <v>0</v>
      </c>
      <c r="P26" s="11">
        <f>SUM(H26:O26)</f>
        <v>45027</v>
      </c>
    </row>
    <row r="27" spans="1:16" ht="15.75" customHeight="1" x14ac:dyDescent="0.25">
      <c r="A27" s="109"/>
      <c r="B27" s="105"/>
      <c r="C27" s="107"/>
      <c r="D27" s="182"/>
      <c r="E27" s="181"/>
      <c r="F27" s="17" t="s">
        <v>115</v>
      </c>
      <c r="G27" s="14" t="s">
        <v>8</v>
      </c>
      <c r="H27" s="15">
        <f>1285+108</f>
        <v>1393</v>
      </c>
      <c r="I27" s="15">
        <f>707+66</f>
        <v>773</v>
      </c>
      <c r="J27" s="15">
        <f>264+24</f>
        <v>288</v>
      </c>
      <c r="K27" s="15">
        <v>0</v>
      </c>
      <c r="L27" s="15">
        <v>0</v>
      </c>
      <c r="M27" s="15">
        <v>0</v>
      </c>
      <c r="N27" s="15">
        <v>0</v>
      </c>
      <c r="O27" s="18">
        <v>0</v>
      </c>
      <c r="P27" s="15">
        <f t="shared" si="0"/>
        <v>2454</v>
      </c>
    </row>
    <row r="28" spans="1:16" ht="15" customHeight="1" x14ac:dyDescent="0.25">
      <c r="A28" s="109"/>
      <c r="B28" s="105"/>
      <c r="C28" s="107"/>
      <c r="D28" s="182"/>
      <c r="E28" s="181"/>
      <c r="F28" s="12"/>
      <c r="G28" s="12" t="s">
        <v>99</v>
      </c>
      <c r="H28" s="13">
        <f t="shared" ref="H28:O28" si="7">SUM(H26:H27)</f>
        <v>17769</v>
      </c>
      <c r="I28" s="13">
        <f t="shared" si="7"/>
        <v>17149</v>
      </c>
      <c r="J28" s="13">
        <f t="shared" si="7"/>
        <v>12563</v>
      </c>
      <c r="K28" s="13">
        <f t="shared" si="7"/>
        <v>0</v>
      </c>
      <c r="L28" s="13">
        <f>SUM(L26:L27)</f>
        <v>0</v>
      </c>
      <c r="M28" s="13">
        <f>SUM(M26:M27)</f>
        <v>0</v>
      </c>
      <c r="N28" s="13">
        <f>SUM(N26:N27)</f>
        <v>0</v>
      </c>
      <c r="O28" s="13">
        <f t="shared" si="7"/>
        <v>0</v>
      </c>
      <c r="P28" s="92">
        <f t="shared" si="0"/>
        <v>47481</v>
      </c>
    </row>
    <row r="29" spans="1:16" ht="17.25" customHeight="1" x14ac:dyDescent="0.25">
      <c r="A29" s="109">
        <f>A26+1</f>
        <v>8</v>
      </c>
      <c r="B29" s="105" t="s">
        <v>11</v>
      </c>
      <c r="C29" s="106" t="s">
        <v>90</v>
      </c>
      <c r="D29" s="182">
        <v>39434</v>
      </c>
      <c r="E29" s="181" t="s">
        <v>117</v>
      </c>
      <c r="F29" s="37" t="s">
        <v>118</v>
      </c>
      <c r="G29" s="10" t="s">
        <v>5</v>
      </c>
      <c r="H29" s="11">
        <v>56148</v>
      </c>
      <c r="I29" s="11">
        <v>56148</v>
      </c>
      <c r="J29" s="11">
        <f>56139+1</f>
        <v>56140</v>
      </c>
      <c r="K29" s="11">
        <v>0</v>
      </c>
      <c r="L29" s="11">
        <v>0</v>
      </c>
      <c r="M29" s="11">
        <v>0</v>
      </c>
      <c r="N29" s="11">
        <v>0</v>
      </c>
      <c r="O29" s="16">
        <v>0</v>
      </c>
      <c r="P29" s="11">
        <f>SUM(H29:O29)</f>
        <v>168436</v>
      </c>
    </row>
    <row r="30" spans="1:16" ht="16.5" customHeight="1" x14ac:dyDescent="0.25">
      <c r="A30" s="109"/>
      <c r="B30" s="105"/>
      <c r="C30" s="106"/>
      <c r="D30" s="182"/>
      <c r="E30" s="181"/>
      <c r="F30" s="17" t="s">
        <v>119</v>
      </c>
      <c r="G30" s="14" t="s">
        <v>8</v>
      </c>
      <c r="H30" s="15">
        <f>5114+403</f>
        <v>5517</v>
      </c>
      <c r="I30" s="15">
        <f>3004+263</f>
        <v>3267</v>
      </c>
      <c r="J30" s="15">
        <f>1376+120</f>
        <v>1496</v>
      </c>
      <c r="K30" s="15">
        <v>97</v>
      </c>
      <c r="L30" s="15">
        <v>0</v>
      </c>
      <c r="M30" s="15">
        <v>0</v>
      </c>
      <c r="N30" s="15">
        <v>0</v>
      </c>
      <c r="O30" s="18">
        <v>0</v>
      </c>
      <c r="P30" s="15">
        <f t="shared" si="0"/>
        <v>10377</v>
      </c>
    </row>
    <row r="31" spans="1:16" ht="15" customHeight="1" x14ac:dyDescent="0.25">
      <c r="A31" s="109"/>
      <c r="B31" s="188"/>
      <c r="C31" s="189"/>
      <c r="D31" s="190"/>
      <c r="E31" s="166"/>
      <c r="F31" s="23"/>
      <c r="G31" s="23" t="s">
        <v>99</v>
      </c>
      <c r="H31" s="13">
        <f t="shared" ref="H31:O31" si="8">SUM(H29:H30)</f>
        <v>61665</v>
      </c>
      <c r="I31" s="13">
        <f t="shared" si="8"/>
        <v>59415</v>
      </c>
      <c r="J31" s="13">
        <f t="shared" si="8"/>
        <v>57636</v>
      </c>
      <c r="K31" s="13">
        <f t="shared" si="8"/>
        <v>97</v>
      </c>
      <c r="L31" s="13">
        <f>SUM(L29:L30)</f>
        <v>0</v>
      </c>
      <c r="M31" s="13">
        <f t="shared" ref="M31:N31" si="9">SUM(M29:M30)</f>
        <v>0</v>
      </c>
      <c r="N31" s="13">
        <f t="shared" si="9"/>
        <v>0</v>
      </c>
      <c r="O31" s="13">
        <f t="shared" si="8"/>
        <v>0</v>
      </c>
      <c r="P31" s="92">
        <f t="shared" si="0"/>
        <v>178813</v>
      </c>
    </row>
    <row r="32" spans="1:16" ht="17.25" customHeight="1" x14ac:dyDescent="0.25">
      <c r="A32" s="109">
        <f>A29+1</f>
        <v>9</v>
      </c>
      <c r="B32" s="105" t="s">
        <v>11</v>
      </c>
      <c r="C32" s="106" t="s">
        <v>92</v>
      </c>
      <c r="D32" s="182">
        <v>39556</v>
      </c>
      <c r="E32" s="181" t="s">
        <v>122</v>
      </c>
      <c r="F32" s="37" t="s">
        <v>120</v>
      </c>
      <c r="G32" s="10" t="s">
        <v>5</v>
      </c>
      <c r="H32" s="11">
        <v>105836</v>
      </c>
      <c r="I32" s="11">
        <v>105836</v>
      </c>
      <c r="J32" s="11">
        <v>105836</v>
      </c>
      <c r="K32" s="11">
        <f>26459+26449</f>
        <v>52908</v>
      </c>
      <c r="L32" s="11">
        <v>0</v>
      </c>
      <c r="M32" s="11">
        <v>0</v>
      </c>
      <c r="N32" s="11">
        <v>0</v>
      </c>
      <c r="O32" s="11">
        <v>0</v>
      </c>
      <c r="P32" s="11">
        <f>SUM(H32:O32)</f>
        <v>370416</v>
      </c>
    </row>
    <row r="33" spans="1:16" ht="17.25" customHeight="1" x14ac:dyDescent="0.25">
      <c r="A33" s="109"/>
      <c r="B33" s="105"/>
      <c r="C33" s="106"/>
      <c r="D33" s="182"/>
      <c r="E33" s="181"/>
      <c r="F33" s="17" t="s">
        <v>121</v>
      </c>
      <c r="G33" s="14" t="s">
        <v>8</v>
      </c>
      <c r="H33" s="15">
        <f>13623+896</f>
        <v>14519</v>
      </c>
      <c r="I33" s="15">
        <f>9566+629</f>
        <v>10195</v>
      </c>
      <c r="J33" s="15">
        <f>5486+361</f>
        <v>5847</v>
      </c>
      <c r="K33" s="15">
        <f>1265+83</f>
        <v>1348</v>
      </c>
      <c r="L33" s="15">
        <v>0</v>
      </c>
      <c r="M33" s="15">
        <v>0</v>
      </c>
      <c r="N33" s="15">
        <v>0</v>
      </c>
      <c r="O33" s="15"/>
      <c r="P33" s="15">
        <f t="shared" si="0"/>
        <v>31909</v>
      </c>
    </row>
    <row r="34" spans="1:16" ht="17.25" customHeight="1" x14ac:dyDescent="0.25">
      <c r="A34" s="109"/>
      <c r="B34" s="105"/>
      <c r="C34" s="106"/>
      <c r="D34" s="182"/>
      <c r="E34" s="181"/>
      <c r="F34" s="12"/>
      <c r="G34" s="12" t="s">
        <v>99</v>
      </c>
      <c r="H34" s="13">
        <f t="shared" ref="H34:O34" si="10">SUM(H32:H33)</f>
        <v>120355</v>
      </c>
      <c r="I34" s="13">
        <f t="shared" si="10"/>
        <v>116031</v>
      </c>
      <c r="J34" s="13">
        <f t="shared" si="10"/>
        <v>111683</v>
      </c>
      <c r="K34" s="13">
        <f t="shared" si="10"/>
        <v>54256</v>
      </c>
      <c r="L34" s="13">
        <f>SUM(L32:L33)</f>
        <v>0</v>
      </c>
      <c r="M34" s="13">
        <f t="shared" ref="M34:N34" si="11">SUM(M32:M33)</f>
        <v>0</v>
      </c>
      <c r="N34" s="13">
        <f t="shared" si="11"/>
        <v>0</v>
      </c>
      <c r="O34" s="13">
        <f t="shared" si="10"/>
        <v>0</v>
      </c>
      <c r="P34" s="92">
        <f t="shared" si="0"/>
        <v>402325</v>
      </c>
    </row>
    <row r="35" spans="1:16" ht="17.25" customHeight="1" x14ac:dyDescent="0.25">
      <c r="A35" s="109">
        <f>A32+1</f>
        <v>10</v>
      </c>
      <c r="B35" s="105" t="s">
        <v>11</v>
      </c>
      <c r="C35" s="107" t="s">
        <v>661</v>
      </c>
      <c r="D35" s="182">
        <v>39575</v>
      </c>
      <c r="E35" s="181" t="s">
        <v>125</v>
      </c>
      <c r="F35" s="22" t="s">
        <v>123</v>
      </c>
      <c r="G35" s="10" t="s">
        <v>5</v>
      </c>
      <c r="H35" s="11">
        <v>40654</v>
      </c>
      <c r="I35" s="11">
        <v>40654</v>
      </c>
      <c r="J35" s="11">
        <v>40654</v>
      </c>
      <c r="K35" s="11">
        <v>40654</v>
      </c>
      <c r="L35" s="11">
        <v>40654</v>
      </c>
      <c r="M35" s="11">
        <v>40654</v>
      </c>
      <c r="N35" s="11">
        <v>40654</v>
      </c>
      <c r="O35" s="11">
        <f>142272-40654-40654</f>
        <v>60964</v>
      </c>
      <c r="P35" s="11">
        <f>SUM(H35:O35)</f>
        <v>345542</v>
      </c>
    </row>
    <row r="36" spans="1:16" ht="17.25" customHeight="1" x14ac:dyDescent="0.25">
      <c r="A36" s="109"/>
      <c r="B36" s="105"/>
      <c r="C36" s="107"/>
      <c r="D36" s="182"/>
      <c r="E36" s="181"/>
      <c r="F36" s="17" t="s">
        <v>124</v>
      </c>
      <c r="G36" s="14" t="s">
        <v>8</v>
      </c>
      <c r="H36" s="15">
        <f>8489+860</f>
        <v>9349</v>
      </c>
      <c r="I36" s="15">
        <f>10350+757</f>
        <v>11107</v>
      </c>
      <c r="J36" s="15">
        <f>8940+654</f>
        <v>9594</v>
      </c>
      <c r="K36" s="15">
        <f>7548+552</f>
        <v>8100</v>
      </c>
      <c r="L36" s="15">
        <f>6118+447</f>
        <v>6565</v>
      </c>
      <c r="M36" s="15">
        <f>4710+344</f>
        <v>5054</v>
      </c>
      <c r="N36" s="15">
        <f>3302+242</f>
        <v>3544</v>
      </c>
      <c r="O36" s="15">
        <f>2316+171</f>
        <v>2487</v>
      </c>
      <c r="P36" s="15">
        <f t="shared" si="0"/>
        <v>55800</v>
      </c>
    </row>
    <row r="37" spans="1:16" ht="17.25" customHeight="1" x14ac:dyDescent="0.25">
      <c r="A37" s="109"/>
      <c r="B37" s="188"/>
      <c r="C37" s="191"/>
      <c r="D37" s="190"/>
      <c r="E37" s="166"/>
      <c r="F37" s="23"/>
      <c r="G37" s="23" t="s">
        <v>99</v>
      </c>
      <c r="H37" s="13">
        <f t="shared" ref="H37:O37" si="12">SUM(H35:H36)</f>
        <v>50003</v>
      </c>
      <c r="I37" s="13">
        <f t="shared" si="12"/>
        <v>51761</v>
      </c>
      <c r="J37" s="13">
        <f t="shared" si="12"/>
        <v>50248</v>
      </c>
      <c r="K37" s="13">
        <f t="shared" si="12"/>
        <v>48754</v>
      </c>
      <c r="L37" s="13">
        <f t="shared" si="12"/>
        <v>47219</v>
      </c>
      <c r="M37" s="13">
        <f t="shared" si="12"/>
        <v>45708</v>
      </c>
      <c r="N37" s="13">
        <f t="shared" si="12"/>
        <v>44198</v>
      </c>
      <c r="O37" s="13">
        <f t="shared" si="12"/>
        <v>63451</v>
      </c>
      <c r="P37" s="92">
        <f t="shared" si="0"/>
        <v>401342</v>
      </c>
    </row>
    <row r="38" spans="1:16" ht="17.25" customHeight="1" x14ac:dyDescent="0.25">
      <c r="A38" s="109">
        <f>A35+1</f>
        <v>11</v>
      </c>
      <c r="B38" s="105" t="s">
        <v>11</v>
      </c>
      <c r="C38" s="107" t="s">
        <v>47</v>
      </c>
      <c r="D38" s="182">
        <v>39596</v>
      </c>
      <c r="E38" s="181" t="s">
        <v>125</v>
      </c>
      <c r="F38" s="22" t="s">
        <v>126</v>
      </c>
      <c r="G38" s="10" t="s">
        <v>5</v>
      </c>
      <c r="H38" s="11">
        <v>17012</v>
      </c>
      <c r="I38" s="11">
        <v>17012</v>
      </c>
      <c r="J38" s="11">
        <v>17012</v>
      </c>
      <c r="K38" s="11">
        <v>17012</v>
      </c>
      <c r="L38" s="11">
        <v>17012</v>
      </c>
      <c r="M38" s="11">
        <v>17012</v>
      </c>
      <c r="N38" s="11">
        <v>17012</v>
      </c>
      <c r="O38" s="11">
        <f>42520-1-17012</f>
        <v>25507</v>
      </c>
      <c r="P38" s="11">
        <f>SUM(H38:O38)</f>
        <v>144591</v>
      </c>
    </row>
    <row r="39" spans="1:16" ht="17.25" customHeight="1" x14ac:dyDescent="0.25">
      <c r="A39" s="109"/>
      <c r="B39" s="105"/>
      <c r="C39" s="107"/>
      <c r="D39" s="182"/>
      <c r="E39" s="181"/>
      <c r="F39" s="17" t="s">
        <v>127</v>
      </c>
      <c r="G39" s="14" t="s">
        <v>8</v>
      </c>
      <c r="H39" s="15">
        <f>4305+360</f>
        <v>4665</v>
      </c>
      <c r="I39" s="15">
        <f>3388+317</f>
        <v>3705</v>
      </c>
      <c r="J39" s="15">
        <f>2920+274</f>
        <v>3194</v>
      </c>
      <c r="K39" s="15">
        <f>2466+231</f>
        <v>2697</v>
      </c>
      <c r="L39" s="15">
        <f>1998+188</f>
        <v>2186</v>
      </c>
      <c r="M39" s="15">
        <f>1538+144</f>
        <v>1682</v>
      </c>
      <c r="N39" s="15">
        <f>1079+101</f>
        <v>1180</v>
      </c>
      <c r="O39" s="15">
        <f>773</f>
        <v>773</v>
      </c>
      <c r="P39" s="15">
        <f t="shared" si="0"/>
        <v>20082</v>
      </c>
    </row>
    <row r="40" spans="1:16" ht="17.25" customHeight="1" x14ac:dyDescent="0.25">
      <c r="A40" s="109"/>
      <c r="B40" s="105"/>
      <c r="C40" s="107"/>
      <c r="D40" s="182"/>
      <c r="E40" s="181"/>
      <c r="F40" s="12"/>
      <c r="G40" s="12" t="s">
        <v>99</v>
      </c>
      <c r="H40" s="13">
        <f t="shared" ref="H40:O40" si="13">SUM(H38:H39)</f>
        <v>21677</v>
      </c>
      <c r="I40" s="13">
        <f t="shared" si="13"/>
        <v>20717</v>
      </c>
      <c r="J40" s="13">
        <f t="shared" si="13"/>
        <v>20206</v>
      </c>
      <c r="K40" s="13">
        <f t="shared" si="13"/>
        <v>19709</v>
      </c>
      <c r="L40" s="13">
        <f t="shared" si="13"/>
        <v>19198</v>
      </c>
      <c r="M40" s="13">
        <f t="shared" si="13"/>
        <v>18694</v>
      </c>
      <c r="N40" s="13">
        <f t="shared" si="13"/>
        <v>18192</v>
      </c>
      <c r="O40" s="13">
        <f t="shared" si="13"/>
        <v>26280</v>
      </c>
      <c r="P40" s="92">
        <f t="shared" si="0"/>
        <v>164673</v>
      </c>
    </row>
    <row r="41" spans="1:16" ht="16.5" customHeight="1" x14ac:dyDescent="0.25">
      <c r="A41" s="109">
        <f>A38+1</f>
        <v>12</v>
      </c>
      <c r="B41" s="105" t="s">
        <v>11</v>
      </c>
      <c r="C41" s="106" t="s">
        <v>90</v>
      </c>
      <c r="D41" s="182">
        <v>39597</v>
      </c>
      <c r="E41" s="181" t="s">
        <v>130</v>
      </c>
      <c r="F41" s="22" t="s">
        <v>128</v>
      </c>
      <c r="G41" s="10" t="s">
        <v>5</v>
      </c>
      <c r="H41" s="11">
        <f>28457+423</f>
        <v>28880</v>
      </c>
      <c r="I41" s="11">
        <f>28457+423</f>
        <v>28880</v>
      </c>
      <c r="J41" s="11">
        <f>34149+419</f>
        <v>34568</v>
      </c>
      <c r="K41" s="11">
        <f>43540+424</f>
        <v>43964</v>
      </c>
      <c r="L41" s="11">
        <v>0</v>
      </c>
      <c r="M41" s="11">
        <v>0</v>
      </c>
      <c r="N41" s="11">
        <v>0</v>
      </c>
      <c r="O41" s="11">
        <v>0</v>
      </c>
      <c r="P41" s="11">
        <f>SUM(H41:O41)</f>
        <v>136292</v>
      </c>
    </row>
    <row r="42" spans="1:16" ht="16.5" customHeight="1" x14ac:dyDescent="0.25">
      <c r="A42" s="109"/>
      <c r="B42" s="105"/>
      <c r="C42" s="106"/>
      <c r="D42" s="182"/>
      <c r="E42" s="181"/>
      <c r="F42" s="17" t="s">
        <v>129</v>
      </c>
      <c r="G42" s="14" t="s">
        <v>8</v>
      </c>
      <c r="H42" s="15">
        <f>4222+333</f>
        <v>4555</v>
      </c>
      <c r="I42" s="15">
        <f>2984+261</f>
        <v>3245</v>
      </c>
      <c r="J42" s="15">
        <f>2112+185</f>
        <v>2297</v>
      </c>
      <c r="K42" s="15">
        <f>1063+93</f>
        <v>1156</v>
      </c>
      <c r="L42" s="73">
        <f>44+4</f>
        <v>48</v>
      </c>
      <c r="M42" s="15">
        <v>0</v>
      </c>
      <c r="N42" s="15">
        <v>0</v>
      </c>
      <c r="O42" s="15">
        <v>0</v>
      </c>
      <c r="P42" s="15">
        <f t="shared" si="0"/>
        <v>11301</v>
      </c>
    </row>
    <row r="43" spans="1:16" ht="16.5" customHeight="1" x14ac:dyDescent="0.25">
      <c r="A43" s="109"/>
      <c r="B43" s="105"/>
      <c r="C43" s="106"/>
      <c r="D43" s="182"/>
      <c r="E43" s="181"/>
      <c r="F43" s="12"/>
      <c r="G43" s="12" t="s">
        <v>99</v>
      </c>
      <c r="H43" s="13">
        <f t="shared" ref="H43:O43" si="14">SUM(H41:H42)</f>
        <v>33435</v>
      </c>
      <c r="I43" s="13">
        <f t="shared" si="14"/>
        <v>32125</v>
      </c>
      <c r="J43" s="13">
        <f t="shared" si="14"/>
        <v>36865</v>
      </c>
      <c r="K43" s="13">
        <f t="shared" si="14"/>
        <v>45120</v>
      </c>
      <c r="L43" s="13">
        <f t="shared" si="14"/>
        <v>48</v>
      </c>
      <c r="M43" s="13">
        <f t="shared" si="14"/>
        <v>0</v>
      </c>
      <c r="N43" s="13">
        <f t="shared" si="14"/>
        <v>0</v>
      </c>
      <c r="O43" s="13">
        <f t="shared" si="14"/>
        <v>0</v>
      </c>
      <c r="P43" s="92">
        <f t="shared" si="0"/>
        <v>147593</v>
      </c>
    </row>
    <row r="44" spans="1:16" ht="19.5" customHeight="1" x14ac:dyDescent="0.25">
      <c r="A44" s="109">
        <f>A41+1</f>
        <v>13</v>
      </c>
      <c r="B44" s="105" t="s">
        <v>11</v>
      </c>
      <c r="C44" s="106" t="s">
        <v>442</v>
      </c>
      <c r="D44" s="182">
        <v>39632</v>
      </c>
      <c r="E44" s="181" t="s">
        <v>131</v>
      </c>
      <c r="F44" s="37" t="s">
        <v>132</v>
      </c>
      <c r="G44" s="10" t="s">
        <v>5</v>
      </c>
      <c r="H44" s="11">
        <v>9052</v>
      </c>
      <c r="I44" s="11">
        <v>9052</v>
      </c>
      <c r="J44" s="11">
        <v>9052</v>
      </c>
      <c r="K44" s="11">
        <v>9052</v>
      </c>
      <c r="L44" s="11">
        <v>9052</v>
      </c>
      <c r="M44" s="11">
        <v>9052</v>
      </c>
      <c r="N44" s="11">
        <v>9052</v>
      </c>
      <c r="O44" s="11">
        <f>22040+585-9052</f>
        <v>13573</v>
      </c>
      <c r="P44" s="11">
        <f>SUM(H44:O44)</f>
        <v>76937</v>
      </c>
    </row>
    <row r="45" spans="1:16" ht="16.95" customHeight="1" x14ac:dyDescent="0.25">
      <c r="A45" s="109"/>
      <c r="B45" s="105"/>
      <c r="C45" s="107"/>
      <c r="D45" s="182"/>
      <c r="E45" s="181"/>
      <c r="F45" s="17" t="s">
        <v>133</v>
      </c>
      <c r="G45" s="14" t="s">
        <v>8</v>
      </c>
      <c r="H45" s="15">
        <f>2905+191</f>
        <v>3096</v>
      </c>
      <c r="I45" s="15">
        <f>2561+169</f>
        <v>2730</v>
      </c>
      <c r="J45" s="15">
        <f>2212+146</f>
        <v>2358</v>
      </c>
      <c r="K45" s="15">
        <f>1775+123</f>
        <v>1898</v>
      </c>
      <c r="L45" s="15">
        <f>1192+100</f>
        <v>1292</v>
      </c>
      <c r="M45" s="15">
        <f>917+77</f>
        <v>994</v>
      </c>
      <c r="N45" s="15">
        <f>643+54</f>
        <v>697</v>
      </c>
      <c r="O45" s="15">
        <f>469+39</f>
        <v>508</v>
      </c>
      <c r="P45" s="15">
        <f t="shared" si="0"/>
        <v>13573</v>
      </c>
    </row>
    <row r="46" spans="1:16" ht="16.2" customHeight="1" x14ac:dyDescent="0.25">
      <c r="A46" s="109"/>
      <c r="B46" s="105"/>
      <c r="C46" s="107"/>
      <c r="D46" s="182"/>
      <c r="E46" s="181"/>
      <c r="F46" s="12"/>
      <c r="G46" s="12" t="s">
        <v>99</v>
      </c>
      <c r="H46" s="13">
        <f t="shared" ref="H46:O46" si="15">SUM(H44:H45)</f>
        <v>12148</v>
      </c>
      <c r="I46" s="13">
        <f t="shared" si="15"/>
        <v>11782</v>
      </c>
      <c r="J46" s="13">
        <f t="shared" si="15"/>
        <v>11410</v>
      </c>
      <c r="K46" s="13">
        <f t="shared" si="15"/>
        <v>10950</v>
      </c>
      <c r="L46" s="13">
        <f t="shared" si="15"/>
        <v>10344</v>
      </c>
      <c r="M46" s="13">
        <f t="shared" si="15"/>
        <v>10046</v>
      </c>
      <c r="N46" s="13">
        <f t="shared" si="15"/>
        <v>9749</v>
      </c>
      <c r="O46" s="13">
        <f t="shared" si="15"/>
        <v>14081</v>
      </c>
      <c r="P46" s="92">
        <f t="shared" si="0"/>
        <v>90510</v>
      </c>
    </row>
    <row r="47" spans="1:16" ht="19.5" customHeight="1" x14ac:dyDescent="0.25">
      <c r="A47" s="109">
        <f>A44+1</f>
        <v>14</v>
      </c>
      <c r="B47" s="105" t="s">
        <v>11</v>
      </c>
      <c r="C47" s="107" t="s">
        <v>50</v>
      </c>
      <c r="D47" s="182">
        <v>39749</v>
      </c>
      <c r="E47" s="181" t="s">
        <v>136</v>
      </c>
      <c r="F47" s="37" t="s">
        <v>134</v>
      </c>
      <c r="G47" s="10" t="s">
        <v>5</v>
      </c>
      <c r="H47" s="11">
        <v>60276</v>
      </c>
      <c r="I47" s="11">
        <v>60276</v>
      </c>
      <c r="J47" s="11">
        <v>60276</v>
      </c>
      <c r="K47" s="11">
        <f>60269+1</f>
        <v>60270</v>
      </c>
      <c r="L47" s="11">
        <v>0</v>
      </c>
      <c r="M47" s="11">
        <v>0</v>
      </c>
      <c r="N47" s="11">
        <v>0</v>
      </c>
      <c r="O47" s="11">
        <v>0</v>
      </c>
      <c r="P47" s="11">
        <f>SUM(H47:O47)</f>
        <v>241098</v>
      </c>
    </row>
    <row r="48" spans="1:16" ht="16.95" customHeight="1" x14ac:dyDescent="0.25">
      <c r="A48" s="109"/>
      <c r="B48" s="105"/>
      <c r="C48" s="107"/>
      <c r="D48" s="182"/>
      <c r="E48" s="181"/>
      <c r="F48" s="17" t="s">
        <v>135</v>
      </c>
      <c r="G48" s="14" t="s">
        <v>8</v>
      </c>
      <c r="H48" s="15">
        <f>7430+587</f>
        <v>8017</v>
      </c>
      <c r="I48" s="15">
        <f>4972+435</f>
        <v>5407</v>
      </c>
      <c r="J48" s="15">
        <f>3224+282</f>
        <v>3506</v>
      </c>
      <c r="K48" s="15">
        <f>1477+129</f>
        <v>1606</v>
      </c>
      <c r="L48" s="15">
        <f>96+8</f>
        <v>104</v>
      </c>
      <c r="M48" s="15">
        <v>0</v>
      </c>
      <c r="N48" s="15">
        <v>0</v>
      </c>
      <c r="O48" s="15">
        <v>0</v>
      </c>
      <c r="P48" s="15">
        <f t="shared" si="0"/>
        <v>18640</v>
      </c>
    </row>
    <row r="49" spans="1:16" ht="18" customHeight="1" x14ac:dyDescent="0.25">
      <c r="A49" s="109"/>
      <c r="B49" s="105"/>
      <c r="C49" s="107"/>
      <c r="D49" s="182"/>
      <c r="E49" s="181"/>
      <c r="F49" s="12"/>
      <c r="G49" s="12" t="s">
        <v>99</v>
      </c>
      <c r="H49" s="13">
        <f t="shared" ref="H49:O49" si="16">SUM(H47:H48)</f>
        <v>68293</v>
      </c>
      <c r="I49" s="13">
        <f t="shared" si="16"/>
        <v>65683</v>
      </c>
      <c r="J49" s="13">
        <f t="shared" si="16"/>
        <v>63782</v>
      </c>
      <c r="K49" s="13">
        <f t="shared" si="16"/>
        <v>61876</v>
      </c>
      <c r="L49" s="13">
        <f t="shared" si="16"/>
        <v>104</v>
      </c>
      <c r="M49" s="13">
        <f>SUM(M47:M48)</f>
        <v>0</v>
      </c>
      <c r="N49" s="13">
        <f t="shared" ref="N49" si="17">SUM(N47:N48)</f>
        <v>0</v>
      </c>
      <c r="O49" s="13">
        <f t="shared" si="16"/>
        <v>0</v>
      </c>
      <c r="P49" s="92">
        <f t="shared" si="0"/>
        <v>259738</v>
      </c>
    </row>
    <row r="50" spans="1:16" ht="17.399999999999999" customHeight="1" x14ac:dyDescent="0.25">
      <c r="A50" s="102">
        <f>A47+1</f>
        <v>15</v>
      </c>
      <c r="B50" s="188" t="s">
        <v>11</v>
      </c>
      <c r="C50" s="191" t="s">
        <v>662</v>
      </c>
      <c r="D50" s="190">
        <v>39794</v>
      </c>
      <c r="E50" s="166" t="s">
        <v>139</v>
      </c>
      <c r="F50" s="37" t="s">
        <v>137</v>
      </c>
      <c r="G50" s="10" t="s">
        <v>5</v>
      </c>
      <c r="H50" s="11">
        <v>5538</v>
      </c>
      <c r="I50" s="11">
        <v>5538</v>
      </c>
      <c r="J50" s="11">
        <v>5538</v>
      </c>
      <c r="K50" s="11">
        <v>5538</v>
      </c>
      <c r="L50" s="11">
        <v>5538</v>
      </c>
      <c r="M50" s="11">
        <v>5538</v>
      </c>
      <c r="N50" s="11">
        <v>5538</v>
      </c>
      <c r="O50" s="11">
        <f>49720-5538-5538</f>
        <v>38644</v>
      </c>
      <c r="P50" s="11">
        <f>SUM(H50:O50)</f>
        <v>77410</v>
      </c>
    </row>
    <row r="51" spans="1:16" ht="17.25" customHeight="1" x14ac:dyDescent="0.25">
      <c r="A51" s="103"/>
      <c r="B51" s="199"/>
      <c r="C51" s="201"/>
      <c r="D51" s="203"/>
      <c r="E51" s="167"/>
      <c r="F51" s="17" t="s">
        <v>138</v>
      </c>
      <c r="G51" s="14" t="s">
        <v>8</v>
      </c>
      <c r="H51" s="15">
        <f>1926+194</f>
        <v>2120</v>
      </c>
      <c r="I51" s="15">
        <f>2461+180</f>
        <v>2641</v>
      </c>
      <c r="J51" s="15">
        <f>2269+166</f>
        <v>2435</v>
      </c>
      <c r="K51" s="15">
        <f>2083+152</f>
        <v>2235</v>
      </c>
      <c r="L51" s="15">
        <f>1885+138</f>
        <v>2023</v>
      </c>
      <c r="M51" s="15">
        <f>1692+124</f>
        <v>1816</v>
      </c>
      <c r="N51" s="15">
        <f>1501+110</f>
        <v>1611</v>
      </c>
      <c r="O51" s="15">
        <f>5103+377</f>
        <v>5480</v>
      </c>
      <c r="P51" s="15">
        <f t="shared" si="0"/>
        <v>20361</v>
      </c>
    </row>
    <row r="52" spans="1:16" ht="17.25" customHeight="1" x14ac:dyDescent="0.25">
      <c r="A52" s="104"/>
      <c r="B52" s="200"/>
      <c r="C52" s="202"/>
      <c r="D52" s="204"/>
      <c r="E52" s="168"/>
      <c r="F52" s="23"/>
      <c r="G52" s="23" t="s">
        <v>99</v>
      </c>
      <c r="H52" s="13">
        <f t="shared" ref="H52:O52" si="18">SUM(H50:H51)</f>
        <v>7658</v>
      </c>
      <c r="I52" s="13">
        <f t="shared" si="18"/>
        <v>8179</v>
      </c>
      <c r="J52" s="13">
        <f t="shared" si="18"/>
        <v>7973</v>
      </c>
      <c r="K52" s="13">
        <f t="shared" si="18"/>
        <v>7773</v>
      </c>
      <c r="L52" s="13">
        <f t="shared" si="18"/>
        <v>7561</v>
      </c>
      <c r="M52" s="13">
        <f t="shared" si="18"/>
        <v>7354</v>
      </c>
      <c r="N52" s="13">
        <f t="shared" si="18"/>
        <v>7149</v>
      </c>
      <c r="O52" s="13">
        <f t="shared" si="18"/>
        <v>44124</v>
      </c>
      <c r="P52" s="92">
        <f t="shared" si="0"/>
        <v>97771</v>
      </c>
    </row>
    <row r="53" spans="1:16" ht="18.600000000000001" customHeight="1" x14ac:dyDescent="0.25">
      <c r="A53" s="102">
        <f>A50+1</f>
        <v>16</v>
      </c>
      <c r="B53" s="188" t="s">
        <v>11</v>
      </c>
      <c r="C53" s="191" t="s">
        <v>82</v>
      </c>
      <c r="D53" s="190">
        <v>39920</v>
      </c>
      <c r="E53" s="166" t="s">
        <v>142</v>
      </c>
      <c r="F53" s="37" t="s">
        <v>140</v>
      </c>
      <c r="G53" s="10" t="s">
        <v>5</v>
      </c>
      <c r="H53" s="11">
        <v>3136</v>
      </c>
      <c r="I53" s="11">
        <v>3136</v>
      </c>
      <c r="J53" s="11">
        <v>3136</v>
      </c>
      <c r="K53" s="11">
        <v>3136</v>
      </c>
      <c r="L53" s="11">
        <v>784</v>
      </c>
      <c r="M53" s="16">
        <v>0</v>
      </c>
      <c r="N53" s="11">
        <v>0</v>
      </c>
      <c r="O53" s="16">
        <v>0</v>
      </c>
      <c r="P53" s="11">
        <f>SUM(H53:O53)</f>
        <v>13328</v>
      </c>
    </row>
    <row r="54" spans="1:16" ht="16.5" customHeight="1" x14ac:dyDescent="0.25">
      <c r="A54" s="103"/>
      <c r="B54" s="199"/>
      <c r="C54" s="201"/>
      <c r="D54" s="203"/>
      <c r="E54" s="167"/>
      <c r="F54" s="17" t="s">
        <v>141</v>
      </c>
      <c r="G54" s="14" t="s">
        <v>8</v>
      </c>
      <c r="H54" s="15">
        <f>551+33</f>
        <v>584</v>
      </c>
      <c r="I54" s="15">
        <f>417+25</f>
        <v>442</v>
      </c>
      <c r="J54" s="15">
        <f>282+17</f>
        <v>299</v>
      </c>
      <c r="K54" s="15">
        <f>148+8</f>
        <v>156</v>
      </c>
      <c r="L54" s="15">
        <v>24</v>
      </c>
      <c r="M54" s="18">
        <v>0</v>
      </c>
      <c r="N54" s="15">
        <v>0</v>
      </c>
      <c r="O54" s="18">
        <v>0</v>
      </c>
      <c r="P54" s="15">
        <f t="shared" si="0"/>
        <v>1505</v>
      </c>
    </row>
    <row r="55" spans="1:16" ht="16.5" customHeight="1" x14ac:dyDescent="0.25">
      <c r="A55" s="104"/>
      <c r="B55" s="200"/>
      <c r="C55" s="202"/>
      <c r="D55" s="204"/>
      <c r="E55" s="168"/>
      <c r="F55" s="12"/>
      <c r="G55" s="12" t="s">
        <v>99</v>
      </c>
      <c r="H55" s="13">
        <f t="shared" ref="H55:O55" si="19">SUM(H53:H54)</f>
        <v>3720</v>
      </c>
      <c r="I55" s="13">
        <f t="shared" si="19"/>
        <v>3578</v>
      </c>
      <c r="J55" s="13">
        <f t="shared" si="19"/>
        <v>3435</v>
      </c>
      <c r="K55" s="13">
        <f t="shared" si="19"/>
        <v>3292</v>
      </c>
      <c r="L55" s="13">
        <f t="shared" si="19"/>
        <v>808</v>
      </c>
      <c r="M55" s="13">
        <f t="shared" si="19"/>
        <v>0</v>
      </c>
      <c r="N55" s="13">
        <f t="shared" si="19"/>
        <v>0</v>
      </c>
      <c r="O55" s="13">
        <f t="shared" si="19"/>
        <v>0</v>
      </c>
      <c r="P55" s="92">
        <f t="shared" si="0"/>
        <v>14833</v>
      </c>
    </row>
    <row r="56" spans="1:16" ht="18" customHeight="1" x14ac:dyDescent="0.25">
      <c r="A56" s="102">
        <f t="shared" ref="A56" si="20">A53+1</f>
        <v>17</v>
      </c>
      <c r="B56" s="105" t="s">
        <v>11</v>
      </c>
      <c r="C56" s="107" t="s">
        <v>51</v>
      </c>
      <c r="D56" s="182">
        <v>39994</v>
      </c>
      <c r="E56" s="181" t="s">
        <v>145</v>
      </c>
      <c r="F56" s="37" t="s">
        <v>143</v>
      </c>
      <c r="G56" s="10" t="s">
        <v>5</v>
      </c>
      <c r="H56" s="11">
        <v>3724</v>
      </c>
      <c r="I56" s="11">
        <v>3724</v>
      </c>
      <c r="J56" s="11">
        <v>3724</v>
      </c>
      <c r="K56" s="11">
        <v>3724</v>
      </c>
      <c r="L56" s="11">
        <v>1851</v>
      </c>
      <c r="M56" s="11">
        <v>0</v>
      </c>
      <c r="N56" s="11">
        <v>0</v>
      </c>
      <c r="O56" s="11">
        <v>0</v>
      </c>
      <c r="P56" s="11">
        <f>SUM(H56:O56)</f>
        <v>16747</v>
      </c>
    </row>
    <row r="57" spans="1:16" ht="17.399999999999999" customHeight="1" x14ac:dyDescent="0.25">
      <c r="A57" s="103"/>
      <c r="B57" s="105"/>
      <c r="C57" s="107"/>
      <c r="D57" s="182"/>
      <c r="E57" s="181"/>
      <c r="F57" s="17" t="s">
        <v>144</v>
      </c>
      <c r="G57" s="14" t="s">
        <v>8</v>
      </c>
      <c r="H57" s="15">
        <f>518+41</f>
        <v>559</v>
      </c>
      <c r="I57" s="15">
        <f>361+32</f>
        <v>393</v>
      </c>
      <c r="J57" s="15">
        <f>253+22</f>
        <v>275</v>
      </c>
      <c r="K57" s="15">
        <f>145+13</f>
        <v>158</v>
      </c>
      <c r="L57" s="15">
        <f>35+3</f>
        <v>38</v>
      </c>
      <c r="M57" s="15">
        <v>0</v>
      </c>
      <c r="N57" s="15">
        <v>0</v>
      </c>
      <c r="O57" s="15">
        <v>0</v>
      </c>
      <c r="P57" s="15">
        <f t="shared" si="0"/>
        <v>1423</v>
      </c>
    </row>
    <row r="58" spans="1:16" ht="16.95" customHeight="1" x14ac:dyDescent="0.25">
      <c r="A58" s="104"/>
      <c r="B58" s="105"/>
      <c r="C58" s="107"/>
      <c r="D58" s="182"/>
      <c r="E58" s="181"/>
      <c r="F58" s="12"/>
      <c r="G58" s="12" t="s">
        <v>99</v>
      </c>
      <c r="H58" s="13">
        <f t="shared" ref="H58:O58" si="21">SUM(H56:H57)</f>
        <v>4283</v>
      </c>
      <c r="I58" s="13">
        <f t="shared" si="21"/>
        <v>4117</v>
      </c>
      <c r="J58" s="13">
        <f t="shared" si="21"/>
        <v>3999</v>
      </c>
      <c r="K58" s="13">
        <f t="shared" si="21"/>
        <v>3882</v>
      </c>
      <c r="L58" s="13">
        <f t="shared" si="21"/>
        <v>1889</v>
      </c>
      <c r="M58" s="13">
        <f t="shared" si="21"/>
        <v>0</v>
      </c>
      <c r="N58" s="13">
        <f t="shared" si="21"/>
        <v>0</v>
      </c>
      <c r="O58" s="13">
        <f t="shared" si="21"/>
        <v>0</v>
      </c>
      <c r="P58" s="92">
        <f t="shared" si="0"/>
        <v>18170</v>
      </c>
    </row>
    <row r="59" spans="1:16" ht="18.75" customHeight="1" x14ac:dyDescent="0.25">
      <c r="A59" s="102">
        <f t="shared" ref="A59" si="22">A56+1</f>
        <v>18</v>
      </c>
      <c r="B59" s="105" t="s">
        <v>11</v>
      </c>
      <c r="C59" s="107" t="s">
        <v>79</v>
      </c>
      <c r="D59" s="182">
        <v>40262</v>
      </c>
      <c r="E59" s="181" t="s">
        <v>146</v>
      </c>
      <c r="F59" s="37" t="s">
        <v>147</v>
      </c>
      <c r="G59" s="10" t="s">
        <v>5</v>
      </c>
      <c r="H59" s="11">
        <v>1856</v>
      </c>
      <c r="I59" s="11">
        <v>1856</v>
      </c>
      <c r="J59" s="11">
        <v>1856</v>
      </c>
      <c r="K59" s="11">
        <v>1856</v>
      </c>
      <c r="L59" s="11">
        <v>1856</v>
      </c>
      <c r="M59" s="11">
        <v>1851</v>
      </c>
      <c r="N59" s="11">
        <v>0</v>
      </c>
      <c r="O59" s="11">
        <v>0</v>
      </c>
      <c r="P59" s="11">
        <f>SUM(H59:O59)</f>
        <v>11131</v>
      </c>
    </row>
    <row r="60" spans="1:16" ht="17.399999999999999" customHeight="1" x14ac:dyDescent="0.25">
      <c r="A60" s="103"/>
      <c r="B60" s="105"/>
      <c r="C60" s="107"/>
      <c r="D60" s="182"/>
      <c r="E60" s="181"/>
      <c r="F60" s="17" t="s">
        <v>148</v>
      </c>
      <c r="G60" s="14" t="s">
        <v>8</v>
      </c>
      <c r="H60" s="15">
        <f>326+27</f>
        <v>353</v>
      </c>
      <c r="I60" s="15">
        <f>243+23</f>
        <v>266</v>
      </c>
      <c r="J60" s="15">
        <f>193+18</f>
        <v>211</v>
      </c>
      <c r="K60" s="15">
        <f>143+13</f>
        <v>156</v>
      </c>
      <c r="L60" s="15">
        <f>92+9</f>
        <v>101</v>
      </c>
      <c r="M60" s="15">
        <f>42+4</f>
        <v>46</v>
      </c>
      <c r="N60" s="15">
        <v>3</v>
      </c>
      <c r="O60" s="15">
        <v>0</v>
      </c>
      <c r="P60" s="15">
        <f t="shared" si="0"/>
        <v>1136</v>
      </c>
    </row>
    <row r="61" spans="1:16" ht="18" customHeight="1" x14ac:dyDescent="0.25">
      <c r="A61" s="104"/>
      <c r="B61" s="105"/>
      <c r="C61" s="107"/>
      <c r="D61" s="182"/>
      <c r="E61" s="181"/>
      <c r="F61" s="12"/>
      <c r="G61" s="12" t="s">
        <v>99</v>
      </c>
      <c r="H61" s="13">
        <f t="shared" ref="H61:O61" si="23">SUM(H59:H60)</f>
        <v>2209</v>
      </c>
      <c r="I61" s="13">
        <f t="shared" si="23"/>
        <v>2122</v>
      </c>
      <c r="J61" s="13">
        <f t="shared" si="23"/>
        <v>2067</v>
      </c>
      <c r="K61" s="13">
        <f t="shared" si="23"/>
        <v>2012</v>
      </c>
      <c r="L61" s="13">
        <f t="shared" si="23"/>
        <v>1957</v>
      </c>
      <c r="M61" s="13">
        <f t="shared" si="23"/>
        <v>1897</v>
      </c>
      <c r="N61" s="13">
        <f t="shared" si="23"/>
        <v>3</v>
      </c>
      <c r="O61" s="13">
        <f t="shared" si="23"/>
        <v>0</v>
      </c>
      <c r="P61" s="92">
        <f t="shared" si="0"/>
        <v>12267</v>
      </c>
    </row>
    <row r="62" spans="1:16" ht="18.75" customHeight="1" x14ac:dyDescent="0.25">
      <c r="A62" s="102">
        <f t="shared" ref="A62" si="24">A59+1</f>
        <v>19</v>
      </c>
      <c r="B62" s="105" t="s">
        <v>11</v>
      </c>
      <c r="C62" s="107" t="s">
        <v>66</v>
      </c>
      <c r="D62" s="182">
        <v>40316</v>
      </c>
      <c r="E62" s="181" t="s">
        <v>146</v>
      </c>
      <c r="F62" s="37" t="s">
        <v>149</v>
      </c>
      <c r="G62" s="10" t="s">
        <v>5</v>
      </c>
      <c r="H62" s="11">
        <v>1368</v>
      </c>
      <c r="I62" s="11">
        <v>1368</v>
      </c>
      <c r="J62" s="11">
        <v>1368</v>
      </c>
      <c r="K62" s="11">
        <v>1368</v>
      </c>
      <c r="L62" s="11">
        <v>1368</v>
      </c>
      <c r="M62" s="11">
        <v>1368</v>
      </c>
      <c r="N62" s="11">
        <v>0</v>
      </c>
      <c r="O62" s="11">
        <v>0</v>
      </c>
      <c r="P62" s="11">
        <f>SUM(H62:O62)</f>
        <v>8208</v>
      </c>
    </row>
    <row r="63" spans="1:16" ht="17.399999999999999" customHeight="1" x14ac:dyDescent="0.25">
      <c r="A63" s="103"/>
      <c r="B63" s="105"/>
      <c r="C63" s="107"/>
      <c r="D63" s="182"/>
      <c r="E63" s="181"/>
      <c r="F63" s="17" t="s">
        <v>150</v>
      </c>
      <c r="G63" s="14" t="s">
        <v>8</v>
      </c>
      <c r="H63" s="15">
        <f>256+20</f>
        <v>276</v>
      </c>
      <c r="I63" s="15">
        <f>192+17</f>
        <v>209</v>
      </c>
      <c r="J63" s="15">
        <f>153+13</f>
        <v>166</v>
      </c>
      <c r="K63" s="15">
        <f>113+10</f>
        <v>123</v>
      </c>
      <c r="L63" s="15">
        <f>73+6</f>
        <v>79</v>
      </c>
      <c r="M63" s="15">
        <f>33+3</f>
        <v>36</v>
      </c>
      <c r="N63" s="15">
        <v>2</v>
      </c>
      <c r="O63" s="15">
        <v>0</v>
      </c>
      <c r="P63" s="15">
        <f t="shared" si="0"/>
        <v>891</v>
      </c>
    </row>
    <row r="64" spans="1:16" ht="18.75" customHeight="1" x14ac:dyDescent="0.25">
      <c r="A64" s="104"/>
      <c r="B64" s="188"/>
      <c r="C64" s="191"/>
      <c r="D64" s="190"/>
      <c r="E64" s="166"/>
      <c r="F64" s="23"/>
      <c r="G64" s="23" t="s">
        <v>99</v>
      </c>
      <c r="H64" s="13">
        <f t="shared" ref="H64:O64" si="25">SUM(H62:H63)</f>
        <v>1644</v>
      </c>
      <c r="I64" s="13">
        <f t="shared" si="25"/>
        <v>1577</v>
      </c>
      <c r="J64" s="13">
        <f t="shared" si="25"/>
        <v>1534</v>
      </c>
      <c r="K64" s="13">
        <f t="shared" si="25"/>
        <v>1491</v>
      </c>
      <c r="L64" s="13">
        <f t="shared" si="25"/>
        <v>1447</v>
      </c>
      <c r="M64" s="13">
        <f t="shared" si="25"/>
        <v>1404</v>
      </c>
      <c r="N64" s="13">
        <f t="shared" si="25"/>
        <v>2</v>
      </c>
      <c r="O64" s="13">
        <f t="shared" si="25"/>
        <v>0</v>
      </c>
      <c r="P64" s="92">
        <f t="shared" si="0"/>
        <v>9099</v>
      </c>
    </row>
    <row r="65" spans="1:16" ht="20.399999999999999" customHeight="1" x14ac:dyDescent="0.25">
      <c r="A65" s="102">
        <f t="shared" ref="A65" si="26">A62+1</f>
        <v>20</v>
      </c>
      <c r="B65" s="105" t="s">
        <v>11</v>
      </c>
      <c r="C65" s="107" t="s">
        <v>67</v>
      </c>
      <c r="D65" s="182">
        <v>40365</v>
      </c>
      <c r="E65" s="181" t="s">
        <v>151</v>
      </c>
      <c r="F65" s="37" t="s">
        <v>152</v>
      </c>
      <c r="G65" s="10" t="s">
        <v>5</v>
      </c>
      <c r="H65" s="11">
        <v>14168</v>
      </c>
      <c r="I65" s="11">
        <v>14168</v>
      </c>
      <c r="J65" s="11">
        <v>14168</v>
      </c>
      <c r="K65" s="11">
        <v>14168</v>
      </c>
      <c r="L65" s="11">
        <v>14168</v>
      </c>
      <c r="M65" s="11">
        <v>14168</v>
      </c>
      <c r="N65" s="11">
        <v>14168</v>
      </c>
      <c r="O65" s="11">
        <f>142229-13876+2664-14168</f>
        <v>116849</v>
      </c>
      <c r="P65" s="11">
        <f>SUM(H65:O65)</f>
        <v>216025</v>
      </c>
    </row>
    <row r="66" spans="1:16" ht="17.399999999999999" customHeight="1" x14ac:dyDescent="0.25">
      <c r="A66" s="103"/>
      <c r="B66" s="105"/>
      <c r="C66" s="107"/>
      <c r="D66" s="182"/>
      <c r="E66" s="181"/>
      <c r="F66" s="17" t="s">
        <v>153</v>
      </c>
      <c r="G66" s="14" t="s">
        <v>8</v>
      </c>
      <c r="H66" s="15">
        <f>7451+541</f>
        <v>7992</v>
      </c>
      <c r="I66" s="15">
        <f>5402+506</f>
        <v>5908</v>
      </c>
      <c r="J66" s="15">
        <f>5018+470</f>
        <v>5488</v>
      </c>
      <c r="K66" s="15">
        <f>4646+435</f>
        <v>5081</v>
      </c>
      <c r="L66" s="15">
        <f>4251+398</f>
        <v>4649</v>
      </c>
      <c r="M66" s="15">
        <f>3867+362</f>
        <v>4229</v>
      </c>
      <c r="N66" s="15">
        <f>3484+327</f>
        <v>3811</v>
      </c>
      <c r="O66" s="73">
        <f>13006+1327</f>
        <v>14333</v>
      </c>
      <c r="P66" s="15">
        <f t="shared" si="0"/>
        <v>51491</v>
      </c>
    </row>
    <row r="67" spans="1:16" ht="16.95" customHeight="1" x14ac:dyDescent="0.25">
      <c r="A67" s="104"/>
      <c r="B67" s="105"/>
      <c r="C67" s="107"/>
      <c r="D67" s="182"/>
      <c r="E67" s="181"/>
      <c r="F67" s="12"/>
      <c r="G67" s="12" t="s">
        <v>99</v>
      </c>
      <c r="H67" s="13">
        <f t="shared" ref="H67:O67" si="27">SUM(H65:H66)</f>
        <v>22160</v>
      </c>
      <c r="I67" s="13">
        <f t="shared" si="27"/>
        <v>20076</v>
      </c>
      <c r="J67" s="13">
        <f t="shared" si="27"/>
        <v>19656</v>
      </c>
      <c r="K67" s="13">
        <f t="shared" si="27"/>
        <v>19249</v>
      </c>
      <c r="L67" s="13">
        <f t="shared" si="27"/>
        <v>18817</v>
      </c>
      <c r="M67" s="13">
        <f t="shared" si="27"/>
        <v>18397</v>
      </c>
      <c r="N67" s="13">
        <f t="shared" si="27"/>
        <v>17979</v>
      </c>
      <c r="O67" s="13">
        <f t="shared" si="27"/>
        <v>131182</v>
      </c>
      <c r="P67" s="92">
        <f t="shared" ref="P67:P73" si="28">SUM(H67:O67)</f>
        <v>267516</v>
      </c>
    </row>
    <row r="68" spans="1:16" ht="16.95" customHeight="1" x14ac:dyDescent="0.25">
      <c r="A68" s="102">
        <f t="shared" ref="A68" si="29">A65+1</f>
        <v>21</v>
      </c>
      <c r="B68" s="188" t="s">
        <v>11</v>
      </c>
      <c r="C68" s="191" t="s">
        <v>13</v>
      </c>
      <c r="D68" s="190">
        <v>40388</v>
      </c>
      <c r="E68" s="166" t="s">
        <v>156</v>
      </c>
      <c r="F68" s="37" t="s">
        <v>154</v>
      </c>
      <c r="G68" s="10" t="s">
        <v>5</v>
      </c>
      <c r="H68" s="11">
        <v>2341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1">
        <v>0</v>
      </c>
      <c r="O68" s="16">
        <v>0</v>
      </c>
      <c r="P68" s="11">
        <f>SUM(H68:O68)</f>
        <v>2341</v>
      </c>
    </row>
    <row r="69" spans="1:16" ht="16.5" customHeight="1" x14ac:dyDescent="0.25">
      <c r="A69" s="103"/>
      <c r="B69" s="199"/>
      <c r="C69" s="201"/>
      <c r="D69" s="203"/>
      <c r="E69" s="167"/>
      <c r="F69" s="17" t="s">
        <v>155</v>
      </c>
      <c r="G69" s="14" t="s">
        <v>8</v>
      </c>
      <c r="H69" s="15">
        <f>63+4</f>
        <v>67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5">
        <v>0</v>
      </c>
      <c r="O69" s="18">
        <v>0</v>
      </c>
      <c r="P69" s="15">
        <f t="shared" si="28"/>
        <v>67</v>
      </c>
    </row>
    <row r="70" spans="1:16" ht="16.5" customHeight="1" x14ac:dyDescent="0.25">
      <c r="A70" s="104"/>
      <c r="B70" s="200"/>
      <c r="C70" s="202"/>
      <c r="D70" s="204"/>
      <c r="E70" s="168"/>
      <c r="F70" s="12"/>
      <c r="G70" s="12" t="s">
        <v>99</v>
      </c>
      <c r="H70" s="13">
        <f t="shared" ref="H70:O70" si="30">SUM(H68:H69)</f>
        <v>2408</v>
      </c>
      <c r="I70" s="13">
        <f t="shared" si="30"/>
        <v>0</v>
      </c>
      <c r="J70" s="13">
        <f t="shared" si="30"/>
        <v>0</v>
      </c>
      <c r="K70" s="13">
        <f t="shared" si="30"/>
        <v>0</v>
      </c>
      <c r="L70" s="13">
        <f t="shared" si="30"/>
        <v>0</v>
      </c>
      <c r="M70" s="13">
        <f>SUM(M68:M69)</f>
        <v>0</v>
      </c>
      <c r="N70" s="13">
        <f t="shared" ref="N70" si="31">SUM(N68:N69)</f>
        <v>0</v>
      </c>
      <c r="O70" s="13">
        <f t="shared" si="30"/>
        <v>0</v>
      </c>
      <c r="P70" s="92">
        <f t="shared" si="28"/>
        <v>2408</v>
      </c>
    </row>
    <row r="71" spans="1:16" ht="15" customHeight="1" x14ac:dyDescent="0.25">
      <c r="A71" s="102">
        <f t="shared" ref="A71" si="32">A68+1</f>
        <v>22</v>
      </c>
      <c r="B71" s="105" t="s">
        <v>11</v>
      </c>
      <c r="C71" s="107" t="s">
        <v>48</v>
      </c>
      <c r="D71" s="182">
        <v>40452</v>
      </c>
      <c r="E71" s="181" t="s">
        <v>159</v>
      </c>
      <c r="F71" s="37" t="s">
        <v>157</v>
      </c>
      <c r="G71" s="10" t="s">
        <v>5</v>
      </c>
      <c r="H71" s="11">
        <v>29364</v>
      </c>
      <c r="I71" s="11">
        <v>29364</v>
      </c>
      <c r="J71" s="11">
        <v>29364</v>
      </c>
      <c r="K71" s="11">
        <v>29364</v>
      </c>
      <c r="L71" s="11">
        <v>29364</v>
      </c>
      <c r="M71" s="11">
        <v>22011</v>
      </c>
      <c r="N71" s="11">
        <v>0</v>
      </c>
      <c r="O71" s="11">
        <v>0</v>
      </c>
      <c r="P71" s="11">
        <f>SUM(H71:O71)</f>
        <v>168831</v>
      </c>
    </row>
    <row r="72" spans="1:16" ht="15.75" customHeight="1" x14ac:dyDescent="0.25">
      <c r="A72" s="103"/>
      <c r="B72" s="105"/>
      <c r="C72" s="107"/>
      <c r="D72" s="182"/>
      <c r="E72" s="181"/>
      <c r="F72" s="17" t="s">
        <v>158</v>
      </c>
      <c r="G72" s="14" t="s">
        <v>8</v>
      </c>
      <c r="H72" s="15">
        <f>5027+416</f>
        <v>5443</v>
      </c>
      <c r="I72" s="15">
        <f>3651+342</f>
        <v>3993</v>
      </c>
      <c r="J72" s="15">
        <f>2856+268</f>
        <v>3124</v>
      </c>
      <c r="K72" s="15">
        <f>2065+194</f>
        <v>2259</v>
      </c>
      <c r="L72" s="15">
        <f>1265+119</f>
        <v>1384</v>
      </c>
      <c r="M72" s="15">
        <f>471+44</f>
        <v>515</v>
      </c>
      <c r="N72" s="15">
        <v>0</v>
      </c>
      <c r="O72" s="15">
        <v>0</v>
      </c>
      <c r="P72" s="15">
        <f t="shared" si="28"/>
        <v>16718</v>
      </c>
    </row>
    <row r="73" spans="1:16" ht="15.75" customHeight="1" x14ac:dyDescent="0.25">
      <c r="A73" s="104"/>
      <c r="B73" s="105"/>
      <c r="C73" s="107"/>
      <c r="D73" s="182"/>
      <c r="E73" s="181"/>
      <c r="F73" s="12"/>
      <c r="G73" s="12" t="s">
        <v>99</v>
      </c>
      <c r="H73" s="13">
        <f t="shared" ref="H73:O73" si="33">SUM(H71:H72)</f>
        <v>34807</v>
      </c>
      <c r="I73" s="13">
        <f t="shared" si="33"/>
        <v>33357</v>
      </c>
      <c r="J73" s="13">
        <f t="shared" si="33"/>
        <v>32488</v>
      </c>
      <c r="K73" s="13">
        <f t="shared" si="33"/>
        <v>31623</v>
      </c>
      <c r="L73" s="13">
        <f t="shared" si="33"/>
        <v>30748</v>
      </c>
      <c r="M73" s="13">
        <f t="shared" si="33"/>
        <v>22526</v>
      </c>
      <c r="N73" s="13">
        <f t="shared" si="33"/>
        <v>0</v>
      </c>
      <c r="O73" s="13">
        <f t="shared" si="33"/>
        <v>0</v>
      </c>
      <c r="P73" s="92">
        <f t="shared" si="28"/>
        <v>185549</v>
      </c>
    </row>
    <row r="74" spans="1:16" ht="18" customHeight="1" x14ac:dyDescent="0.25">
      <c r="A74" s="102">
        <f t="shared" ref="A74" si="34">A71+1</f>
        <v>23</v>
      </c>
      <c r="B74" s="105" t="s">
        <v>11</v>
      </c>
      <c r="C74" s="107" t="s">
        <v>80</v>
      </c>
      <c r="D74" s="182">
        <v>40471</v>
      </c>
      <c r="E74" s="181" t="s">
        <v>160</v>
      </c>
      <c r="F74" s="22" t="s">
        <v>161</v>
      </c>
      <c r="G74" s="10" t="s">
        <v>5</v>
      </c>
      <c r="H74" s="11">
        <v>2128</v>
      </c>
      <c r="I74" s="11">
        <v>2128</v>
      </c>
      <c r="J74" s="11">
        <v>2128</v>
      </c>
      <c r="K74" s="11">
        <v>2128</v>
      </c>
      <c r="L74" s="11">
        <v>2128</v>
      </c>
      <c r="M74" s="11">
        <v>2128</v>
      </c>
      <c r="N74" s="11">
        <v>2128</v>
      </c>
      <c r="O74" s="11">
        <f>23100-2100+276-2128</f>
        <v>19148</v>
      </c>
      <c r="P74" s="11">
        <f>SUM(H74:O74)</f>
        <v>34044</v>
      </c>
    </row>
    <row r="75" spans="1:16" ht="18" customHeight="1" x14ac:dyDescent="0.25">
      <c r="A75" s="103"/>
      <c r="B75" s="105"/>
      <c r="C75" s="107"/>
      <c r="D75" s="182"/>
      <c r="E75" s="181"/>
      <c r="F75" s="17" t="s">
        <v>162</v>
      </c>
      <c r="G75" s="14" t="s">
        <v>8</v>
      </c>
      <c r="H75" s="15">
        <f>1017+85</f>
        <v>1102</v>
      </c>
      <c r="I75" s="15">
        <f>860+80</f>
        <v>940</v>
      </c>
      <c r="J75" s="15">
        <f>796+75</f>
        <v>871</v>
      </c>
      <c r="K75" s="15">
        <f>741+69</f>
        <v>810</v>
      </c>
      <c r="L75" s="15">
        <f>682+64</f>
        <v>746</v>
      </c>
      <c r="M75" s="15">
        <f>624+59</f>
        <v>683</v>
      </c>
      <c r="N75" s="15">
        <f>567+53</f>
        <v>620</v>
      </c>
      <c r="O75" s="73">
        <f>2308+235</f>
        <v>2543</v>
      </c>
      <c r="P75" s="15">
        <f t="shared" ref="P75:P138" si="35">SUM(H75:O75)</f>
        <v>8315</v>
      </c>
    </row>
    <row r="76" spans="1:16" ht="18" customHeight="1" x14ac:dyDescent="0.25">
      <c r="A76" s="104"/>
      <c r="B76" s="105"/>
      <c r="C76" s="107"/>
      <c r="D76" s="182"/>
      <c r="E76" s="181"/>
      <c r="F76" s="12"/>
      <c r="G76" s="12" t="s">
        <v>99</v>
      </c>
      <c r="H76" s="13">
        <f t="shared" ref="H76:O76" si="36">SUM(H74:H75)</f>
        <v>3230</v>
      </c>
      <c r="I76" s="13">
        <f t="shared" si="36"/>
        <v>3068</v>
      </c>
      <c r="J76" s="13">
        <f t="shared" si="36"/>
        <v>2999</v>
      </c>
      <c r="K76" s="13">
        <f t="shared" si="36"/>
        <v>2938</v>
      </c>
      <c r="L76" s="13">
        <f t="shared" si="36"/>
        <v>2874</v>
      </c>
      <c r="M76" s="13">
        <f t="shared" si="36"/>
        <v>2811</v>
      </c>
      <c r="N76" s="13">
        <f t="shared" si="36"/>
        <v>2748</v>
      </c>
      <c r="O76" s="13">
        <f t="shared" si="36"/>
        <v>21691</v>
      </c>
      <c r="P76" s="92">
        <f t="shared" si="35"/>
        <v>42359</v>
      </c>
    </row>
    <row r="77" spans="1:16" ht="17.25" customHeight="1" x14ac:dyDescent="0.25">
      <c r="A77" s="102">
        <f t="shared" ref="A77" si="37">A74+1</f>
        <v>24</v>
      </c>
      <c r="B77" s="105" t="s">
        <v>11</v>
      </c>
      <c r="C77" s="107" t="s">
        <v>14</v>
      </c>
      <c r="D77" s="182">
        <v>40651</v>
      </c>
      <c r="E77" s="181" t="s">
        <v>163</v>
      </c>
      <c r="F77" s="22" t="s">
        <v>164</v>
      </c>
      <c r="G77" s="10" t="s">
        <v>5</v>
      </c>
      <c r="H77" s="11">
        <v>6296</v>
      </c>
      <c r="I77" s="11">
        <v>3148</v>
      </c>
      <c r="J77" s="16">
        <v>0</v>
      </c>
      <c r="K77" s="16">
        <v>0</v>
      </c>
      <c r="L77" s="16">
        <v>0</v>
      </c>
      <c r="M77" s="16">
        <v>0</v>
      </c>
      <c r="N77" s="11">
        <v>0</v>
      </c>
      <c r="O77" s="16">
        <v>0</v>
      </c>
      <c r="P77" s="11">
        <f>SUM(H77:O77)</f>
        <v>9444</v>
      </c>
    </row>
    <row r="78" spans="1:16" ht="16.2" customHeight="1" x14ac:dyDescent="0.25">
      <c r="A78" s="103"/>
      <c r="B78" s="105"/>
      <c r="C78" s="107"/>
      <c r="D78" s="182"/>
      <c r="E78" s="181"/>
      <c r="F78" s="17" t="s">
        <v>165</v>
      </c>
      <c r="G78" s="14" t="s">
        <v>8</v>
      </c>
      <c r="H78" s="15">
        <f>289+21</f>
        <v>310</v>
      </c>
      <c r="I78" s="15">
        <f>53+5</f>
        <v>58</v>
      </c>
      <c r="J78" s="18">
        <v>0</v>
      </c>
      <c r="K78" s="18">
        <v>0</v>
      </c>
      <c r="L78" s="18">
        <v>0</v>
      </c>
      <c r="M78" s="18">
        <v>0</v>
      </c>
      <c r="N78" s="15">
        <v>0</v>
      </c>
      <c r="O78" s="18">
        <v>0</v>
      </c>
      <c r="P78" s="15">
        <f t="shared" si="35"/>
        <v>368</v>
      </c>
    </row>
    <row r="79" spans="1:16" ht="16.2" customHeight="1" x14ac:dyDescent="0.25">
      <c r="A79" s="104"/>
      <c r="B79" s="188"/>
      <c r="C79" s="191"/>
      <c r="D79" s="190"/>
      <c r="E79" s="166"/>
      <c r="F79" s="23"/>
      <c r="G79" s="23" t="s">
        <v>99</v>
      </c>
      <c r="H79" s="13">
        <f t="shared" ref="H79:O79" si="38">SUM(H77:H78)</f>
        <v>6606</v>
      </c>
      <c r="I79" s="13">
        <f t="shared" si="38"/>
        <v>3206</v>
      </c>
      <c r="J79" s="13">
        <f t="shared" si="38"/>
        <v>0</v>
      </c>
      <c r="K79" s="13">
        <f t="shared" si="38"/>
        <v>0</v>
      </c>
      <c r="L79" s="13">
        <f t="shared" si="38"/>
        <v>0</v>
      </c>
      <c r="M79" s="13">
        <f t="shared" si="38"/>
        <v>0</v>
      </c>
      <c r="N79" s="13">
        <f t="shared" si="38"/>
        <v>0</v>
      </c>
      <c r="O79" s="13">
        <f t="shared" si="38"/>
        <v>0</v>
      </c>
      <c r="P79" s="92">
        <f t="shared" si="35"/>
        <v>9812</v>
      </c>
    </row>
    <row r="80" spans="1:16" ht="16.5" customHeight="1" x14ac:dyDescent="0.25">
      <c r="A80" s="102">
        <f t="shared" ref="A80" si="39">A77+1</f>
        <v>25</v>
      </c>
      <c r="B80" s="105" t="s">
        <v>11</v>
      </c>
      <c r="C80" s="107" t="s">
        <v>15</v>
      </c>
      <c r="D80" s="182">
        <v>40651</v>
      </c>
      <c r="E80" s="181" t="s">
        <v>163</v>
      </c>
      <c r="F80" s="37" t="s">
        <v>166</v>
      </c>
      <c r="G80" s="10" t="s">
        <v>5</v>
      </c>
      <c r="H80" s="11">
        <v>2447</v>
      </c>
      <c r="I80" s="11">
        <v>1224</v>
      </c>
      <c r="J80" s="16">
        <v>0</v>
      </c>
      <c r="K80" s="16">
        <v>0</v>
      </c>
      <c r="L80" s="16">
        <v>0</v>
      </c>
      <c r="M80" s="16">
        <v>0</v>
      </c>
      <c r="N80" s="11">
        <v>0</v>
      </c>
      <c r="O80" s="16">
        <v>0</v>
      </c>
      <c r="P80" s="11">
        <f>SUM(H80:O80)</f>
        <v>3671</v>
      </c>
    </row>
    <row r="81" spans="1:16" ht="17.25" customHeight="1" x14ac:dyDescent="0.25">
      <c r="A81" s="103"/>
      <c r="B81" s="105"/>
      <c r="C81" s="107"/>
      <c r="D81" s="182"/>
      <c r="E81" s="181"/>
      <c r="F81" s="17" t="s">
        <v>167</v>
      </c>
      <c r="G81" s="14" t="s">
        <v>8</v>
      </c>
      <c r="H81" s="15">
        <f>113+8</f>
        <v>121</v>
      </c>
      <c r="I81" s="15">
        <f>21+2</f>
        <v>23</v>
      </c>
      <c r="J81" s="18">
        <v>0</v>
      </c>
      <c r="K81" s="18">
        <v>0</v>
      </c>
      <c r="L81" s="18">
        <v>0</v>
      </c>
      <c r="M81" s="18">
        <v>0</v>
      </c>
      <c r="N81" s="15">
        <v>0</v>
      </c>
      <c r="O81" s="18">
        <v>0</v>
      </c>
      <c r="P81" s="15">
        <f t="shared" si="35"/>
        <v>144</v>
      </c>
    </row>
    <row r="82" spans="1:16" ht="17.25" customHeight="1" x14ac:dyDescent="0.25">
      <c r="A82" s="104"/>
      <c r="B82" s="105"/>
      <c r="C82" s="107"/>
      <c r="D82" s="182"/>
      <c r="E82" s="181"/>
      <c r="F82" s="12"/>
      <c r="G82" s="12" t="s">
        <v>99</v>
      </c>
      <c r="H82" s="13">
        <f t="shared" ref="H82:O82" si="40">SUM(H80:H81)</f>
        <v>2568</v>
      </c>
      <c r="I82" s="13">
        <f t="shared" si="40"/>
        <v>1247</v>
      </c>
      <c r="J82" s="13">
        <f t="shared" si="40"/>
        <v>0</v>
      </c>
      <c r="K82" s="13">
        <f t="shared" si="40"/>
        <v>0</v>
      </c>
      <c r="L82" s="13">
        <f t="shared" si="40"/>
        <v>0</v>
      </c>
      <c r="M82" s="13">
        <f t="shared" si="40"/>
        <v>0</v>
      </c>
      <c r="N82" s="13">
        <f t="shared" si="40"/>
        <v>0</v>
      </c>
      <c r="O82" s="13">
        <f t="shared" si="40"/>
        <v>0</v>
      </c>
      <c r="P82" s="92">
        <f t="shared" si="35"/>
        <v>3815</v>
      </c>
    </row>
    <row r="83" spans="1:16" ht="18" customHeight="1" x14ac:dyDescent="0.25">
      <c r="A83" s="102">
        <f t="shared" ref="A83" si="41">A80+1</f>
        <v>26</v>
      </c>
      <c r="B83" s="105" t="s">
        <v>11</v>
      </c>
      <c r="C83" s="106" t="s">
        <v>445</v>
      </c>
      <c r="D83" s="182">
        <v>40868</v>
      </c>
      <c r="E83" s="181" t="s">
        <v>170</v>
      </c>
      <c r="F83" s="37" t="s">
        <v>168</v>
      </c>
      <c r="G83" s="10" t="s">
        <v>5</v>
      </c>
      <c r="H83" s="11">
        <v>7308</v>
      </c>
      <c r="I83" s="11">
        <v>7306</v>
      </c>
      <c r="J83" s="16">
        <v>0</v>
      </c>
      <c r="K83" s="16">
        <v>0</v>
      </c>
      <c r="L83" s="16">
        <v>0</v>
      </c>
      <c r="M83" s="16">
        <v>0</v>
      </c>
      <c r="N83" s="11">
        <v>0</v>
      </c>
      <c r="O83" s="16">
        <v>0</v>
      </c>
      <c r="P83" s="11">
        <f>SUM(H83:O83)</f>
        <v>14614</v>
      </c>
    </row>
    <row r="84" spans="1:16" ht="15.75" customHeight="1" x14ac:dyDescent="0.25">
      <c r="A84" s="103"/>
      <c r="B84" s="105"/>
      <c r="C84" s="107"/>
      <c r="D84" s="182"/>
      <c r="E84" s="181"/>
      <c r="F84" s="17" t="s">
        <v>169</v>
      </c>
      <c r="G84" s="14" t="s">
        <v>8</v>
      </c>
      <c r="H84" s="15">
        <f>411+34</f>
        <v>445</v>
      </c>
      <c r="I84" s="15">
        <f>169+15</f>
        <v>184</v>
      </c>
      <c r="J84" s="18">
        <v>7</v>
      </c>
      <c r="K84" s="18">
        <v>0</v>
      </c>
      <c r="L84" s="18">
        <v>0</v>
      </c>
      <c r="M84" s="18">
        <v>0</v>
      </c>
      <c r="N84" s="15">
        <v>0</v>
      </c>
      <c r="O84" s="18">
        <v>0</v>
      </c>
      <c r="P84" s="15">
        <f t="shared" si="35"/>
        <v>636</v>
      </c>
    </row>
    <row r="85" spans="1:16" ht="15.75" customHeight="1" x14ac:dyDescent="0.25">
      <c r="A85" s="104"/>
      <c r="B85" s="105"/>
      <c r="C85" s="107"/>
      <c r="D85" s="182"/>
      <c r="E85" s="181"/>
      <c r="F85" s="12"/>
      <c r="G85" s="12" t="s">
        <v>99</v>
      </c>
      <c r="H85" s="13">
        <f t="shared" ref="H85:O85" si="42">SUM(H83:H84)</f>
        <v>7753</v>
      </c>
      <c r="I85" s="13">
        <f t="shared" si="42"/>
        <v>7490</v>
      </c>
      <c r="J85" s="13">
        <f t="shared" si="42"/>
        <v>7</v>
      </c>
      <c r="K85" s="13">
        <f t="shared" si="42"/>
        <v>0</v>
      </c>
      <c r="L85" s="13">
        <f t="shared" si="42"/>
        <v>0</v>
      </c>
      <c r="M85" s="13">
        <f>SUM(M83:M84)</f>
        <v>0</v>
      </c>
      <c r="N85" s="13">
        <f t="shared" ref="N85" si="43">SUM(N83:N84)</f>
        <v>0</v>
      </c>
      <c r="O85" s="13">
        <f t="shared" si="42"/>
        <v>0</v>
      </c>
      <c r="P85" s="92">
        <f t="shared" si="35"/>
        <v>15250</v>
      </c>
    </row>
    <row r="86" spans="1:16" ht="19.2" customHeight="1" x14ac:dyDescent="0.25">
      <c r="A86" s="102">
        <f t="shared" ref="A86" si="44">A83+1</f>
        <v>27</v>
      </c>
      <c r="B86" s="105" t="s">
        <v>11</v>
      </c>
      <c r="C86" s="107" t="s">
        <v>52</v>
      </c>
      <c r="D86" s="182">
        <v>40932</v>
      </c>
      <c r="E86" s="181" t="s">
        <v>171</v>
      </c>
      <c r="F86" s="37" t="s">
        <v>172</v>
      </c>
      <c r="G86" s="10" t="s">
        <v>5</v>
      </c>
      <c r="H86" s="11">
        <v>22528</v>
      </c>
      <c r="I86" s="11">
        <v>22528</v>
      </c>
      <c r="J86" s="11">
        <v>22528</v>
      </c>
      <c r="K86" s="11">
        <v>22528</v>
      </c>
      <c r="L86" s="11">
        <v>22528</v>
      </c>
      <c r="M86" s="11">
        <v>22528</v>
      </c>
      <c r="N86" s="11">
        <v>22528</v>
      </c>
      <c r="O86" s="11">
        <f>50109-22271+304-22528</f>
        <v>5614</v>
      </c>
      <c r="P86" s="11">
        <f>SUM(H86:O86)</f>
        <v>163310</v>
      </c>
    </row>
    <row r="87" spans="1:16" ht="15.6" customHeight="1" x14ac:dyDescent="0.25">
      <c r="A87" s="103"/>
      <c r="B87" s="105"/>
      <c r="C87" s="107"/>
      <c r="D87" s="182"/>
      <c r="E87" s="181"/>
      <c r="F87" s="17" t="s">
        <v>173</v>
      </c>
      <c r="G87" s="14" t="s">
        <v>8</v>
      </c>
      <c r="H87" s="15">
        <f>4846+405</f>
        <v>5251</v>
      </c>
      <c r="I87" s="15">
        <f>3715+348</f>
        <v>4063</v>
      </c>
      <c r="J87" s="15">
        <f>3105+291</f>
        <v>3396</v>
      </c>
      <c r="K87" s="15">
        <f>2501+234</f>
        <v>2735</v>
      </c>
      <c r="L87" s="15">
        <f>1884+177</f>
        <v>2061</v>
      </c>
      <c r="M87" s="15">
        <f>1275+119</f>
        <v>1394</v>
      </c>
      <c r="N87" s="15">
        <f>667+62</f>
        <v>729</v>
      </c>
      <c r="O87" s="73">
        <f>74+8</f>
        <v>82</v>
      </c>
      <c r="P87" s="15">
        <f t="shared" si="35"/>
        <v>19711</v>
      </c>
    </row>
    <row r="88" spans="1:16" ht="16.2" customHeight="1" x14ac:dyDescent="0.25">
      <c r="A88" s="104"/>
      <c r="B88" s="105"/>
      <c r="C88" s="107"/>
      <c r="D88" s="182"/>
      <c r="E88" s="181"/>
      <c r="F88" s="12"/>
      <c r="G88" s="12" t="s">
        <v>99</v>
      </c>
      <c r="H88" s="13">
        <f t="shared" ref="H88:O88" si="45">SUM(H86:H87)</f>
        <v>27779</v>
      </c>
      <c r="I88" s="13">
        <f t="shared" si="45"/>
        <v>26591</v>
      </c>
      <c r="J88" s="13">
        <f t="shared" si="45"/>
        <v>25924</v>
      </c>
      <c r="K88" s="13">
        <f t="shared" si="45"/>
        <v>25263</v>
      </c>
      <c r="L88" s="13">
        <f t="shared" si="45"/>
        <v>24589</v>
      </c>
      <c r="M88" s="13">
        <f t="shared" si="45"/>
        <v>23922</v>
      </c>
      <c r="N88" s="13">
        <f t="shared" si="45"/>
        <v>23257</v>
      </c>
      <c r="O88" s="13">
        <f t="shared" si="45"/>
        <v>5696</v>
      </c>
      <c r="P88" s="92">
        <f t="shared" si="35"/>
        <v>183021</v>
      </c>
    </row>
    <row r="89" spans="1:16" ht="14.25" customHeight="1" x14ac:dyDescent="0.25">
      <c r="A89" s="102">
        <f t="shared" ref="A89" si="46">A86+1</f>
        <v>28</v>
      </c>
      <c r="B89" s="105" t="s">
        <v>11</v>
      </c>
      <c r="C89" s="107" t="s">
        <v>68</v>
      </c>
      <c r="D89" s="193">
        <v>41019</v>
      </c>
      <c r="E89" s="181" t="s">
        <v>146</v>
      </c>
      <c r="F89" s="37" t="s">
        <v>174</v>
      </c>
      <c r="G89" s="10" t="s">
        <v>5</v>
      </c>
      <c r="H89" s="11">
        <v>2024</v>
      </c>
      <c r="I89" s="11">
        <v>2024</v>
      </c>
      <c r="J89" s="11">
        <v>2024</v>
      </c>
      <c r="K89" s="11">
        <v>2024</v>
      </c>
      <c r="L89" s="11">
        <v>2024</v>
      </c>
      <c r="M89" s="11">
        <v>2014</v>
      </c>
      <c r="N89" s="11">
        <v>0</v>
      </c>
      <c r="O89" s="11">
        <v>0</v>
      </c>
      <c r="P89" s="11">
        <f>SUM(H89:O89)</f>
        <v>12134</v>
      </c>
    </row>
    <row r="90" spans="1:16" ht="15.75" customHeight="1" x14ac:dyDescent="0.25">
      <c r="A90" s="103"/>
      <c r="B90" s="105"/>
      <c r="C90" s="107"/>
      <c r="D90" s="193"/>
      <c r="E90" s="181"/>
      <c r="F90" s="17" t="s">
        <v>175</v>
      </c>
      <c r="G90" s="14" t="s">
        <v>8</v>
      </c>
      <c r="H90" s="15">
        <f>394+30</f>
        <v>424</v>
      </c>
      <c r="I90" s="15">
        <f>265+25</f>
        <v>290</v>
      </c>
      <c r="J90" s="15">
        <f>210+20</f>
        <v>230</v>
      </c>
      <c r="K90" s="15">
        <f>156+14</f>
        <v>170</v>
      </c>
      <c r="L90" s="15">
        <f>101+9</f>
        <v>110</v>
      </c>
      <c r="M90" s="15">
        <f>46+4</f>
        <v>50</v>
      </c>
      <c r="N90" s="15">
        <v>3</v>
      </c>
      <c r="O90" s="15">
        <v>0</v>
      </c>
      <c r="P90" s="15">
        <f t="shared" si="35"/>
        <v>1277</v>
      </c>
    </row>
    <row r="91" spans="1:16" ht="15.75" customHeight="1" x14ac:dyDescent="0.25">
      <c r="A91" s="104"/>
      <c r="B91" s="105"/>
      <c r="C91" s="107"/>
      <c r="D91" s="193"/>
      <c r="E91" s="181"/>
      <c r="F91" s="12"/>
      <c r="G91" s="12" t="s">
        <v>99</v>
      </c>
      <c r="H91" s="13">
        <f t="shared" ref="H91:O91" si="47">SUM(H89:H90)</f>
        <v>2448</v>
      </c>
      <c r="I91" s="13">
        <f t="shared" si="47"/>
        <v>2314</v>
      </c>
      <c r="J91" s="13">
        <f t="shared" si="47"/>
        <v>2254</v>
      </c>
      <c r="K91" s="13">
        <f t="shared" si="47"/>
        <v>2194</v>
      </c>
      <c r="L91" s="13">
        <f t="shared" si="47"/>
        <v>2134</v>
      </c>
      <c r="M91" s="13">
        <f t="shared" si="47"/>
        <v>2064</v>
      </c>
      <c r="N91" s="13">
        <f t="shared" si="47"/>
        <v>3</v>
      </c>
      <c r="O91" s="13">
        <f t="shared" si="47"/>
        <v>0</v>
      </c>
      <c r="P91" s="92">
        <f t="shared" si="35"/>
        <v>13411</v>
      </c>
    </row>
    <row r="92" spans="1:16" ht="18.600000000000001" customHeight="1" x14ac:dyDescent="0.25">
      <c r="A92" s="102">
        <f t="shared" ref="A92" si="48">A89+1</f>
        <v>29</v>
      </c>
      <c r="B92" s="105" t="s">
        <v>11</v>
      </c>
      <c r="C92" s="107" t="s">
        <v>81</v>
      </c>
      <c r="D92" s="193">
        <v>41019</v>
      </c>
      <c r="E92" s="181" t="s">
        <v>176</v>
      </c>
      <c r="F92" s="37" t="s">
        <v>177</v>
      </c>
      <c r="G92" s="10" t="s">
        <v>5</v>
      </c>
      <c r="H92" s="11">
        <v>7968</v>
      </c>
      <c r="I92" s="11">
        <v>7968</v>
      </c>
      <c r="J92" s="11">
        <v>7968</v>
      </c>
      <c r="K92" s="11">
        <v>7968</v>
      </c>
      <c r="L92" s="11">
        <v>7968</v>
      </c>
      <c r="M92" s="11">
        <v>7968</v>
      </c>
      <c r="N92" s="11">
        <v>7968</v>
      </c>
      <c r="O92" s="11">
        <f>97538-7803+1890-7968</f>
        <v>83657</v>
      </c>
      <c r="P92" s="11">
        <f>SUM(H92:O92)</f>
        <v>139433</v>
      </c>
    </row>
    <row r="93" spans="1:16" ht="15.6" customHeight="1" x14ac:dyDescent="0.25">
      <c r="A93" s="103"/>
      <c r="B93" s="105"/>
      <c r="C93" s="107"/>
      <c r="D93" s="193"/>
      <c r="E93" s="181"/>
      <c r="F93" s="17" t="s">
        <v>178</v>
      </c>
      <c r="G93" s="14" t="s">
        <v>8</v>
      </c>
      <c r="H93" s="15">
        <f>4590+350</f>
        <v>4940</v>
      </c>
      <c r="I93" s="15">
        <f>3523+330</f>
        <v>3853</v>
      </c>
      <c r="J93" s="15">
        <f>3307+310</f>
        <v>3617</v>
      </c>
      <c r="K93" s="15">
        <f>3100+290</f>
        <v>3390</v>
      </c>
      <c r="L93" s="15">
        <f>2876+269</f>
        <v>3145</v>
      </c>
      <c r="M93" s="15">
        <f>2660+249</f>
        <v>2909</v>
      </c>
      <c r="N93" s="15">
        <f>2445+229</f>
        <v>2674</v>
      </c>
      <c r="O93" s="73">
        <f>11642+1188</f>
        <v>12830</v>
      </c>
      <c r="P93" s="15">
        <f t="shared" si="35"/>
        <v>37358</v>
      </c>
    </row>
    <row r="94" spans="1:16" ht="15" customHeight="1" x14ac:dyDescent="0.25">
      <c r="A94" s="104"/>
      <c r="B94" s="105"/>
      <c r="C94" s="107"/>
      <c r="D94" s="193"/>
      <c r="E94" s="181"/>
      <c r="F94" s="12"/>
      <c r="G94" s="12" t="s">
        <v>99</v>
      </c>
      <c r="H94" s="13">
        <f t="shared" ref="H94:O94" si="49">SUM(H92:H93)</f>
        <v>12908</v>
      </c>
      <c r="I94" s="13">
        <f t="shared" si="49"/>
        <v>11821</v>
      </c>
      <c r="J94" s="13">
        <f t="shared" si="49"/>
        <v>11585</v>
      </c>
      <c r="K94" s="13">
        <f t="shared" si="49"/>
        <v>11358</v>
      </c>
      <c r="L94" s="13">
        <f t="shared" si="49"/>
        <v>11113</v>
      </c>
      <c r="M94" s="13">
        <f t="shared" si="49"/>
        <v>10877</v>
      </c>
      <c r="N94" s="13">
        <f t="shared" si="49"/>
        <v>10642</v>
      </c>
      <c r="O94" s="13">
        <f t="shared" si="49"/>
        <v>96487</v>
      </c>
      <c r="P94" s="92">
        <f t="shared" si="35"/>
        <v>176791</v>
      </c>
    </row>
    <row r="95" spans="1:16" ht="16.2" customHeight="1" x14ac:dyDescent="0.25">
      <c r="A95" s="102">
        <f t="shared" ref="A95" si="50">A92+1</f>
        <v>30</v>
      </c>
      <c r="B95" s="105" t="s">
        <v>11</v>
      </c>
      <c r="C95" s="107" t="s">
        <v>69</v>
      </c>
      <c r="D95" s="193">
        <v>41019</v>
      </c>
      <c r="E95" s="181" t="s">
        <v>176</v>
      </c>
      <c r="F95" s="37" t="s">
        <v>179</v>
      </c>
      <c r="G95" s="10" t="s">
        <v>5</v>
      </c>
      <c r="H95" s="11">
        <v>3496</v>
      </c>
      <c r="I95" s="11">
        <v>3496</v>
      </c>
      <c r="J95" s="11">
        <v>3496</v>
      </c>
      <c r="K95" s="11">
        <v>3496</v>
      </c>
      <c r="L95" s="11">
        <v>3496</v>
      </c>
      <c r="M95" s="11">
        <v>3496</v>
      </c>
      <c r="N95" s="11">
        <v>3496</v>
      </c>
      <c r="O95" s="11">
        <f>42754-3421+814-3496</f>
        <v>36651</v>
      </c>
      <c r="P95" s="11">
        <f>SUM(H95:O95)</f>
        <v>61123</v>
      </c>
    </row>
    <row r="96" spans="1:16" ht="16.2" customHeight="1" x14ac:dyDescent="0.25">
      <c r="A96" s="103"/>
      <c r="B96" s="105"/>
      <c r="C96" s="107"/>
      <c r="D96" s="193"/>
      <c r="E96" s="181"/>
      <c r="F96" s="17" t="s">
        <v>180</v>
      </c>
      <c r="G96" s="14" t="s">
        <v>8</v>
      </c>
      <c r="H96" s="15">
        <f>2012+153</f>
        <v>2165</v>
      </c>
      <c r="I96" s="15">
        <f>1544+145</f>
        <v>1689</v>
      </c>
      <c r="J96" s="15">
        <f>1450+135</f>
        <v>1585</v>
      </c>
      <c r="K96" s="15">
        <f>1359+127</f>
        <v>1486</v>
      </c>
      <c r="L96" s="15">
        <f>1260+118</f>
        <v>1378</v>
      </c>
      <c r="M96" s="15">
        <f>1166+109</f>
        <v>1275</v>
      </c>
      <c r="N96" s="15">
        <f>1071+100</f>
        <v>1171</v>
      </c>
      <c r="O96" s="73">
        <f>5094+520</f>
        <v>5614</v>
      </c>
      <c r="P96" s="15">
        <f t="shared" si="35"/>
        <v>16363</v>
      </c>
    </row>
    <row r="97" spans="1:16" ht="16.2" customHeight="1" x14ac:dyDescent="0.25">
      <c r="A97" s="104"/>
      <c r="B97" s="188"/>
      <c r="C97" s="191"/>
      <c r="D97" s="194"/>
      <c r="E97" s="166"/>
      <c r="F97" s="23"/>
      <c r="G97" s="23" t="s">
        <v>99</v>
      </c>
      <c r="H97" s="13">
        <f t="shared" ref="H97:O97" si="51">SUM(H95:H96)</f>
        <v>5661</v>
      </c>
      <c r="I97" s="13">
        <f t="shared" si="51"/>
        <v>5185</v>
      </c>
      <c r="J97" s="13">
        <f t="shared" si="51"/>
        <v>5081</v>
      </c>
      <c r="K97" s="13">
        <f t="shared" si="51"/>
        <v>4982</v>
      </c>
      <c r="L97" s="13">
        <f t="shared" si="51"/>
        <v>4874</v>
      </c>
      <c r="M97" s="13">
        <f t="shared" si="51"/>
        <v>4771</v>
      </c>
      <c r="N97" s="13">
        <f t="shared" si="51"/>
        <v>4667</v>
      </c>
      <c r="O97" s="13">
        <f t="shared" si="51"/>
        <v>42265</v>
      </c>
      <c r="P97" s="92">
        <f t="shared" si="35"/>
        <v>77486</v>
      </c>
    </row>
    <row r="98" spans="1:16" ht="16.5" customHeight="1" x14ac:dyDescent="0.25">
      <c r="A98" s="102">
        <f t="shared" ref="A98" si="52">A95+1</f>
        <v>31</v>
      </c>
      <c r="B98" s="105" t="s">
        <v>11</v>
      </c>
      <c r="C98" s="107" t="s">
        <v>70</v>
      </c>
      <c r="D98" s="182">
        <v>41100</v>
      </c>
      <c r="E98" s="181" t="s">
        <v>181</v>
      </c>
      <c r="F98" s="37" t="s">
        <v>182</v>
      </c>
      <c r="G98" s="10" t="s">
        <v>5</v>
      </c>
      <c r="H98" s="11">
        <v>3648</v>
      </c>
      <c r="I98" s="11">
        <v>3648</v>
      </c>
      <c r="J98" s="11">
        <v>3648</v>
      </c>
      <c r="K98" s="11">
        <v>3648</v>
      </c>
      <c r="L98" s="11">
        <v>3648</v>
      </c>
      <c r="M98" s="11">
        <v>3648</v>
      </c>
      <c r="N98" s="11">
        <v>3648</v>
      </c>
      <c r="O98" s="11">
        <f>45426-3563+966-3648</f>
        <v>39181</v>
      </c>
      <c r="P98" s="11">
        <f>SUM(H98:O98)</f>
        <v>64717</v>
      </c>
    </row>
    <row r="99" spans="1:16" ht="15.75" customHeight="1" x14ac:dyDescent="0.25">
      <c r="A99" s="103"/>
      <c r="B99" s="105"/>
      <c r="C99" s="107"/>
      <c r="D99" s="182"/>
      <c r="E99" s="181"/>
      <c r="F99" s="17" t="s">
        <v>183</v>
      </c>
      <c r="G99" s="14" t="s">
        <v>8</v>
      </c>
      <c r="H99" s="15">
        <f>2269+162</f>
        <v>2431</v>
      </c>
      <c r="I99" s="15">
        <f>1637+153</f>
        <v>1790</v>
      </c>
      <c r="J99" s="15">
        <f>1538+144</f>
        <v>1682</v>
      </c>
      <c r="K99" s="15">
        <f>1443+135</f>
        <v>1578</v>
      </c>
      <c r="L99" s="15">
        <f>1340+126</f>
        <v>1466</v>
      </c>
      <c r="M99" s="15">
        <f>1242+116</f>
        <v>1358</v>
      </c>
      <c r="N99" s="15">
        <f>1143+107</f>
        <v>1250</v>
      </c>
      <c r="O99" s="73">
        <f>5571+568</f>
        <v>6139</v>
      </c>
      <c r="P99" s="15">
        <f t="shared" si="35"/>
        <v>17694</v>
      </c>
    </row>
    <row r="100" spans="1:16" ht="18" customHeight="1" x14ac:dyDescent="0.25">
      <c r="A100" s="104"/>
      <c r="B100" s="105"/>
      <c r="C100" s="107"/>
      <c r="D100" s="182"/>
      <c r="E100" s="181"/>
      <c r="F100" s="12"/>
      <c r="G100" s="12" t="s">
        <v>99</v>
      </c>
      <c r="H100" s="13">
        <f t="shared" ref="H100:O100" si="53">SUM(H98:H99)</f>
        <v>6079</v>
      </c>
      <c r="I100" s="13">
        <f t="shared" si="53"/>
        <v>5438</v>
      </c>
      <c r="J100" s="13">
        <f t="shared" si="53"/>
        <v>5330</v>
      </c>
      <c r="K100" s="13">
        <f t="shared" si="53"/>
        <v>5226</v>
      </c>
      <c r="L100" s="13">
        <f t="shared" si="53"/>
        <v>5114</v>
      </c>
      <c r="M100" s="13">
        <f t="shared" si="53"/>
        <v>5006</v>
      </c>
      <c r="N100" s="13">
        <f t="shared" si="53"/>
        <v>4898</v>
      </c>
      <c r="O100" s="13">
        <f t="shared" si="53"/>
        <v>45320</v>
      </c>
      <c r="P100" s="92">
        <f t="shared" si="35"/>
        <v>82411</v>
      </c>
    </row>
    <row r="101" spans="1:16" ht="15.75" customHeight="1" x14ac:dyDescent="0.25">
      <c r="A101" s="102">
        <f t="shared" ref="A101" si="54">A98+1</f>
        <v>32</v>
      </c>
      <c r="B101" s="105" t="s">
        <v>11</v>
      </c>
      <c r="C101" s="107" t="s">
        <v>71</v>
      </c>
      <c r="D101" s="182">
        <v>41142</v>
      </c>
      <c r="E101" s="181" t="s">
        <v>186</v>
      </c>
      <c r="F101" s="37" t="s">
        <v>184</v>
      </c>
      <c r="G101" s="10" t="s">
        <v>5</v>
      </c>
      <c r="H101" s="11">
        <v>5432</v>
      </c>
      <c r="I101" s="11">
        <v>5432</v>
      </c>
      <c r="J101" s="11">
        <v>5432</v>
      </c>
      <c r="K101" s="11">
        <v>5432</v>
      </c>
      <c r="L101" s="11">
        <v>5432</v>
      </c>
      <c r="M101" s="11">
        <v>5432</v>
      </c>
      <c r="N101" s="11">
        <v>5432</v>
      </c>
      <c r="O101" s="11">
        <f>67626-5304+1471-5432</f>
        <v>58361</v>
      </c>
      <c r="P101" s="11">
        <f>SUM(H101:O101)</f>
        <v>96385</v>
      </c>
    </row>
    <row r="102" spans="1:16" ht="15.75" customHeight="1" x14ac:dyDescent="0.25">
      <c r="A102" s="103"/>
      <c r="B102" s="105"/>
      <c r="C102" s="107"/>
      <c r="D102" s="182"/>
      <c r="E102" s="181"/>
      <c r="F102" s="17" t="s">
        <v>185</v>
      </c>
      <c r="G102" s="14" t="s">
        <v>8</v>
      </c>
      <c r="H102" s="15">
        <f>3287+242</f>
        <v>3529</v>
      </c>
      <c r="I102" s="15">
        <f>2438+228</f>
        <v>2666</v>
      </c>
      <c r="J102" s="15">
        <f>2291+215</f>
        <v>2506</v>
      </c>
      <c r="K102" s="15">
        <f>2149+201</f>
        <v>2350</v>
      </c>
      <c r="L102" s="15">
        <f>1997+187</f>
        <v>2184</v>
      </c>
      <c r="M102" s="15">
        <f>1850+173</f>
        <v>2023</v>
      </c>
      <c r="N102" s="15">
        <f>1703+159</f>
        <v>1862</v>
      </c>
      <c r="O102" s="73">
        <f>8302+847</f>
        <v>9149</v>
      </c>
      <c r="P102" s="15">
        <f t="shared" si="35"/>
        <v>26269</v>
      </c>
    </row>
    <row r="103" spans="1:16" ht="15.75" customHeight="1" x14ac:dyDescent="0.25">
      <c r="A103" s="104"/>
      <c r="B103" s="105"/>
      <c r="C103" s="107"/>
      <c r="D103" s="182"/>
      <c r="E103" s="181"/>
      <c r="F103" s="12"/>
      <c r="G103" s="12" t="s">
        <v>99</v>
      </c>
      <c r="H103" s="13">
        <f t="shared" ref="H103:O103" si="55">SUM(H101:H102)</f>
        <v>8961</v>
      </c>
      <c r="I103" s="13">
        <f t="shared" si="55"/>
        <v>8098</v>
      </c>
      <c r="J103" s="13">
        <f t="shared" si="55"/>
        <v>7938</v>
      </c>
      <c r="K103" s="13">
        <f t="shared" si="55"/>
        <v>7782</v>
      </c>
      <c r="L103" s="13">
        <f t="shared" si="55"/>
        <v>7616</v>
      </c>
      <c r="M103" s="13">
        <f t="shared" si="55"/>
        <v>7455</v>
      </c>
      <c r="N103" s="13">
        <f t="shared" si="55"/>
        <v>7294</v>
      </c>
      <c r="O103" s="13">
        <f t="shared" si="55"/>
        <v>67510</v>
      </c>
      <c r="P103" s="92">
        <f t="shared" si="35"/>
        <v>122654</v>
      </c>
    </row>
    <row r="104" spans="1:16" ht="17.25" customHeight="1" x14ac:dyDescent="0.25">
      <c r="A104" s="102">
        <f t="shared" ref="A104" si="56">A101+1</f>
        <v>33</v>
      </c>
      <c r="B104" s="105" t="s">
        <v>11</v>
      </c>
      <c r="C104" s="107" t="s">
        <v>16</v>
      </c>
      <c r="D104" s="182">
        <v>41150</v>
      </c>
      <c r="E104" s="181" t="s">
        <v>189</v>
      </c>
      <c r="F104" s="37" t="s">
        <v>187</v>
      </c>
      <c r="G104" s="10" t="s">
        <v>5</v>
      </c>
      <c r="H104" s="11">
        <v>6872</v>
      </c>
      <c r="I104" s="11">
        <v>6872</v>
      </c>
      <c r="J104" s="11">
        <v>5144</v>
      </c>
      <c r="K104" s="11">
        <v>0</v>
      </c>
      <c r="L104" s="11">
        <v>0</v>
      </c>
      <c r="M104" s="11">
        <v>0</v>
      </c>
      <c r="N104" s="11">
        <v>0</v>
      </c>
      <c r="O104" s="16">
        <v>0</v>
      </c>
      <c r="P104" s="11">
        <f>SUM(H104:O104)</f>
        <v>18888</v>
      </c>
    </row>
    <row r="105" spans="1:16" ht="15.75" customHeight="1" x14ac:dyDescent="0.25">
      <c r="A105" s="103"/>
      <c r="B105" s="105"/>
      <c r="C105" s="107"/>
      <c r="D105" s="182"/>
      <c r="E105" s="181"/>
      <c r="F105" s="38" t="s">
        <v>188</v>
      </c>
      <c r="G105" s="14" t="s">
        <v>8</v>
      </c>
      <c r="H105" s="15">
        <f>594+45</f>
        <v>639</v>
      </c>
      <c r="I105" s="15">
        <f>296+28</f>
        <v>324</v>
      </c>
      <c r="J105" s="15">
        <f>106+10</f>
        <v>116</v>
      </c>
      <c r="K105" s="15">
        <v>0</v>
      </c>
      <c r="L105" s="15">
        <v>0</v>
      </c>
      <c r="M105" s="15">
        <v>0</v>
      </c>
      <c r="N105" s="15">
        <v>0</v>
      </c>
      <c r="O105" s="18">
        <v>0</v>
      </c>
      <c r="P105" s="15">
        <f t="shared" si="35"/>
        <v>1079</v>
      </c>
    </row>
    <row r="106" spans="1:16" ht="16.5" customHeight="1" x14ac:dyDescent="0.25">
      <c r="A106" s="104"/>
      <c r="B106" s="105"/>
      <c r="C106" s="107"/>
      <c r="D106" s="182"/>
      <c r="E106" s="181"/>
      <c r="F106" s="12"/>
      <c r="G106" s="12" t="s">
        <v>99</v>
      </c>
      <c r="H106" s="13">
        <f t="shared" ref="H106:O106" si="57">SUM(H104:H105)</f>
        <v>7511</v>
      </c>
      <c r="I106" s="13">
        <f t="shared" si="57"/>
        <v>7196</v>
      </c>
      <c r="J106" s="13">
        <f t="shared" si="57"/>
        <v>5260</v>
      </c>
      <c r="K106" s="13">
        <f t="shared" si="57"/>
        <v>0</v>
      </c>
      <c r="L106" s="13">
        <f t="shared" si="57"/>
        <v>0</v>
      </c>
      <c r="M106" s="13">
        <f t="shared" si="57"/>
        <v>0</v>
      </c>
      <c r="N106" s="13">
        <f t="shared" si="57"/>
        <v>0</v>
      </c>
      <c r="O106" s="13">
        <f t="shared" si="57"/>
        <v>0</v>
      </c>
      <c r="P106" s="92">
        <f t="shared" si="35"/>
        <v>19967</v>
      </c>
    </row>
    <row r="107" spans="1:16" ht="16.2" customHeight="1" x14ac:dyDescent="0.25">
      <c r="A107" s="102">
        <f t="shared" ref="A107" si="58">A104+1</f>
        <v>34</v>
      </c>
      <c r="B107" s="105" t="s">
        <v>11</v>
      </c>
      <c r="C107" s="107" t="s">
        <v>17</v>
      </c>
      <c r="D107" s="182">
        <v>41211</v>
      </c>
      <c r="E107" s="181" t="s">
        <v>190</v>
      </c>
      <c r="F107" s="37" t="s">
        <v>191</v>
      </c>
      <c r="G107" s="10" t="s">
        <v>5</v>
      </c>
      <c r="H107" s="11">
        <v>6676</v>
      </c>
      <c r="I107" s="11">
        <v>6676</v>
      </c>
      <c r="J107" s="11">
        <v>6673</v>
      </c>
      <c r="K107" s="11">
        <v>0</v>
      </c>
      <c r="L107" s="11">
        <v>0</v>
      </c>
      <c r="M107" s="11">
        <v>0</v>
      </c>
      <c r="N107" s="11">
        <v>0</v>
      </c>
      <c r="O107" s="16">
        <v>0</v>
      </c>
      <c r="P107" s="11">
        <f>SUM(H107:O107)</f>
        <v>20025</v>
      </c>
    </row>
    <row r="108" spans="1:16" ht="17.25" customHeight="1" x14ac:dyDescent="0.25">
      <c r="A108" s="103"/>
      <c r="B108" s="105"/>
      <c r="C108" s="107"/>
      <c r="D108" s="182"/>
      <c r="E108" s="181"/>
      <c r="F108" s="17" t="s">
        <v>192</v>
      </c>
      <c r="G108" s="14" t="s">
        <v>8</v>
      </c>
      <c r="H108" s="15">
        <f>566+48</f>
        <v>614</v>
      </c>
      <c r="I108" s="15">
        <f>335+31</f>
        <v>366</v>
      </c>
      <c r="J108" s="15">
        <f>153+14</f>
        <v>167</v>
      </c>
      <c r="K108" s="15">
        <v>3</v>
      </c>
      <c r="L108" s="15">
        <v>0</v>
      </c>
      <c r="M108" s="15">
        <v>0</v>
      </c>
      <c r="N108" s="15">
        <v>0</v>
      </c>
      <c r="O108" s="18">
        <v>0</v>
      </c>
      <c r="P108" s="15">
        <f t="shared" si="35"/>
        <v>1150</v>
      </c>
    </row>
    <row r="109" spans="1:16" ht="17.25" customHeight="1" x14ac:dyDescent="0.25">
      <c r="A109" s="104"/>
      <c r="B109" s="188"/>
      <c r="C109" s="191"/>
      <c r="D109" s="190"/>
      <c r="E109" s="166"/>
      <c r="F109" s="23"/>
      <c r="G109" s="23" t="s">
        <v>99</v>
      </c>
      <c r="H109" s="13">
        <f t="shared" ref="H109:O109" si="59">SUM(H107:H108)</f>
        <v>7290</v>
      </c>
      <c r="I109" s="13">
        <f t="shared" si="59"/>
        <v>7042</v>
      </c>
      <c r="J109" s="13">
        <f t="shared" si="59"/>
        <v>6840</v>
      </c>
      <c r="K109" s="13">
        <f t="shared" si="59"/>
        <v>3</v>
      </c>
      <c r="L109" s="13">
        <f t="shared" si="59"/>
        <v>0</v>
      </c>
      <c r="M109" s="13">
        <f t="shared" si="59"/>
        <v>0</v>
      </c>
      <c r="N109" s="13">
        <f t="shared" si="59"/>
        <v>0</v>
      </c>
      <c r="O109" s="13">
        <f t="shared" si="59"/>
        <v>0</v>
      </c>
      <c r="P109" s="92">
        <f t="shared" si="35"/>
        <v>21175</v>
      </c>
    </row>
    <row r="110" spans="1:16" ht="19.95" customHeight="1" x14ac:dyDescent="0.25">
      <c r="A110" s="102">
        <f t="shared" ref="A110" si="60">A107+1</f>
        <v>35</v>
      </c>
      <c r="B110" s="105" t="s">
        <v>11</v>
      </c>
      <c r="C110" s="107" t="s">
        <v>18</v>
      </c>
      <c r="D110" s="182">
        <v>41229</v>
      </c>
      <c r="E110" s="181" t="s">
        <v>193</v>
      </c>
      <c r="F110" s="37" t="s">
        <v>194</v>
      </c>
      <c r="G110" s="10" t="s">
        <v>5</v>
      </c>
      <c r="H110" s="11">
        <v>7528</v>
      </c>
      <c r="I110" s="11">
        <v>7528</v>
      </c>
      <c r="J110" s="11">
        <v>7527</v>
      </c>
      <c r="K110" s="11">
        <v>0</v>
      </c>
      <c r="L110" s="11">
        <v>0</v>
      </c>
      <c r="M110" s="11">
        <v>0</v>
      </c>
      <c r="N110" s="11">
        <v>0</v>
      </c>
      <c r="O110" s="16">
        <v>0</v>
      </c>
      <c r="P110" s="11">
        <f>SUM(H110:O110)</f>
        <v>22583</v>
      </c>
    </row>
    <row r="111" spans="1:16" ht="15.75" customHeight="1" x14ac:dyDescent="0.25">
      <c r="A111" s="103"/>
      <c r="B111" s="105"/>
      <c r="C111" s="107"/>
      <c r="D111" s="182"/>
      <c r="E111" s="181"/>
      <c r="F111" s="17" t="s">
        <v>195</v>
      </c>
      <c r="G111" s="14" t="s">
        <v>8</v>
      </c>
      <c r="H111" s="15">
        <f>622+54</f>
        <v>676</v>
      </c>
      <c r="I111" s="15">
        <f>376+35</f>
        <v>411</v>
      </c>
      <c r="J111" s="15">
        <f>172+16</f>
        <v>188</v>
      </c>
      <c r="K111" s="15">
        <v>11</v>
      </c>
      <c r="L111" s="15">
        <v>0</v>
      </c>
      <c r="M111" s="15">
        <v>0</v>
      </c>
      <c r="N111" s="15">
        <v>0</v>
      </c>
      <c r="O111" s="18">
        <v>0</v>
      </c>
      <c r="P111" s="15">
        <f t="shared" si="35"/>
        <v>1286</v>
      </c>
    </row>
    <row r="112" spans="1:16" ht="15.75" customHeight="1" x14ac:dyDescent="0.25">
      <c r="A112" s="104"/>
      <c r="B112" s="105"/>
      <c r="C112" s="107"/>
      <c r="D112" s="182"/>
      <c r="E112" s="181"/>
      <c r="F112" s="12"/>
      <c r="G112" s="12" t="s">
        <v>99</v>
      </c>
      <c r="H112" s="13">
        <f t="shared" ref="H112:O112" si="61">SUM(H110:H111)</f>
        <v>8204</v>
      </c>
      <c r="I112" s="13">
        <f t="shared" si="61"/>
        <v>7939</v>
      </c>
      <c r="J112" s="13">
        <f t="shared" si="61"/>
        <v>7715</v>
      </c>
      <c r="K112" s="13">
        <f t="shared" si="61"/>
        <v>11</v>
      </c>
      <c r="L112" s="13">
        <f t="shared" si="61"/>
        <v>0</v>
      </c>
      <c r="M112" s="13">
        <f t="shared" si="61"/>
        <v>0</v>
      </c>
      <c r="N112" s="13">
        <f t="shared" si="61"/>
        <v>0</v>
      </c>
      <c r="O112" s="13">
        <f t="shared" si="61"/>
        <v>0</v>
      </c>
      <c r="P112" s="92">
        <f t="shared" si="35"/>
        <v>23869</v>
      </c>
    </row>
    <row r="113" spans="1:16" ht="16.5" customHeight="1" x14ac:dyDescent="0.25">
      <c r="A113" s="102">
        <f t="shared" ref="A113" si="62">A110+1</f>
        <v>36</v>
      </c>
      <c r="B113" s="105" t="s">
        <v>11</v>
      </c>
      <c r="C113" s="107" t="s">
        <v>17</v>
      </c>
      <c r="D113" s="182">
        <v>41311</v>
      </c>
      <c r="E113" s="181" t="s">
        <v>198</v>
      </c>
      <c r="F113" s="37" t="s">
        <v>196</v>
      </c>
      <c r="G113" s="10" t="s">
        <v>5</v>
      </c>
      <c r="H113" s="11">
        <v>22428</v>
      </c>
      <c r="I113" s="11">
        <v>22428</v>
      </c>
      <c r="J113" s="11">
        <v>22428</v>
      </c>
      <c r="K113" s="11">
        <f>5544+62</f>
        <v>5606</v>
      </c>
      <c r="L113" s="11">
        <v>0</v>
      </c>
      <c r="M113" s="11">
        <v>0</v>
      </c>
      <c r="N113" s="11">
        <v>0</v>
      </c>
      <c r="O113" s="11">
        <v>0</v>
      </c>
      <c r="P113" s="11">
        <f>SUM(H113:O113)</f>
        <v>72890</v>
      </c>
    </row>
    <row r="114" spans="1:16" ht="15" customHeight="1" x14ac:dyDescent="0.25">
      <c r="A114" s="103"/>
      <c r="B114" s="105"/>
      <c r="C114" s="107"/>
      <c r="D114" s="182"/>
      <c r="E114" s="181"/>
      <c r="F114" s="17" t="s">
        <v>197</v>
      </c>
      <c r="G114" s="14" t="s">
        <v>8</v>
      </c>
      <c r="H114" s="15">
        <f>2172+176</f>
        <v>2348</v>
      </c>
      <c r="I114" s="15">
        <f>1272+119</f>
        <v>1391</v>
      </c>
      <c r="J114" s="15">
        <f>665+62</f>
        <v>727</v>
      </c>
      <c r="K114" s="15">
        <f>79+8</f>
        <v>87</v>
      </c>
      <c r="L114" s="15">
        <v>0</v>
      </c>
      <c r="M114" s="15">
        <v>0</v>
      </c>
      <c r="N114" s="15">
        <v>0</v>
      </c>
      <c r="O114" s="15">
        <v>0</v>
      </c>
      <c r="P114" s="15">
        <f t="shared" si="35"/>
        <v>4553</v>
      </c>
    </row>
    <row r="115" spans="1:16" ht="15" customHeight="1" x14ac:dyDescent="0.25">
      <c r="A115" s="104"/>
      <c r="B115" s="105"/>
      <c r="C115" s="107"/>
      <c r="D115" s="182"/>
      <c r="E115" s="181"/>
      <c r="F115" s="12"/>
      <c r="G115" s="12" t="s">
        <v>99</v>
      </c>
      <c r="H115" s="13">
        <f t="shared" ref="H115:O115" si="63">SUM(H113:H114)</f>
        <v>24776</v>
      </c>
      <c r="I115" s="13">
        <f t="shared" si="63"/>
        <v>23819</v>
      </c>
      <c r="J115" s="13">
        <f t="shared" si="63"/>
        <v>23155</v>
      </c>
      <c r="K115" s="13">
        <f t="shared" si="63"/>
        <v>5693</v>
      </c>
      <c r="L115" s="13">
        <f t="shared" si="63"/>
        <v>0</v>
      </c>
      <c r="M115" s="13">
        <f t="shared" si="63"/>
        <v>0</v>
      </c>
      <c r="N115" s="13">
        <f t="shared" si="63"/>
        <v>0</v>
      </c>
      <c r="O115" s="13">
        <f t="shared" si="63"/>
        <v>0</v>
      </c>
      <c r="P115" s="92">
        <f t="shared" si="35"/>
        <v>77443</v>
      </c>
    </row>
    <row r="116" spans="1:16" ht="16.95" customHeight="1" x14ac:dyDescent="0.25">
      <c r="A116" s="102">
        <f t="shared" ref="A116" si="64">A113+1</f>
        <v>37</v>
      </c>
      <c r="B116" s="105" t="s">
        <v>11</v>
      </c>
      <c r="C116" s="107" t="s">
        <v>72</v>
      </c>
      <c r="D116" s="182">
        <v>41474</v>
      </c>
      <c r="E116" s="181" t="s">
        <v>199</v>
      </c>
      <c r="F116" s="37" t="s">
        <v>200</v>
      </c>
      <c r="G116" s="10" t="s">
        <v>5</v>
      </c>
      <c r="H116" s="11">
        <v>4328</v>
      </c>
      <c r="I116" s="11">
        <v>4328</v>
      </c>
      <c r="J116" s="11">
        <v>4328</v>
      </c>
      <c r="K116" s="11">
        <v>4328</v>
      </c>
      <c r="L116" s="11">
        <v>4328</v>
      </c>
      <c r="M116" s="11">
        <v>4328</v>
      </c>
      <c r="N116" s="11">
        <v>4328</v>
      </c>
      <c r="O116" s="11">
        <f>58135-4228+1231-4328</f>
        <v>50810</v>
      </c>
      <c r="P116" s="11">
        <f>SUM(H116:O116)</f>
        <v>81106</v>
      </c>
    </row>
    <row r="117" spans="1:16" ht="15.75" customHeight="1" x14ac:dyDescent="0.25">
      <c r="A117" s="103"/>
      <c r="B117" s="105"/>
      <c r="C117" s="107"/>
      <c r="D117" s="182"/>
      <c r="E117" s="181"/>
      <c r="F117" s="17" t="s">
        <v>201</v>
      </c>
      <c r="G117" s="14" t="s">
        <v>8</v>
      </c>
      <c r="H117" s="15">
        <f>2833+204</f>
        <v>3037</v>
      </c>
      <c r="I117" s="15">
        <f>2059+193</f>
        <v>2252</v>
      </c>
      <c r="J117" s="15">
        <f>1942+182</f>
        <v>2124</v>
      </c>
      <c r="K117" s="15">
        <f>1829+171</f>
        <v>2000</v>
      </c>
      <c r="L117" s="15">
        <f>1707+160</f>
        <v>1867</v>
      </c>
      <c r="M117" s="15">
        <f>1590+149</f>
        <v>1739</v>
      </c>
      <c r="N117" s="15">
        <f>1473+138</f>
        <v>1611</v>
      </c>
      <c r="O117" s="74">
        <f>7855+801</f>
        <v>8656</v>
      </c>
      <c r="P117" s="15">
        <f t="shared" si="35"/>
        <v>23286</v>
      </c>
    </row>
    <row r="118" spans="1:16" ht="15.75" customHeight="1" x14ac:dyDescent="0.25">
      <c r="A118" s="104"/>
      <c r="B118" s="105"/>
      <c r="C118" s="107"/>
      <c r="D118" s="182"/>
      <c r="E118" s="181"/>
      <c r="F118" s="12"/>
      <c r="G118" s="12" t="s">
        <v>99</v>
      </c>
      <c r="H118" s="13">
        <f t="shared" ref="H118:O118" si="65">SUM(H116:H117)</f>
        <v>7365</v>
      </c>
      <c r="I118" s="13">
        <f t="shared" si="65"/>
        <v>6580</v>
      </c>
      <c r="J118" s="13">
        <f t="shared" si="65"/>
        <v>6452</v>
      </c>
      <c r="K118" s="13">
        <f t="shared" si="65"/>
        <v>6328</v>
      </c>
      <c r="L118" s="13">
        <f t="shared" si="65"/>
        <v>6195</v>
      </c>
      <c r="M118" s="13">
        <f t="shared" si="65"/>
        <v>6067</v>
      </c>
      <c r="N118" s="13">
        <f t="shared" si="65"/>
        <v>5939</v>
      </c>
      <c r="O118" s="13">
        <f t="shared" si="65"/>
        <v>59466</v>
      </c>
      <c r="P118" s="92">
        <f t="shared" si="35"/>
        <v>104392</v>
      </c>
    </row>
    <row r="119" spans="1:16" ht="18.600000000000001" customHeight="1" x14ac:dyDescent="0.25">
      <c r="A119" s="102">
        <f t="shared" ref="A119" si="66">A116+1</f>
        <v>38</v>
      </c>
      <c r="B119" s="105" t="s">
        <v>11</v>
      </c>
      <c r="C119" s="107" t="s">
        <v>74</v>
      </c>
      <c r="D119" s="193">
        <v>41897</v>
      </c>
      <c r="E119" s="181" t="s">
        <v>203</v>
      </c>
      <c r="F119" s="37" t="s">
        <v>204</v>
      </c>
      <c r="G119" s="10" t="s">
        <v>5</v>
      </c>
      <c r="H119" s="11">
        <v>2000</v>
      </c>
      <c r="I119" s="11">
        <v>2000</v>
      </c>
      <c r="J119" s="11">
        <v>2000</v>
      </c>
      <c r="K119" s="11">
        <v>2000</v>
      </c>
      <c r="L119" s="11">
        <v>2000</v>
      </c>
      <c r="M119" s="11">
        <v>1999</v>
      </c>
      <c r="N119" s="11">
        <v>0</v>
      </c>
      <c r="O119" s="11">
        <v>0</v>
      </c>
      <c r="P119" s="11">
        <f>SUM(H119:O119)</f>
        <v>11999</v>
      </c>
    </row>
    <row r="120" spans="1:16" ht="17.25" customHeight="1" x14ac:dyDescent="0.25">
      <c r="A120" s="103"/>
      <c r="B120" s="105"/>
      <c r="C120" s="107"/>
      <c r="D120" s="193"/>
      <c r="E120" s="181"/>
      <c r="F120" s="17" t="s">
        <v>205</v>
      </c>
      <c r="G120" s="14" t="s">
        <v>8</v>
      </c>
      <c r="H120" s="15">
        <f>390+30</f>
        <v>420</v>
      </c>
      <c r="I120" s="15">
        <f>262+25</f>
        <v>287</v>
      </c>
      <c r="J120" s="15">
        <f>208+20</f>
        <v>228</v>
      </c>
      <c r="K120" s="15">
        <f>154+14</f>
        <v>168</v>
      </c>
      <c r="L120" s="49">
        <f>100+9</f>
        <v>109</v>
      </c>
      <c r="M120" s="49">
        <f>46+4</f>
        <v>50</v>
      </c>
      <c r="N120" s="49">
        <v>3</v>
      </c>
      <c r="O120" s="36">
        <v>0</v>
      </c>
      <c r="P120" s="15">
        <f t="shared" si="35"/>
        <v>1265</v>
      </c>
    </row>
    <row r="121" spans="1:16" ht="15" customHeight="1" x14ac:dyDescent="0.25">
      <c r="A121" s="104"/>
      <c r="B121" s="188"/>
      <c r="C121" s="191"/>
      <c r="D121" s="194"/>
      <c r="E121" s="166"/>
      <c r="F121" s="23"/>
      <c r="G121" s="23" t="s">
        <v>99</v>
      </c>
      <c r="H121" s="13">
        <f t="shared" ref="H121:O121" si="67">SUM(H119:H120)</f>
        <v>2420</v>
      </c>
      <c r="I121" s="13">
        <f t="shared" si="67"/>
        <v>2287</v>
      </c>
      <c r="J121" s="13">
        <f t="shared" si="67"/>
        <v>2228</v>
      </c>
      <c r="K121" s="13">
        <f t="shared" si="67"/>
        <v>2168</v>
      </c>
      <c r="L121" s="13">
        <f t="shared" si="67"/>
        <v>2109</v>
      </c>
      <c r="M121" s="13">
        <f t="shared" si="67"/>
        <v>2049</v>
      </c>
      <c r="N121" s="13">
        <f t="shared" si="67"/>
        <v>3</v>
      </c>
      <c r="O121" s="13">
        <f t="shared" si="67"/>
        <v>0</v>
      </c>
      <c r="P121" s="92">
        <f t="shared" si="35"/>
        <v>13264</v>
      </c>
    </row>
    <row r="122" spans="1:16" ht="17.25" customHeight="1" x14ac:dyDescent="0.25">
      <c r="A122" s="102">
        <f t="shared" ref="A122" si="68">A119+1</f>
        <v>39</v>
      </c>
      <c r="B122" s="105" t="s">
        <v>11</v>
      </c>
      <c r="C122" s="107" t="s">
        <v>19</v>
      </c>
      <c r="D122" s="182">
        <v>41696</v>
      </c>
      <c r="E122" s="181" t="s">
        <v>208</v>
      </c>
      <c r="F122" s="37" t="s">
        <v>206</v>
      </c>
      <c r="G122" s="10" t="s">
        <v>5</v>
      </c>
      <c r="H122" s="11">
        <v>122264</v>
      </c>
      <c r="I122" s="11">
        <v>122264</v>
      </c>
      <c r="J122" s="11">
        <v>122264</v>
      </c>
      <c r="K122" s="11">
        <v>122264</v>
      </c>
      <c r="L122" s="11">
        <v>30554</v>
      </c>
      <c r="M122" s="11">
        <v>0</v>
      </c>
      <c r="N122" s="11">
        <v>0</v>
      </c>
      <c r="O122" s="11">
        <v>0</v>
      </c>
      <c r="P122" s="11">
        <f>SUM(H122:O122)</f>
        <v>519610</v>
      </c>
    </row>
    <row r="123" spans="1:16" ht="15.75" customHeight="1" x14ac:dyDescent="0.25">
      <c r="A123" s="103"/>
      <c r="B123" s="105"/>
      <c r="C123" s="107"/>
      <c r="D123" s="182"/>
      <c r="E123" s="181"/>
      <c r="F123" s="17" t="s">
        <v>207</v>
      </c>
      <c r="G123" s="14" t="s">
        <v>8</v>
      </c>
      <c r="H123" s="15">
        <f>16036+1268</f>
        <v>17304</v>
      </c>
      <c r="I123" s="15">
        <f>10241+960</f>
        <v>11201</v>
      </c>
      <c r="J123" s="15">
        <f>6931+650</f>
        <v>7581</v>
      </c>
      <c r="K123" s="15">
        <f>3626+340</f>
        <v>3966</v>
      </c>
      <c r="L123" s="49">
        <f>503+47</f>
        <v>550</v>
      </c>
      <c r="M123" s="49">
        <v>0</v>
      </c>
      <c r="N123" s="15">
        <v>0</v>
      </c>
      <c r="O123" s="15">
        <v>0</v>
      </c>
      <c r="P123" s="15">
        <f t="shared" si="35"/>
        <v>40602</v>
      </c>
    </row>
    <row r="124" spans="1:16" ht="15" customHeight="1" x14ac:dyDescent="0.25">
      <c r="A124" s="104"/>
      <c r="B124" s="105"/>
      <c r="C124" s="107"/>
      <c r="D124" s="182"/>
      <c r="E124" s="181"/>
      <c r="F124" s="12"/>
      <c r="G124" s="12" t="s">
        <v>99</v>
      </c>
      <c r="H124" s="13">
        <f t="shared" ref="H124:O124" si="69">SUM(H122:H123)</f>
        <v>139568</v>
      </c>
      <c r="I124" s="13">
        <f t="shared" si="69"/>
        <v>133465</v>
      </c>
      <c r="J124" s="13">
        <f t="shared" si="69"/>
        <v>129845</v>
      </c>
      <c r="K124" s="13">
        <f t="shared" si="69"/>
        <v>126230</v>
      </c>
      <c r="L124" s="13">
        <f t="shared" si="69"/>
        <v>31104</v>
      </c>
      <c r="M124" s="13">
        <f t="shared" si="69"/>
        <v>0</v>
      </c>
      <c r="N124" s="13">
        <f t="shared" si="69"/>
        <v>0</v>
      </c>
      <c r="O124" s="13">
        <f t="shared" si="69"/>
        <v>0</v>
      </c>
      <c r="P124" s="92">
        <f t="shared" si="35"/>
        <v>560212</v>
      </c>
    </row>
    <row r="125" spans="1:16" ht="18" customHeight="1" x14ac:dyDescent="0.25">
      <c r="A125" s="102">
        <f t="shared" ref="A125" si="70">A122+1</f>
        <v>40</v>
      </c>
      <c r="B125" s="105" t="s">
        <v>11</v>
      </c>
      <c r="C125" s="106" t="s">
        <v>202</v>
      </c>
      <c r="D125" s="182">
        <v>41752</v>
      </c>
      <c r="E125" s="181" t="s">
        <v>209</v>
      </c>
      <c r="F125" s="37" t="s">
        <v>210</v>
      </c>
      <c r="G125" s="10" t="s">
        <v>5</v>
      </c>
      <c r="H125" s="11">
        <v>11044</v>
      </c>
      <c r="I125" s="11">
        <v>11044</v>
      </c>
      <c r="J125" s="11">
        <v>11044</v>
      </c>
      <c r="K125" s="11">
        <v>11044</v>
      </c>
      <c r="L125" s="11">
        <v>11044</v>
      </c>
      <c r="M125" s="11">
        <v>11044</v>
      </c>
      <c r="N125" s="11">
        <v>11044</v>
      </c>
      <c r="O125" s="11">
        <f>48654-10812+808-11044</f>
        <v>27606</v>
      </c>
      <c r="P125" s="11">
        <f>SUM(H125:O125)</f>
        <v>104914</v>
      </c>
    </row>
    <row r="126" spans="1:16" ht="15.75" customHeight="1" x14ac:dyDescent="0.25">
      <c r="A126" s="103"/>
      <c r="B126" s="105"/>
      <c r="C126" s="106"/>
      <c r="D126" s="182"/>
      <c r="E126" s="181"/>
      <c r="F126" s="38" t="s">
        <v>211</v>
      </c>
      <c r="G126" s="14" t="s">
        <v>8</v>
      </c>
      <c r="H126" s="15">
        <f>3438+261</f>
        <v>3699</v>
      </c>
      <c r="I126" s="15">
        <f>2493+234</f>
        <v>2727</v>
      </c>
      <c r="J126" s="15">
        <f>2194+206</f>
        <v>2400</v>
      </c>
      <c r="K126" s="15">
        <f>1900+178</f>
        <v>2078</v>
      </c>
      <c r="L126" s="49">
        <f>1596+150</f>
        <v>1746</v>
      </c>
      <c r="M126" s="49">
        <f>1297+122</f>
        <v>1419</v>
      </c>
      <c r="N126" s="49">
        <f>999+94</f>
        <v>1093</v>
      </c>
      <c r="O126" s="74">
        <f>1099+112</f>
        <v>1211</v>
      </c>
      <c r="P126" s="15">
        <f t="shared" si="35"/>
        <v>16373</v>
      </c>
    </row>
    <row r="127" spans="1:16" ht="15.75" customHeight="1" x14ac:dyDescent="0.25">
      <c r="A127" s="104"/>
      <c r="B127" s="105"/>
      <c r="C127" s="106"/>
      <c r="D127" s="182"/>
      <c r="E127" s="181"/>
      <c r="F127" s="12"/>
      <c r="G127" s="12" t="s">
        <v>99</v>
      </c>
      <c r="H127" s="13">
        <f t="shared" ref="H127:O127" si="71">SUM(H125:H126)</f>
        <v>14743</v>
      </c>
      <c r="I127" s="13">
        <f t="shared" si="71"/>
        <v>13771</v>
      </c>
      <c r="J127" s="13">
        <f t="shared" si="71"/>
        <v>13444</v>
      </c>
      <c r="K127" s="13">
        <f t="shared" si="71"/>
        <v>13122</v>
      </c>
      <c r="L127" s="13">
        <f t="shared" si="71"/>
        <v>12790</v>
      </c>
      <c r="M127" s="13">
        <f t="shared" si="71"/>
        <v>12463</v>
      </c>
      <c r="N127" s="13">
        <f t="shared" si="71"/>
        <v>12137</v>
      </c>
      <c r="O127" s="13">
        <f t="shared" si="71"/>
        <v>28817</v>
      </c>
      <c r="P127" s="92">
        <f t="shared" si="35"/>
        <v>121287</v>
      </c>
    </row>
    <row r="128" spans="1:16" ht="18.600000000000001" customHeight="1" x14ac:dyDescent="0.25">
      <c r="A128" s="102">
        <f t="shared" ref="A128" si="72">A125+1</f>
        <v>41</v>
      </c>
      <c r="B128" s="105" t="s">
        <v>11</v>
      </c>
      <c r="C128" s="107" t="s">
        <v>572</v>
      </c>
      <c r="D128" s="182">
        <v>41851</v>
      </c>
      <c r="E128" s="181" t="s">
        <v>216</v>
      </c>
      <c r="F128" s="37" t="s">
        <v>212</v>
      </c>
      <c r="G128" s="10" t="s">
        <v>5</v>
      </c>
      <c r="H128" s="11">
        <v>12484</v>
      </c>
      <c r="I128" s="11">
        <v>12484</v>
      </c>
      <c r="J128" s="11">
        <v>12484</v>
      </c>
      <c r="K128" s="11">
        <v>12484</v>
      </c>
      <c r="L128" s="11">
        <v>12484</v>
      </c>
      <c r="M128" s="11">
        <v>12484</v>
      </c>
      <c r="N128" s="11">
        <v>12484</v>
      </c>
      <c r="O128" s="11">
        <f>180009-12204+3842-12484</f>
        <v>159163</v>
      </c>
      <c r="P128" s="11">
        <f>SUM(H128:O128)</f>
        <v>246551</v>
      </c>
    </row>
    <row r="129" spans="1:16" ht="15.75" customHeight="1" x14ac:dyDescent="0.25">
      <c r="A129" s="103"/>
      <c r="B129" s="105"/>
      <c r="C129" s="107"/>
      <c r="D129" s="182"/>
      <c r="E129" s="181"/>
      <c r="F129" s="17" t="s">
        <v>213</v>
      </c>
      <c r="G129" s="14" t="s">
        <v>8</v>
      </c>
      <c r="H129" s="15">
        <f>8518+619</f>
        <v>9137</v>
      </c>
      <c r="I129" s="15">
        <f>6280+588</f>
        <v>6868</v>
      </c>
      <c r="J129" s="15">
        <f>5942+557</f>
        <v>6499</v>
      </c>
      <c r="K129" s="15">
        <f>5619+526</f>
        <v>6145</v>
      </c>
      <c r="L129" s="15">
        <f>5266+493</f>
        <v>5759</v>
      </c>
      <c r="M129" s="15">
        <f>4928+461</f>
        <v>5389</v>
      </c>
      <c r="N129" s="15">
        <f>4591+430</f>
        <v>5021</v>
      </c>
      <c r="O129" s="74">
        <f>26604+2713</f>
        <v>29317</v>
      </c>
      <c r="P129" s="15">
        <f t="shared" si="35"/>
        <v>74135</v>
      </c>
    </row>
    <row r="130" spans="1:16" ht="15.75" customHeight="1" x14ac:dyDescent="0.25">
      <c r="A130" s="104"/>
      <c r="B130" s="105"/>
      <c r="C130" s="107"/>
      <c r="D130" s="182"/>
      <c r="E130" s="181"/>
      <c r="F130" s="12"/>
      <c r="G130" s="12" t="s">
        <v>99</v>
      </c>
      <c r="H130" s="13">
        <f t="shared" ref="H130:O130" si="73">SUM(H128:H129)</f>
        <v>21621</v>
      </c>
      <c r="I130" s="13">
        <f t="shared" si="73"/>
        <v>19352</v>
      </c>
      <c r="J130" s="13">
        <f t="shared" si="73"/>
        <v>18983</v>
      </c>
      <c r="K130" s="13">
        <f t="shared" si="73"/>
        <v>18629</v>
      </c>
      <c r="L130" s="13">
        <f t="shared" si="73"/>
        <v>18243</v>
      </c>
      <c r="M130" s="13">
        <f t="shared" si="73"/>
        <v>17873</v>
      </c>
      <c r="N130" s="13">
        <f t="shared" si="73"/>
        <v>17505</v>
      </c>
      <c r="O130" s="13">
        <f t="shared" si="73"/>
        <v>188480</v>
      </c>
      <c r="P130" s="92">
        <f t="shared" si="35"/>
        <v>320686</v>
      </c>
    </row>
    <row r="131" spans="1:16" ht="16.5" customHeight="1" x14ac:dyDescent="0.25">
      <c r="A131" s="102">
        <f t="shared" ref="A131" si="74">A128+1</f>
        <v>42</v>
      </c>
      <c r="B131" s="105" t="s">
        <v>11</v>
      </c>
      <c r="C131" s="107" t="s">
        <v>73</v>
      </c>
      <c r="D131" s="182">
        <v>41851</v>
      </c>
      <c r="E131" s="181" t="s">
        <v>216</v>
      </c>
      <c r="F131" s="37" t="s">
        <v>215</v>
      </c>
      <c r="G131" s="10" t="s">
        <v>5</v>
      </c>
      <c r="H131" s="11">
        <v>5864</v>
      </c>
      <c r="I131" s="11">
        <v>5864</v>
      </c>
      <c r="J131" s="11">
        <v>5864</v>
      </c>
      <c r="K131" s="11">
        <v>5864</v>
      </c>
      <c r="L131" s="11">
        <v>5864</v>
      </c>
      <c r="M131" s="11">
        <v>5864</v>
      </c>
      <c r="N131" s="11">
        <v>5864</v>
      </c>
      <c r="O131" s="11">
        <f>84547-5732+1802-5864</f>
        <v>74753</v>
      </c>
      <c r="P131" s="11">
        <f>SUM(H131:O131)</f>
        <v>115801</v>
      </c>
    </row>
    <row r="132" spans="1:16" ht="15" customHeight="1" x14ac:dyDescent="0.25">
      <c r="A132" s="103"/>
      <c r="B132" s="105"/>
      <c r="C132" s="107"/>
      <c r="D132" s="182"/>
      <c r="E132" s="181"/>
      <c r="F132" s="17" t="s">
        <v>214</v>
      </c>
      <c r="G132" s="14" t="s">
        <v>8</v>
      </c>
      <c r="H132" s="15">
        <f>4001+291</f>
        <v>4292</v>
      </c>
      <c r="I132" s="15">
        <f>2950+277</f>
        <v>3227</v>
      </c>
      <c r="J132" s="15">
        <f>2791+261</f>
        <v>3052</v>
      </c>
      <c r="K132" s="15">
        <f>2639+247</f>
        <v>2886</v>
      </c>
      <c r="L132" s="49">
        <f>2473+232</f>
        <v>2705</v>
      </c>
      <c r="M132" s="49">
        <f>2314+217</f>
        <v>2531</v>
      </c>
      <c r="N132" s="49">
        <f>2156+202</f>
        <v>2358</v>
      </c>
      <c r="O132" s="74">
        <f>12493+1274</f>
        <v>13767</v>
      </c>
      <c r="P132" s="15">
        <f t="shared" si="35"/>
        <v>34818</v>
      </c>
    </row>
    <row r="133" spans="1:16" ht="15" customHeight="1" x14ac:dyDescent="0.25">
      <c r="A133" s="104"/>
      <c r="B133" s="105"/>
      <c r="C133" s="107"/>
      <c r="D133" s="182"/>
      <c r="E133" s="181"/>
      <c r="F133" s="12"/>
      <c r="G133" s="12" t="s">
        <v>99</v>
      </c>
      <c r="H133" s="13">
        <f t="shared" ref="H133:O133" si="75">SUM(H131:H132)</f>
        <v>10156</v>
      </c>
      <c r="I133" s="13">
        <f t="shared" si="75"/>
        <v>9091</v>
      </c>
      <c r="J133" s="13">
        <f t="shared" si="75"/>
        <v>8916</v>
      </c>
      <c r="K133" s="13">
        <f t="shared" si="75"/>
        <v>8750</v>
      </c>
      <c r="L133" s="13">
        <f t="shared" si="75"/>
        <v>8569</v>
      </c>
      <c r="M133" s="13">
        <f t="shared" si="75"/>
        <v>8395</v>
      </c>
      <c r="N133" s="13">
        <f t="shared" si="75"/>
        <v>8222</v>
      </c>
      <c r="O133" s="13">
        <f t="shared" si="75"/>
        <v>88520</v>
      </c>
      <c r="P133" s="92">
        <f t="shared" si="35"/>
        <v>150619</v>
      </c>
    </row>
    <row r="134" spans="1:16" ht="14.25" customHeight="1" x14ac:dyDescent="0.25">
      <c r="A134" s="102">
        <f t="shared" ref="A134" si="76">A131+1</f>
        <v>43</v>
      </c>
      <c r="B134" s="105" t="s">
        <v>11</v>
      </c>
      <c r="C134" s="107" t="s">
        <v>53</v>
      </c>
      <c r="D134" s="182">
        <v>41942</v>
      </c>
      <c r="E134" s="181" t="s">
        <v>219</v>
      </c>
      <c r="F134" s="37" t="s">
        <v>217</v>
      </c>
      <c r="G134" s="10" t="s">
        <v>5</v>
      </c>
      <c r="H134" s="16">
        <v>0</v>
      </c>
      <c r="I134" s="16">
        <v>0</v>
      </c>
      <c r="J134" s="16">
        <v>0</v>
      </c>
      <c r="K134" s="16">
        <v>0</v>
      </c>
      <c r="L134" s="16">
        <v>0</v>
      </c>
      <c r="M134" s="16">
        <v>0</v>
      </c>
      <c r="N134" s="11">
        <v>0</v>
      </c>
      <c r="O134" s="16">
        <v>0</v>
      </c>
      <c r="P134" s="11">
        <f>SUM(H134:O134)</f>
        <v>0</v>
      </c>
    </row>
    <row r="135" spans="1:16" ht="15" customHeight="1" x14ac:dyDescent="0.25">
      <c r="A135" s="103"/>
      <c r="B135" s="105"/>
      <c r="C135" s="107"/>
      <c r="D135" s="182"/>
      <c r="E135" s="181"/>
      <c r="F135" s="17" t="s">
        <v>218</v>
      </c>
      <c r="G135" s="14" t="s">
        <v>8</v>
      </c>
      <c r="H135" s="18">
        <f>17+2</f>
        <v>19</v>
      </c>
      <c r="I135" s="18">
        <v>0</v>
      </c>
      <c r="J135" s="18">
        <v>0</v>
      </c>
      <c r="K135" s="18">
        <v>0</v>
      </c>
      <c r="L135" s="18">
        <v>0</v>
      </c>
      <c r="M135" s="18">
        <v>0</v>
      </c>
      <c r="N135" s="15">
        <v>0</v>
      </c>
      <c r="O135" s="18">
        <v>0</v>
      </c>
      <c r="P135" s="15">
        <f t="shared" si="35"/>
        <v>19</v>
      </c>
    </row>
    <row r="136" spans="1:16" ht="15" customHeight="1" x14ac:dyDescent="0.25">
      <c r="A136" s="104"/>
      <c r="B136" s="105"/>
      <c r="C136" s="107"/>
      <c r="D136" s="182"/>
      <c r="E136" s="181"/>
      <c r="F136" s="12"/>
      <c r="G136" s="12" t="s">
        <v>99</v>
      </c>
      <c r="H136" s="13">
        <f t="shared" ref="H136:O136" si="77">SUM(H134:H135)</f>
        <v>19</v>
      </c>
      <c r="I136" s="13">
        <f t="shared" si="77"/>
        <v>0</v>
      </c>
      <c r="J136" s="13">
        <f t="shared" si="77"/>
        <v>0</v>
      </c>
      <c r="K136" s="13">
        <f t="shared" si="77"/>
        <v>0</v>
      </c>
      <c r="L136" s="13">
        <f t="shared" si="77"/>
        <v>0</v>
      </c>
      <c r="M136" s="13">
        <f>SUM(M134:M135)</f>
        <v>0</v>
      </c>
      <c r="N136" s="13">
        <f t="shared" ref="N136" si="78">SUM(N134:N135)</f>
        <v>0</v>
      </c>
      <c r="O136" s="13">
        <f t="shared" si="77"/>
        <v>0</v>
      </c>
      <c r="P136" s="92">
        <f t="shared" si="35"/>
        <v>19</v>
      </c>
    </row>
    <row r="137" spans="1:16" ht="14.25" customHeight="1" x14ac:dyDescent="0.25">
      <c r="A137" s="102">
        <f t="shared" ref="A137" si="79">A134+1</f>
        <v>44</v>
      </c>
      <c r="B137" s="105" t="s">
        <v>11</v>
      </c>
      <c r="C137" s="107" t="s">
        <v>20</v>
      </c>
      <c r="D137" s="182">
        <v>41962</v>
      </c>
      <c r="E137" s="181" t="s">
        <v>136</v>
      </c>
      <c r="F137" s="37" t="s">
        <v>220</v>
      </c>
      <c r="G137" s="10" t="s">
        <v>5</v>
      </c>
      <c r="H137" s="11">
        <v>17932</v>
      </c>
      <c r="I137" s="11">
        <v>17932</v>
      </c>
      <c r="J137" s="11">
        <v>17932</v>
      </c>
      <c r="K137" s="11">
        <v>17917</v>
      </c>
      <c r="L137" s="11">
        <v>0</v>
      </c>
      <c r="M137" s="16">
        <v>0</v>
      </c>
      <c r="N137" s="11">
        <v>0</v>
      </c>
      <c r="O137" s="11">
        <v>0</v>
      </c>
      <c r="P137" s="11">
        <f>SUM(H137:O137)</f>
        <v>71713</v>
      </c>
    </row>
    <row r="138" spans="1:16" ht="14.25" customHeight="1" x14ac:dyDescent="0.25">
      <c r="A138" s="103"/>
      <c r="B138" s="105"/>
      <c r="C138" s="107"/>
      <c r="D138" s="182"/>
      <c r="E138" s="181"/>
      <c r="F138" s="17" t="s">
        <v>221</v>
      </c>
      <c r="G138" s="14" t="s">
        <v>8</v>
      </c>
      <c r="H138" s="15">
        <f>2098+174</f>
        <v>2272</v>
      </c>
      <c r="I138" s="15">
        <f>1392+129</f>
        <v>1521</v>
      </c>
      <c r="J138" s="15">
        <f>895+84</f>
        <v>979</v>
      </c>
      <c r="K138" s="15">
        <f>410+38</f>
        <v>448</v>
      </c>
      <c r="L138" s="36">
        <f>27+2</f>
        <v>29</v>
      </c>
      <c r="M138" s="18">
        <v>0</v>
      </c>
      <c r="N138" s="15">
        <v>0</v>
      </c>
      <c r="O138" s="15">
        <v>0</v>
      </c>
      <c r="P138" s="15">
        <f t="shared" si="35"/>
        <v>5249</v>
      </c>
    </row>
    <row r="139" spans="1:16" ht="14.25" customHeight="1" x14ac:dyDescent="0.25">
      <c r="A139" s="104"/>
      <c r="B139" s="188"/>
      <c r="C139" s="191"/>
      <c r="D139" s="190"/>
      <c r="E139" s="166"/>
      <c r="F139" s="23"/>
      <c r="G139" s="23" t="s">
        <v>99</v>
      </c>
      <c r="H139" s="13">
        <f t="shared" ref="H139:O139" si="80">SUM(H137:H138)</f>
        <v>20204</v>
      </c>
      <c r="I139" s="13">
        <f t="shared" si="80"/>
        <v>19453</v>
      </c>
      <c r="J139" s="13">
        <f t="shared" si="80"/>
        <v>18911</v>
      </c>
      <c r="K139" s="13">
        <f t="shared" si="80"/>
        <v>18365</v>
      </c>
      <c r="L139" s="13">
        <f t="shared" si="80"/>
        <v>29</v>
      </c>
      <c r="M139" s="13">
        <f t="shared" si="80"/>
        <v>0</v>
      </c>
      <c r="N139" s="13">
        <f t="shared" si="80"/>
        <v>0</v>
      </c>
      <c r="O139" s="13">
        <f t="shared" si="80"/>
        <v>0</v>
      </c>
      <c r="P139" s="92">
        <f t="shared" ref="P139:P142" si="81">SUM(H139:O139)</f>
        <v>76962</v>
      </c>
    </row>
    <row r="140" spans="1:16" ht="14.25" customHeight="1" x14ac:dyDescent="0.25">
      <c r="A140" s="102">
        <f t="shared" ref="A140" si="82">A137+1</f>
        <v>45</v>
      </c>
      <c r="B140" s="105" t="s">
        <v>11</v>
      </c>
      <c r="C140" s="106" t="s">
        <v>573</v>
      </c>
      <c r="D140" s="182">
        <v>41962</v>
      </c>
      <c r="E140" s="181" t="s">
        <v>222</v>
      </c>
      <c r="F140" s="37" t="s">
        <v>223</v>
      </c>
      <c r="G140" s="10" t="s">
        <v>5</v>
      </c>
      <c r="H140" s="11">
        <v>13868</v>
      </c>
      <c r="I140" s="11">
        <v>13868</v>
      </c>
      <c r="J140" s="11">
        <v>13868</v>
      </c>
      <c r="K140" s="11">
        <v>13868</v>
      </c>
      <c r="L140" s="11">
        <v>13868</v>
      </c>
      <c r="M140" s="11">
        <v>13868</v>
      </c>
      <c r="N140" s="11">
        <v>13868</v>
      </c>
      <c r="O140" s="11">
        <f>68460-13692+669-13868</f>
        <v>41569</v>
      </c>
      <c r="P140" s="11">
        <f>SUM(H140:O140)</f>
        <v>138645</v>
      </c>
    </row>
    <row r="141" spans="1:16" ht="14.25" customHeight="1" x14ac:dyDescent="0.25">
      <c r="A141" s="103"/>
      <c r="B141" s="105"/>
      <c r="C141" s="107"/>
      <c r="D141" s="182"/>
      <c r="E141" s="181"/>
      <c r="F141" s="17" t="s">
        <v>224</v>
      </c>
      <c r="G141" s="14" t="s">
        <v>8</v>
      </c>
      <c r="H141" s="15">
        <f>4140+346</f>
        <v>4486</v>
      </c>
      <c r="I141" s="15">
        <f>3343+311</f>
        <v>3654</v>
      </c>
      <c r="J141" s="15">
        <f>2942+276</f>
        <v>3218</v>
      </c>
      <c r="K141" s="15">
        <f>2573+241</f>
        <v>2814</v>
      </c>
      <c r="L141" s="49">
        <f>2191+205</f>
        <v>2396</v>
      </c>
      <c r="M141" s="49">
        <f>1816+170</f>
        <v>1986</v>
      </c>
      <c r="N141" s="49">
        <f>1441+135</f>
        <v>1576</v>
      </c>
      <c r="O141" s="74">
        <f>1919+196</f>
        <v>2115</v>
      </c>
      <c r="P141" s="15">
        <f t="shared" si="81"/>
        <v>22245</v>
      </c>
    </row>
    <row r="142" spans="1:16" ht="14.25" customHeight="1" x14ac:dyDescent="0.25">
      <c r="A142" s="104"/>
      <c r="B142" s="105"/>
      <c r="C142" s="107"/>
      <c r="D142" s="182"/>
      <c r="E142" s="181"/>
      <c r="F142" s="12"/>
      <c r="G142" s="12" t="s">
        <v>99</v>
      </c>
      <c r="H142" s="13">
        <f t="shared" ref="H142:O142" si="83">SUM(H140:H141)</f>
        <v>18354</v>
      </c>
      <c r="I142" s="13">
        <f t="shared" si="83"/>
        <v>17522</v>
      </c>
      <c r="J142" s="13">
        <f t="shared" si="83"/>
        <v>17086</v>
      </c>
      <c r="K142" s="13">
        <f t="shared" si="83"/>
        <v>16682</v>
      </c>
      <c r="L142" s="13">
        <f t="shared" si="83"/>
        <v>16264</v>
      </c>
      <c r="M142" s="13">
        <f t="shared" si="83"/>
        <v>15854</v>
      </c>
      <c r="N142" s="13">
        <f t="shared" si="83"/>
        <v>15444</v>
      </c>
      <c r="O142" s="13">
        <f t="shared" si="83"/>
        <v>43684</v>
      </c>
      <c r="P142" s="92">
        <f t="shared" si="81"/>
        <v>160890</v>
      </c>
    </row>
    <row r="143" spans="1:16" ht="16.5" customHeight="1" x14ac:dyDescent="0.25">
      <c r="A143" s="102">
        <f t="shared" ref="A143" si="84">A140+1</f>
        <v>46</v>
      </c>
      <c r="B143" s="105" t="s">
        <v>11</v>
      </c>
      <c r="C143" s="107" t="s">
        <v>21</v>
      </c>
      <c r="D143" s="182">
        <v>41989</v>
      </c>
      <c r="E143" s="181" t="s">
        <v>225</v>
      </c>
      <c r="F143" s="37" t="s">
        <v>226</v>
      </c>
      <c r="G143" s="10" t="s">
        <v>5</v>
      </c>
      <c r="H143" s="11">
        <v>6180</v>
      </c>
      <c r="I143" s="11">
        <v>6180</v>
      </c>
      <c r="J143" s="11">
        <v>6180</v>
      </c>
      <c r="K143" s="11">
        <v>6180</v>
      </c>
      <c r="L143" s="11">
        <v>6173</v>
      </c>
      <c r="M143" s="11">
        <v>0</v>
      </c>
      <c r="N143" s="11">
        <v>0</v>
      </c>
      <c r="O143" s="11">
        <v>0</v>
      </c>
      <c r="P143" s="11">
        <f>SUM(H143:O143)</f>
        <v>30893</v>
      </c>
    </row>
    <row r="144" spans="1:16" ht="16.95" customHeight="1" x14ac:dyDescent="0.25">
      <c r="A144" s="103"/>
      <c r="B144" s="105"/>
      <c r="C144" s="107"/>
      <c r="D144" s="182"/>
      <c r="E144" s="181"/>
      <c r="F144" s="17" t="s">
        <v>227</v>
      </c>
      <c r="G144" s="14" t="s">
        <v>8</v>
      </c>
      <c r="H144" s="15">
        <f>888+76</f>
        <v>964</v>
      </c>
      <c r="I144" s="15">
        <f>640+60</f>
        <v>700</v>
      </c>
      <c r="J144" s="15">
        <f>476+44</f>
        <v>520</v>
      </c>
      <c r="K144" s="15">
        <f>309+28</f>
        <v>337</v>
      </c>
      <c r="L144" s="49">
        <f>141+13</f>
        <v>154</v>
      </c>
      <c r="M144" s="49">
        <f>6+1</f>
        <v>7</v>
      </c>
      <c r="N144" s="15">
        <v>0</v>
      </c>
      <c r="O144" s="49">
        <v>0</v>
      </c>
      <c r="P144" s="15">
        <f t="shared" ref="P144:P207" si="85">SUM(H144:O144)</f>
        <v>2682</v>
      </c>
    </row>
    <row r="145" spans="1:16" ht="16.5" customHeight="1" x14ac:dyDescent="0.25">
      <c r="A145" s="104"/>
      <c r="B145" s="105"/>
      <c r="C145" s="107"/>
      <c r="D145" s="182"/>
      <c r="E145" s="181"/>
      <c r="F145" s="12"/>
      <c r="G145" s="12" t="s">
        <v>99</v>
      </c>
      <c r="H145" s="13">
        <f t="shared" ref="H145:O145" si="86">SUM(H143:H144)</f>
        <v>7144</v>
      </c>
      <c r="I145" s="13">
        <f t="shared" si="86"/>
        <v>6880</v>
      </c>
      <c r="J145" s="13">
        <f t="shared" si="86"/>
        <v>6700</v>
      </c>
      <c r="K145" s="13">
        <f t="shared" si="86"/>
        <v>6517</v>
      </c>
      <c r="L145" s="71">
        <f t="shared" si="86"/>
        <v>6327</v>
      </c>
      <c r="M145" s="71">
        <f t="shared" si="86"/>
        <v>7</v>
      </c>
      <c r="N145" s="13">
        <f t="shared" si="86"/>
        <v>0</v>
      </c>
      <c r="O145" s="71">
        <f t="shared" si="86"/>
        <v>0</v>
      </c>
      <c r="P145" s="92">
        <f t="shared" si="85"/>
        <v>33575</v>
      </c>
    </row>
    <row r="146" spans="1:16" ht="15" customHeight="1" x14ac:dyDescent="0.25">
      <c r="A146" s="102">
        <f t="shared" ref="A146" si="87">A143+1</f>
        <v>47</v>
      </c>
      <c r="B146" s="105" t="s">
        <v>11</v>
      </c>
      <c r="C146" s="107" t="s">
        <v>75</v>
      </c>
      <c r="D146" s="182">
        <v>42103</v>
      </c>
      <c r="E146" s="181" t="s">
        <v>230</v>
      </c>
      <c r="F146" s="37" t="s">
        <v>228</v>
      </c>
      <c r="G146" s="10" t="s">
        <v>5</v>
      </c>
      <c r="H146" s="11">
        <f>2188+44</f>
        <v>2232</v>
      </c>
      <c r="I146" s="11">
        <f t="shared" ref="I146:M146" si="88">2188+44</f>
        <v>2232</v>
      </c>
      <c r="J146" s="11">
        <f t="shared" si="88"/>
        <v>2232</v>
      </c>
      <c r="K146" s="11">
        <f t="shared" si="88"/>
        <v>2232</v>
      </c>
      <c r="L146" s="11">
        <f t="shared" si="88"/>
        <v>2232</v>
      </c>
      <c r="M146" s="11">
        <f t="shared" si="88"/>
        <v>2232</v>
      </c>
      <c r="N146" s="11">
        <v>2232</v>
      </c>
      <c r="O146" s="11">
        <f>33367-2188+617-2232</f>
        <v>29564</v>
      </c>
      <c r="P146" s="11">
        <f>SUM(H146:O146)</f>
        <v>45188</v>
      </c>
    </row>
    <row r="147" spans="1:16" ht="15.75" customHeight="1" x14ac:dyDescent="0.25">
      <c r="A147" s="103"/>
      <c r="B147" s="105"/>
      <c r="C147" s="107"/>
      <c r="D147" s="182"/>
      <c r="E147" s="181"/>
      <c r="F147" s="17" t="s">
        <v>229</v>
      </c>
      <c r="G147" s="14" t="s">
        <v>8</v>
      </c>
      <c r="H147" s="15">
        <f>1465+113</f>
        <v>1578</v>
      </c>
      <c r="I147" s="15">
        <f>1153+108</f>
        <v>1261</v>
      </c>
      <c r="J147" s="15">
        <f>1092+102</f>
        <v>1194</v>
      </c>
      <c r="K147" s="15">
        <f>1035+97</f>
        <v>1132</v>
      </c>
      <c r="L147" s="49">
        <f>971+91</f>
        <v>1062</v>
      </c>
      <c r="M147" s="49">
        <f>911+85</f>
        <v>996</v>
      </c>
      <c r="N147" s="49">
        <f>851+79</f>
        <v>930</v>
      </c>
      <c r="O147" s="74">
        <f>5056+516</f>
        <v>5572</v>
      </c>
      <c r="P147" s="15">
        <f t="shared" si="85"/>
        <v>13725</v>
      </c>
    </row>
    <row r="148" spans="1:16" ht="15.75" customHeight="1" x14ac:dyDescent="0.25">
      <c r="A148" s="104"/>
      <c r="B148" s="105"/>
      <c r="C148" s="107"/>
      <c r="D148" s="182"/>
      <c r="E148" s="181"/>
      <c r="F148" s="12"/>
      <c r="G148" s="12" t="s">
        <v>99</v>
      </c>
      <c r="H148" s="13">
        <f t="shared" ref="H148:O148" si="89">SUM(H146:H147)</f>
        <v>3810</v>
      </c>
      <c r="I148" s="13">
        <f t="shared" si="89"/>
        <v>3493</v>
      </c>
      <c r="J148" s="13">
        <f t="shared" si="89"/>
        <v>3426</v>
      </c>
      <c r="K148" s="13">
        <f t="shared" si="89"/>
        <v>3364</v>
      </c>
      <c r="L148" s="13">
        <f t="shared" si="89"/>
        <v>3294</v>
      </c>
      <c r="M148" s="13">
        <f t="shared" si="89"/>
        <v>3228</v>
      </c>
      <c r="N148" s="13">
        <f t="shared" si="89"/>
        <v>3162</v>
      </c>
      <c r="O148" s="13">
        <f t="shared" si="89"/>
        <v>35136</v>
      </c>
      <c r="P148" s="92">
        <f t="shared" si="85"/>
        <v>58913</v>
      </c>
    </row>
    <row r="149" spans="1:16" ht="18.600000000000001" customHeight="1" x14ac:dyDescent="0.25">
      <c r="A149" s="102">
        <f t="shared" ref="A149" si="90">A146+1</f>
        <v>48</v>
      </c>
      <c r="B149" s="105" t="s">
        <v>11</v>
      </c>
      <c r="C149" s="107" t="s">
        <v>22</v>
      </c>
      <c r="D149" s="182">
        <v>42207</v>
      </c>
      <c r="E149" s="181" t="s">
        <v>233</v>
      </c>
      <c r="F149" s="37" t="s">
        <v>231</v>
      </c>
      <c r="G149" s="10" t="s">
        <v>5</v>
      </c>
      <c r="H149" s="11">
        <f>24780+572</f>
        <v>25352</v>
      </c>
      <c r="I149" s="11">
        <f t="shared" ref="I149:L149" si="91">24780+572</f>
        <v>25352</v>
      </c>
      <c r="J149" s="11">
        <f t="shared" si="91"/>
        <v>25352</v>
      </c>
      <c r="K149" s="11">
        <f t="shared" si="91"/>
        <v>25352</v>
      </c>
      <c r="L149" s="11">
        <f t="shared" si="91"/>
        <v>25352</v>
      </c>
      <c r="M149" s="11">
        <f>18585+413</f>
        <v>18998</v>
      </c>
      <c r="N149" s="11">
        <v>0</v>
      </c>
      <c r="O149" s="11">
        <v>0</v>
      </c>
      <c r="P149" s="11">
        <f>SUM(H149:O149)</f>
        <v>145758</v>
      </c>
    </row>
    <row r="150" spans="1:16" ht="15.75" customHeight="1" x14ac:dyDescent="0.25">
      <c r="A150" s="103"/>
      <c r="B150" s="105"/>
      <c r="C150" s="107"/>
      <c r="D150" s="182"/>
      <c r="E150" s="181"/>
      <c r="F150" s="17" t="s">
        <v>232</v>
      </c>
      <c r="G150" s="14" t="s">
        <v>8</v>
      </c>
      <c r="H150" s="15">
        <f>4950+359</f>
        <v>5309</v>
      </c>
      <c r="I150" s="15">
        <f>3152+295</f>
        <v>3447</v>
      </c>
      <c r="J150" s="15">
        <f>2466+231</f>
        <v>2697</v>
      </c>
      <c r="K150" s="15">
        <f>1783+167</f>
        <v>1950</v>
      </c>
      <c r="L150" s="49">
        <f>1092+102</f>
        <v>1194</v>
      </c>
      <c r="M150" s="49">
        <f>378+35</f>
        <v>413</v>
      </c>
      <c r="N150" s="49">
        <v>0</v>
      </c>
      <c r="O150" s="49">
        <v>0</v>
      </c>
      <c r="P150" s="15">
        <f t="shared" si="85"/>
        <v>15010</v>
      </c>
    </row>
    <row r="151" spans="1:16" ht="15.75" customHeight="1" x14ac:dyDescent="0.25">
      <c r="A151" s="104"/>
      <c r="B151" s="105"/>
      <c r="C151" s="107"/>
      <c r="D151" s="182"/>
      <c r="E151" s="181"/>
      <c r="F151" s="12"/>
      <c r="G151" s="12" t="s">
        <v>99</v>
      </c>
      <c r="H151" s="13">
        <f t="shared" ref="H151:O151" si="92">SUM(H149:H150)</f>
        <v>30661</v>
      </c>
      <c r="I151" s="13">
        <f t="shared" si="92"/>
        <v>28799</v>
      </c>
      <c r="J151" s="13">
        <f t="shared" si="92"/>
        <v>28049</v>
      </c>
      <c r="K151" s="13">
        <f t="shared" si="92"/>
        <v>27302</v>
      </c>
      <c r="L151" s="13">
        <f t="shared" si="92"/>
        <v>26546</v>
      </c>
      <c r="M151" s="13">
        <f t="shared" si="92"/>
        <v>19411</v>
      </c>
      <c r="N151" s="13">
        <f t="shared" si="92"/>
        <v>0</v>
      </c>
      <c r="O151" s="13">
        <f t="shared" si="92"/>
        <v>0</v>
      </c>
      <c r="P151" s="92">
        <f t="shared" si="85"/>
        <v>160768</v>
      </c>
    </row>
    <row r="152" spans="1:16" ht="16.95" customHeight="1" x14ac:dyDescent="0.25">
      <c r="A152" s="102">
        <f t="shared" ref="A152" si="93">A149+1</f>
        <v>49</v>
      </c>
      <c r="B152" s="105" t="s">
        <v>11</v>
      </c>
      <c r="C152" s="107" t="s">
        <v>23</v>
      </c>
      <c r="D152" s="182">
        <v>42207</v>
      </c>
      <c r="E152" s="181" t="s">
        <v>234</v>
      </c>
      <c r="F152" s="37" t="s">
        <v>235</v>
      </c>
      <c r="G152" s="10" t="s">
        <v>5</v>
      </c>
      <c r="H152" s="11">
        <f>4760+112</f>
        <v>4872</v>
      </c>
      <c r="I152" s="11">
        <f t="shared" ref="I152:M152" si="94">4760+112</f>
        <v>4872</v>
      </c>
      <c r="J152" s="11">
        <f t="shared" si="94"/>
        <v>4872</v>
      </c>
      <c r="K152" s="11">
        <f t="shared" si="94"/>
        <v>4872</v>
      </c>
      <c r="L152" s="11">
        <f t="shared" si="94"/>
        <v>4872</v>
      </c>
      <c r="M152" s="11">
        <f t="shared" si="94"/>
        <v>4872</v>
      </c>
      <c r="N152" s="11">
        <v>4872</v>
      </c>
      <c r="O152" s="11">
        <f>27370-4760+501-4872</f>
        <v>18239</v>
      </c>
      <c r="P152" s="11">
        <f>SUM(H152:O152)</f>
        <v>52343</v>
      </c>
    </row>
    <row r="153" spans="1:16" ht="16.5" customHeight="1" x14ac:dyDescent="0.25">
      <c r="A153" s="103"/>
      <c r="B153" s="105"/>
      <c r="C153" s="107"/>
      <c r="D153" s="182"/>
      <c r="E153" s="181"/>
      <c r="F153" s="17" t="s">
        <v>236</v>
      </c>
      <c r="G153" s="14" t="s">
        <v>8</v>
      </c>
      <c r="H153" s="15">
        <f>1798+130</f>
        <v>1928</v>
      </c>
      <c r="I153" s="15">
        <f>1264+118</f>
        <v>1382</v>
      </c>
      <c r="J153" s="15">
        <f>1132+106</f>
        <v>1238</v>
      </c>
      <c r="K153" s="15">
        <f>1003+93</f>
        <v>1096</v>
      </c>
      <c r="L153" s="49">
        <f>868+81</f>
        <v>949</v>
      </c>
      <c r="M153" s="49">
        <f>736+69</f>
        <v>805</v>
      </c>
      <c r="N153" s="49">
        <f>604+57</f>
        <v>661</v>
      </c>
      <c r="O153" s="74">
        <f>1007+103</f>
        <v>1110</v>
      </c>
      <c r="P153" s="15">
        <f t="shared" si="85"/>
        <v>9169</v>
      </c>
    </row>
    <row r="154" spans="1:16" ht="16.5" customHeight="1" x14ac:dyDescent="0.25">
      <c r="A154" s="104"/>
      <c r="B154" s="188"/>
      <c r="C154" s="191"/>
      <c r="D154" s="190"/>
      <c r="E154" s="166"/>
      <c r="F154" s="23"/>
      <c r="G154" s="23" t="s">
        <v>99</v>
      </c>
      <c r="H154" s="13">
        <f t="shared" ref="H154:O154" si="95">SUM(H152:H153)</f>
        <v>6800</v>
      </c>
      <c r="I154" s="13">
        <f t="shared" si="95"/>
        <v>6254</v>
      </c>
      <c r="J154" s="13">
        <f t="shared" si="95"/>
        <v>6110</v>
      </c>
      <c r="K154" s="13">
        <f t="shared" si="95"/>
        <v>5968</v>
      </c>
      <c r="L154" s="13">
        <f t="shared" si="95"/>
        <v>5821</v>
      </c>
      <c r="M154" s="13">
        <f t="shared" si="95"/>
        <v>5677</v>
      </c>
      <c r="N154" s="13">
        <f t="shared" si="95"/>
        <v>5533</v>
      </c>
      <c r="O154" s="13">
        <f t="shared" si="95"/>
        <v>19349</v>
      </c>
      <c r="P154" s="92">
        <f t="shared" si="85"/>
        <v>61512</v>
      </c>
    </row>
    <row r="155" spans="1:16" ht="15" customHeight="1" x14ac:dyDescent="0.25">
      <c r="A155" s="102">
        <f t="shared" ref="A155" si="96">A152+1</f>
        <v>50</v>
      </c>
      <c r="B155" s="105" t="s">
        <v>11</v>
      </c>
      <c r="C155" s="107" t="s">
        <v>54</v>
      </c>
      <c r="D155" s="182">
        <v>42214</v>
      </c>
      <c r="E155" s="181" t="s">
        <v>233</v>
      </c>
      <c r="F155" s="37" t="s">
        <v>237</v>
      </c>
      <c r="G155" s="10" t="s">
        <v>5</v>
      </c>
      <c r="H155" s="11">
        <v>17356</v>
      </c>
      <c r="I155" s="11">
        <v>17356</v>
      </c>
      <c r="J155" s="11">
        <v>17356</v>
      </c>
      <c r="K155" s="11">
        <v>17356</v>
      </c>
      <c r="L155" s="11">
        <v>17356</v>
      </c>
      <c r="M155" s="11">
        <f>13013</f>
        <v>13013</v>
      </c>
      <c r="N155" s="11">
        <v>0</v>
      </c>
      <c r="O155" s="11">
        <v>0</v>
      </c>
      <c r="P155" s="11">
        <f>SUM(H155:O155)</f>
        <v>99793</v>
      </c>
    </row>
    <row r="156" spans="1:16" ht="15" customHeight="1" x14ac:dyDescent="0.25">
      <c r="A156" s="103"/>
      <c r="B156" s="105"/>
      <c r="C156" s="107"/>
      <c r="D156" s="182"/>
      <c r="E156" s="181"/>
      <c r="F156" s="38" t="s">
        <v>238</v>
      </c>
      <c r="G156" s="14" t="s">
        <v>8</v>
      </c>
      <c r="H156" s="15">
        <f>3385+246</f>
        <v>3631</v>
      </c>
      <c r="I156" s="15">
        <f>2158+202</f>
        <v>2360</v>
      </c>
      <c r="J156" s="15">
        <f>1688+158</f>
        <v>1846</v>
      </c>
      <c r="K156" s="15">
        <f>1221+114</f>
        <v>1335</v>
      </c>
      <c r="L156" s="49">
        <f>748+70</f>
        <v>818</v>
      </c>
      <c r="M156" s="49">
        <f>259+24</f>
        <v>283</v>
      </c>
      <c r="N156" s="49">
        <v>0</v>
      </c>
      <c r="O156" s="49">
        <v>0</v>
      </c>
      <c r="P156" s="15">
        <f t="shared" si="85"/>
        <v>10273</v>
      </c>
    </row>
    <row r="157" spans="1:16" ht="15" customHeight="1" x14ac:dyDescent="0.25">
      <c r="A157" s="104"/>
      <c r="B157" s="105"/>
      <c r="C157" s="107"/>
      <c r="D157" s="182"/>
      <c r="E157" s="181"/>
      <c r="F157" s="12"/>
      <c r="G157" s="12" t="s">
        <v>99</v>
      </c>
      <c r="H157" s="13">
        <f t="shared" ref="H157:O157" si="97">SUM(H155:H156)</f>
        <v>20987</v>
      </c>
      <c r="I157" s="13">
        <f t="shared" si="97"/>
        <v>19716</v>
      </c>
      <c r="J157" s="13">
        <f t="shared" si="97"/>
        <v>19202</v>
      </c>
      <c r="K157" s="13">
        <f t="shared" si="97"/>
        <v>18691</v>
      </c>
      <c r="L157" s="13">
        <f t="shared" si="97"/>
        <v>18174</v>
      </c>
      <c r="M157" s="13">
        <f t="shared" si="97"/>
        <v>13296</v>
      </c>
      <c r="N157" s="13">
        <f t="shared" si="97"/>
        <v>0</v>
      </c>
      <c r="O157" s="13">
        <f t="shared" si="97"/>
        <v>0</v>
      </c>
      <c r="P157" s="92">
        <f t="shared" si="85"/>
        <v>110066</v>
      </c>
    </row>
    <row r="158" spans="1:16" ht="15.75" customHeight="1" x14ac:dyDescent="0.25">
      <c r="A158" s="102">
        <f t="shared" ref="A158" si="98">A155+1</f>
        <v>51</v>
      </c>
      <c r="B158" s="105" t="s">
        <v>11</v>
      </c>
      <c r="C158" s="107" t="s">
        <v>61</v>
      </c>
      <c r="D158" s="182">
        <v>42215</v>
      </c>
      <c r="E158" s="181" t="s">
        <v>234</v>
      </c>
      <c r="F158" s="37" t="s">
        <v>239</v>
      </c>
      <c r="G158" s="10" t="s">
        <v>5</v>
      </c>
      <c r="H158" s="11">
        <v>14224</v>
      </c>
      <c r="I158" s="11">
        <v>14224</v>
      </c>
      <c r="J158" s="11">
        <v>14224</v>
      </c>
      <c r="K158" s="11">
        <v>14224</v>
      </c>
      <c r="L158" s="11">
        <v>14224</v>
      </c>
      <c r="M158" s="11">
        <v>14224</v>
      </c>
      <c r="N158" s="11">
        <v>14224</v>
      </c>
      <c r="O158" s="11">
        <f>79856-13888+1574-14224</f>
        <v>53318</v>
      </c>
      <c r="P158" s="11">
        <f>SUM(H158:O158)</f>
        <v>152886</v>
      </c>
    </row>
    <row r="159" spans="1:16" ht="12.75" customHeight="1" x14ac:dyDescent="0.25">
      <c r="A159" s="103"/>
      <c r="B159" s="105"/>
      <c r="C159" s="107"/>
      <c r="D159" s="182"/>
      <c r="E159" s="181"/>
      <c r="F159" s="17" t="s">
        <v>240</v>
      </c>
      <c r="G159" s="14" t="s">
        <v>8</v>
      </c>
      <c r="H159" s="15">
        <f>5254+381</f>
        <v>5635</v>
      </c>
      <c r="I159" s="15">
        <f>3692+346</f>
        <v>4038</v>
      </c>
      <c r="J159" s="73">
        <f>3307+310</f>
        <v>3617</v>
      </c>
      <c r="K159" s="15">
        <f>2929+275</f>
        <v>3204</v>
      </c>
      <c r="L159" s="49">
        <f>2536+238</f>
        <v>2774</v>
      </c>
      <c r="M159" s="49">
        <f>2151+202</f>
        <v>2353</v>
      </c>
      <c r="N159" s="49">
        <f>1767+166</f>
        <v>1933</v>
      </c>
      <c r="O159" s="49">
        <f>2947+301</f>
        <v>3248</v>
      </c>
      <c r="P159" s="15">
        <f t="shared" si="85"/>
        <v>26802</v>
      </c>
    </row>
    <row r="160" spans="1:16" ht="17.25" customHeight="1" x14ac:dyDescent="0.25">
      <c r="A160" s="104"/>
      <c r="B160" s="105"/>
      <c r="C160" s="107"/>
      <c r="D160" s="182"/>
      <c r="E160" s="181"/>
      <c r="F160" s="12"/>
      <c r="G160" s="12" t="s">
        <v>99</v>
      </c>
      <c r="H160" s="13">
        <f t="shared" ref="H160:O160" si="99">SUM(H158:H159)</f>
        <v>19859</v>
      </c>
      <c r="I160" s="13">
        <f t="shared" si="99"/>
        <v>18262</v>
      </c>
      <c r="J160" s="13">
        <f t="shared" si="99"/>
        <v>17841</v>
      </c>
      <c r="K160" s="13">
        <f t="shared" si="99"/>
        <v>17428</v>
      </c>
      <c r="L160" s="13">
        <f t="shared" si="99"/>
        <v>16998</v>
      </c>
      <c r="M160" s="13">
        <f t="shared" si="99"/>
        <v>16577</v>
      </c>
      <c r="N160" s="13">
        <f t="shared" si="99"/>
        <v>16157</v>
      </c>
      <c r="O160" s="13">
        <f t="shared" si="99"/>
        <v>56566</v>
      </c>
      <c r="P160" s="92">
        <f t="shared" si="85"/>
        <v>179688</v>
      </c>
    </row>
    <row r="161" spans="1:16" ht="15.75" customHeight="1" x14ac:dyDescent="0.25">
      <c r="A161" s="102">
        <f t="shared" ref="A161" si="100">A158+1</f>
        <v>52</v>
      </c>
      <c r="B161" s="105" t="s">
        <v>11</v>
      </c>
      <c r="C161" s="107" t="s">
        <v>24</v>
      </c>
      <c r="D161" s="193">
        <v>42298</v>
      </c>
      <c r="E161" s="181" t="s">
        <v>241</v>
      </c>
      <c r="F161" s="37" t="s">
        <v>242</v>
      </c>
      <c r="G161" s="10" t="s">
        <v>5</v>
      </c>
      <c r="H161" s="11">
        <v>2780</v>
      </c>
      <c r="I161" s="11">
        <v>2780</v>
      </c>
      <c r="J161" s="11">
        <v>2780</v>
      </c>
      <c r="K161" s="11">
        <v>2780</v>
      </c>
      <c r="L161" s="11">
        <v>2780</v>
      </c>
      <c r="M161" s="11">
        <v>2769</v>
      </c>
      <c r="N161" s="11">
        <v>0</v>
      </c>
      <c r="O161" s="11">
        <v>0</v>
      </c>
      <c r="P161" s="11">
        <f>SUM(H161:O161)</f>
        <v>16669</v>
      </c>
    </row>
    <row r="162" spans="1:16" ht="15.75" customHeight="1" x14ac:dyDescent="0.25">
      <c r="A162" s="103"/>
      <c r="B162" s="105"/>
      <c r="C162" s="107"/>
      <c r="D162" s="193"/>
      <c r="E162" s="181"/>
      <c r="F162" s="17" t="s">
        <v>243</v>
      </c>
      <c r="G162" s="14" t="s">
        <v>8</v>
      </c>
      <c r="H162" s="15">
        <f>491+41</f>
        <v>532</v>
      </c>
      <c r="I162" s="15">
        <f>366+34</f>
        <v>400</v>
      </c>
      <c r="J162" s="15">
        <f>289+27</f>
        <v>316</v>
      </c>
      <c r="K162" s="15">
        <f>214+20</f>
        <v>234</v>
      </c>
      <c r="L162" s="49">
        <f>138+13</f>
        <v>151</v>
      </c>
      <c r="M162" s="49">
        <f>63+6</f>
        <v>69</v>
      </c>
      <c r="N162" s="49">
        <v>1</v>
      </c>
      <c r="O162" s="49">
        <v>0</v>
      </c>
      <c r="P162" s="15">
        <f t="shared" si="85"/>
        <v>1703</v>
      </c>
    </row>
    <row r="163" spans="1:16" ht="15.75" customHeight="1" x14ac:dyDescent="0.25">
      <c r="A163" s="104"/>
      <c r="B163" s="105"/>
      <c r="C163" s="107"/>
      <c r="D163" s="193"/>
      <c r="E163" s="181"/>
      <c r="F163" s="12"/>
      <c r="G163" s="12" t="s">
        <v>99</v>
      </c>
      <c r="H163" s="13">
        <f t="shared" ref="H163:O163" si="101">SUM(H161:H162)</f>
        <v>3312</v>
      </c>
      <c r="I163" s="13">
        <f t="shared" si="101"/>
        <v>3180</v>
      </c>
      <c r="J163" s="13">
        <f t="shared" si="101"/>
        <v>3096</v>
      </c>
      <c r="K163" s="13">
        <f t="shared" si="101"/>
        <v>3014</v>
      </c>
      <c r="L163" s="13">
        <f t="shared" si="101"/>
        <v>2931</v>
      </c>
      <c r="M163" s="13">
        <f t="shared" si="101"/>
        <v>2838</v>
      </c>
      <c r="N163" s="13">
        <f t="shared" si="101"/>
        <v>1</v>
      </c>
      <c r="O163" s="13">
        <f t="shared" si="101"/>
        <v>0</v>
      </c>
      <c r="P163" s="92">
        <f t="shared" si="85"/>
        <v>18372</v>
      </c>
    </row>
    <row r="164" spans="1:16" ht="14.25" customHeight="1" x14ac:dyDescent="0.25">
      <c r="A164" s="102">
        <f t="shared" ref="A164" si="102">A161+1</f>
        <v>53</v>
      </c>
      <c r="B164" s="105" t="s">
        <v>11</v>
      </c>
      <c r="C164" s="106" t="s">
        <v>244</v>
      </c>
      <c r="D164" s="193">
        <v>42552</v>
      </c>
      <c r="E164" s="182">
        <v>45828</v>
      </c>
      <c r="F164" s="37" t="s">
        <v>245</v>
      </c>
      <c r="G164" s="10" t="s">
        <v>5</v>
      </c>
      <c r="H164" s="11">
        <v>6748</v>
      </c>
      <c r="I164" s="16">
        <v>0</v>
      </c>
      <c r="J164" s="16">
        <v>0</v>
      </c>
      <c r="K164" s="16">
        <v>0</v>
      </c>
      <c r="L164" s="16">
        <v>0</v>
      </c>
      <c r="M164" s="16">
        <v>0</v>
      </c>
      <c r="N164" s="11">
        <v>0</v>
      </c>
      <c r="O164" s="16">
        <v>0</v>
      </c>
      <c r="P164" s="11">
        <f>SUM(H164:O164)</f>
        <v>6748</v>
      </c>
    </row>
    <row r="165" spans="1:16" ht="14.25" customHeight="1" x14ac:dyDescent="0.25">
      <c r="A165" s="103"/>
      <c r="B165" s="105"/>
      <c r="C165" s="106"/>
      <c r="D165" s="193"/>
      <c r="E165" s="182"/>
      <c r="F165" s="17" t="s">
        <v>246</v>
      </c>
      <c r="G165" s="14" t="s">
        <v>8</v>
      </c>
      <c r="H165" s="15">
        <f>177+12</f>
        <v>189</v>
      </c>
      <c r="I165" s="18">
        <v>0</v>
      </c>
      <c r="J165" s="18">
        <v>0</v>
      </c>
      <c r="K165" s="18">
        <v>0</v>
      </c>
      <c r="L165" s="18">
        <v>0</v>
      </c>
      <c r="M165" s="18">
        <v>0</v>
      </c>
      <c r="N165" s="15">
        <v>0</v>
      </c>
      <c r="O165" s="18">
        <v>0</v>
      </c>
      <c r="P165" s="15">
        <f t="shared" si="85"/>
        <v>189</v>
      </c>
    </row>
    <row r="166" spans="1:16" ht="14.25" customHeight="1" x14ac:dyDescent="0.25">
      <c r="A166" s="104"/>
      <c r="B166" s="105"/>
      <c r="C166" s="106"/>
      <c r="D166" s="193"/>
      <c r="E166" s="182"/>
      <c r="F166" s="12"/>
      <c r="G166" s="12" t="s">
        <v>99</v>
      </c>
      <c r="H166" s="13">
        <f t="shared" ref="H166:O166" si="103">SUM(H164:H165)</f>
        <v>6937</v>
      </c>
      <c r="I166" s="13">
        <f t="shared" si="103"/>
        <v>0</v>
      </c>
      <c r="J166" s="13">
        <f t="shared" si="103"/>
        <v>0</v>
      </c>
      <c r="K166" s="13">
        <f t="shared" si="103"/>
        <v>0</v>
      </c>
      <c r="L166" s="13">
        <f t="shared" si="103"/>
        <v>0</v>
      </c>
      <c r="M166" s="13">
        <f>SUM(M164:M165)</f>
        <v>0</v>
      </c>
      <c r="N166" s="13">
        <f t="shared" ref="N166" si="104">SUM(N164:N165)</f>
        <v>0</v>
      </c>
      <c r="O166" s="13">
        <f t="shared" si="103"/>
        <v>0</v>
      </c>
      <c r="P166" s="92">
        <f t="shared" si="85"/>
        <v>6937</v>
      </c>
    </row>
    <row r="167" spans="1:16" ht="17.25" customHeight="1" x14ac:dyDescent="0.25">
      <c r="A167" s="102">
        <f t="shared" ref="A167" si="105">A164+1</f>
        <v>54</v>
      </c>
      <c r="B167" s="105" t="s">
        <v>11</v>
      </c>
      <c r="C167" s="107" t="s">
        <v>25</v>
      </c>
      <c r="D167" s="182">
        <v>42612</v>
      </c>
      <c r="E167" s="181" t="s">
        <v>249</v>
      </c>
      <c r="F167" s="37" t="s">
        <v>247</v>
      </c>
      <c r="G167" s="10" t="s">
        <v>5</v>
      </c>
      <c r="H167" s="11">
        <v>20432</v>
      </c>
      <c r="I167" s="11">
        <v>20432</v>
      </c>
      <c r="J167" s="11">
        <v>20432</v>
      </c>
      <c r="K167" s="11">
        <v>20432</v>
      </c>
      <c r="L167" s="11">
        <v>20432</v>
      </c>
      <c r="M167" s="11">
        <v>20432</v>
      </c>
      <c r="N167" s="11">
        <v>20432</v>
      </c>
      <c r="O167" s="11">
        <f>134622-19944+2784-20432</f>
        <v>97030</v>
      </c>
      <c r="P167" s="11">
        <f>SUM(H167:O167)</f>
        <v>240054</v>
      </c>
    </row>
    <row r="168" spans="1:16" ht="16.5" customHeight="1" x14ac:dyDescent="0.25">
      <c r="A168" s="103"/>
      <c r="B168" s="105"/>
      <c r="C168" s="107"/>
      <c r="D168" s="182"/>
      <c r="E168" s="181"/>
      <c r="F168" s="17" t="s">
        <v>248</v>
      </c>
      <c r="G168" s="14" t="s">
        <v>8</v>
      </c>
      <c r="H168" s="15">
        <f>7880+600</f>
        <v>8480</v>
      </c>
      <c r="I168" s="15">
        <f>5856+549</f>
        <v>6405</v>
      </c>
      <c r="J168" s="15">
        <f>5303+497</f>
        <v>5800</v>
      </c>
      <c r="K168" s="15">
        <f>4762+446</f>
        <v>5208</v>
      </c>
      <c r="L168" s="49">
        <f>4196+393</f>
        <v>4589</v>
      </c>
      <c r="M168" s="49">
        <f>3643+341</f>
        <v>3984</v>
      </c>
      <c r="N168" s="49">
        <f>3091+290</f>
        <v>3381</v>
      </c>
      <c r="O168" s="49">
        <f>6580+671</f>
        <v>7251</v>
      </c>
      <c r="P168" s="15">
        <f t="shared" si="85"/>
        <v>45098</v>
      </c>
    </row>
    <row r="169" spans="1:16" ht="15.75" customHeight="1" x14ac:dyDescent="0.25">
      <c r="A169" s="104"/>
      <c r="B169" s="105"/>
      <c r="C169" s="107"/>
      <c r="D169" s="182"/>
      <c r="E169" s="181"/>
      <c r="F169" s="12"/>
      <c r="G169" s="12" t="s">
        <v>99</v>
      </c>
      <c r="H169" s="13">
        <f t="shared" ref="H169:O169" si="106">SUM(H167:H168)</f>
        <v>28912</v>
      </c>
      <c r="I169" s="13">
        <f t="shared" si="106"/>
        <v>26837</v>
      </c>
      <c r="J169" s="13">
        <f t="shared" si="106"/>
        <v>26232</v>
      </c>
      <c r="K169" s="13">
        <f t="shared" si="106"/>
        <v>25640</v>
      </c>
      <c r="L169" s="13">
        <f t="shared" si="106"/>
        <v>25021</v>
      </c>
      <c r="M169" s="13">
        <f t="shared" si="106"/>
        <v>24416</v>
      </c>
      <c r="N169" s="13">
        <f t="shared" si="106"/>
        <v>23813</v>
      </c>
      <c r="O169" s="13">
        <f t="shared" si="106"/>
        <v>104281</v>
      </c>
      <c r="P169" s="92">
        <f t="shared" si="85"/>
        <v>285152</v>
      </c>
    </row>
    <row r="170" spans="1:16" ht="17.25" customHeight="1" x14ac:dyDescent="0.25">
      <c r="A170" s="102">
        <f t="shared" ref="A170" si="107">A167+1</f>
        <v>55</v>
      </c>
      <c r="B170" s="105" t="s">
        <v>11</v>
      </c>
      <c r="C170" s="107" t="s">
        <v>26</v>
      </c>
      <c r="D170" s="182">
        <v>42884</v>
      </c>
      <c r="E170" s="181" t="s">
        <v>250</v>
      </c>
      <c r="F170" s="37" t="s">
        <v>251</v>
      </c>
      <c r="G170" s="10" t="s">
        <v>5</v>
      </c>
      <c r="H170" s="11">
        <v>11504</v>
      </c>
      <c r="I170" s="11">
        <v>11504</v>
      </c>
      <c r="J170" s="11">
        <v>11504</v>
      </c>
      <c r="K170" s="11">
        <v>11504</v>
      </c>
      <c r="L170" s="11">
        <v>11504</v>
      </c>
      <c r="M170" s="11">
        <v>11504</v>
      </c>
      <c r="N170" s="11">
        <v>11504</v>
      </c>
      <c r="O170" s="11">
        <f>140750-11260+2742-11504</f>
        <v>120728</v>
      </c>
      <c r="P170" s="11">
        <f>SUM(H170:O170)</f>
        <v>201256</v>
      </c>
    </row>
    <row r="171" spans="1:16" ht="16.5" customHeight="1" x14ac:dyDescent="0.25">
      <c r="A171" s="103"/>
      <c r="B171" s="105"/>
      <c r="C171" s="107"/>
      <c r="D171" s="182"/>
      <c r="E171" s="181"/>
      <c r="F171" s="17" t="s">
        <v>252</v>
      </c>
      <c r="G171" s="14" t="s">
        <v>8</v>
      </c>
      <c r="H171" s="15">
        <f>6865+505</f>
        <v>7370</v>
      </c>
      <c r="I171" s="15">
        <f>5085+477</f>
        <v>5562</v>
      </c>
      <c r="J171" s="15">
        <f>4774+447</f>
        <v>5221</v>
      </c>
      <c r="K171" s="15">
        <f>4474+419</f>
        <v>4893</v>
      </c>
      <c r="L171" s="49">
        <f>4150+389</f>
        <v>4539</v>
      </c>
      <c r="M171" s="49">
        <f>3839+360</f>
        <v>4199</v>
      </c>
      <c r="N171" s="49">
        <f>3528+331</f>
        <v>3859</v>
      </c>
      <c r="O171" s="49">
        <f>16800+1714</f>
        <v>18514</v>
      </c>
      <c r="P171" s="15">
        <f t="shared" si="85"/>
        <v>54157</v>
      </c>
    </row>
    <row r="172" spans="1:16" ht="17.25" customHeight="1" x14ac:dyDescent="0.25">
      <c r="A172" s="104"/>
      <c r="B172" s="105"/>
      <c r="C172" s="107"/>
      <c r="D172" s="182"/>
      <c r="E172" s="181"/>
      <c r="F172" s="12"/>
      <c r="G172" s="12" t="s">
        <v>99</v>
      </c>
      <c r="H172" s="13">
        <f t="shared" ref="H172:O172" si="108">SUM(H170:H171)</f>
        <v>18874</v>
      </c>
      <c r="I172" s="13">
        <f t="shared" si="108"/>
        <v>17066</v>
      </c>
      <c r="J172" s="13">
        <f t="shared" si="108"/>
        <v>16725</v>
      </c>
      <c r="K172" s="13">
        <f t="shared" si="108"/>
        <v>16397</v>
      </c>
      <c r="L172" s="13">
        <f t="shared" si="108"/>
        <v>16043</v>
      </c>
      <c r="M172" s="13">
        <f t="shared" si="108"/>
        <v>15703</v>
      </c>
      <c r="N172" s="13">
        <f t="shared" si="108"/>
        <v>15363</v>
      </c>
      <c r="O172" s="13">
        <f t="shared" si="108"/>
        <v>139242</v>
      </c>
      <c r="P172" s="92">
        <f t="shared" si="85"/>
        <v>255413</v>
      </c>
    </row>
    <row r="173" spans="1:16" ht="16.5" customHeight="1" x14ac:dyDescent="0.25">
      <c r="A173" s="102">
        <f t="shared" ref="A173" si="109">A170+1</f>
        <v>56</v>
      </c>
      <c r="B173" s="105" t="s">
        <v>11</v>
      </c>
      <c r="C173" s="107" t="s">
        <v>27</v>
      </c>
      <c r="D173" s="182">
        <v>42943</v>
      </c>
      <c r="E173" s="181" t="s">
        <v>255</v>
      </c>
      <c r="F173" s="37" t="s">
        <v>253</v>
      </c>
      <c r="G173" s="10" t="s">
        <v>5</v>
      </c>
      <c r="H173" s="11">
        <v>13872</v>
      </c>
      <c r="I173" s="11">
        <v>13872</v>
      </c>
      <c r="J173" s="11">
        <v>13872</v>
      </c>
      <c r="K173" s="11">
        <v>13872</v>
      </c>
      <c r="L173" s="11">
        <v>13872</v>
      </c>
      <c r="M173" s="11">
        <v>13872</v>
      </c>
      <c r="N173" s="11">
        <v>13872</v>
      </c>
      <c r="O173" s="11">
        <f>37268-13552+559-13872</f>
        <v>10403</v>
      </c>
      <c r="P173" s="11">
        <f>SUM(H173:O173)</f>
        <v>107507</v>
      </c>
    </row>
    <row r="174" spans="1:16" ht="16.5" customHeight="1" x14ac:dyDescent="0.25">
      <c r="A174" s="103"/>
      <c r="B174" s="105"/>
      <c r="C174" s="107"/>
      <c r="D174" s="182"/>
      <c r="E174" s="181"/>
      <c r="F174" s="17" t="s">
        <v>254</v>
      </c>
      <c r="G174" s="14" t="s">
        <v>8</v>
      </c>
      <c r="H174" s="15">
        <f>3668+267</f>
        <v>3935</v>
      </c>
      <c r="I174" s="15">
        <f>2475+232</f>
        <v>2707</v>
      </c>
      <c r="J174" s="15">
        <f>2100+196</f>
        <v>2296</v>
      </c>
      <c r="K174" s="15">
        <f>1728+162</f>
        <v>1890</v>
      </c>
      <c r="L174" s="49">
        <f>1348+126</f>
        <v>1474</v>
      </c>
      <c r="M174" s="49">
        <f>973+91</f>
        <v>1064</v>
      </c>
      <c r="N174" s="49">
        <f>598+56</f>
        <v>654</v>
      </c>
      <c r="O174" s="49">
        <f>192+20</f>
        <v>212</v>
      </c>
      <c r="P174" s="15">
        <f t="shared" si="85"/>
        <v>14232</v>
      </c>
    </row>
    <row r="175" spans="1:16" ht="17.25" customHeight="1" x14ac:dyDescent="0.25">
      <c r="A175" s="104"/>
      <c r="B175" s="105"/>
      <c r="C175" s="107"/>
      <c r="D175" s="182"/>
      <c r="E175" s="181"/>
      <c r="F175" s="12"/>
      <c r="G175" s="12" t="s">
        <v>99</v>
      </c>
      <c r="H175" s="13">
        <f t="shared" ref="H175:O175" si="110">SUM(H173:H174)</f>
        <v>17807</v>
      </c>
      <c r="I175" s="13">
        <f t="shared" si="110"/>
        <v>16579</v>
      </c>
      <c r="J175" s="13">
        <f t="shared" si="110"/>
        <v>16168</v>
      </c>
      <c r="K175" s="13">
        <f t="shared" si="110"/>
        <v>15762</v>
      </c>
      <c r="L175" s="13">
        <f t="shared" si="110"/>
        <v>15346</v>
      </c>
      <c r="M175" s="13">
        <f t="shared" si="110"/>
        <v>14936</v>
      </c>
      <c r="N175" s="13">
        <f t="shared" si="110"/>
        <v>14526</v>
      </c>
      <c r="O175" s="13">
        <f t="shared" si="110"/>
        <v>10615</v>
      </c>
      <c r="P175" s="92">
        <f t="shared" si="85"/>
        <v>121739</v>
      </c>
    </row>
    <row r="176" spans="1:16" ht="17.25" customHeight="1" x14ac:dyDescent="0.25">
      <c r="A176" s="102">
        <f t="shared" ref="A176" si="111">A173+1</f>
        <v>57</v>
      </c>
      <c r="B176" s="105" t="s">
        <v>11</v>
      </c>
      <c r="C176" s="107" t="s">
        <v>28</v>
      </c>
      <c r="D176" s="182">
        <v>42957</v>
      </c>
      <c r="E176" s="181" t="s">
        <v>255</v>
      </c>
      <c r="F176" s="37" t="s">
        <v>256</v>
      </c>
      <c r="G176" s="10" t="s">
        <v>5</v>
      </c>
      <c r="H176" s="11">
        <f>7260+176</f>
        <v>7436</v>
      </c>
      <c r="I176" s="11">
        <f t="shared" ref="I176:M176" si="112">7260+176</f>
        <v>7436</v>
      </c>
      <c r="J176" s="11">
        <f t="shared" si="112"/>
        <v>7436</v>
      </c>
      <c r="K176" s="11">
        <f t="shared" si="112"/>
        <v>7436</v>
      </c>
      <c r="L176" s="11">
        <f t="shared" si="112"/>
        <v>7436</v>
      </c>
      <c r="M176" s="11">
        <f t="shared" si="112"/>
        <v>7436</v>
      </c>
      <c r="N176" s="11">
        <v>7436</v>
      </c>
      <c r="O176" s="11">
        <f>19965-7260+295-7436</f>
        <v>5564</v>
      </c>
      <c r="P176" s="11">
        <f>SUM(H176:O176)</f>
        <v>57616</v>
      </c>
    </row>
    <row r="177" spans="1:16" ht="15.75" customHeight="1" x14ac:dyDescent="0.25">
      <c r="A177" s="103"/>
      <c r="B177" s="105"/>
      <c r="C177" s="107"/>
      <c r="D177" s="182"/>
      <c r="E177" s="181"/>
      <c r="F177" s="17" t="s">
        <v>257</v>
      </c>
      <c r="G177" s="14" t="s">
        <v>8</v>
      </c>
      <c r="H177" s="15">
        <f>1895+143</f>
        <v>2038</v>
      </c>
      <c r="I177" s="15">
        <f>1327+124</f>
        <v>1451</v>
      </c>
      <c r="J177" s="15">
        <f>1125+106</f>
        <v>1231</v>
      </c>
      <c r="K177" s="15">
        <f>926+87</f>
        <v>1013</v>
      </c>
      <c r="L177" s="49">
        <f>722+68</f>
        <v>790</v>
      </c>
      <c r="M177" s="49">
        <f>521+49</f>
        <v>570</v>
      </c>
      <c r="N177" s="49">
        <f>320+30</f>
        <v>350</v>
      </c>
      <c r="O177" s="49">
        <f>103+10</f>
        <v>113</v>
      </c>
      <c r="P177" s="15">
        <f t="shared" si="85"/>
        <v>7556</v>
      </c>
    </row>
    <row r="178" spans="1:16" ht="17.25" customHeight="1" x14ac:dyDescent="0.25">
      <c r="A178" s="104"/>
      <c r="B178" s="105"/>
      <c r="C178" s="107"/>
      <c r="D178" s="182"/>
      <c r="E178" s="181"/>
      <c r="F178" s="12"/>
      <c r="G178" s="12" t="s">
        <v>99</v>
      </c>
      <c r="H178" s="13">
        <f t="shared" ref="H178:O178" si="113">SUM(H176:H177)</f>
        <v>9474</v>
      </c>
      <c r="I178" s="13">
        <f t="shared" si="113"/>
        <v>8887</v>
      </c>
      <c r="J178" s="13">
        <f t="shared" si="113"/>
        <v>8667</v>
      </c>
      <c r="K178" s="13">
        <f t="shared" si="113"/>
        <v>8449</v>
      </c>
      <c r="L178" s="13">
        <f t="shared" si="113"/>
        <v>8226</v>
      </c>
      <c r="M178" s="13">
        <f t="shared" si="113"/>
        <v>8006</v>
      </c>
      <c r="N178" s="13">
        <f t="shared" si="113"/>
        <v>7786</v>
      </c>
      <c r="O178" s="13">
        <f t="shared" si="113"/>
        <v>5677</v>
      </c>
      <c r="P178" s="92">
        <f t="shared" si="85"/>
        <v>65172</v>
      </c>
    </row>
    <row r="179" spans="1:16" ht="15.75" customHeight="1" x14ac:dyDescent="0.25">
      <c r="A179" s="102">
        <f t="shared" ref="A179" si="114">A176+1</f>
        <v>58</v>
      </c>
      <c r="B179" s="105" t="s">
        <v>11</v>
      </c>
      <c r="C179" s="106" t="s">
        <v>261</v>
      </c>
      <c r="D179" s="182">
        <v>42989</v>
      </c>
      <c r="E179" s="181" t="s">
        <v>258</v>
      </c>
      <c r="F179" s="37" t="s">
        <v>259</v>
      </c>
      <c r="G179" s="10" t="s">
        <v>5</v>
      </c>
      <c r="H179" s="11">
        <f>4568+92</f>
        <v>4660</v>
      </c>
      <c r="I179" s="11">
        <f t="shared" ref="I179:M179" si="115">4568+92</f>
        <v>4660</v>
      </c>
      <c r="J179" s="11">
        <f t="shared" si="115"/>
        <v>4660</v>
      </c>
      <c r="K179" s="11">
        <f t="shared" si="115"/>
        <v>4660</v>
      </c>
      <c r="L179" s="11">
        <f t="shared" si="115"/>
        <v>4660</v>
      </c>
      <c r="M179" s="11">
        <f t="shared" si="115"/>
        <v>4660</v>
      </c>
      <c r="N179" s="11">
        <v>4660</v>
      </c>
      <c r="O179" s="11">
        <f>35402-4568+619-4660</f>
        <v>26793</v>
      </c>
      <c r="P179" s="11">
        <f>SUM(H179:O179)</f>
        <v>59413</v>
      </c>
    </row>
    <row r="180" spans="1:16" ht="14.25" customHeight="1" x14ac:dyDescent="0.25">
      <c r="A180" s="103"/>
      <c r="B180" s="105"/>
      <c r="C180" s="106"/>
      <c r="D180" s="182"/>
      <c r="E180" s="181"/>
      <c r="F180" s="17" t="s">
        <v>260</v>
      </c>
      <c r="G180" s="14" t="s">
        <v>8</v>
      </c>
      <c r="H180" s="15">
        <f>2245+149</f>
        <v>2394</v>
      </c>
      <c r="I180" s="15">
        <f>2070+137</f>
        <v>2207</v>
      </c>
      <c r="J180" s="15">
        <f>1336+125</f>
        <v>1461</v>
      </c>
      <c r="K180" s="15">
        <f>1213+113</f>
        <v>1326</v>
      </c>
      <c r="L180" s="49">
        <f>1083+102</f>
        <v>1185</v>
      </c>
      <c r="M180" s="49">
        <f>957+90</f>
        <v>1047</v>
      </c>
      <c r="N180" s="49">
        <f>831+78</f>
        <v>909</v>
      </c>
      <c r="O180" s="49">
        <f>2150+219</f>
        <v>2369</v>
      </c>
      <c r="P180" s="15">
        <f t="shared" si="85"/>
        <v>12898</v>
      </c>
    </row>
    <row r="181" spans="1:16" ht="14.25" customHeight="1" x14ac:dyDescent="0.25">
      <c r="A181" s="104"/>
      <c r="B181" s="105"/>
      <c r="C181" s="106"/>
      <c r="D181" s="182"/>
      <c r="E181" s="181"/>
      <c r="F181" s="12"/>
      <c r="G181" s="12" t="s">
        <v>99</v>
      </c>
      <c r="H181" s="13">
        <f t="shared" ref="H181:O181" si="116">SUM(H179:H180)</f>
        <v>7054</v>
      </c>
      <c r="I181" s="13">
        <f t="shared" si="116"/>
        <v>6867</v>
      </c>
      <c r="J181" s="13">
        <f t="shared" si="116"/>
        <v>6121</v>
      </c>
      <c r="K181" s="13">
        <f t="shared" si="116"/>
        <v>5986</v>
      </c>
      <c r="L181" s="13">
        <f t="shared" si="116"/>
        <v>5845</v>
      </c>
      <c r="M181" s="13">
        <f t="shared" si="116"/>
        <v>5707</v>
      </c>
      <c r="N181" s="13">
        <f t="shared" si="116"/>
        <v>5569</v>
      </c>
      <c r="O181" s="13">
        <f t="shared" si="116"/>
        <v>29162</v>
      </c>
      <c r="P181" s="92">
        <f t="shared" si="85"/>
        <v>72311</v>
      </c>
    </row>
    <row r="182" spans="1:16" ht="18.600000000000001" customHeight="1" x14ac:dyDescent="0.25">
      <c r="A182" s="102">
        <f t="shared" ref="A182" si="117">A179+1</f>
        <v>59</v>
      </c>
      <c r="B182" s="105" t="s">
        <v>11</v>
      </c>
      <c r="C182" s="107" t="s">
        <v>62</v>
      </c>
      <c r="D182" s="182">
        <v>42993</v>
      </c>
      <c r="E182" s="108" t="s">
        <v>116</v>
      </c>
      <c r="F182" s="37" t="s">
        <v>262</v>
      </c>
      <c r="G182" s="10" t="s">
        <v>5</v>
      </c>
      <c r="H182" s="11">
        <f>4788+88</f>
        <v>4876</v>
      </c>
      <c r="I182" s="11">
        <f>4788+88</f>
        <v>4876</v>
      </c>
      <c r="J182" s="11">
        <f>3591+59</f>
        <v>3650</v>
      </c>
      <c r="K182" s="11">
        <v>0</v>
      </c>
      <c r="L182" s="11">
        <v>0</v>
      </c>
      <c r="M182" s="11">
        <v>0</v>
      </c>
      <c r="N182" s="11">
        <v>0</v>
      </c>
      <c r="O182" s="16">
        <v>0</v>
      </c>
      <c r="P182" s="11">
        <f>SUM(H182:O182)</f>
        <v>13402</v>
      </c>
    </row>
    <row r="183" spans="1:16" ht="15" customHeight="1" x14ac:dyDescent="0.25">
      <c r="A183" s="103"/>
      <c r="B183" s="105"/>
      <c r="C183" s="107"/>
      <c r="D183" s="182"/>
      <c r="E183" s="108"/>
      <c r="F183" s="17" t="s">
        <v>263</v>
      </c>
      <c r="G183" s="14" t="s">
        <v>8</v>
      </c>
      <c r="H183" s="15">
        <f>412+32</f>
        <v>444</v>
      </c>
      <c r="I183" s="15">
        <f>210+20</f>
        <v>230</v>
      </c>
      <c r="J183" s="15">
        <f>79+7</f>
        <v>86</v>
      </c>
      <c r="K183" s="15">
        <v>0</v>
      </c>
      <c r="L183" s="15">
        <v>0</v>
      </c>
      <c r="M183" s="15">
        <v>0</v>
      </c>
      <c r="N183" s="15">
        <v>0</v>
      </c>
      <c r="O183" s="18">
        <v>0</v>
      </c>
      <c r="P183" s="15">
        <f t="shared" si="85"/>
        <v>760</v>
      </c>
    </row>
    <row r="184" spans="1:16" ht="15" customHeight="1" x14ac:dyDescent="0.25">
      <c r="A184" s="104"/>
      <c r="B184" s="105"/>
      <c r="C184" s="107"/>
      <c r="D184" s="182"/>
      <c r="E184" s="108"/>
      <c r="F184" s="12"/>
      <c r="G184" s="12" t="s">
        <v>99</v>
      </c>
      <c r="H184" s="13">
        <f t="shared" ref="H184:O184" si="118">SUM(H182:H183)</f>
        <v>5320</v>
      </c>
      <c r="I184" s="13">
        <f t="shared" si="118"/>
        <v>5106</v>
      </c>
      <c r="J184" s="13">
        <f t="shared" si="118"/>
        <v>3736</v>
      </c>
      <c r="K184" s="13">
        <f t="shared" si="118"/>
        <v>0</v>
      </c>
      <c r="L184" s="13">
        <f t="shared" si="118"/>
        <v>0</v>
      </c>
      <c r="M184" s="13">
        <f>SUM(M182:M183)</f>
        <v>0</v>
      </c>
      <c r="N184" s="13">
        <f t="shared" ref="N184" si="119">SUM(N182:N183)</f>
        <v>0</v>
      </c>
      <c r="O184" s="13">
        <f t="shared" si="118"/>
        <v>0</v>
      </c>
      <c r="P184" s="92">
        <f t="shared" si="85"/>
        <v>14162</v>
      </c>
    </row>
    <row r="185" spans="1:16" ht="15" customHeight="1" x14ac:dyDescent="0.25">
      <c r="A185" s="102">
        <f t="shared" ref="A185" si="120">A182+1</f>
        <v>60</v>
      </c>
      <c r="B185" s="105" t="s">
        <v>11</v>
      </c>
      <c r="C185" s="107" t="s">
        <v>571</v>
      </c>
      <c r="D185" s="182">
        <v>43012</v>
      </c>
      <c r="E185" s="181" t="s">
        <v>116</v>
      </c>
      <c r="F185" s="37" t="s">
        <v>264</v>
      </c>
      <c r="G185" s="10" t="s">
        <v>5</v>
      </c>
      <c r="H185" s="11">
        <v>4276</v>
      </c>
      <c r="I185" s="11">
        <v>4276</v>
      </c>
      <c r="J185" s="11">
        <f>3171+28</f>
        <v>3199</v>
      </c>
      <c r="K185" s="11">
        <v>0</v>
      </c>
      <c r="L185" s="11">
        <v>0</v>
      </c>
      <c r="M185" s="11">
        <v>0</v>
      </c>
      <c r="N185" s="11">
        <v>0</v>
      </c>
      <c r="O185" s="16">
        <v>0</v>
      </c>
      <c r="P185" s="11">
        <f>SUM(H185:O185)</f>
        <v>11751</v>
      </c>
    </row>
    <row r="186" spans="1:16" ht="15" customHeight="1" x14ac:dyDescent="0.25">
      <c r="A186" s="103"/>
      <c r="B186" s="105"/>
      <c r="C186" s="107"/>
      <c r="D186" s="182"/>
      <c r="E186" s="181"/>
      <c r="F186" s="17" t="s">
        <v>265</v>
      </c>
      <c r="G186" s="14" t="s">
        <v>8</v>
      </c>
      <c r="H186" s="15">
        <f>340+28</f>
        <v>368</v>
      </c>
      <c r="I186" s="15">
        <f>185+17</f>
        <v>202</v>
      </c>
      <c r="J186" s="15">
        <f>69+6</f>
        <v>75</v>
      </c>
      <c r="K186" s="15">
        <v>0</v>
      </c>
      <c r="L186" s="15">
        <v>0</v>
      </c>
      <c r="M186" s="15">
        <v>0</v>
      </c>
      <c r="N186" s="15">
        <v>0</v>
      </c>
      <c r="O186" s="18">
        <v>0</v>
      </c>
      <c r="P186" s="15">
        <f t="shared" si="85"/>
        <v>645</v>
      </c>
    </row>
    <row r="187" spans="1:16" ht="15" customHeight="1" x14ac:dyDescent="0.25">
      <c r="A187" s="104"/>
      <c r="B187" s="105"/>
      <c r="C187" s="107"/>
      <c r="D187" s="182"/>
      <c r="E187" s="181"/>
      <c r="F187" s="12"/>
      <c r="G187" s="12" t="s">
        <v>99</v>
      </c>
      <c r="H187" s="13">
        <f t="shared" ref="H187:O187" si="121">SUM(H185:H186)</f>
        <v>4644</v>
      </c>
      <c r="I187" s="13">
        <f t="shared" si="121"/>
        <v>4478</v>
      </c>
      <c r="J187" s="13">
        <f t="shared" si="121"/>
        <v>3274</v>
      </c>
      <c r="K187" s="13">
        <f t="shared" si="121"/>
        <v>0</v>
      </c>
      <c r="L187" s="13">
        <f t="shared" si="121"/>
        <v>0</v>
      </c>
      <c r="M187" s="13">
        <f t="shared" si="121"/>
        <v>0</v>
      </c>
      <c r="N187" s="13">
        <f t="shared" si="121"/>
        <v>0</v>
      </c>
      <c r="O187" s="13">
        <f t="shared" si="121"/>
        <v>0</v>
      </c>
      <c r="P187" s="92">
        <f t="shared" si="85"/>
        <v>12396</v>
      </c>
    </row>
    <row r="188" spans="1:16" ht="15" customHeight="1" x14ac:dyDescent="0.25">
      <c r="A188" s="102">
        <f t="shared" ref="A188" si="122">A185+1</f>
        <v>61</v>
      </c>
      <c r="B188" s="105" t="s">
        <v>11</v>
      </c>
      <c r="C188" s="107" t="s">
        <v>49</v>
      </c>
      <c r="D188" s="182">
        <v>43020</v>
      </c>
      <c r="E188" s="181" t="s">
        <v>116</v>
      </c>
      <c r="F188" s="37" t="s">
        <v>266</v>
      </c>
      <c r="G188" s="10" t="s">
        <v>5</v>
      </c>
      <c r="H188" s="11">
        <v>19988</v>
      </c>
      <c r="I188" s="11">
        <v>19988</v>
      </c>
      <c r="J188" s="11">
        <f>14302+682</f>
        <v>14984</v>
      </c>
      <c r="K188" s="11">
        <v>0</v>
      </c>
      <c r="L188" s="11">
        <v>0</v>
      </c>
      <c r="M188" s="11">
        <v>0</v>
      </c>
      <c r="N188" s="11">
        <v>0</v>
      </c>
      <c r="O188" s="16">
        <v>0</v>
      </c>
      <c r="P188" s="11">
        <f>SUM(H188:O188)</f>
        <v>54960</v>
      </c>
    </row>
    <row r="189" spans="1:16" ht="15" customHeight="1" x14ac:dyDescent="0.25">
      <c r="A189" s="103"/>
      <c r="B189" s="105"/>
      <c r="C189" s="107"/>
      <c r="D189" s="182"/>
      <c r="E189" s="181"/>
      <c r="F189" s="17" t="s">
        <v>267</v>
      </c>
      <c r="G189" s="14" t="s">
        <v>8</v>
      </c>
      <c r="H189" s="15">
        <f>1578+131</f>
        <v>1709</v>
      </c>
      <c r="I189" s="15">
        <f>866+81</f>
        <v>947</v>
      </c>
      <c r="J189" s="15">
        <f>322+30</f>
        <v>352</v>
      </c>
      <c r="K189" s="15">
        <v>0</v>
      </c>
      <c r="L189" s="15">
        <v>0</v>
      </c>
      <c r="M189" s="15">
        <v>0</v>
      </c>
      <c r="N189" s="15">
        <v>0</v>
      </c>
      <c r="O189" s="18">
        <v>0</v>
      </c>
      <c r="P189" s="15">
        <f t="shared" si="85"/>
        <v>3008</v>
      </c>
    </row>
    <row r="190" spans="1:16" ht="15" customHeight="1" x14ac:dyDescent="0.25">
      <c r="A190" s="104"/>
      <c r="B190" s="188"/>
      <c r="C190" s="191"/>
      <c r="D190" s="190"/>
      <c r="E190" s="166"/>
      <c r="F190" s="23"/>
      <c r="G190" s="23" t="s">
        <v>99</v>
      </c>
      <c r="H190" s="13">
        <f t="shared" ref="H190:O190" si="123">SUM(H188:H189)</f>
        <v>21697</v>
      </c>
      <c r="I190" s="13">
        <f t="shared" si="123"/>
        <v>20935</v>
      </c>
      <c r="J190" s="13">
        <f t="shared" si="123"/>
        <v>15336</v>
      </c>
      <c r="K190" s="13">
        <f t="shared" si="123"/>
        <v>0</v>
      </c>
      <c r="L190" s="13">
        <f t="shared" si="123"/>
        <v>0</v>
      </c>
      <c r="M190" s="13">
        <f t="shared" si="123"/>
        <v>0</v>
      </c>
      <c r="N190" s="13">
        <f t="shared" si="123"/>
        <v>0</v>
      </c>
      <c r="O190" s="13">
        <f t="shared" si="123"/>
        <v>0</v>
      </c>
      <c r="P190" s="92">
        <f t="shared" si="85"/>
        <v>57968</v>
      </c>
    </row>
    <row r="191" spans="1:16" ht="15" customHeight="1" x14ac:dyDescent="0.25">
      <c r="A191" s="102">
        <f t="shared" ref="A191" si="124">A188+1</f>
        <v>62</v>
      </c>
      <c r="B191" s="105" t="s">
        <v>11</v>
      </c>
      <c r="C191" s="107" t="s">
        <v>29</v>
      </c>
      <c r="D191" s="182">
        <v>43027</v>
      </c>
      <c r="E191" s="181" t="s">
        <v>268</v>
      </c>
      <c r="F191" s="37" t="s">
        <v>269</v>
      </c>
      <c r="G191" s="10" t="s">
        <v>5</v>
      </c>
      <c r="H191" s="11">
        <v>6280</v>
      </c>
      <c r="I191" s="11">
        <v>6280</v>
      </c>
      <c r="J191" s="11">
        <v>6280</v>
      </c>
      <c r="K191" s="11">
        <v>6280</v>
      </c>
      <c r="L191" s="11">
        <v>6280</v>
      </c>
      <c r="M191" s="11">
        <v>6280</v>
      </c>
      <c r="N191" s="11">
        <v>6280</v>
      </c>
      <c r="O191" s="11">
        <f>18576-6192+152-6280</f>
        <v>6256</v>
      </c>
      <c r="P191" s="11">
        <f>SUM(H191:O191)</f>
        <v>50216</v>
      </c>
    </row>
    <row r="192" spans="1:16" ht="15" customHeight="1" x14ac:dyDescent="0.25">
      <c r="A192" s="103"/>
      <c r="B192" s="105"/>
      <c r="C192" s="107"/>
      <c r="D192" s="182"/>
      <c r="E192" s="181"/>
      <c r="F192" s="17" t="s">
        <v>270</v>
      </c>
      <c r="G192" s="14" t="s">
        <v>8</v>
      </c>
      <c r="H192" s="15">
        <f>1483+125</f>
        <v>1608</v>
      </c>
      <c r="I192" s="15">
        <f>1168+109</f>
        <v>1277</v>
      </c>
      <c r="J192" s="15">
        <f>992+93</f>
        <v>1085</v>
      </c>
      <c r="K192" s="15">
        <f>824+77</f>
        <v>901</v>
      </c>
      <c r="L192" s="49">
        <f>652+61</f>
        <v>713</v>
      </c>
      <c r="M192" s="49">
        <f>482+45</f>
        <v>527</v>
      </c>
      <c r="N192" s="49">
        <f>313+29</f>
        <v>342</v>
      </c>
      <c r="O192" s="49">
        <f>134+14</f>
        <v>148</v>
      </c>
      <c r="P192" s="15">
        <f t="shared" si="85"/>
        <v>6601</v>
      </c>
    </row>
    <row r="193" spans="1:16" ht="15" customHeight="1" x14ac:dyDescent="0.25">
      <c r="A193" s="104"/>
      <c r="B193" s="105"/>
      <c r="C193" s="107"/>
      <c r="D193" s="182"/>
      <c r="E193" s="181"/>
      <c r="F193" s="12"/>
      <c r="G193" s="12" t="s">
        <v>99</v>
      </c>
      <c r="H193" s="13">
        <f t="shared" ref="H193:O193" si="125">SUM(H191:H192)</f>
        <v>7888</v>
      </c>
      <c r="I193" s="13">
        <f t="shared" si="125"/>
        <v>7557</v>
      </c>
      <c r="J193" s="13">
        <f t="shared" si="125"/>
        <v>7365</v>
      </c>
      <c r="K193" s="13">
        <f t="shared" si="125"/>
        <v>7181</v>
      </c>
      <c r="L193" s="13">
        <f t="shared" si="125"/>
        <v>6993</v>
      </c>
      <c r="M193" s="13">
        <f t="shared" si="125"/>
        <v>6807</v>
      </c>
      <c r="N193" s="13">
        <f t="shared" si="125"/>
        <v>6622</v>
      </c>
      <c r="O193" s="13">
        <f t="shared" si="125"/>
        <v>6404</v>
      </c>
      <c r="P193" s="92">
        <f t="shared" si="85"/>
        <v>56817</v>
      </c>
    </row>
    <row r="194" spans="1:16" ht="13.5" customHeight="1" x14ac:dyDescent="0.25">
      <c r="A194" s="102">
        <f t="shared" ref="A194" si="126">A191+1</f>
        <v>63</v>
      </c>
      <c r="B194" s="105" t="s">
        <v>11</v>
      </c>
      <c r="C194" s="107" t="s">
        <v>55</v>
      </c>
      <c r="D194" s="182">
        <v>43042</v>
      </c>
      <c r="E194" s="181" t="s">
        <v>268</v>
      </c>
      <c r="F194" s="37" t="s">
        <v>271</v>
      </c>
      <c r="G194" s="10" t="s">
        <v>5</v>
      </c>
      <c r="H194" s="11">
        <v>20260</v>
      </c>
      <c r="I194" s="11">
        <v>20260</v>
      </c>
      <c r="J194" s="11">
        <v>20260</v>
      </c>
      <c r="K194" s="11">
        <v>20260</v>
      </c>
      <c r="L194" s="11">
        <v>20260</v>
      </c>
      <c r="M194" s="11">
        <v>20260</v>
      </c>
      <c r="N194" s="11">
        <v>20260</v>
      </c>
      <c r="O194" s="11">
        <f>60000-20000+489-20260</f>
        <v>20229</v>
      </c>
      <c r="P194" s="11">
        <f>SUM(H194:O194)</f>
        <v>162049</v>
      </c>
    </row>
    <row r="195" spans="1:16" ht="13.5" customHeight="1" x14ac:dyDescent="0.25">
      <c r="A195" s="103"/>
      <c r="B195" s="105"/>
      <c r="C195" s="107"/>
      <c r="D195" s="182"/>
      <c r="E195" s="181"/>
      <c r="F195" s="17" t="s">
        <v>272</v>
      </c>
      <c r="G195" s="14" t="s">
        <v>8</v>
      </c>
      <c r="H195" s="15">
        <f>4734+402</f>
        <v>5136</v>
      </c>
      <c r="I195" s="15">
        <f>3771+352</f>
        <v>4123</v>
      </c>
      <c r="J195" s="15">
        <f>3203+300</f>
        <v>3503</v>
      </c>
      <c r="K195" s="15">
        <f>2661+249</f>
        <v>2910</v>
      </c>
      <c r="L195" s="49">
        <f>2105+197</f>
        <v>2302</v>
      </c>
      <c r="M195" s="49">
        <f>1557+146</f>
        <v>1703</v>
      </c>
      <c r="N195" s="49">
        <f>1010+95</f>
        <v>1105</v>
      </c>
      <c r="O195" s="49">
        <f>433+44</f>
        <v>477</v>
      </c>
      <c r="P195" s="15">
        <f t="shared" si="85"/>
        <v>21259</v>
      </c>
    </row>
    <row r="196" spans="1:16" ht="13.5" customHeight="1" x14ac:dyDescent="0.25">
      <c r="A196" s="104"/>
      <c r="B196" s="105"/>
      <c r="C196" s="107"/>
      <c r="D196" s="182"/>
      <c r="E196" s="181"/>
      <c r="F196" s="12"/>
      <c r="G196" s="12" t="s">
        <v>99</v>
      </c>
      <c r="H196" s="13">
        <f t="shared" ref="H196:O196" si="127">SUM(H194:H195)</f>
        <v>25396</v>
      </c>
      <c r="I196" s="13">
        <f t="shared" si="127"/>
        <v>24383</v>
      </c>
      <c r="J196" s="13">
        <f t="shared" si="127"/>
        <v>23763</v>
      </c>
      <c r="K196" s="13">
        <f t="shared" si="127"/>
        <v>23170</v>
      </c>
      <c r="L196" s="13">
        <f t="shared" si="127"/>
        <v>22562</v>
      </c>
      <c r="M196" s="13">
        <f t="shared" si="127"/>
        <v>21963</v>
      </c>
      <c r="N196" s="13">
        <f t="shared" si="127"/>
        <v>21365</v>
      </c>
      <c r="O196" s="13">
        <f t="shared" si="127"/>
        <v>20706</v>
      </c>
      <c r="P196" s="92">
        <f t="shared" si="85"/>
        <v>183308</v>
      </c>
    </row>
    <row r="197" spans="1:16" ht="13.5" customHeight="1" x14ac:dyDescent="0.25">
      <c r="A197" s="102">
        <f t="shared" ref="A197" si="128">A194+1</f>
        <v>64</v>
      </c>
      <c r="B197" s="105" t="s">
        <v>11</v>
      </c>
      <c r="C197" s="107" t="s">
        <v>30</v>
      </c>
      <c r="D197" s="182">
        <v>43089</v>
      </c>
      <c r="E197" s="181" t="s">
        <v>275</v>
      </c>
      <c r="F197" s="37" t="s">
        <v>273</v>
      </c>
      <c r="G197" s="10" t="s">
        <v>5</v>
      </c>
      <c r="H197" s="11">
        <v>33888</v>
      </c>
      <c r="I197" s="11">
        <v>33888</v>
      </c>
      <c r="J197" s="11">
        <v>33888</v>
      </c>
      <c r="K197" s="11">
        <v>33888</v>
      </c>
      <c r="L197" s="11">
        <v>33888</v>
      </c>
      <c r="M197" s="11">
        <v>33888</v>
      </c>
      <c r="N197" s="11">
        <v>33888</v>
      </c>
      <c r="O197" s="11">
        <f>434148-33396+5893-33888</f>
        <v>372757</v>
      </c>
      <c r="P197" s="11">
        <f>SUM(H197:O197)</f>
        <v>609973</v>
      </c>
    </row>
    <row r="198" spans="1:16" ht="13.5" customHeight="1" x14ac:dyDescent="0.25">
      <c r="A198" s="103"/>
      <c r="B198" s="105"/>
      <c r="C198" s="107"/>
      <c r="D198" s="182"/>
      <c r="E198" s="181"/>
      <c r="F198" s="17" t="s">
        <v>274</v>
      </c>
      <c r="G198" s="14" t="s">
        <v>8</v>
      </c>
      <c r="H198" s="15">
        <f>17909+1531</f>
        <v>19440</v>
      </c>
      <c r="I198" s="15">
        <f>15384+1447</f>
        <v>16831</v>
      </c>
      <c r="J198" s="15">
        <f>14525+1361</f>
        <v>15886</v>
      </c>
      <c r="K198" s="15">
        <f>13644+1278</f>
        <v>14922</v>
      </c>
      <c r="L198" s="49">
        <f>12690+1189</f>
        <v>13879</v>
      </c>
      <c r="M198" s="49">
        <f>11773+1103</f>
        <v>12876</v>
      </c>
      <c r="N198" s="49">
        <f>10857+1017</f>
        <v>11874</v>
      </c>
      <c r="O198" s="49">
        <f>54232+5532</f>
        <v>59764</v>
      </c>
      <c r="P198" s="15">
        <f t="shared" si="85"/>
        <v>165472</v>
      </c>
    </row>
    <row r="199" spans="1:16" ht="13.5" customHeight="1" x14ac:dyDescent="0.25">
      <c r="A199" s="104"/>
      <c r="B199" s="105"/>
      <c r="C199" s="107"/>
      <c r="D199" s="182"/>
      <c r="E199" s="181"/>
      <c r="F199" s="12"/>
      <c r="G199" s="12" t="s">
        <v>99</v>
      </c>
      <c r="H199" s="13">
        <f t="shared" ref="H199:O199" si="129">SUM(H197:H198)</f>
        <v>53328</v>
      </c>
      <c r="I199" s="13">
        <f t="shared" si="129"/>
        <v>50719</v>
      </c>
      <c r="J199" s="13">
        <f t="shared" si="129"/>
        <v>49774</v>
      </c>
      <c r="K199" s="13">
        <f t="shared" si="129"/>
        <v>48810</v>
      </c>
      <c r="L199" s="13">
        <f t="shared" si="129"/>
        <v>47767</v>
      </c>
      <c r="M199" s="13">
        <f t="shared" si="129"/>
        <v>46764</v>
      </c>
      <c r="N199" s="13">
        <f t="shared" si="129"/>
        <v>45762</v>
      </c>
      <c r="O199" s="13">
        <f t="shared" si="129"/>
        <v>432521</v>
      </c>
      <c r="P199" s="92">
        <f t="shared" si="85"/>
        <v>775445</v>
      </c>
    </row>
    <row r="200" spans="1:16" ht="13.5" customHeight="1" x14ac:dyDescent="0.25">
      <c r="A200" s="102">
        <f t="shared" ref="A200" si="130">A197+1</f>
        <v>65</v>
      </c>
      <c r="B200" s="105" t="s">
        <v>11</v>
      </c>
      <c r="C200" s="106" t="s">
        <v>446</v>
      </c>
      <c r="D200" s="182">
        <v>43167</v>
      </c>
      <c r="E200" s="181" t="s">
        <v>278</v>
      </c>
      <c r="F200" s="37" t="s">
        <v>276</v>
      </c>
      <c r="G200" s="10" t="s">
        <v>5</v>
      </c>
      <c r="H200" s="11">
        <v>36892</v>
      </c>
      <c r="I200" s="11">
        <v>36892</v>
      </c>
      <c r="J200" s="11">
        <v>36892</v>
      </c>
      <c r="K200" s="11">
        <v>36892</v>
      </c>
      <c r="L200" s="11">
        <v>36892</v>
      </c>
      <c r="M200" s="11">
        <v>36892</v>
      </c>
      <c r="N200" s="11">
        <v>36892</v>
      </c>
      <c r="O200" s="11">
        <f>480922-36296+7261-36892</f>
        <v>414995</v>
      </c>
      <c r="P200" s="11">
        <f>SUM(H200:O200)</f>
        <v>673239</v>
      </c>
    </row>
    <row r="201" spans="1:16" ht="13.5" customHeight="1" x14ac:dyDescent="0.25">
      <c r="A201" s="103"/>
      <c r="B201" s="105"/>
      <c r="C201" s="107"/>
      <c r="D201" s="182"/>
      <c r="E201" s="181"/>
      <c r="F201" s="17" t="s">
        <v>277</v>
      </c>
      <c r="G201" s="14" t="s">
        <v>8</v>
      </c>
      <c r="H201" s="15">
        <f>21394+1690</f>
        <v>23084</v>
      </c>
      <c r="I201" s="15">
        <f>17060+1599</f>
        <v>18659</v>
      </c>
      <c r="J201" s="15">
        <f>16062+1505</f>
        <v>17567</v>
      </c>
      <c r="K201" s="15">
        <f>15103+1415</f>
        <v>16518</v>
      </c>
      <c r="L201" s="49">
        <f>14063+1318</f>
        <v>15381</v>
      </c>
      <c r="M201" s="49">
        <f>13065+1224</f>
        <v>14289</v>
      </c>
      <c r="N201" s="49">
        <f>12069+1131</f>
        <v>13200</v>
      </c>
      <c r="O201" s="49">
        <f>61644+6288</f>
        <v>67932</v>
      </c>
      <c r="P201" s="15">
        <f t="shared" si="85"/>
        <v>186630</v>
      </c>
    </row>
    <row r="202" spans="1:16" ht="13.5" customHeight="1" x14ac:dyDescent="0.25">
      <c r="A202" s="104"/>
      <c r="B202" s="105"/>
      <c r="C202" s="107"/>
      <c r="D202" s="182"/>
      <c r="E202" s="181"/>
      <c r="F202" s="12"/>
      <c r="G202" s="12" t="s">
        <v>99</v>
      </c>
      <c r="H202" s="13">
        <f t="shared" ref="H202:O202" si="131">SUM(H200:H201)</f>
        <v>59976</v>
      </c>
      <c r="I202" s="13">
        <f t="shared" si="131"/>
        <v>55551</v>
      </c>
      <c r="J202" s="13">
        <f t="shared" si="131"/>
        <v>54459</v>
      </c>
      <c r="K202" s="13">
        <f t="shared" si="131"/>
        <v>53410</v>
      </c>
      <c r="L202" s="13">
        <f>SUM(L200:L201)</f>
        <v>52273</v>
      </c>
      <c r="M202" s="13">
        <f>SUM(M200:M201)</f>
        <v>51181</v>
      </c>
      <c r="N202" s="13">
        <f>SUM(N200:N201)</f>
        <v>50092</v>
      </c>
      <c r="O202" s="13">
        <f t="shared" si="131"/>
        <v>482927</v>
      </c>
      <c r="P202" s="92">
        <f t="shared" si="85"/>
        <v>859869</v>
      </c>
    </row>
    <row r="203" spans="1:16" ht="15.75" customHeight="1" x14ac:dyDescent="0.25">
      <c r="A203" s="102">
        <f t="shared" ref="A203" si="132">A200+1</f>
        <v>66</v>
      </c>
      <c r="B203" s="105" t="s">
        <v>11</v>
      </c>
      <c r="C203" s="106" t="s">
        <v>447</v>
      </c>
      <c r="D203" s="182">
        <v>43255</v>
      </c>
      <c r="E203" s="181" t="s">
        <v>279</v>
      </c>
      <c r="F203" s="37" t="s">
        <v>280</v>
      </c>
      <c r="G203" s="10" t="s">
        <v>5</v>
      </c>
      <c r="H203" s="72">
        <v>67236</v>
      </c>
      <c r="I203" s="11">
        <v>67236</v>
      </c>
      <c r="J203" s="11">
        <v>67236</v>
      </c>
      <c r="K203" s="11">
        <v>67236</v>
      </c>
      <c r="L203" s="11">
        <v>67236</v>
      </c>
      <c r="M203" s="11">
        <v>67236</v>
      </c>
      <c r="N203" s="11">
        <v>67236</v>
      </c>
      <c r="O203" s="11">
        <f>888570-65820+17630-67236</f>
        <v>773144</v>
      </c>
      <c r="P203" s="11">
        <f>SUM(H203:O203)</f>
        <v>1243796</v>
      </c>
    </row>
    <row r="204" spans="1:16" ht="15.75" customHeight="1" x14ac:dyDescent="0.25">
      <c r="A204" s="103"/>
      <c r="B204" s="105"/>
      <c r="C204" s="107"/>
      <c r="D204" s="182"/>
      <c r="E204" s="181"/>
      <c r="F204" s="17" t="s">
        <v>281</v>
      </c>
      <c r="G204" s="14" t="s">
        <v>8</v>
      </c>
      <c r="H204" s="15">
        <f>42264+3122</f>
        <v>45386</v>
      </c>
      <c r="I204" s="15">
        <f>31548+2956</f>
        <v>34504</v>
      </c>
      <c r="J204" s="15">
        <f>29727+2786</f>
        <v>32513</v>
      </c>
      <c r="K204" s="15">
        <f>27981+2622</f>
        <v>30603</v>
      </c>
      <c r="L204" s="49">
        <f>26805+2444</f>
        <v>29249</v>
      </c>
      <c r="M204" s="49">
        <f>24266+2274</f>
        <v>26540</v>
      </c>
      <c r="N204" s="49">
        <f>22450+2104</f>
        <v>24554</v>
      </c>
      <c r="O204" s="49">
        <f>117241+11958</f>
        <v>129199</v>
      </c>
      <c r="P204" s="15">
        <f t="shared" si="85"/>
        <v>352548</v>
      </c>
    </row>
    <row r="205" spans="1:16" ht="15.75" customHeight="1" x14ac:dyDescent="0.25">
      <c r="A205" s="104"/>
      <c r="B205" s="105"/>
      <c r="C205" s="107"/>
      <c r="D205" s="182"/>
      <c r="E205" s="181"/>
      <c r="F205" s="12"/>
      <c r="G205" s="12" t="s">
        <v>99</v>
      </c>
      <c r="H205" s="13">
        <f t="shared" ref="H205:O205" si="133">SUM(H203:H204)</f>
        <v>112622</v>
      </c>
      <c r="I205" s="13">
        <f t="shared" si="133"/>
        <v>101740</v>
      </c>
      <c r="J205" s="13">
        <f t="shared" si="133"/>
        <v>99749</v>
      </c>
      <c r="K205" s="13">
        <f t="shared" si="133"/>
        <v>97839</v>
      </c>
      <c r="L205" s="13">
        <f t="shared" si="133"/>
        <v>96485</v>
      </c>
      <c r="M205" s="13">
        <f>SUM(M203:M204)</f>
        <v>93776</v>
      </c>
      <c r="N205" s="13">
        <f>SUM(N203:N204)</f>
        <v>91790</v>
      </c>
      <c r="O205" s="13">
        <f t="shared" si="133"/>
        <v>902343</v>
      </c>
      <c r="P205" s="92">
        <f t="shared" si="85"/>
        <v>1596344</v>
      </c>
    </row>
    <row r="206" spans="1:16" ht="15" customHeight="1" x14ac:dyDescent="0.25">
      <c r="A206" s="102">
        <f t="shared" ref="A206" si="134">A203+1</f>
        <v>67</v>
      </c>
      <c r="B206" s="105" t="s">
        <v>11</v>
      </c>
      <c r="C206" s="107" t="s">
        <v>26</v>
      </c>
      <c r="D206" s="182">
        <v>43285</v>
      </c>
      <c r="E206" s="181" t="s">
        <v>284</v>
      </c>
      <c r="F206" s="37" t="s">
        <v>282</v>
      </c>
      <c r="G206" s="10" t="s">
        <v>5</v>
      </c>
      <c r="H206" s="11">
        <v>10768</v>
      </c>
      <c r="I206" s="11">
        <v>10768</v>
      </c>
      <c r="J206" s="11">
        <v>10768</v>
      </c>
      <c r="K206" s="11">
        <v>10768</v>
      </c>
      <c r="L206" s="11">
        <v>10768</v>
      </c>
      <c r="M206" s="11">
        <v>10768</v>
      </c>
      <c r="N206" s="11">
        <v>10768</v>
      </c>
      <c r="O206" s="11">
        <f>142452-10552+2690-10768</f>
        <v>123822</v>
      </c>
      <c r="P206" s="11">
        <f>SUM(H206:O206)</f>
        <v>199198</v>
      </c>
    </row>
    <row r="207" spans="1:16" ht="14.25" customHeight="1" x14ac:dyDescent="0.25">
      <c r="A207" s="103"/>
      <c r="B207" s="105"/>
      <c r="C207" s="107"/>
      <c r="D207" s="182"/>
      <c r="E207" s="181"/>
      <c r="F207" s="17" t="s">
        <v>283</v>
      </c>
      <c r="G207" s="14" t="s">
        <v>8</v>
      </c>
      <c r="H207" s="15">
        <f>6897+500</f>
        <v>7397</v>
      </c>
      <c r="I207" s="15">
        <f>5052+473</f>
        <v>5525</v>
      </c>
      <c r="J207" s="15">
        <f>4761+446</f>
        <v>5207</v>
      </c>
      <c r="K207" s="15">
        <f>4481+420</f>
        <v>4901</v>
      </c>
      <c r="L207" s="49">
        <f>4178+391</f>
        <v>4569</v>
      </c>
      <c r="M207" s="49">
        <f>3886+364</f>
        <v>4250</v>
      </c>
      <c r="N207" s="49">
        <f>3595+337</f>
        <v>3932</v>
      </c>
      <c r="O207" s="49">
        <f>18783+1916</f>
        <v>20699</v>
      </c>
      <c r="P207" s="15">
        <f t="shared" si="85"/>
        <v>56480</v>
      </c>
    </row>
    <row r="208" spans="1:16" ht="13.5" customHeight="1" x14ac:dyDescent="0.25">
      <c r="A208" s="104"/>
      <c r="B208" s="188"/>
      <c r="C208" s="191"/>
      <c r="D208" s="190"/>
      <c r="E208" s="166"/>
      <c r="F208" s="23"/>
      <c r="G208" s="23" t="s">
        <v>99</v>
      </c>
      <c r="H208" s="13">
        <f t="shared" ref="H208:O208" si="135">SUM(H206:H207)</f>
        <v>18165</v>
      </c>
      <c r="I208" s="13">
        <f t="shared" si="135"/>
        <v>16293</v>
      </c>
      <c r="J208" s="13">
        <f t="shared" si="135"/>
        <v>15975</v>
      </c>
      <c r="K208" s="13">
        <f t="shared" si="135"/>
        <v>15669</v>
      </c>
      <c r="L208" s="13">
        <f t="shared" si="135"/>
        <v>15337</v>
      </c>
      <c r="M208" s="13">
        <f>SUM(M206:M207)</f>
        <v>15018</v>
      </c>
      <c r="N208" s="13">
        <f>SUM(N206:N207)</f>
        <v>14700</v>
      </c>
      <c r="O208" s="13">
        <f t="shared" si="135"/>
        <v>144521</v>
      </c>
      <c r="P208" s="92">
        <f t="shared" ref="P208:P214" si="136">SUM(H208:O208)</f>
        <v>255678</v>
      </c>
    </row>
    <row r="209" spans="1:16" ht="15" customHeight="1" x14ac:dyDescent="0.25">
      <c r="A209" s="102">
        <f t="shared" ref="A209" si="137">A206+1</f>
        <v>68</v>
      </c>
      <c r="B209" s="105" t="s">
        <v>11</v>
      </c>
      <c r="C209" s="195" t="s">
        <v>31</v>
      </c>
      <c r="D209" s="182">
        <v>43285</v>
      </c>
      <c r="E209" s="181" t="s">
        <v>285</v>
      </c>
      <c r="F209" s="37" t="s">
        <v>286</v>
      </c>
      <c r="G209" s="10" t="s">
        <v>5</v>
      </c>
      <c r="H209" s="11">
        <v>22268</v>
      </c>
      <c r="I209" s="11">
        <v>22268</v>
      </c>
      <c r="J209" s="11">
        <v>22268</v>
      </c>
      <c r="K209" s="11">
        <v>22268</v>
      </c>
      <c r="L209" s="11">
        <v>22268</v>
      </c>
      <c r="M209" s="11">
        <v>22268</v>
      </c>
      <c r="N209" s="11">
        <v>22268</v>
      </c>
      <c r="O209" s="11">
        <f>185470-21820+3310-22268</f>
        <v>144692</v>
      </c>
      <c r="P209" s="11">
        <f>SUM(H209:O209)</f>
        <v>300568</v>
      </c>
    </row>
    <row r="210" spans="1:16" ht="15" customHeight="1" x14ac:dyDescent="0.25">
      <c r="A210" s="103"/>
      <c r="B210" s="105"/>
      <c r="C210" s="195"/>
      <c r="D210" s="182"/>
      <c r="E210" s="181"/>
      <c r="F210" s="17" t="s">
        <v>287</v>
      </c>
      <c r="G210" s="14" t="s">
        <v>8</v>
      </c>
      <c r="H210" s="15">
        <f>10380+752</f>
        <v>11132</v>
      </c>
      <c r="I210" s="15">
        <f>7436+697</f>
        <v>8133</v>
      </c>
      <c r="J210" s="15">
        <f>6833+640</f>
        <v>7473</v>
      </c>
      <c r="K210" s="15">
        <f>6246+585</f>
        <v>6831</v>
      </c>
      <c r="L210" s="49">
        <f>5627+527</f>
        <v>6154</v>
      </c>
      <c r="M210" s="49">
        <f>5024+471</f>
        <v>5495</v>
      </c>
      <c r="N210" s="49">
        <f>4423+414</f>
        <v>4837</v>
      </c>
      <c r="O210" s="49">
        <f>12966+1323</f>
        <v>14289</v>
      </c>
      <c r="P210" s="15">
        <f t="shared" si="136"/>
        <v>64344</v>
      </c>
    </row>
    <row r="211" spans="1:16" ht="15" customHeight="1" x14ac:dyDescent="0.25">
      <c r="A211" s="104"/>
      <c r="B211" s="105"/>
      <c r="C211" s="195"/>
      <c r="D211" s="182"/>
      <c r="E211" s="181"/>
      <c r="F211" s="12"/>
      <c r="G211" s="12" t="s">
        <v>99</v>
      </c>
      <c r="H211" s="13">
        <f t="shared" ref="H211:O211" si="138">SUM(H209:H210)</f>
        <v>33400</v>
      </c>
      <c r="I211" s="13">
        <f t="shared" si="138"/>
        <v>30401</v>
      </c>
      <c r="J211" s="13">
        <f t="shared" si="138"/>
        <v>29741</v>
      </c>
      <c r="K211" s="13">
        <f t="shared" si="138"/>
        <v>29099</v>
      </c>
      <c r="L211" s="13">
        <f t="shared" si="138"/>
        <v>28422</v>
      </c>
      <c r="M211" s="13">
        <f>SUM(M209:M210)</f>
        <v>27763</v>
      </c>
      <c r="N211" s="13">
        <f>SUM(N209:N210)</f>
        <v>27105</v>
      </c>
      <c r="O211" s="13">
        <f t="shared" si="138"/>
        <v>158981</v>
      </c>
      <c r="P211" s="92">
        <f t="shared" si="136"/>
        <v>364912</v>
      </c>
    </row>
    <row r="212" spans="1:16" ht="15" customHeight="1" x14ac:dyDescent="0.25">
      <c r="A212" s="102">
        <f t="shared" ref="A212" si="139">A209+1</f>
        <v>69</v>
      </c>
      <c r="B212" s="105" t="s">
        <v>11</v>
      </c>
      <c r="C212" s="195" t="s">
        <v>32</v>
      </c>
      <c r="D212" s="182">
        <v>43299</v>
      </c>
      <c r="E212" s="181" t="s">
        <v>290</v>
      </c>
      <c r="F212" s="37" t="s">
        <v>288</v>
      </c>
      <c r="G212" s="10" t="s">
        <v>5</v>
      </c>
      <c r="H212" s="11">
        <v>5428</v>
      </c>
      <c r="I212" s="11">
        <v>5428</v>
      </c>
      <c r="J212" s="11">
        <v>5428</v>
      </c>
      <c r="K212" s="11">
        <v>5428</v>
      </c>
      <c r="L212" s="11">
        <v>5428</v>
      </c>
      <c r="M212" s="11">
        <v>5428</v>
      </c>
      <c r="N212" s="11">
        <v>5428</v>
      </c>
      <c r="O212" s="11">
        <f>19890-5304+331-5428</f>
        <v>9489</v>
      </c>
      <c r="P212" s="11">
        <f>SUM(H212:O212)</f>
        <v>47485</v>
      </c>
    </row>
    <row r="213" spans="1:16" ht="15" customHeight="1" x14ac:dyDescent="0.25">
      <c r="A213" s="103"/>
      <c r="B213" s="105"/>
      <c r="C213" s="195"/>
      <c r="D213" s="182"/>
      <c r="E213" s="181"/>
      <c r="F213" s="17" t="s">
        <v>289</v>
      </c>
      <c r="G213" s="14" t="s">
        <v>8</v>
      </c>
      <c r="H213" s="15">
        <f>1645+118</f>
        <v>1763</v>
      </c>
      <c r="I213" s="15">
        <f>1115+104</f>
        <v>1219</v>
      </c>
      <c r="J213" s="15">
        <f>968+91</f>
        <v>1059</v>
      </c>
      <c r="K213" s="15">
        <f>823+77</f>
        <v>900</v>
      </c>
      <c r="L213" s="49">
        <f>674+63</f>
        <v>737</v>
      </c>
      <c r="M213" s="49">
        <f>527+49</f>
        <v>576</v>
      </c>
      <c r="N213" s="49">
        <f>381+36</f>
        <v>417</v>
      </c>
      <c r="O213" s="49">
        <f>290+30</f>
        <v>320</v>
      </c>
      <c r="P213" s="15">
        <f t="shared" si="136"/>
        <v>6991</v>
      </c>
    </row>
    <row r="214" spans="1:16" ht="15" customHeight="1" x14ac:dyDescent="0.25">
      <c r="A214" s="104"/>
      <c r="B214" s="105"/>
      <c r="C214" s="195"/>
      <c r="D214" s="182"/>
      <c r="E214" s="181"/>
      <c r="F214" s="12"/>
      <c r="G214" s="12" t="s">
        <v>99</v>
      </c>
      <c r="H214" s="13">
        <f t="shared" ref="H214:O214" si="140">SUM(H212:H213)</f>
        <v>7191</v>
      </c>
      <c r="I214" s="13">
        <f t="shared" si="140"/>
        <v>6647</v>
      </c>
      <c r="J214" s="13">
        <f t="shared" si="140"/>
        <v>6487</v>
      </c>
      <c r="K214" s="13">
        <f t="shared" si="140"/>
        <v>6328</v>
      </c>
      <c r="L214" s="13">
        <f t="shared" si="140"/>
        <v>6165</v>
      </c>
      <c r="M214" s="13">
        <f>SUM(M212:M213)</f>
        <v>6004</v>
      </c>
      <c r="N214" s="13">
        <f>SUM(N212:N213)</f>
        <v>5845</v>
      </c>
      <c r="O214" s="13">
        <f t="shared" si="140"/>
        <v>9809</v>
      </c>
      <c r="P214" s="92">
        <f t="shared" si="136"/>
        <v>54476</v>
      </c>
    </row>
    <row r="215" spans="1:16" ht="15.75" customHeight="1" x14ac:dyDescent="0.25">
      <c r="A215" s="102">
        <f t="shared" ref="A215" si="141">A212+1</f>
        <v>70</v>
      </c>
      <c r="B215" s="105" t="s">
        <v>11</v>
      </c>
      <c r="C215" s="197" t="s">
        <v>448</v>
      </c>
      <c r="D215" s="182">
        <v>43315</v>
      </c>
      <c r="E215" s="181" t="s">
        <v>199</v>
      </c>
      <c r="F215" s="37" t="s">
        <v>291</v>
      </c>
      <c r="G215" s="10" t="s">
        <v>5</v>
      </c>
      <c r="H215" s="101">
        <v>0</v>
      </c>
      <c r="I215" s="11">
        <v>111144</v>
      </c>
      <c r="J215" s="11">
        <v>111144</v>
      </c>
      <c r="K215" s="11">
        <v>111144</v>
      </c>
      <c r="L215" s="11">
        <v>111144</v>
      </c>
      <c r="M215" s="11">
        <v>111144</v>
      </c>
      <c r="N215" s="11">
        <v>111144</v>
      </c>
      <c r="O215" s="93">
        <f>1972806-666864</f>
        <v>1305942</v>
      </c>
      <c r="P215" s="11">
        <f>SUM(H215:O215)</f>
        <v>1972806</v>
      </c>
    </row>
    <row r="216" spans="1:16" ht="15.75" customHeight="1" x14ac:dyDescent="0.25">
      <c r="A216" s="103"/>
      <c r="B216" s="105"/>
      <c r="C216" s="197"/>
      <c r="D216" s="182"/>
      <c r="E216" s="181"/>
      <c r="F216" s="17" t="s">
        <v>292</v>
      </c>
      <c r="G216" s="14" t="s">
        <v>8</v>
      </c>
      <c r="H216" s="15">
        <v>75602</v>
      </c>
      <c r="I216" s="15">
        <v>74587</v>
      </c>
      <c r="J216" s="15">
        <v>70568</v>
      </c>
      <c r="K216" s="15">
        <v>66315</v>
      </c>
      <c r="L216" s="49">
        <v>62062</v>
      </c>
      <c r="M216" s="49">
        <v>57809</v>
      </c>
      <c r="N216" s="49">
        <v>53557</v>
      </c>
      <c r="O216" s="49">
        <f>310812</f>
        <v>310812</v>
      </c>
      <c r="P216" s="15">
        <f t="shared" ref="P216:P276" si="142">SUM(H216:O216)</f>
        <v>771312</v>
      </c>
    </row>
    <row r="217" spans="1:16" ht="15.75" customHeight="1" x14ac:dyDescent="0.25">
      <c r="A217" s="104"/>
      <c r="B217" s="105"/>
      <c r="C217" s="197"/>
      <c r="D217" s="182"/>
      <c r="E217" s="181"/>
      <c r="F217" s="12"/>
      <c r="G217" s="12" t="s">
        <v>99</v>
      </c>
      <c r="H217" s="13">
        <f t="shared" ref="H217:O217" si="143">SUM(H215:H216)</f>
        <v>75602</v>
      </c>
      <c r="I217" s="13">
        <f t="shared" si="143"/>
        <v>185731</v>
      </c>
      <c r="J217" s="13">
        <f t="shared" si="143"/>
        <v>181712</v>
      </c>
      <c r="K217" s="13">
        <f t="shared" si="143"/>
        <v>177459</v>
      </c>
      <c r="L217" s="13">
        <f t="shared" si="143"/>
        <v>173206</v>
      </c>
      <c r="M217" s="13">
        <f t="shared" si="143"/>
        <v>168953</v>
      </c>
      <c r="N217" s="13">
        <f t="shared" si="143"/>
        <v>164701</v>
      </c>
      <c r="O217" s="13">
        <f t="shared" si="143"/>
        <v>1616754</v>
      </c>
      <c r="P217" s="92">
        <f t="shared" si="142"/>
        <v>2744118</v>
      </c>
    </row>
    <row r="218" spans="1:16" ht="16.5" customHeight="1" x14ac:dyDescent="0.25">
      <c r="A218" s="102">
        <f t="shared" ref="A218" si="144">A215+1</f>
        <v>71</v>
      </c>
      <c r="B218" s="105" t="s">
        <v>11</v>
      </c>
      <c r="C218" s="198" t="s">
        <v>663</v>
      </c>
      <c r="D218" s="182">
        <v>43341</v>
      </c>
      <c r="E218" s="181" t="s">
        <v>295</v>
      </c>
      <c r="F218" s="37" t="s">
        <v>293</v>
      </c>
      <c r="G218" s="10" t="s">
        <v>5</v>
      </c>
      <c r="H218" s="11">
        <v>7832</v>
      </c>
      <c r="I218" s="11">
        <v>7832</v>
      </c>
      <c r="J218" s="11">
        <v>7832</v>
      </c>
      <c r="K218" s="11">
        <f>5733+137</f>
        <v>5870</v>
      </c>
      <c r="L218" s="11">
        <v>0</v>
      </c>
      <c r="M218" s="11">
        <v>0</v>
      </c>
      <c r="N218" s="11">
        <v>0</v>
      </c>
      <c r="O218" s="11">
        <v>0</v>
      </c>
      <c r="P218" s="11">
        <f>SUM(H218:O218)</f>
        <v>29366</v>
      </c>
    </row>
    <row r="219" spans="1:16" ht="14.25" customHeight="1" x14ac:dyDescent="0.25">
      <c r="A219" s="103"/>
      <c r="B219" s="105"/>
      <c r="C219" s="198"/>
      <c r="D219" s="182"/>
      <c r="E219" s="181"/>
      <c r="F219" s="17" t="s">
        <v>294</v>
      </c>
      <c r="G219" s="14" t="s">
        <v>8</v>
      </c>
      <c r="H219" s="15">
        <f>937+71</f>
        <v>1008</v>
      </c>
      <c r="I219" s="15">
        <f>550+52</f>
        <v>602</v>
      </c>
      <c r="J219" s="15">
        <f>337+32</f>
        <v>369</v>
      </c>
      <c r="K219" s="15">
        <f>122+11</f>
        <v>133</v>
      </c>
      <c r="L219" s="15">
        <v>0</v>
      </c>
      <c r="M219" s="15">
        <v>0</v>
      </c>
      <c r="N219" s="15">
        <v>0</v>
      </c>
      <c r="O219" s="15">
        <v>0</v>
      </c>
      <c r="P219" s="15">
        <f t="shared" si="142"/>
        <v>2112</v>
      </c>
    </row>
    <row r="220" spans="1:16" ht="15" customHeight="1" x14ac:dyDescent="0.25">
      <c r="A220" s="104"/>
      <c r="B220" s="105"/>
      <c r="C220" s="198"/>
      <c r="D220" s="182"/>
      <c r="E220" s="181"/>
      <c r="F220" s="12"/>
      <c r="G220" s="12" t="s">
        <v>99</v>
      </c>
      <c r="H220" s="13">
        <f t="shared" ref="H220:O220" si="145">SUM(H218:H219)</f>
        <v>8840</v>
      </c>
      <c r="I220" s="13">
        <f t="shared" si="145"/>
        <v>8434</v>
      </c>
      <c r="J220" s="13">
        <f t="shared" si="145"/>
        <v>8201</v>
      </c>
      <c r="K220" s="13">
        <f t="shared" si="145"/>
        <v>6003</v>
      </c>
      <c r="L220" s="13">
        <f t="shared" si="145"/>
        <v>0</v>
      </c>
      <c r="M220" s="13">
        <f>SUM(M218:M219)</f>
        <v>0</v>
      </c>
      <c r="N220" s="13">
        <f t="shared" ref="N220" si="146">SUM(N218:N219)</f>
        <v>0</v>
      </c>
      <c r="O220" s="13">
        <f t="shared" si="145"/>
        <v>0</v>
      </c>
      <c r="P220" s="92">
        <f t="shared" si="142"/>
        <v>31478</v>
      </c>
    </row>
    <row r="221" spans="1:16" ht="16.5" customHeight="1" x14ac:dyDescent="0.25">
      <c r="A221" s="102">
        <f t="shared" ref="A221" si="147">A218+1</f>
        <v>72</v>
      </c>
      <c r="B221" s="105" t="s">
        <v>11</v>
      </c>
      <c r="C221" s="195" t="s">
        <v>34</v>
      </c>
      <c r="D221" s="182">
        <v>43378</v>
      </c>
      <c r="E221" s="181" t="s">
        <v>296</v>
      </c>
      <c r="F221" s="37" t="s">
        <v>297</v>
      </c>
      <c r="G221" s="10" t="s">
        <v>5</v>
      </c>
      <c r="H221" s="11">
        <v>12840</v>
      </c>
      <c r="I221" s="11">
        <v>12840</v>
      </c>
      <c r="J221" s="11">
        <v>12840</v>
      </c>
      <c r="K221" s="11">
        <f>9495+126</f>
        <v>9621</v>
      </c>
      <c r="L221" s="11">
        <v>0</v>
      </c>
      <c r="M221" s="11">
        <v>0</v>
      </c>
      <c r="N221" s="11">
        <v>0</v>
      </c>
      <c r="O221" s="11">
        <v>0</v>
      </c>
      <c r="P221" s="11">
        <f>SUM(H221:O221)</f>
        <v>48141</v>
      </c>
    </row>
    <row r="222" spans="1:16" ht="14.25" customHeight="1" x14ac:dyDescent="0.25">
      <c r="A222" s="103"/>
      <c r="B222" s="105"/>
      <c r="C222" s="195"/>
      <c r="D222" s="182"/>
      <c r="E222" s="181"/>
      <c r="F222" s="17" t="s">
        <v>298</v>
      </c>
      <c r="G222" s="14" t="s">
        <v>8</v>
      </c>
      <c r="H222" s="15">
        <f>1395+117</f>
        <v>1512</v>
      </c>
      <c r="I222" s="15">
        <f>903+84</f>
        <v>987</v>
      </c>
      <c r="J222" s="15">
        <f>554+52</f>
        <v>606</v>
      </c>
      <c r="K222" s="15">
        <f>206+19</f>
        <v>225</v>
      </c>
      <c r="L222" s="15">
        <v>0</v>
      </c>
      <c r="M222" s="15">
        <v>0</v>
      </c>
      <c r="N222" s="15">
        <v>0</v>
      </c>
      <c r="O222" s="15">
        <v>0</v>
      </c>
      <c r="P222" s="15">
        <f t="shared" si="142"/>
        <v>3330</v>
      </c>
    </row>
    <row r="223" spans="1:16" ht="14.25" customHeight="1" x14ac:dyDescent="0.25">
      <c r="A223" s="104"/>
      <c r="B223" s="188"/>
      <c r="C223" s="196"/>
      <c r="D223" s="190"/>
      <c r="E223" s="166"/>
      <c r="F223" s="23"/>
      <c r="G223" s="23" t="s">
        <v>99</v>
      </c>
      <c r="H223" s="13">
        <f t="shared" ref="H223:O223" si="148">SUM(H221:H222)</f>
        <v>14352</v>
      </c>
      <c r="I223" s="13">
        <f t="shared" si="148"/>
        <v>13827</v>
      </c>
      <c r="J223" s="13">
        <f t="shared" si="148"/>
        <v>13446</v>
      </c>
      <c r="K223" s="13">
        <f t="shared" si="148"/>
        <v>9846</v>
      </c>
      <c r="L223" s="13">
        <f t="shared" si="148"/>
        <v>0</v>
      </c>
      <c r="M223" s="13">
        <f>SUM(M221:M222)</f>
        <v>0</v>
      </c>
      <c r="N223" s="13">
        <f t="shared" ref="N223" si="149">SUM(N221:N222)</f>
        <v>0</v>
      </c>
      <c r="O223" s="13">
        <f t="shared" si="148"/>
        <v>0</v>
      </c>
      <c r="P223" s="92">
        <f t="shared" si="142"/>
        <v>51471</v>
      </c>
    </row>
    <row r="224" spans="1:16" ht="14.25" customHeight="1" x14ac:dyDescent="0.25">
      <c r="A224" s="102">
        <f t="shared" ref="A224" si="150">A221+1</f>
        <v>73</v>
      </c>
      <c r="B224" s="105" t="s">
        <v>11</v>
      </c>
      <c r="C224" s="195" t="s">
        <v>33</v>
      </c>
      <c r="D224" s="182">
        <v>43391</v>
      </c>
      <c r="E224" s="181" t="s">
        <v>301</v>
      </c>
      <c r="F224" s="37" t="s">
        <v>299</v>
      </c>
      <c r="G224" s="10" t="s">
        <v>5</v>
      </c>
      <c r="H224" s="11">
        <v>8408</v>
      </c>
      <c r="I224" s="11">
        <v>8408</v>
      </c>
      <c r="J224" s="11">
        <v>8408</v>
      </c>
      <c r="K224" s="11">
        <v>8408</v>
      </c>
      <c r="L224" s="11">
        <v>8408</v>
      </c>
      <c r="M224" s="11">
        <v>8408</v>
      </c>
      <c r="N224" s="11">
        <v>8408</v>
      </c>
      <c r="O224" s="11">
        <f>33168-8292+344-8408</f>
        <v>16812</v>
      </c>
      <c r="P224" s="11">
        <f>SUM(H224:O224)</f>
        <v>75668</v>
      </c>
    </row>
    <row r="225" spans="1:16" ht="14.4" customHeight="1" x14ac:dyDescent="0.25">
      <c r="A225" s="103"/>
      <c r="B225" s="105"/>
      <c r="C225" s="195"/>
      <c r="D225" s="182"/>
      <c r="E225" s="181"/>
      <c r="F225" s="17" t="s">
        <v>300</v>
      </c>
      <c r="G225" s="14" t="s">
        <v>8</v>
      </c>
      <c r="H225" s="15">
        <f>2240+188</f>
        <v>2428</v>
      </c>
      <c r="I225" s="15">
        <f>1793+167</f>
        <v>1960</v>
      </c>
      <c r="J225" s="15">
        <f>1557+146</f>
        <v>1703</v>
      </c>
      <c r="K225" s="15">
        <f>1333+125</f>
        <v>1458</v>
      </c>
      <c r="L225" s="49">
        <f>1101+103</f>
        <v>1204</v>
      </c>
      <c r="M225" s="49">
        <f>874+82</f>
        <v>956</v>
      </c>
      <c r="N225" s="49">
        <f>646+61</f>
        <v>707</v>
      </c>
      <c r="O225" s="49">
        <f>566+58</f>
        <v>624</v>
      </c>
      <c r="P225" s="15">
        <f t="shared" si="142"/>
        <v>11040</v>
      </c>
    </row>
    <row r="226" spans="1:16" ht="15" customHeight="1" x14ac:dyDescent="0.25">
      <c r="A226" s="104"/>
      <c r="B226" s="105"/>
      <c r="C226" s="195"/>
      <c r="D226" s="182"/>
      <c r="E226" s="181"/>
      <c r="F226" s="12"/>
      <c r="G226" s="12" t="s">
        <v>99</v>
      </c>
      <c r="H226" s="13">
        <f t="shared" ref="H226:O226" si="151">SUM(H224:H225)</f>
        <v>10836</v>
      </c>
      <c r="I226" s="13">
        <f t="shared" si="151"/>
        <v>10368</v>
      </c>
      <c r="J226" s="13">
        <f t="shared" si="151"/>
        <v>10111</v>
      </c>
      <c r="K226" s="13">
        <f t="shared" si="151"/>
        <v>9866</v>
      </c>
      <c r="L226" s="13">
        <f t="shared" si="151"/>
        <v>9612</v>
      </c>
      <c r="M226" s="13">
        <f t="shared" si="151"/>
        <v>9364</v>
      </c>
      <c r="N226" s="13">
        <f t="shared" si="151"/>
        <v>9115</v>
      </c>
      <c r="O226" s="13">
        <f t="shared" si="151"/>
        <v>17436</v>
      </c>
      <c r="P226" s="92">
        <f t="shared" si="142"/>
        <v>86708</v>
      </c>
    </row>
    <row r="227" spans="1:16" ht="16.5" customHeight="1" x14ac:dyDescent="0.25">
      <c r="A227" s="102">
        <f t="shared" ref="A227" si="152">A224+1</f>
        <v>74</v>
      </c>
      <c r="B227" s="105" t="s">
        <v>11</v>
      </c>
      <c r="C227" s="107" t="s">
        <v>682</v>
      </c>
      <c r="D227" s="182">
        <v>43416</v>
      </c>
      <c r="E227" s="181" t="s">
        <v>304</v>
      </c>
      <c r="F227" s="37" t="s">
        <v>302</v>
      </c>
      <c r="G227" s="10" t="s">
        <v>5</v>
      </c>
      <c r="H227" s="11">
        <v>9664</v>
      </c>
      <c r="I227" s="11">
        <v>9664</v>
      </c>
      <c r="J227" s="11">
        <v>9664</v>
      </c>
      <c r="K227" s="11">
        <v>9664</v>
      </c>
      <c r="L227" s="11">
        <v>0</v>
      </c>
      <c r="M227" s="11">
        <v>0</v>
      </c>
      <c r="N227" s="11">
        <v>0</v>
      </c>
      <c r="O227" s="16">
        <v>0</v>
      </c>
      <c r="P227" s="11">
        <f>SUM(H227:O227)</f>
        <v>38656</v>
      </c>
    </row>
    <row r="228" spans="1:16" ht="15" customHeight="1" x14ac:dyDescent="0.25">
      <c r="A228" s="103"/>
      <c r="B228" s="105"/>
      <c r="C228" s="107"/>
      <c r="D228" s="182"/>
      <c r="E228" s="181"/>
      <c r="F228" s="17" t="s">
        <v>303</v>
      </c>
      <c r="G228" s="14" t="s">
        <v>8</v>
      </c>
      <c r="H228" s="15">
        <f>1110+94</f>
        <v>1204</v>
      </c>
      <c r="I228" s="15">
        <f>748+70</f>
        <v>818</v>
      </c>
      <c r="J228" s="15">
        <f>482+45</f>
        <v>527</v>
      </c>
      <c r="K228" s="15">
        <f>221+21</f>
        <v>242</v>
      </c>
      <c r="L228" s="15">
        <v>4</v>
      </c>
      <c r="M228" s="15">
        <v>0</v>
      </c>
      <c r="N228" s="15">
        <v>0</v>
      </c>
      <c r="O228" s="18">
        <v>0</v>
      </c>
      <c r="P228" s="15">
        <f t="shared" si="142"/>
        <v>2795</v>
      </c>
    </row>
    <row r="229" spans="1:16" ht="15.75" customHeight="1" x14ac:dyDescent="0.25">
      <c r="A229" s="104"/>
      <c r="B229" s="105"/>
      <c r="C229" s="107"/>
      <c r="D229" s="182"/>
      <c r="E229" s="181"/>
      <c r="F229" s="12"/>
      <c r="G229" s="12" t="s">
        <v>99</v>
      </c>
      <c r="H229" s="13">
        <f t="shared" ref="H229:O229" si="153">SUM(H227:H228)</f>
        <v>10868</v>
      </c>
      <c r="I229" s="13">
        <f t="shared" si="153"/>
        <v>10482</v>
      </c>
      <c r="J229" s="13">
        <f t="shared" si="153"/>
        <v>10191</v>
      </c>
      <c r="K229" s="13">
        <f t="shared" si="153"/>
        <v>9906</v>
      </c>
      <c r="L229" s="13">
        <f t="shared" si="153"/>
        <v>4</v>
      </c>
      <c r="M229" s="13">
        <f t="shared" si="153"/>
        <v>0</v>
      </c>
      <c r="N229" s="13">
        <f t="shared" si="153"/>
        <v>0</v>
      </c>
      <c r="O229" s="13">
        <f t="shared" si="153"/>
        <v>0</v>
      </c>
      <c r="P229" s="92">
        <f t="shared" si="142"/>
        <v>41451</v>
      </c>
    </row>
    <row r="230" spans="1:16" ht="16.5" customHeight="1" x14ac:dyDescent="0.25">
      <c r="A230" s="102">
        <f t="shared" ref="A230" si="154">A227+1</f>
        <v>75</v>
      </c>
      <c r="B230" s="105" t="s">
        <v>11</v>
      </c>
      <c r="C230" s="107" t="s">
        <v>683</v>
      </c>
      <c r="D230" s="182">
        <v>43431</v>
      </c>
      <c r="E230" s="181" t="s">
        <v>130</v>
      </c>
      <c r="F230" s="37" t="s">
        <v>305</v>
      </c>
      <c r="G230" s="10" t="s">
        <v>5</v>
      </c>
      <c r="H230" s="11">
        <v>16520</v>
      </c>
      <c r="I230" s="11">
        <v>16520</v>
      </c>
      <c r="J230" s="11">
        <v>16520</v>
      </c>
      <c r="K230" s="11">
        <v>16509</v>
      </c>
      <c r="L230" s="11">
        <v>0</v>
      </c>
      <c r="M230" s="11">
        <v>0</v>
      </c>
      <c r="N230" s="11">
        <v>0</v>
      </c>
      <c r="O230" s="11">
        <v>0</v>
      </c>
      <c r="P230" s="11">
        <f>SUM(H230:O230)</f>
        <v>66069</v>
      </c>
    </row>
    <row r="231" spans="1:16" ht="16.5" customHeight="1" x14ac:dyDescent="0.25">
      <c r="A231" s="103"/>
      <c r="B231" s="105"/>
      <c r="C231" s="107"/>
      <c r="D231" s="182"/>
      <c r="E231" s="181"/>
      <c r="F231" s="17" t="s">
        <v>306</v>
      </c>
      <c r="G231" s="14" t="s">
        <v>8</v>
      </c>
      <c r="H231" s="15">
        <f>1895+161</f>
        <v>2056</v>
      </c>
      <c r="I231" s="15">
        <f>1276+119</f>
        <v>1395</v>
      </c>
      <c r="J231" s="15">
        <f>824+77</f>
        <v>901</v>
      </c>
      <c r="K231" s="15">
        <f>378+35</f>
        <v>413</v>
      </c>
      <c r="L231" s="15">
        <v>17</v>
      </c>
      <c r="M231" s="15">
        <v>0</v>
      </c>
      <c r="N231" s="15">
        <v>0</v>
      </c>
      <c r="O231" s="15">
        <v>0</v>
      </c>
      <c r="P231" s="15">
        <f t="shared" si="142"/>
        <v>4782</v>
      </c>
    </row>
    <row r="232" spans="1:16" ht="16.5" customHeight="1" x14ac:dyDescent="0.25">
      <c r="A232" s="104"/>
      <c r="B232" s="105"/>
      <c r="C232" s="107"/>
      <c r="D232" s="182"/>
      <c r="E232" s="181"/>
      <c r="F232" s="12"/>
      <c r="G232" s="12" t="s">
        <v>99</v>
      </c>
      <c r="H232" s="13">
        <f t="shared" ref="H232:O232" si="155">SUM(H230:H231)</f>
        <v>18576</v>
      </c>
      <c r="I232" s="13">
        <f t="shared" si="155"/>
        <v>17915</v>
      </c>
      <c r="J232" s="13">
        <f t="shared" si="155"/>
        <v>17421</v>
      </c>
      <c r="K232" s="13">
        <f t="shared" si="155"/>
        <v>16922</v>
      </c>
      <c r="L232" s="13">
        <f t="shared" si="155"/>
        <v>17</v>
      </c>
      <c r="M232" s="13">
        <f t="shared" si="155"/>
        <v>0</v>
      </c>
      <c r="N232" s="13">
        <f t="shared" si="155"/>
        <v>0</v>
      </c>
      <c r="O232" s="13">
        <f t="shared" si="155"/>
        <v>0</v>
      </c>
      <c r="P232" s="92">
        <f t="shared" si="142"/>
        <v>70851</v>
      </c>
    </row>
    <row r="233" spans="1:16" ht="16.5" customHeight="1" x14ac:dyDescent="0.25">
      <c r="A233" s="102">
        <f t="shared" ref="A233" si="156">A230+1</f>
        <v>76</v>
      </c>
      <c r="B233" s="105" t="s">
        <v>11</v>
      </c>
      <c r="C233" s="107" t="s">
        <v>39</v>
      </c>
      <c r="D233" s="182">
        <v>43431</v>
      </c>
      <c r="E233" s="181" t="s">
        <v>307</v>
      </c>
      <c r="F233" s="37" t="s">
        <v>308</v>
      </c>
      <c r="G233" s="10" t="s">
        <v>5</v>
      </c>
      <c r="H233" s="11">
        <v>31240</v>
      </c>
      <c r="I233" s="11">
        <v>31240</v>
      </c>
      <c r="J233" s="11">
        <v>31240</v>
      </c>
      <c r="K233" s="11">
        <v>31240</v>
      </c>
      <c r="L233" s="11">
        <f>12084+3530</f>
        <v>15614</v>
      </c>
      <c r="M233" s="11">
        <v>0</v>
      </c>
      <c r="N233" s="11">
        <v>0</v>
      </c>
      <c r="O233" s="11">
        <v>0</v>
      </c>
      <c r="P233" s="11">
        <f>SUM(H233:O233)</f>
        <v>140574</v>
      </c>
    </row>
    <row r="234" spans="1:16" ht="15.75" customHeight="1" x14ac:dyDescent="0.25">
      <c r="A234" s="103"/>
      <c r="B234" s="105"/>
      <c r="C234" s="107"/>
      <c r="D234" s="182"/>
      <c r="E234" s="181"/>
      <c r="F234" s="17" t="s">
        <v>309</v>
      </c>
      <c r="G234" s="14" t="s">
        <v>8</v>
      </c>
      <c r="H234" s="15">
        <f>4048+344</f>
        <v>4392</v>
      </c>
      <c r="I234" s="15">
        <f>2836+265</f>
        <v>3101</v>
      </c>
      <c r="J234" s="15">
        <f>1982+186</f>
        <v>2168</v>
      </c>
      <c r="K234" s="15">
        <f>1138+107</f>
        <v>1245</v>
      </c>
      <c r="L234" s="49">
        <f>261+24</f>
        <v>285</v>
      </c>
      <c r="M234" s="15">
        <v>0</v>
      </c>
      <c r="N234" s="15">
        <v>0</v>
      </c>
      <c r="O234" s="15">
        <v>0</v>
      </c>
      <c r="P234" s="15">
        <f t="shared" si="142"/>
        <v>11191</v>
      </c>
    </row>
    <row r="235" spans="1:16" ht="16.5" customHeight="1" x14ac:dyDescent="0.25">
      <c r="A235" s="104"/>
      <c r="B235" s="105"/>
      <c r="C235" s="107"/>
      <c r="D235" s="182"/>
      <c r="E235" s="181"/>
      <c r="F235" s="12"/>
      <c r="G235" s="12" t="s">
        <v>99</v>
      </c>
      <c r="H235" s="13">
        <f t="shared" ref="H235:O235" si="157">SUM(H233:H234)</f>
        <v>35632</v>
      </c>
      <c r="I235" s="13">
        <f t="shared" si="157"/>
        <v>34341</v>
      </c>
      <c r="J235" s="13">
        <f t="shared" si="157"/>
        <v>33408</v>
      </c>
      <c r="K235" s="13">
        <f t="shared" si="157"/>
        <v>32485</v>
      </c>
      <c r="L235" s="13">
        <f t="shared" si="157"/>
        <v>15899</v>
      </c>
      <c r="M235" s="13">
        <f t="shared" si="157"/>
        <v>0</v>
      </c>
      <c r="N235" s="13">
        <f t="shared" si="157"/>
        <v>0</v>
      </c>
      <c r="O235" s="13">
        <f t="shared" si="157"/>
        <v>0</v>
      </c>
      <c r="P235" s="92">
        <f t="shared" si="142"/>
        <v>151765</v>
      </c>
    </row>
    <row r="236" spans="1:16" ht="15.75" customHeight="1" x14ac:dyDescent="0.25">
      <c r="A236" s="102">
        <f t="shared" ref="A236" si="158">A233+1</f>
        <v>77</v>
      </c>
      <c r="B236" s="105" t="s">
        <v>11</v>
      </c>
      <c r="C236" s="107" t="s">
        <v>35</v>
      </c>
      <c r="D236" s="182">
        <v>43433</v>
      </c>
      <c r="E236" s="181" t="s">
        <v>312</v>
      </c>
      <c r="F236" s="37" t="s">
        <v>310</v>
      </c>
      <c r="G236" s="10" t="s">
        <v>5</v>
      </c>
      <c r="H236" s="11">
        <v>3072</v>
      </c>
      <c r="I236" s="16">
        <v>0</v>
      </c>
      <c r="J236" s="16">
        <v>0</v>
      </c>
      <c r="K236" s="16">
        <v>0</v>
      </c>
      <c r="L236" s="16">
        <v>0</v>
      </c>
      <c r="M236" s="11">
        <v>0</v>
      </c>
      <c r="N236" s="11">
        <v>0</v>
      </c>
      <c r="O236" s="16">
        <v>0</v>
      </c>
      <c r="P236" s="11">
        <f>SUM(H236:O236)</f>
        <v>3072</v>
      </c>
    </row>
    <row r="237" spans="1:16" ht="15.75" customHeight="1" x14ac:dyDescent="0.25">
      <c r="A237" s="103"/>
      <c r="B237" s="105"/>
      <c r="C237" s="107"/>
      <c r="D237" s="182"/>
      <c r="E237" s="181"/>
      <c r="F237" s="17" t="s">
        <v>311</v>
      </c>
      <c r="G237" s="14" t="s">
        <v>8</v>
      </c>
      <c r="H237" s="15">
        <f>80+7</f>
        <v>87</v>
      </c>
      <c r="I237" s="18">
        <f>5+1</f>
        <v>6</v>
      </c>
      <c r="J237" s="18">
        <v>0</v>
      </c>
      <c r="K237" s="18">
        <v>0</v>
      </c>
      <c r="L237" s="18">
        <v>0</v>
      </c>
      <c r="M237" s="15">
        <v>0</v>
      </c>
      <c r="N237" s="15">
        <v>0</v>
      </c>
      <c r="O237" s="18">
        <v>0</v>
      </c>
      <c r="P237" s="15">
        <f t="shared" si="142"/>
        <v>93</v>
      </c>
    </row>
    <row r="238" spans="1:16" ht="15.75" customHeight="1" x14ac:dyDescent="0.25">
      <c r="A238" s="104"/>
      <c r="B238" s="105"/>
      <c r="C238" s="107"/>
      <c r="D238" s="182"/>
      <c r="E238" s="181"/>
      <c r="F238" s="12"/>
      <c r="G238" s="12" t="s">
        <v>99</v>
      </c>
      <c r="H238" s="13">
        <f t="shared" ref="H238:O238" si="159">SUM(H236:H237)</f>
        <v>3159</v>
      </c>
      <c r="I238" s="13">
        <f t="shared" si="159"/>
        <v>6</v>
      </c>
      <c r="J238" s="13">
        <f t="shared" si="159"/>
        <v>0</v>
      </c>
      <c r="K238" s="13">
        <f t="shared" si="159"/>
        <v>0</v>
      </c>
      <c r="L238" s="13">
        <f t="shared" si="159"/>
        <v>0</v>
      </c>
      <c r="M238" s="13">
        <f t="shared" si="159"/>
        <v>0</v>
      </c>
      <c r="N238" s="13">
        <f t="shared" si="159"/>
        <v>0</v>
      </c>
      <c r="O238" s="13">
        <f t="shared" si="159"/>
        <v>0</v>
      </c>
      <c r="P238" s="92">
        <f t="shared" si="142"/>
        <v>3165</v>
      </c>
    </row>
    <row r="239" spans="1:16" ht="15.75" customHeight="1" x14ac:dyDescent="0.25">
      <c r="A239" s="102">
        <f t="shared" ref="A239" si="160">A236+1</f>
        <v>78</v>
      </c>
      <c r="B239" s="105" t="s">
        <v>11</v>
      </c>
      <c r="C239" s="172" t="s">
        <v>449</v>
      </c>
      <c r="D239" s="182">
        <v>43529</v>
      </c>
      <c r="E239" s="181" t="s">
        <v>315</v>
      </c>
      <c r="F239" s="37" t="s">
        <v>313</v>
      </c>
      <c r="G239" s="10" t="s">
        <v>5</v>
      </c>
      <c r="H239" s="11">
        <v>54120</v>
      </c>
      <c r="I239" s="11">
        <v>54120</v>
      </c>
      <c r="J239" s="11">
        <v>54120</v>
      </c>
      <c r="K239" s="11">
        <v>54120</v>
      </c>
      <c r="L239" s="11">
        <v>54120</v>
      </c>
      <c r="M239" s="11">
        <v>54120</v>
      </c>
      <c r="N239" s="11">
        <v>54120</v>
      </c>
      <c r="O239" s="11">
        <f>771210-54120-54120</f>
        <v>662970</v>
      </c>
      <c r="P239" s="11">
        <f>SUM(H239:O239)</f>
        <v>1041810</v>
      </c>
    </row>
    <row r="240" spans="1:16" ht="15.75" customHeight="1" x14ac:dyDescent="0.25">
      <c r="A240" s="103"/>
      <c r="B240" s="105"/>
      <c r="C240" s="172"/>
      <c r="D240" s="182"/>
      <c r="E240" s="181"/>
      <c r="F240" s="17" t="s">
        <v>314</v>
      </c>
      <c r="G240" s="14" t="s">
        <v>567</v>
      </c>
      <c r="H240" s="15">
        <v>2619</v>
      </c>
      <c r="I240" s="15">
        <v>2482</v>
      </c>
      <c r="J240" s="15">
        <v>2345</v>
      </c>
      <c r="K240" s="15">
        <v>2214</v>
      </c>
      <c r="L240" s="49">
        <v>2070</v>
      </c>
      <c r="M240" s="49">
        <v>1933</v>
      </c>
      <c r="N240" s="49">
        <v>1796</v>
      </c>
      <c r="O240" s="49">
        <f>12224+462-1796</f>
        <v>10890</v>
      </c>
      <c r="P240" s="15">
        <f t="shared" si="142"/>
        <v>26349</v>
      </c>
    </row>
    <row r="241" spans="1:16" ht="15.75" customHeight="1" x14ac:dyDescent="0.25">
      <c r="A241" s="104"/>
      <c r="B241" s="105"/>
      <c r="C241" s="172"/>
      <c r="D241" s="182"/>
      <c r="E241" s="181"/>
      <c r="F241" s="12"/>
      <c r="G241" s="12" t="s">
        <v>99</v>
      </c>
      <c r="H241" s="13">
        <f t="shared" ref="H241:I241" si="161">SUM(H239:H240)</f>
        <v>56739</v>
      </c>
      <c r="I241" s="13">
        <f t="shared" si="161"/>
        <v>56602</v>
      </c>
      <c r="J241" s="13">
        <f t="shared" ref="J241:O241" si="162">SUM(J239:J240)</f>
        <v>56465</v>
      </c>
      <c r="K241" s="13">
        <f t="shared" si="162"/>
        <v>56334</v>
      </c>
      <c r="L241" s="13">
        <f t="shared" si="162"/>
        <v>56190</v>
      </c>
      <c r="M241" s="13">
        <f t="shared" si="162"/>
        <v>56053</v>
      </c>
      <c r="N241" s="13">
        <f t="shared" si="162"/>
        <v>55916</v>
      </c>
      <c r="O241" s="13">
        <f t="shared" si="162"/>
        <v>673860</v>
      </c>
      <c r="P241" s="92">
        <f t="shared" si="142"/>
        <v>1068159</v>
      </c>
    </row>
    <row r="242" spans="1:16" ht="15.75" customHeight="1" x14ac:dyDescent="0.25">
      <c r="A242" s="102">
        <f t="shared" ref="A242" si="163">A239+1</f>
        <v>79</v>
      </c>
      <c r="B242" s="105" t="s">
        <v>11</v>
      </c>
      <c r="C242" s="172" t="s">
        <v>664</v>
      </c>
      <c r="D242" s="193">
        <v>43594</v>
      </c>
      <c r="E242" s="181" t="s">
        <v>307</v>
      </c>
      <c r="F242" s="37" t="s">
        <v>316</v>
      </c>
      <c r="G242" s="10" t="s">
        <v>5</v>
      </c>
      <c r="H242" s="11">
        <v>45448</v>
      </c>
      <c r="I242" s="11">
        <v>45448</v>
      </c>
      <c r="J242" s="11">
        <v>45448</v>
      </c>
      <c r="K242" s="11">
        <v>45448</v>
      </c>
      <c r="L242" s="11">
        <f>22238+469</f>
        <v>22707</v>
      </c>
      <c r="M242" s="11">
        <v>0</v>
      </c>
      <c r="N242" s="11">
        <v>0</v>
      </c>
      <c r="O242" s="11">
        <v>0</v>
      </c>
      <c r="P242" s="11">
        <f>SUM(H242:O242)</f>
        <v>204499</v>
      </c>
    </row>
    <row r="243" spans="1:16" ht="15.75" customHeight="1" x14ac:dyDescent="0.25">
      <c r="A243" s="103"/>
      <c r="B243" s="105"/>
      <c r="C243" s="172"/>
      <c r="D243" s="193"/>
      <c r="E243" s="181"/>
      <c r="F243" s="17" t="s">
        <v>317</v>
      </c>
      <c r="G243" s="14" t="s">
        <v>8</v>
      </c>
      <c r="H243" s="15">
        <f>6665+500</f>
        <v>7165</v>
      </c>
      <c r="I243" s="15">
        <f>4114+385</f>
        <v>4499</v>
      </c>
      <c r="J243" s="15">
        <f>2884+270</f>
        <v>3154</v>
      </c>
      <c r="K243" s="15">
        <f>1656+155</f>
        <v>1811</v>
      </c>
      <c r="L243" s="49">
        <f>380+36</f>
        <v>416</v>
      </c>
      <c r="M243" s="15">
        <v>0</v>
      </c>
      <c r="N243" s="15">
        <v>0</v>
      </c>
      <c r="O243" s="15">
        <v>0</v>
      </c>
      <c r="P243" s="15">
        <f t="shared" si="142"/>
        <v>17045</v>
      </c>
    </row>
    <row r="244" spans="1:16" ht="16.95" customHeight="1" x14ac:dyDescent="0.25">
      <c r="A244" s="104"/>
      <c r="B244" s="188"/>
      <c r="C244" s="192"/>
      <c r="D244" s="194"/>
      <c r="E244" s="166"/>
      <c r="F244" s="23"/>
      <c r="G244" s="23" t="s">
        <v>99</v>
      </c>
      <c r="H244" s="13">
        <f t="shared" ref="H244:I244" si="164">SUM(H242:H243)</f>
        <v>52613</v>
      </c>
      <c r="I244" s="13">
        <f t="shared" si="164"/>
        <v>49947</v>
      </c>
      <c r="J244" s="13">
        <f t="shared" ref="J244:O244" si="165">SUM(J242:J243)</f>
        <v>48602</v>
      </c>
      <c r="K244" s="13">
        <f t="shared" si="165"/>
        <v>47259</v>
      </c>
      <c r="L244" s="13">
        <f t="shared" si="165"/>
        <v>23123</v>
      </c>
      <c r="M244" s="13">
        <f>SUM(M242:M243)</f>
        <v>0</v>
      </c>
      <c r="N244" s="13">
        <f t="shared" ref="N244" si="166">SUM(N242:N243)</f>
        <v>0</v>
      </c>
      <c r="O244" s="13">
        <f t="shared" si="165"/>
        <v>0</v>
      </c>
      <c r="P244" s="92">
        <f t="shared" si="142"/>
        <v>221544</v>
      </c>
    </row>
    <row r="245" spans="1:16" ht="15.75" customHeight="1" x14ac:dyDescent="0.25">
      <c r="A245" s="102">
        <f t="shared" ref="A245" si="167">A242+1</f>
        <v>80</v>
      </c>
      <c r="B245" s="105" t="s">
        <v>11</v>
      </c>
      <c r="C245" s="172" t="s">
        <v>450</v>
      </c>
      <c r="D245" s="182">
        <v>43602</v>
      </c>
      <c r="E245" s="181" t="s">
        <v>320</v>
      </c>
      <c r="F245" s="37" t="s">
        <v>318</v>
      </c>
      <c r="G245" s="10" t="s">
        <v>5</v>
      </c>
      <c r="H245" s="101">
        <v>0</v>
      </c>
      <c r="I245" s="11">
        <v>464593</v>
      </c>
      <c r="J245" s="11">
        <v>464593</v>
      </c>
      <c r="K245" s="11">
        <v>464593</v>
      </c>
      <c r="L245" s="11">
        <v>464593</v>
      </c>
      <c r="M245" s="11">
        <v>464593</v>
      </c>
      <c r="N245" s="11">
        <v>464593</v>
      </c>
      <c r="O245" s="11">
        <f>10917883-2787558</f>
        <v>8130325</v>
      </c>
      <c r="P245" s="11">
        <f>SUM(H245:O245)</f>
        <v>10917883</v>
      </c>
    </row>
    <row r="246" spans="1:16" ht="14.25" customHeight="1" x14ac:dyDescent="0.25">
      <c r="A246" s="103"/>
      <c r="B246" s="105"/>
      <c r="C246" s="172"/>
      <c r="D246" s="182"/>
      <c r="E246" s="181"/>
      <c r="F246" s="17" t="s">
        <v>319</v>
      </c>
      <c r="G246" s="14" t="s">
        <v>8</v>
      </c>
      <c r="H246" s="15">
        <v>441324</v>
      </c>
      <c r="I246" s="15">
        <v>436928</v>
      </c>
      <c r="J246" s="15">
        <v>419195</v>
      </c>
      <c r="K246" s="15">
        <v>400433</v>
      </c>
      <c r="L246" s="49">
        <v>381671</v>
      </c>
      <c r="M246" s="49">
        <v>362909</v>
      </c>
      <c r="N246" s="49">
        <v>344147</v>
      </c>
      <c r="O246" s="49">
        <f>2985763</f>
        <v>2985763</v>
      </c>
      <c r="P246" s="15">
        <f t="shared" si="142"/>
        <v>5772370</v>
      </c>
    </row>
    <row r="247" spans="1:16" ht="15.75" customHeight="1" x14ac:dyDescent="0.25">
      <c r="A247" s="104"/>
      <c r="B247" s="105"/>
      <c r="C247" s="172"/>
      <c r="D247" s="182"/>
      <c r="E247" s="181"/>
      <c r="F247" s="12"/>
      <c r="G247" s="12" t="s">
        <v>99</v>
      </c>
      <c r="H247" s="13">
        <f t="shared" ref="H247:O247" si="168">SUM(H245:H246)</f>
        <v>441324</v>
      </c>
      <c r="I247" s="13">
        <f t="shared" si="168"/>
        <v>901521</v>
      </c>
      <c r="J247" s="13">
        <f t="shared" si="168"/>
        <v>883788</v>
      </c>
      <c r="K247" s="13">
        <f t="shared" si="168"/>
        <v>865026</v>
      </c>
      <c r="L247" s="13">
        <f t="shared" si="168"/>
        <v>846264</v>
      </c>
      <c r="M247" s="13">
        <f t="shared" si="168"/>
        <v>827502</v>
      </c>
      <c r="N247" s="13">
        <f t="shared" si="168"/>
        <v>808740</v>
      </c>
      <c r="O247" s="13">
        <f t="shared" si="168"/>
        <v>11116088</v>
      </c>
      <c r="P247" s="92">
        <f t="shared" si="142"/>
        <v>16690253</v>
      </c>
    </row>
    <row r="248" spans="1:16" ht="15.75" customHeight="1" x14ac:dyDescent="0.25">
      <c r="A248" s="102">
        <f t="shared" ref="A248" si="169">A245+1</f>
        <v>81</v>
      </c>
      <c r="B248" s="105" t="s">
        <v>11</v>
      </c>
      <c r="C248" s="107" t="s">
        <v>63</v>
      </c>
      <c r="D248" s="182">
        <v>43623</v>
      </c>
      <c r="E248" s="181" t="s">
        <v>323</v>
      </c>
      <c r="F248" s="37" t="s">
        <v>321</v>
      </c>
      <c r="G248" s="10" t="s">
        <v>5</v>
      </c>
      <c r="H248" s="11">
        <v>7212</v>
      </c>
      <c r="I248" s="11">
        <v>7212</v>
      </c>
      <c r="J248" s="11">
        <v>7212</v>
      </c>
      <c r="K248" s="11">
        <v>7212</v>
      </c>
      <c r="L248" s="11">
        <v>7212</v>
      </c>
      <c r="M248" s="11">
        <v>7212</v>
      </c>
      <c r="N248" s="11">
        <v>7212</v>
      </c>
      <c r="O248" s="11">
        <f>67070-7060+1274-7212</f>
        <v>54072</v>
      </c>
      <c r="P248" s="11">
        <f>SUM(H248:O248)</f>
        <v>104556</v>
      </c>
    </row>
    <row r="249" spans="1:16" ht="15.75" customHeight="1" x14ac:dyDescent="0.25">
      <c r="A249" s="103"/>
      <c r="B249" s="105"/>
      <c r="C249" s="107"/>
      <c r="D249" s="182"/>
      <c r="E249" s="181"/>
      <c r="F249" s="17" t="s">
        <v>322</v>
      </c>
      <c r="G249" s="14" t="s">
        <v>8</v>
      </c>
      <c r="H249" s="15">
        <f>3561+262</f>
        <v>3823</v>
      </c>
      <c r="I249" s="15">
        <f>2603+244</f>
        <v>2847</v>
      </c>
      <c r="J249" s="15">
        <f>2408+226</f>
        <v>2634</v>
      </c>
      <c r="K249" s="15">
        <f>2219+208</f>
        <v>2427</v>
      </c>
      <c r="L249" s="49">
        <f>2017+189</f>
        <v>2206</v>
      </c>
      <c r="M249" s="49">
        <f>1822+171</f>
        <v>1993</v>
      </c>
      <c r="N249" s="49">
        <f>1627+153</f>
        <v>1780</v>
      </c>
      <c r="O249" s="49">
        <f>5512+562</f>
        <v>6074</v>
      </c>
      <c r="P249" s="15">
        <f t="shared" si="142"/>
        <v>23784</v>
      </c>
    </row>
    <row r="250" spans="1:16" ht="15.75" customHeight="1" x14ac:dyDescent="0.25">
      <c r="A250" s="104"/>
      <c r="B250" s="105"/>
      <c r="C250" s="107"/>
      <c r="D250" s="182"/>
      <c r="E250" s="181"/>
      <c r="F250" s="12"/>
      <c r="G250" s="12" t="s">
        <v>99</v>
      </c>
      <c r="H250" s="13">
        <f t="shared" ref="H250:O250" si="170">SUM(H248:H249)</f>
        <v>11035</v>
      </c>
      <c r="I250" s="13">
        <f t="shared" si="170"/>
        <v>10059</v>
      </c>
      <c r="J250" s="13">
        <f t="shared" si="170"/>
        <v>9846</v>
      </c>
      <c r="K250" s="13">
        <f t="shared" si="170"/>
        <v>9639</v>
      </c>
      <c r="L250" s="13">
        <f t="shared" si="170"/>
        <v>9418</v>
      </c>
      <c r="M250" s="13">
        <f t="shared" si="170"/>
        <v>9205</v>
      </c>
      <c r="N250" s="13">
        <f t="shared" si="170"/>
        <v>8992</v>
      </c>
      <c r="O250" s="13">
        <f t="shared" si="170"/>
        <v>60146</v>
      </c>
      <c r="P250" s="92">
        <f t="shared" si="142"/>
        <v>128340</v>
      </c>
    </row>
    <row r="251" spans="1:16" ht="16.5" customHeight="1" x14ac:dyDescent="0.25">
      <c r="A251" s="102">
        <f t="shared" ref="A251" si="171">A248+1</f>
        <v>82</v>
      </c>
      <c r="B251" s="105" t="s">
        <v>11</v>
      </c>
      <c r="C251" s="106" t="s">
        <v>665</v>
      </c>
      <c r="D251" s="182">
        <v>43641</v>
      </c>
      <c r="E251" s="181" t="s">
        <v>326</v>
      </c>
      <c r="F251" s="37" t="s">
        <v>324</v>
      </c>
      <c r="G251" s="10" t="s">
        <v>5</v>
      </c>
      <c r="H251" s="11">
        <v>37400</v>
      </c>
      <c r="I251" s="11">
        <v>37400</v>
      </c>
      <c r="J251" s="11">
        <v>37400</v>
      </c>
      <c r="K251" s="11">
        <v>37400</v>
      </c>
      <c r="L251" s="11">
        <v>37400</v>
      </c>
      <c r="M251" s="11">
        <v>37400</v>
      </c>
      <c r="N251" s="11">
        <v>37400</v>
      </c>
      <c r="O251" s="11">
        <f>165393-36754+2260-37400</f>
        <v>93499</v>
      </c>
      <c r="P251" s="11">
        <f>SUM(H251:O251)</f>
        <v>355299</v>
      </c>
    </row>
    <row r="252" spans="1:16" ht="16.5" customHeight="1" x14ac:dyDescent="0.25">
      <c r="A252" s="103"/>
      <c r="B252" s="105"/>
      <c r="C252" s="107"/>
      <c r="D252" s="182"/>
      <c r="E252" s="181"/>
      <c r="F252" s="17" t="s">
        <v>325</v>
      </c>
      <c r="G252" s="14" t="s">
        <v>8</v>
      </c>
      <c r="H252" s="15">
        <f>12242+885</f>
        <v>13127</v>
      </c>
      <c r="I252" s="15">
        <f>8444+791</f>
        <v>9235</v>
      </c>
      <c r="J252" s="15">
        <f>7432+696</f>
        <v>8128</v>
      </c>
      <c r="K252" s="15">
        <f>6435+603</f>
        <v>7038</v>
      </c>
      <c r="L252" s="49">
        <f>5405+507</f>
        <v>5912</v>
      </c>
      <c r="M252" s="49">
        <f>4394+412</f>
        <v>4806</v>
      </c>
      <c r="N252" s="49">
        <f>3383+317</f>
        <v>3700</v>
      </c>
      <c r="O252" s="49">
        <f>3762+384</f>
        <v>4146</v>
      </c>
      <c r="P252" s="15">
        <f t="shared" si="142"/>
        <v>56092</v>
      </c>
    </row>
    <row r="253" spans="1:16" ht="16.5" customHeight="1" x14ac:dyDescent="0.25">
      <c r="A253" s="104"/>
      <c r="B253" s="105"/>
      <c r="C253" s="107"/>
      <c r="D253" s="182"/>
      <c r="E253" s="181"/>
      <c r="F253" s="12"/>
      <c r="G253" s="12" t="s">
        <v>99</v>
      </c>
      <c r="H253" s="13">
        <f t="shared" ref="H253:O253" si="172">SUM(H251:H252)</f>
        <v>50527</v>
      </c>
      <c r="I253" s="13">
        <f t="shared" si="172"/>
        <v>46635</v>
      </c>
      <c r="J253" s="13">
        <f t="shared" si="172"/>
        <v>45528</v>
      </c>
      <c r="K253" s="13">
        <f t="shared" si="172"/>
        <v>44438</v>
      </c>
      <c r="L253" s="13">
        <f t="shared" si="172"/>
        <v>43312</v>
      </c>
      <c r="M253" s="13">
        <f t="shared" si="172"/>
        <v>42206</v>
      </c>
      <c r="N253" s="13">
        <f t="shared" si="172"/>
        <v>41100</v>
      </c>
      <c r="O253" s="13">
        <f t="shared" si="172"/>
        <v>97645</v>
      </c>
      <c r="P253" s="92">
        <f t="shared" si="142"/>
        <v>411391</v>
      </c>
    </row>
    <row r="254" spans="1:16" ht="15.75" customHeight="1" x14ac:dyDescent="0.25">
      <c r="A254" s="102">
        <f t="shared" ref="A254" si="173">A251+1</f>
        <v>83</v>
      </c>
      <c r="B254" s="105" t="s">
        <v>11</v>
      </c>
      <c r="C254" s="107" t="s">
        <v>36</v>
      </c>
      <c r="D254" s="182">
        <v>43641</v>
      </c>
      <c r="E254" s="181" t="s">
        <v>312</v>
      </c>
      <c r="F254" s="37" t="s">
        <v>327</v>
      </c>
      <c r="G254" s="10" t="s">
        <v>5</v>
      </c>
      <c r="H254" s="11">
        <v>6472</v>
      </c>
      <c r="I254" s="16">
        <v>0</v>
      </c>
      <c r="J254" s="16">
        <v>0</v>
      </c>
      <c r="K254" s="16">
        <v>0</v>
      </c>
      <c r="L254" s="16">
        <v>0</v>
      </c>
      <c r="M254" s="16">
        <v>0</v>
      </c>
      <c r="N254" s="11">
        <v>0</v>
      </c>
      <c r="O254" s="16">
        <v>0</v>
      </c>
      <c r="P254" s="11">
        <f>SUM(H254:O254)</f>
        <v>6472</v>
      </c>
    </row>
    <row r="255" spans="1:16" ht="15.75" customHeight="1" x14ac:dyDescent="0.25">
      <c r="A255" s="103"/>
      <c r="B255" s="105"/>
      <c r="C255" s="107"/>
      <c r="D255" s="182"/>
      <c r="E255" s="181"/>
      <c r="F255" s="17" t="s">
        <v>328</v>
      </c>
      <c r="G255" s="14" t="s">
        <v>8</v>
      </c>
      <c r="H255" s="15">
        <f>196+14</f>
        <v>210</v>
      </c>
      <c r="I255" s="18">
        <f>10+1</f>
        <v>11</v>
      </c>
      <c r="J255" s="18">
        <v>0</v>
      </c>
      <c r="K255" s="18">
        <v>0</v>
      </c>
      <c r="L255" s="18">
        <v>0</v>
      </c>
      <c r="M255" s="18">
        <v>0</v>
      </c>
      <c r="N255" s="15">
        <v>0</v>
      </c>
      <c r="O255" s="18">
        <v>0</v>
      </c>
      <c r="P255" s="15">
        <f t="shared" si="142"/>
        <v>221</v>
      </c>
    </row>
    <row r="256" spans="1:16" ht="15.75" customHeight="1" x14ac:dyDescent="0.25">
      <c r="A256" s="104"/>
      <c r="B256" s="105"/>
      <c r="C256" s="107"/>
      <c r="D256" s="182"/>
      <c r="E256" s="181"/>
      <c r="F256" s="12"/>
      <c r="G256" s="12" t="s">
        <v>99</v>
      </c>
      <c r="H256" s="13">
        <f t="shared" ref="H256:O256" si="174">SUM(H254:H255)</f>
        <v>6682</v>
      </c>
      <c r="I256" s="13">
        <f t="shared" si="174"/>
        <v>11</v>
      </c>
      <c r="J256" s="13">
        <f t="shared" si="174"/>
        <v>0</v>
      </c>
      <c r="K256" s="13">
        <f t="shared" si="174"/>
        <v>0</v>
      </c>
      <c r="L256" s="13">
        <f t="shared" si="174"/>
        <v>0</v>
      </c>
      <c r="M256" s="13">
        <f>SUM(M254:M255)</f>
        <v>0</v>
      </c>
      <c r="N256" s="13">
        <f t="shared" ref="N256" si="175">SUM(N254:N255)</f>
        <v>0</v>
      </c>
      <c r="O256" s="13">
        <f t="shared" si="174"/>
        <v>0</v>
      </c>
      <c r="P256" s="92">
        <f t="shared" si="142"/>
        <v>6693</v>
      </c>
    </row>
    <row r="257" spans="1:16" ht="15.75" customHeight="1" x14ac:dyDescent="0.25">
      <c r="A257" s="102">
        <f t="shared" ref="A257" si="176">A254+1</f>
        <v>84</v>
      </c>
      <c r="B257" s="105" t="s">
        <v>11</v>
      </c>
      <c r="C257" s="107" t="s">
        <v>37</v>
      </c>
      <c r="D257" s="182">
        <v>43658</v>
      </c>
      <c r="E257" s="181" t="s">
        <v>219</v>
      </c>
      <c r="F257" s="37" t="s">
        <v>329</v>
      </c>
      <c r="G257" s="10" t="s">
        <v>5</v>
      </c>
      <c r="H257" s="16">
        <v>0</v>
      </c>
      <c r="I257" s="16">
        <v>0</v>
      </c>
      <c r="J257" s="16">
        <v>0</v>
      </c>
      <c r="K257" s="16">
        <v>0</v>
      </c>
      <c r="L257" s="16">
        <v>0</v>
      </c>
      <c r="M257" s="16">
        <v>0</v>
      </c>
      <c r="N257" s="11">
        <v>0</v>
      </c>
      <c r="O257" s="16">
        <v>0</v>
      </c>
      <c r="P257" s="11">
        <f>SUM(H257:O257)</f>
        <v>0</v>
      </c>
    </row>
    <row r="258" spans="1:16" ht="15.75" customHeight="1" x14ac:dyDescent="0.25">
      <c r="A258" s="103"/>
      <c r="B258" s="105"/>
      <c r="C258" s="107"/>
      <c r="D258" s="182"/>
      <c r="E258" s="181"/>
      <c r="F258" s="17" t="s">
        <v>330</v>
      </c>
      <c r="G258" s="14" t="s">
        <v>8</v>
      </c>
      <c r="H258" s="18">
        <v>14</v>
      </c>
      <c r="I258" s="18">
        <v>0</v>
      </c>
      <c r="J258" s="18">
        <v>0</v>
      </c>
      <c r="K258" s="18">
        <v>0</v>
      </c>
      <c r="L258" s="18">
        <v>0</v>
      </c>
      <c r="M258" s="18">
        <v>0</v>
      </c>
      <c r="N258" s="15">
        <v>0</v>
      </c>
      <c r="O258" s="18">
        <v>0</v>
      </c>
      <c r="P258" s="15">
        <f t="shared" si="142"/>
        <v>14</v>
      </c>
    </row>
    <row r="259" spans="1:16" ht="15.75" customHeight="1" x14ac:dyDescent="0.25">
      <c r="A259" s="104"/>
      <c r="B259" s="105"/>
      <c r="C259" s="107"/>
      <c r="D259" s="182"/>
      <c r="E259" s="181"/>
      <c r="F259" s="12"/>
      <c r="G259" s="12" t="s">
        <v>99</v>
      </c>
      <c r="H259" s="13">
        <f t="shared" ref="H259:O259" si="177">SUM(H257:H258)</f>
        <v>14</v>
      </c>
      <c r="I259" s="13">
        <f t="shared" si="177"/>
        <v>0</v>
      </c>
      <c r="J259" s="13">
        <f t="shared" si="177"/>
        <v>0</v>
      </c>
      <c r="K259" s="13">
        <f t="shared" si="177"/>
        <v>0</v>
      </c>
      <c r="L259" s="13">
        <f t="shared" si="177"/>
        <v>0</v>
      </c>
      <c r="M259" s="13">
        <f t="shared" si="177"/>
        <v>0</v>
      </c>
      <c r="N259" s="13">
        <f t="shared" si="177"/>
        <v>0</v>
      </c>
      <c r="O259" s="13">
        <f t="shared" si="177"/>
        <v>0</v>
      </c>
      <c r="P259" s="92">
        <f t="shared" si="142"/>
        <v>14</v>
      </c>
    </row>
    <row r="260" spans="1:16" ht="16.5" customHeight="1" x14ac:dyDescent="0.25">
      <c r="A260" s="102">
        <f t="shared" ref="A260" si="178">A257+1</f>
        <v>85</v>
      </c>
      <c r="B260" s="105" t="s">
        <v>11</v>
      </c>
      <c r="C260" s="107" t="s">
        <v>671</v>
      </c>
      <c r="D260" s="182">
        <v>43733</v>
      </c>
      <c r="E260" s="181" t="s">
        <v>333</v>
      </c>
      <c r="F260" s="37" t="s">
        <v>331</v>
      </c>
      <c r="G260" s="10" t="s">
        <v>5</v>
      </c>
      <c r="H260" s="11">
        <v>5468</v>
      </c>
      <c r="I260" s="11">
        <v>5468</v>
      </c>
      <c r="J260" s="11">
        <v>5468</v>
      </c>
      <c r="K260" s="11">
        <v>5468</v>
      </c>
      <c r="L260" s="11">
        <f>4038+62</f>
        <v>4100</v>
      </c>
      <c r="M260" s="16">
        <v>0</v>
      </c>
      <c r="N260" s="11">
        <v>0</v>
      </c>
      <c r="O260" s="11">
        <v>0</v>
      </c>
      <c r="P260" s="11">
        <f>SUM(H260:O260)</f>
        <v>25972</v>
      </c>
    </row>
    <row r="261" spans="1:16" ht="16.5" customHeight="1" x14ac:dyDescent="0.25">
      <c r="A261" s="103"/>
      <c r="B261" s="105"/>
      <c r="C261" s="107"/>
      <c r="D261" s="182"/>
      <c r="E261" s="181"/>
      <c r="F261" s="17" t="s">
        <v>332</v>
      </c>
      <c r="G261" s="14" t="s">
        <v>8</v>
      </c>
      <c r="H261" s="15">
        <f>831+64</f>
        <v>895</v>
      </c>
      <c r="I261" s="15">
        <f>532+50</f>
        <v>582</v>
      </c>
      <c r="J261" s="15">
        <f>384+36</f>
        <v>420</v>
      </c>
      <c r="K261" s="15">
        <f>236+22</f>
        <v>258</v>
      </c>
      <c r="L261" s="49">
        <f>88+8</f>
        <v>96</v>
      </c>
      <c r="M261" s="18">
        <v>0</v>
      </c>
      <c r="N261" s="15">
        <v>0</v>
      </c>
      <c r="O261" s="15">
        <v>0</v>
      </c>
      <c r="P261" s="15">
        <f t="shared" si="142"/>
        <v>2251</v>
      </c>
    </row>
    <row r="262" spans="1:16" ht="16.5" customHeight="1" x14ac:dyDescent="0.25">
      <c r="A262" s="104"/>
      <c r="B262" s="188"/>
      <c r="C262" s="191"/>
      <c r="D262" s="190"/>
      <c r="E262" s="166"/>
      <c r="F262" s="23"/>
      <c r="G262" s="23" t="s">
        <v>99</v>
      </c>
      <c r="H262" s="13">
        <f t="shared" ref="H262:O262" si="179">SUM(H260:H261)</f>
        <v>6363</v>
      </c>
      <c r="I262" s="13">
        <f t="shared" si="179"/>
        <v>6050</v>
      </c>
      <c r="J262" s="13">
        <f t="shared" si="179"/>
        <v>5888</v>
      </c>
      <c r="K262" s="13">
        <f t="shared" si="179"/>
        <v>5726</v>
      </c>
      <c r="L262" s="13">
        <f t="shared" si="179"/>
        <v>4196</v>
      </c>
      <c r="M262" s="13">
        <f t="shared" si="179"/>
        <v>0</v>
      </c>
      <c r="N262" s="13">
        <f t="shared" si="179"/>
        <v>0</v>
      </c>
      <c r="O262" s="13">
        <f t="shared" si="179"/>
        <v>0</v>
      </c>
      <c r="P262" s="92">
        <f t="shared" si="142"/>
        <v>28223</v>
      </c>
    </row>
    <row r="263" spans="1:16" ht="16.5" customHeight="1" x14ac:dyDescent="0.25">
      <c r="A263" s="102">
        <f t="shared" ref="A263" si="180">A260+1</f>
        <v>86</v>
      </c>
      <c r="B263" s="105" t="s">
        <v>11</v>
      </c>
      <c r="C263" s="106" t="s">
        <v>451</v>
      </c>
      <c r="D263" s="182">
        <v>43756</v>
      </c>
      <c r="E263" s="181" t="s">
        <v>334</v>
      </c>
      <c r="F263" s="37" t="s">
        <v>335</v>
      </c>
      <c r="G263" s="10" t="s">
        <v>5</v>
      </c>
      <c r="H263" s="11">
        <v>23076</v>
      </c>
      <c r="I263" s="11">
        <v>23076</v>
      </c>
      <c r="J263" s="11">
        <v>23076</v>
      </c>
      <c r="K263" s="11">
        <v>23076</v>
      </c>
      <c r="L263" s="11">
        <v>23076</v>
      </c>
      <c r="M263" s="11">
        <v>23076</v>
      </c>
      <c r="N263" s="11">
        <v>23076</v>
      </c>
      <c r="O263" s="11">
        <f>113760-22752+1258-23076</f>
        <v>69190</v>
      </c>
      <c r="P263" s="11">
        <f>SUM(H263:O263)</f>
        <v>230722</v>
      </c>
    </row>
    <row r="264" spans="1:16" ht="16.5" customHeight="1" x14ac:dyDescent="0.25">
      <c r="A264" s="103"/>
      <c r="B264" s="105"/>
      <c r="C264" s="107"/>
      <c r="D264" s="182"/>
      <c r="E264" s="181"/>
      <c r="F264" s="17" t="s">
        <v>336</v>
      </c>
      <c r="G264" s="14" t="s">
        <v>8</v>
      </c>
      <c r="H264" s="15">
        <f>6833+575</f>
        <v>7408</v>
      </c>
      <c r="I264" s="15">
        <f>5546+517</f>
        <v>6063</v>
      </c>
      <c r="J264" s="15">
        <f>4896+459</f>
        <v>5355</v>
      </c>
      <c r="K264" s="15">
        <f>4282+401</f>
        <v>4683</v>
      </c>
      <c r="L264" s="49">
        <f>3646+342</f>
        <v>3988</v>
      </c>
      <c r="M264" s="49">
        <f>3022+283</f>
        <v>3305</v>
      </c>
      <c r="N264" s="49">
        <f>2399+225</f>
        <v>2624</v>
      </c>
      <c r="O264" s="49">
        <f>3183+325</f>
        <v>3508</v>
      </c>
      <c r="P264" s="15">
        <f t="shared" si="142"/>
        <v>36934</v>
      </c>
    </row>
    <row r="265" spans="1:16" ht="16.5" customHeight="1" x14ac:dyDescent="0.25">
      <c r="A265" s="104"/>
      <c r="B265" s="105"/>
      <c r="C265" s="107"/>
      <c r="D265" s="182"/>
      <c r="E265" s="181"/>
      <c r="F265" s="12"/>
      <c r="G265" s="12" t="s">
        <v>99</v>
      </c>
      <c r="H265" s="13">
        <f t="shared" ref="H265:O265" si="181">SUM(H263:H264)</f>
        <v>30484</v>
      </c>
      <c r="I265" s="13">
        <f t="shared" si="181"/>
        <v>29139</v>
      </c>
      <c r="J265" s="13">
        <f t="shared" si="181"/>
        <v>28431</v>
      </c>
      <c r="K265" s="13">
        <f t="shared" si="181"/>
        <v>27759</v>
      </c>
      <c r="L265" s="13">
        <f t="shared" si="181"/>
        <v>27064</v>
      </c>
      <c r="M265" s="13">
        <f t="shared" si="181"/>
        <v>26381</v>
      </c>
      <c r="N265" s="13">
        <f t="shared" si="181"/>
        <v>25700</v>
      </c>
      <c r="O265" s="13">
        <f t="shared" si="181"/>
        <v>72698</v>
      </c>
      <c r="P265" s="92">
        <f t="shared" si="142"/>
        <v>267656</v>
      </c>
    </row>
    <row r="266" spans="1:16" ht="16.5" customHeight="1" x14ac:dyDescent="0.25">
      <c r="A266" s="102">
        <f t="shared" ref="A266" si="182">A263+1</f>
        <v>87</v>
      </c>
      <c r="B266" s="105" t="s">
        <v>11</v>
      </c>
      <c r="C266" s="107" t="s">
        <v>666</v>
      </c>
      <c r="D266" s="182">
        <v>43812</v>
      </c>
      <c r="E266" s="181" t="s">
        <v>225</v>
      </c>
      <c r="F266" s="37" t="s">
        <v>337</v>
      </c>
      <c r="G266" s="10" t="s">
        <v>5</v>
      </c>
      <c r="H266" s="11">
        <v>55040</v>
      </c>
      <c r="I266" s="11">
        <v>55040</v>
      </c>
      <c r="J266" s="11">
        <v>55040</v>
      </c>
      <c r="K266" s="11">
        <v>55040</v>
      </c>
      <c r="L266" s="11">
        <f>25159+2359</f>
        <v>27518</v>
      </c>
      <c r="M266" s="16">
        <v>0</v>
      </c>
      <c r="N266" s="11">
        <v>0</v>
      </c>
      <c r="O266" s="11">
        <v>0</v>
      </c>
      <c r="P266" s="11">
        <f>SUM(H266:O266)</f>
        <v>247678</v>
      </c>
    </row>
    <row r="267" spans="1:16" ht="16.5" customHeight="1" x14ac:dyDescent="0.25">
      <c r="A267" s="103"/>
      <c r="B267" s="105"/>
      <c r="C267" s="107"/>
      <c r="D267" s="182"/>
      <c r="E267" s="181"/>
      <c r="F267" s="17" t="s">
        <v>338</v>
      </c>
      <c r="G267" s="14" t="s">
        <v>8</v>
      </c>
      <c r="H267" s="15">
        <f>6929+606</f>
        <v>7535</v>
      </c>
      <c r="I267" s="15">
        <f>4934+467</f>
        <v>5401</v>
      </c>
      <c r="J267" s="15">
        <f>3493+327</f>
        <v>3820</v>
      </c>
      <c r="K267" s="15">
        <f>2006+188</f>
        <v>2194</v>
      </c>
      <c r="L267" s="15">
        <f>522+49</f>
        <v>571</v>
      </c>
      <c r="M267" s="18">
        <v>0</v>
      </c>
      <c r="N267" s="15">
        <v>0</v>
      </c>
      <c r="O267" s="15">
        <v>0</v>
      </c>
      <c r="P267" s="15">
        <f t="shared" si="142"/>
        <v>19521</v>
      </c>
    </row>
    <row r="268" spans="1:16" ht="16.5" customHeight="1" x14ac:dyDescent="0.25">
      <c r="A268" s="104"/>
      <c r="B268" s="105"/>
      <c r="C268" s="107"/>
      <c r="D268" s="182"/>
      <c r="E268" s="181"/>
      <c r="F268" s="12"/>
      <c r="G268" s="12" t="s">
        <v>99</v>
      </c>
      <c r="H268" s="13">
        <f t="shared" ref="H268:O268" si="183">SUM(H266:H267)</f>
        <v>62575</v>
      </c>
      <c r="I268" s="13">
        <f t="shared" si="183"/>
        <v>60441</v>
      </c>
      <c r="J268" s="13">
        <f t="shared" si="183"/>
        <v>58860</v>
      </c>
      <c r="K268" s="13">
        <f t="shared" si="183"/>
        <v>57234</v>
      </c>
      <c r="L268" s="13">
        <f t="shared" si="183"/>
        <v>28089</v>
      </c>
      <c r="M268" s="13">
        <f t="shared" si="183"/>
        <v>0</v>
      </c>
      <c r="N268" s="13">
        <f t="shared" si="183"/>
        <v>0</v>
      </c>
      <c r="O268" s="13">
        <f t="shared" si="183"/>
        <v>0</v>
      </c>
      <c r="P268" s="92">
        <f t="shared" si="142"/>
        <v>267199</v>
      </c>
    </row>
    <row r="269" spans="1:16" ht="16.95" customHeight="1" x14ac:dyDescent="0.25">
      <c r="A269" s="102">
        <f t="shared" ref="A269" si="184">A266+1</f>
        <v>88</v>
      </c>
      <c r="B269" s="105" t="s">
        <v>11</v>
      </c>
      <c r="C269" s="172" t="s">
        <v>439</v>
      </c>
      <c r="D269" s="182">
        <v>44012</v>
      </c>
      <c r="E269" s="181" t="s">
        <v>339</v>
      </c>
      <c r="F269" s="37" t="s">
        <v>340</v>
      </c>
      <c r="G269" s="10" t="s">
        <v>5</v>
      </c>
      <c r="H269" s="101">
        <v>0</v>
      </c>
      <c r="I269" s="11">
        <v>124296</v>
      </c>
      <c r="J269" s="11">
        <v>124296</v>
      </c>
      <c r="K269" s="11">
        <v>124296</v>
      </c>
      <c r="L269" s="11">
        <v>124296</v>
      </c>
      <c r="M269" s="11">
        <v>124296</v>
      </c>
      <c r="N269" s="11">
        <v>124296</v>
      </c>
      <c r="O269" s="11">
        <f>2423752-745776</f>
        <v>1677976</v>
      </c>
      <c r="P269" s="11">
        <f>SUM(H269:O269)</f>
        <v>2423752</v>
      </c>
    </row>
    <row r="270" spans="1:16" ht="16.2" customHeight="1" x14ac:dyDescent="0.25">
      <c r="A270" s="103"/>
      <c r="B270" s="105"/>
      <c r="C270" s="172"/>
      <c r="D270" s="182"/>
      <c r="E270" s="181"/>
      <c r="F270" s="17" t="s">
        <v>341</v>
      </c>
      <c r="G270" s="14" t="s">
        <v>8</v>
      </c>
      <c r="H270" s="15">
        <v>106647</v>
      </c>
      <c r="I270" s="15">
        <v>93310</v>
      </c>
      <c r="J270" s="15">
        <v>83727</v>
      </c>
      <c r="K270" s="15">
        <v>79163</v>
      </c>
      <c r="L270" s="15">
        <v>74598</v>
      </c>
      <c r="M270" s="15">
        <v>70034</v>
      </c>
      <c r="N270" s="15">
        <v>65469</v>
      </c>
      <c r="O270" s="15">
        <f>437325</f>
        <v>437325</v>
      </c>
      <c r="P270" s="15">
        <f t="shared" si="142"/>
        <v>1010273</v>
      </c>
    </row>
    <row r="271" spans="1:16" ht="16.5" customHeight="1" x14ac:dyDescent="0.25">
      <c r="A271" s="104"/>
      <c r="B271" s="105"/>
      <c r="C271" s="172"/>
      <c r="D271" s="182"/>
      <c r="E271" s="181"/>
      <c r="F271" s="12"/>
      <c r="G271" s="12" t="s">
        <v>99</v>
      </c>
      <c r="H271" s="13">
        <f t="shared" ref="H271:O271" si="185">SUM(H269:H270)</f>
        <v>106647</v>
      </c>
      <c r="I271" s="13">
        <f t="shared" si="185"/>
        <v>217606</v>
      </c>
      <c r="J271" s="13">
        <f t="shared" si="185"/>
        <v>208023</v>
      </c>
      <c r="K271" s="13">
        <f t="shared" si="185"/>
        <v>203459</v>
      </c>
      <c r="L271" s="13">
        <f t="shared" si="185"/>
        <v>198894</v>
      </c>
      <c r="M271" s="13">
        <f t="shared" si="185"/>
        <v>194330</v>
      </c>
      <c r="N271" s="13">
        <f t="shared" si="185"/>
        <v>189765</v>
      </c>
      <c r="O271" s="13">
        <f t="shared" si="185"/>
        <v>2115301</v>
      </c>
      <c r="P271" s="92">
        <f t="shared" si="142"/>
        <v>3434025</v>
      </c>
    </row>
    <row r="272" spans="1:16" ht="17.25" customHeight="1" x14ac:dyDescent="0.25">
      <c r="A272" s="102">
        <f t="shared" ref="A272" si="186">A269+1</f>
        <v>89</v>
      </c>
      <c r="B272" s="105" t="s">
        <v>11</v>
      </c>
      <c r="C272" s="106" t="s">
        <v>452</v>
      </c>
      <c r="D272" s="182">
        <v>44034</v>
      </c>
      <c r="E272" s="181" t="s">
        <v>344</v>
      </c>
      <c r="F272" s="37" t="s">
        <v>342</v>
      </c>
      <c r="G272" s="10" t="s">
        <v>5</v>
      </c>
      <c r="H272" s="11">
        <v>19228</v>
      </c>
      <c r="I272" s="11">
        <v>19228</v>
      </c>
      <c r="J272" s="11">
        <v>19228</v>
      </c>
      <c r="K272" s="11">
        <v>19228</v>
      </c>
      <c r="L272" s="11">
        <v>19228</v>
      </c>
      <c r="M272" s="11">
        <v>19228</v>
      </c>
      <c r="N272" s="11">
        <v>19228</v>
      </c>
      <c r="O272" s="11">
        <f>295785-18780+6584-19228</f>
        <v>264361</v>
      </c>
      <c r="P272" s="11">
        <f>SUM(H272:O272)</f>
        <v>398957</v>
      </c>
    </row>
    <row r="273" spans="1:16" ht="15" customHeight="1" x14ac:dyDescent="0.25">
      <c r="A273" s="103"/>
      <c r="B273" s="105"/>
      <c r="C273" s="106"/>
      <c r="D273" s="182"/>
      <c r="E273" s="181"/>
      <c r="F273" s="17" t="s">
        <v>343</v>
      </c>
      <c r="G273" s="14" t="s">
        <v>8</v>
      </c>
      <c r="H273" s="15">
        <v>16653</v>
      </c>
      <c r="I273" s="15">
        <v>12664</v>
      </c>
      <c r="J273" s="15">
        <v>11999</v>
      </c>
      <c r="K273" s="15">
        <v>11383</v>
      </c>
      <c r="L273" s="49">
        <v>10706</v>
      </c>
      <c r="M273" s="49">
        <v>10061</v>
      </c>
      <c r="N273" s="49">
        <v>9417</v>
      </c>
      <c r="O273" s="49">
        <f>63681</f>
        <v>63681</v>
      </c>
      <c r="P273" s="15">
        <f t="shared" si="142"/>
        <v>146564</v>
      </c>
    </row>
    <row r="274" spans="1:16" ht="16.2" customHeight="1" x14ac:dyDescent="0.25">
      <c r="A274" s="104"/>
      <c r="B274" s="188"/>
      <c r="C274" s="189"/>
      <c r="D274" s="190"/>
      <c r="E274" s="166"/>
      <c r="F274" s="23"/>
      <c r="G274" s="23" t="s">
        <v>99</v>
      </c>
      <c r="H274" s="13">
        <f t="shared" ref="H274:O274" si="187">SUM(H272:H273)</f>
        <v>35881</v>
      </c>
      <c r="I274" s="13">
        <f t="shared" si="187"/>
        <v>31892</v>
      </c>
      <c r="J274" s="13">
        <f t="shared" si="187"/>
        <v>31227</v>
      </c>
      <c r="K274" s="13">
        <f t="shared" si="187"/>
        <v>30611</v>
      </c>
      <c r="L274" s="13">
        <f t="shared" si="187"/>
        <v>29934</v>
      </c>
      <c r="M274" s="13">
        <f t="shared" si="187"/>
        <v>29289</v>
      </c>
      <c r="N274" s="13">
        <f t="shared" si="187"/>
        <v>28645</v>
      </c>
      <c r="O274" s="13">
        <f t="shared" si="187"/>
        <v>328042</v>
      </c>
      <c r="P274" s="92">
        <f t="shared" si="142"/>
        <v>545521</v>
      </c>
    </row>
    <row r="275" spans="1:16" ht="17.399999999999999" customHeight="1" x14ac:dyDescent="0.25">
      <c r="A275" s="102">
        <f t="shared" ref="A275" si="188">A272+1</f>
        <v>90</v>
      </c>
      <c r="B275" s="105" t="s">
        <v>11</v>
      </c>
      <c r="C275" s="187" t="s">
        <v>423</v>
      </c>
      <c r="D275" s="181" t="s">
        <v>95</v>
      </c>
      <c r="E275" s="181" t="s">
        <v>156</v>
      </c>
      <c r="F275" s="37" t="s">
        <v>345</v>
      </c>
      <c r="G275" s="10" t="s">
        <v>5</v>
      </c>
      <c r="H275" s="11">
        <f>5002*3</f>
        <v>15006</v>
      </c>
      <c r="I275" s="11">
        <v>0</v>
      </c>
      <c r="J275" s="11">
        <v>0</v>
      </c>
      <c r="K275" s="11">
        <v>0</v>
      </c>
      <c r="L275" s="11">
        <v>0</v>
      </c>
      <c r="M275" s="11">
        <v>0</v>
      </c>
      <c r="N275" s="11">
        <v>0</v>
      </c>
      <c r="O275" s="11">
        <v>0</v>
      </c>
      <c r="P275" s="11">
        <f>SUM(H275:O275)</f>
        <v>15006</v>
      </c>
    </row>
    <row r="276" spans="1:16" ht="16.2" customHeight="1" x14ac:dyDescent="0.25">
      <c r="A276" s="103"/>
      <c r="B276" s="105"/>
      <c r="C276" s="187"/>
      <c r="D276" s="181"/>
      <c r="E276" s="181"/>
      <c r="F276" s="17" t="s">
        <v>346</v>
      </c>
      <c r="G276" s="14" t="s">
        <v>8</v>
      </c>
      <c r="H276" s="15">
        <v>28</v>
      </c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f t="shared" si="142"/>
        <v>28</v>
      </c>
    </row>
    <row r="277" spans="1:16" ht="16.5" customHeight="1" x14ac:dyDescent="0.25">
      <c r="A277" s="104"/>
      <c r="B277" s="105"/>
      <c r="C277" s="187"/>
      <c r="D277" s="181"/>
      <c r="E277" s="181"/>
      <c r="F277" s="12"/>
      <c r="G277" s="12" t="s">
        <v>99</v>
      </c>
      <c r="H277" s="13">
        <f t="shared" ref="H277:O277" si="189">SUM(H275:H276)</f>
        <v>15034</v>
      </c>
      <c r="I277" s="13">
        <f t="shared" si="189"/>
        <v>0</v>
      </c>
      <c r="J277" s="13">
        <f t="shared" si="189"/>
        <v>0</v>
      </c>
      <c r="K277" s="13">
        <f t="shared" si="189"/>
        <v>0</v>
      </c>
      <c r="L277" s="13">
        <f t="shared" si="189"/>
        <v>0</v>
      </c>
      <c r="M277" s="13">
        <f>SUM(M275:M276)</f>
        <v>0</v>
      </c>
      <c r="N277" s="13">
        <f t="shared" ref="N277" si="190">SUM(N275:N276)</f>
        <v>0</v>
      </c>
      <c r="O277" s="13">
        <f t="shared" si="189"/>
        <v>0</v>
      </c>
      <c r="P277" s="92">
        <f t="shared" ref="P277:P283" si="191">SUM(H277:O277)</f>
        <v>15034</v>
      </c>
    </row>
    <row r="278" spans="1:16" ht="16.5" customHeight="1" x14ac:dyDescent="0.25">
      <c r="A278" s="102">
        <f t="shared" ref="A278" si="192">A275+1</f>
        <v>91</v>
      </c>
      <c r="B278" s="105" t="s">
        <v>11</v>
      </c>
      <c r="C278" s="106" t="s">
        <v>667</v>
      </c>
      <c r="D278" s="182">
        <v>44053</v>
      </c>
      <c r="E278" s="181" t="s">
        <v>234</v>
      </c>
      <c r="F278" s="37" t="s">
        <v>347</v>
      </c>
      <c r="G278" s="10" t="s">
        <v>5</v>
      </c>
      <c r="H278" s="11">
        <v>22676</v>
      </c>
      <c r="I278" s="11">
        <v>22676</v>
      </c>
      <c r="J278" s="11">
        <v>22676</v>
      </c>
      <c r="K278" s="11">
        <v>22676</v>
      </c>
      <c r="L278" s="11">
        <v>22676</v>
      </c>
      <c r="M278" s="11">
        <v>22676</v>
      </c>
      <c r="N278" s="11">
        <v>22676</v>
      </c>
      <c r="O278" s="11">
        <f>127144-22112+2646-22676</f>
        <v>85002</v>
      </c>
      <c r="P278" s="11">
        <f>SUM(H278:O278)</f>
        <v>243734</v>
      </c>
    </row>
    <row r="279" spans="1:16" ht="16.5" customHeight="1" x14ac:dyDescent="0.25">
      <c r="A279" s="103"/>
      <c r="B279" s="105"/>
      <c r="C279" s="106"/>
      <c r="D279" s="182"/>
      <c r="E279" s="181"/>
      <c r="F279" s="17" t="s">
        <v>348</v>
      </c>
      <c r="G279" s="14" t="s">
        <v>8</v>
      </c>
      <c r="H279" s="15">
        <v>8952</v>
      </c>
      <c r="I279" s="15">
        <v>6768</v>
      </c>
      <c r="J279" s="15">
        <v>6052</v>
      </c>
      <c r="K279" s="15">
        <v>5361</v>
      </c>
      <c r="L279" s="49">
        <v>4642</v>
      </c>
      <c r="M279" s="49">
        <v>3938</v>
      </c>
      <c r="N279" s="49">
        <v>3235</v>
      </c>
      <c r="O279" s="49">
        <v>5830</v>
      </c>
      <c r="P279" s="15">
        <f t="shared" si="191"/>
        <v>44778</v>
      </c>
    </row>
    <row r="280" spans="1:16" ht="16.5" customHeight="1" x14ac:dyDescent="0.25">
      <c r="A280" s="104"/>
      <c r="B280" s="105"/>
      <c r="C280" s="106"/>
      <c r="D280" s="182"/>
      <c r="E280" s="181"/>
      <c r="F280" s="12"/>
      <c r="G280" s="12" t="s">
        <v>99</v>
      </c>
      <c r="H280" s="13">
        <f t="shared" ref="H280:O280" si="193">SUM(H278:H279)</f>
        <v>31628</v>
      </c>
      <c r="I280" s="13">
        <f t="shared" si="193"/>
        <v>29444</v>
      </c>
      <c r="J280" s="13">
        <f t="shared" si="193"/>
        <v>28728</v>
      </c>
      <c r="K280" s="13">
        <f t="shared" si="193"/>
        <v>28037</v>
      </c>
      <c r="L280" s="13">
        <f t="shared" si="193"/>
        <v>27318</v>
      </c>
      <c r="M280" s="13">
        <f t="shared" si="193"/>
        <v>26614</v>
      </c>
      <c r="N280" s="13">
        <f t="shared" si="193"/>
        <v>25911</v>
      </c>
      <c r="O280" s="13">
        <f t="shared" si="193"/>
        <v>90832</v>
      </c>
      <c r="P280" s="92">
        <f t="shared" si="191"/>
        <v>288512</v>
      </c>
    </row>
    <row r="281" spans="1:16" ht="16.5" customHeight="1" x14ac:dyDescent="0.25">
      <c r="A281" s="102">
        <f t="shared" ref="A281" si="194">A278+1</f>
        <v>92</v>
      </c>
      <c r="B281" s="105" t="s">
        <v>11</v>
      </c>
      <c r="C281" s="106" t="s">
        <v>429</v>
      </c>
      <c r="D281" s="182">
        <v>44053</v>
      </c>
      <c r="E281" s="181" t="s">
        <v>234</v>
      </c>
      <c r="F281" s="37" t="s">
        <v>349</v>
      </c>
      <c r="G281" s="10" t="s">
        <v>5</v>
      </c>
      <c r="H281" s="11">
        <v>40244</v>
      </c>
      <c r="I281" s="11">
        <v>40244</v>
      </c>
      <c r="J281" s="11">
        <v>40244</v>
      </c>
      <c r="K281" s="11">
        <v>40244</v>
      </c>
      <c r="L281" s="11">
        <v>40244</v>
      </c>
      <c r="M281" s="11">
        <v>40244</v>
      </c>
      <c r="N281" s="11">
        <v>40244</v>
      </c>
      <c r="O281" s="11">
        <f>225676-39248+4727-40244</f>
        <v>150911</v>
      </c>
      <c r="P281" s="11">
        <f>SUM(H281:O281)</f>
        <v>432619</v>
      </c>
    </row>
    <row r="282" spans="1:16" ht="16.5" customHeight="1" x14ac:dyDescent="0.25">
      <c r="A282" s="103"/>
      <c r="B282" s="105"/>
      <c r="C282" s="106"/>
      <c r="D282" s="182"/>
      <c r="E282" s="181"/>
      <c r="F282" s="17" t="s">
        <v>350</v>
      </c>
      <c r="G282" s="14" t="s">
        <v>8</v>
      </c>
      <c r="H282" s="15">
        <v>15890</v>
      </c>
      <c r="I282" s="15">
        <v>12013</v>
      </c>
      <c r="J282" s="15">
        <v>10743</v>
      </c>
      <c r="K282" s="15">
        <v>9516</v>
      </c>
      <c r="L282" s="49">
        <v>8240</v>
      </c>
      <c r="M282" s="49">
        <v>6990</v>
      </c>
      <c r="N282" s="49">
        <v>5742</v>
      </c>
      <c r="O282" s="49">
        <v>10354</v>
      </c>
      <c r="P282" s="15">
        <f t="shared" si="191"/>
        <v>79488</v>
      </c>
    </row>
    <row r="283" spans="1:16" ht="16.5" customHeight="1" x14ac:dyDescent="0.25">
      <c r="A283" s="104"/>
      <c r="B283" s="105"/>
      <c r="C283" s="106"/>
      <c r="D283" s="182"/>
      <c r="E283" s="181"/>
      <c r="F283" s="12"/>
      <c r="G283" s="12" t="s">
        <v>99</v>
      </c>
      <c r="H283" s="13">
        <f t="shared" ref="H283:O283" si="195">SUM(H281:H282)</f>
        <v>56134</v>
      </c>
      <c r="I283" s="13">
        <f t="shared" si="195"/>
        <v>52257</v>
      </c>
      <c r="J283" s="13">
        <f t="shared" si="195"/>
        <v>50987</v>
      </c>
      <c r="K283" s="13">
        <f t="shared" si="195"/>
        <v>49760</v>
      </c>
      <c r="L283" s="13">
        <f t="shared" si="195"/>
        <v>48484</v>
      </c>
      <c r="M283" s="13">
        <f t="shared" si="195"/>
        <v>47234</v>
      </c>
      <c r="N283" s="13">
        <f t="shared" si="195"/>
        <v>45986</v>
      </c>
      <c r="O283" s="13">
        <f t="shared" si="195"/>
        <v>161265</v>
      </c>
      <c r="P283" s="92">
        <f t="shared" si="191"/>
        <v>512107</v>
      </c>
    </row>
    <row r="284" spans="1:16" ht="16.5" customHeight="1" x14ac:dyDescent="0.25">
      <c r="A284" s="102">
        <f t="shared" ref="A284" si="196">A281+1</f>
        <v>93</v>
      </c>
      <c r="B284" s="105" t="s">
        <v>11</v>
      </c>
      <c r="C284" s="172" t="s">
        <v>430</v>
      </c>
      <c r="D284" s="182">
        <v>44076</v>
      </c>
      <c r="E284" s="181" t="s">
        <v>351</v>
      </c>
      <c r="F284" s="37" t="s">
        <v>352</v>
      </c>
      <c r="G284" s="10" t="s">
        <v>5</v>
      </c>
      <c r="H284" s="11">
        <v>22036</v>
      </c>
      <c r="I284" s="11">
        <v>22036</v>
      </c>
      <c r="J284" s="11">
        <v>22036</v>
      </c>
      <c r="K284" s="11">
        <v>22036</v>
      </c>
      <c r="L284" s="11">
        <v>22036</v>
      </c>
      <c r="M284" s="11">
        <v>22036</v>
      </c>
      <c r="N284" s="11">
        <v>22036</v>
      </c>
      <c r="O284" s="11">
        <f>124292-21616+1956-22036</f>
        <v>82596</v>
      </c>
      <c r="P284" s="11">
        <f>SUM(H284:O284)</f>
        <v>236848</v>
      </c>
    </row>
    <row r="285" spans="1:16" ht="16.5" customHeight="1" x14ac:dyDescent="0.25">
      <c r="A285" s="103"/>
      <c r="B285" s="105"/>
      <c r="C285" s="172"/>
      <c r="D285" s="182"/>
      <c r="E285" s="181"/>
      <c r="F285" s="17" t="s">
        <v>353</v>
      </c>
      <c r="G285" s="14" t="s">
        <v>8</v>
      </c>
      <c r="H285" s="15">
        <v>8499</v>
      </c>
      <c r="I285" s="15">
        <v>6502</v>
      </c>
      <c r="J285" s="15">
        <v>5814</v>
      </c>
      <c r="K285" s="15">
        <v>5150</v>
      </c>
      <c r="L285" s="49">
        <v>4459</v>
      </c>
      <c r="M285" s="49">
        <v>3783</v>
      </c>
      <c r="N285" s="49">
        <v>3107</v>
      </c>
      <c r="O285" s="49">
        <v>5614</v>
      </c>
      <c r="P285" s="15">
        <f t="shared" ref="P285:P348" si="197">SUM(H285:O285)</f>
        <v>42928</v>
      </c>
    </row>
    <row r="286" spans="1:16" ht="16.5" customHeight="1" x14ac:dyDescent="0.25">
      <c r="A286" s="104"/>
      <c r="B286" s="105"/>
      <c r="C286" s="172"/>
      <c r="D286" s="182"/>
      <c r="E286" s="181"/>
      <c r="F286" s="12"/>
      <c r="G286" s="12" t="s">
        <v>99</v>
      </c>
      <c r="H286" s="13">
        <f t="shared" ref="H286:O286" si="198">SUM(H284:H285)</f>
        <v>30535</v>
      </c>
      <c r="I286" s="13">
        <f t="shared" si="198"/>
        <v>28538</v>
      </c>
      <c r="J286" s="13">
        <f t="shared" si="198"/>
        <v>27850</v>
      </c>
      <c r="K286" s="13">
        <f t="shared" si="198"/>
        <v>27186</v>
      </c>
      <c r="L286" s="71">
        <f t="shared" si="198"/>
        <v>26495</v>
      </c>
      <c r="M286" s="71">
        <f t="shared" si="198"/>
        <v>25819</v>
      </c>
      <c r="N286" s="71">
        <f t="shared" si="198"/>
        <v>25143</v>
      </c>
      <c r="O286" s="71">
        <f t="shared" si="198"/>
        <v>88210</v>
      </c>
      <c r="P286" s="92">
        <f t="shared" si="197"/>
        <v>279776</v>
      </c>
    </row>
    <row r="287" spans="1:16" ht="16.5" customHeight="1" x14ac:dyDescent="0.25">
      <c r="A287" s="102">
        <f t="shared" ref="A287" si="199">A284+1</f>
        <v>94</v>
      </c>
      <c r="B287" s="105" t="s">
        <v>11</v>
      </c>
      <c r="C287" s="107" t="s">
        <v>56</v>
      </c>
      <c r="D287" s="182">
        <v>44111</v>
      </c>
      <c r="E287" s="181" t="s">
        <v>356</v>
      </c>
      <c r="F287" s="37" t="s">
        <v>354</v>
      </c>
      <c r="G287" s="10" t="s">
        <v>5</v>
      </c>
      <c r="H287" s="11">
        <v>29692</v>
      </c>
      <c r="I287" s="11">
        <v>29692</v>
      </c>
      <c r="J287" s="11">
        <v>29692</v>
      </c>
      <c r="K287" s="11">
        <v>29692</v>
      </c>
      <c r="L287" s="11">
        <v>29692</v>
      </c>
      <c r="M287" s="11">
        <v>29692</v>
      </c>
      <c r="N287" s="11">
        <v>29692</v>
      </c>
      <c r="O287" s="11">
        <f>459837-29196+7310-29692</f>
        <v>408259</v>
      </c>
      <c r="P287" s="11">
        <f>SUM(H287:O287)</f>
        <v>616103</v>
      </c>
    </row>
    <row r="288" spans="1:16" ht="16.5" customHeight="1" x14ac:dyDescent="0.25">
      <c r="A288" s="103"/>
      <c r="B288" s="105"/>
      <c r="C288" s="107"/>
      <c r="D288" s="182"/>
      <c r="E288" s="181"/>
      <c r="F288" s="17" t="s">
        <v>355</v>
      </c>
      <c r="G288" s="14" t="s">
        <v>8</v>
      </c>
      <c r="H288" s="15">
        <v>21766</v>
      </c>
      <c r="I288" s="15">
        <v>19290</v>
      </c>
      <c r="J288" s="15">
        <v>18255</v>
      </c>
      <c r="K288" s="15">
        <v>17319</v>
      </c>
      <c r="L288" s="49">
        <v>16289</v>
      </c>
      <c r="M288" s="49">
        <v>15307</v>
      </c>
      <c r="N288" s="49">
        <v>14327</v>
      </c>
      <c r="O288" s="49">
        <f>96927</f>
        <v>96927</v>
      </c>
      <c r="P288" s="15">
        <f t="shared" si="197"/>
        <v>219480</v>
      </c>
    </row>
    <row r="289" spans="1:16" ht="16.5" customHeight="1" x14ac:dyDescent="0.25">
      <c r="A289" s="104"/>
      <c r="B289" s="105"/>
      <c r="C289" s="107"/>
      <c r="D289" s="182"/>
      <c r="E289" s="181"/>
      <c r="F289" s="12"/>
      <c r="G289" s="12" t="s">
        <v>99</v>
      </c>
      <c r="H289" s="13">
        <f t="shared" ref="H289:O289" si="200">SUM(H287:H288)</f>
        <v>51458</v>
      </c>
      <c r="I289" s="13">
        <f t="shared" si="200"/>
        <v>48982</v>
      </c>
      <c r="J289" s="13">
        <f t="shared" si="200"/>
        <v>47947</v>
      </c>
      <c r="K289" s="13">
        <f t="shared" si="200"/>
        <v>47011</v>
      </c>
      <c r="L289" s="13">
        <f t="shared" si="200"/>
        <v>45981</v>
      </c>
      <c r="M289" s="13">
        <f t="shared" si="200"/>
        <v>44999</v>
      </c>
      <c r="N289" s="13">
        <f t="shared" si="200"/>
        <v>44019</v>
      </c>
      <c r="O289" s="13">
        <f t="shared" si="200"/>
        <v>505186</v>
      </c>
      <c r="P289" s="92">
        <f t="shared" si="197"/>
        <v>835583</v>
      </c>
    </row>
    <row r="290" spans="1:16" ht="16.5" customHeight="1" x14ac:dyDescent="0.25">
      <c r="A290" s="102">
        <f t="shared" ref="A290" si="201">A287+1</f>
        <v>95</v>
      </c>
      <c r="B290" s="105" t="s">
        <v>11</v>
      </c>
      <c r="C290" s="107" t="s">
        <v>40</v>
      </c>
      <c r="D290" s="182">
        <v>44118</v>
      </c>
      <c r="E290" s="181" t="s">
        <v>159</v>
      </c>
      <c r="F290" s="37" t="s">
        <v>357</v>
      </c>
      <c r="G290" s="10" t="s">
        <v>5</v>
      </c>
      <c r="H290" s="11">
        <v>8032</v>
      </c>
      <c r="I290" s="11">
        <v>8032</v>
      </c>
      <c r="J290" s="11">
        <v>8032</v>
      </c>
      <c r="K290" s="11">
        <v>8032</v>
      </c>
      <c r="L290" s="11">
        <v>8032</v>
      </c>
      <c r="M290" s="11">
        <f>5946+69</f>
        <v>6015</v>
      </c>
      <c r="N290" s="11">
        <v>0</v>
      </c>
      <c r="O290" s="11">
        <v>0</v>
      </c>
      <c r="P290" s="11">
        <f>SUM(H290:O290)</f>
        <v>46175</v>
      </c>
    </row>
    <row r="291" spans="1:16" ht="16.5" customHeight="1" x14ac:dyDescent="0.25">
      <c r="A291" s="103"/>
      <c r="B291" s="105"/>
      <c r="C291" s="107"/>
      <c r="D291" s="182"/>
      <c r="E291" s="181"/>
      <c r="F291" s="17" t="s">
        <v>358</v>
      </c>
      <c r="G291" s="14" t="s">
        <v>8</v>
      </c>
      <c r="H291" s="15">
        <v>1536</v>
      </c>
      <c r="I291" s="15">
        <v>1116</v>
      </c>
      <c r="J291" s="15">
        <v>867</v>
      </c>
      <c r="K291" s="15">
        <v>627</v>
      </c>
      <c r="L291" s="49">
        <v>384</v>
      </c>
      <c r="M291" s="49">
        <v>143</v>
      </c>
      <c r="N291" s="49"/>
      <c r="O291" s="49">
        <v>0</v>
      </c>
      <c r="P291" s="15">
        <f t="shared" si="197"/>
        <v>4673</v>
      </c>
    </row>
    <row r="292" spans="1:16" ht="16.5" customHeight="1" x14ac:dyDescent="0.25">
      <c r="A292" s="104"/>
      <c r="B292" s="105"/>
      <c r="C292" s="107"/>
      <c r="D292" s="182"/>
      <c r="E292" s="181"/>
      <c r="F292" s="12"/>
      <c r="G292" s="12" t="s">
        <v>99</v>
      </c>
      <c r="H292" s="13">
        <f t="shared" ref="H292:O292" si="202">SUM(H290:H291)</f>
        <v>9568</v>
      </c>
      <c r="I292" s="13">
        <f t="shared" si="202"/>
        <v>9148</v>
      </c>
      <c r="J292" s="13">
        <f t="shared" si="202"/>
        <v>8899</v>
      </c>
      <c r="K292" s="13">
        <f t="shared" si="202"/>
        <v>8659</v>
      </c>
      <c r="L292" s="13">
        <f t="shared" si="202"/>
        <v>8416</v>
      </c>
      <c r="M292" s="13">
        <f t="shared" si="202"/>
        <v>6158</v>
      </c>
      <c r="N292" s="13">
        <f t="shared" si="202"/>
        <v>0</v>
      </c>
      <c r="O292" s="13">
        <f t="shared" si="202"/>
        <v>0</v>
      </c>
      <c r="P292" s="92">
        <f t="shared" si="197"/>
        <v>50848</v>
      </c>
    </row>
    <row r="293" spans="1:16" ht="16.5" customHeight="1" x14ac:dyDescent="0.25">
      <c r="A293" s="102">
        <f t="shared" ref="A293" si="203">A290+1</f>
        <v>96</v>
      </c>
      <c r="B293" s="105" t="s">
        <v>11</v>
      </c>
      <c r="C293" s="106" t="s">
        <v>453</v>
      </c>
      <c r="D293" s="182">
        <v>44169</v>
      </c>
      <c r="E293" s="181" t="s">
        <v>361</v>
      </c>
      <c r="F293" s="37" t="s">
        <v>359</v>
      </c>
      <c r="G293" s="10" t="s">
        <v>5</v>
      </c>
      <c r="H293" s="11">
        <v>25496</v>
      </c>
      <c r="I293" s="11">
        <v>25496</v>
      </c>
      <c r="J293" s="11">
        <v>25496</v>
      </c>
      <c r="K293" s="11">
        <v>25496</v>
      </c>
      <c r="L293" s="11">
        <v>25496</v>
      </c>
      <c r="M293" s="11">
        <v>25496</v>
      </c>
      <c r="N293" s="11">
        <v>25496</v>
      </c>
      <c r="O293" s="11">
        <f>150936-25156+1679-25496</f>
        <v>101963</v>
      </c>
      <c r="P293" s="11">
        <f>SUM(H293:O293)</f>
        <v>280435</v>
      </c>
    </row>
    <row r="294" spans="1:16" ht="16.5" customHeight="1" x14ac:dyDescent="0.25">
      <c r="A294" s="103"/>
      <c r="B294" s="105"/>
      <c r="C294" s="107"/>
      <c r="D294" s="182"/>
      <c r="E294" s="181"/>
      <c r="F294" s="17" t="s">
        <v>360</v>
      </c>
      <c r="G294" s="14" t="s">
        <v>8</v>
      </c>
      <c r="H294" s="15">
        <v>8903</v>
      </c>
      <c r="I294" s="15">
        <v>7603</v>
      </c>
      <c r="J294" s="15">
        <v>6864</v>
      </c>
      <c r="K294" s="15">
        <v>6103</v>
      </c>
      <c r="L294" s="49">
        <v>5310</v>
      </c>
      <c r="M294" s="49">
        <v>4534</v>
      </c>
      <c r="N294" s="49">
        <v>3759</v>
      </c>
      <c r="O294" s="49">
        <f>7255</f>
        <v>7255</v>
      </c>
      <c r="P294" s="15">
        <f t="shared" si="197"/>
        <v>50331</v>
      </c>
    </row>
    <row r="295" spans="1:16" ht="16.5" customHeight="1" x14ac:dyDescent="0.25">
      <c r="A295" s="104"/>
      <c r="B295" s="105"/>
      <c r="C295" s="107"/>
      <c r="D295" s="182"/>
      <c r="E295" s="181"/>
      <c r="F295" s="12"/>
      <c r="G295" s="12" t="s">
        <v>99</v>
      </c>
      <c r="H295" s="13">
        <f t="shared" ref="H295:O295" si="204">SUM(H293:H294)</f>
        <v>34399</v>
      </c>
      <c r="I295" s="13">
        <f t="shared" si="204"/>
        <v>33099</v>
      </c>
      <c r="J295" s="13">
        <f t="shared" si="204"/>
        <v>32360</v>
      </c>
      <c r="K295" s="13">
        <f t="shared" si="204"/>
        <v>31599</v>
      </c>
      <c r="L295" s="13">
        <f t="shared" si="204"/>
        <v>30806</v>
      </c>
      <c r="M295" s="13">
        <f t="shared" si="204"/>
        <v>30030</v>
      </c>
      <c r="N295" s="13">
        <f t="shared" si="204"/>
        <v>29255</v>
      </c>
      <c r="O295" s="13">
        <f t="shared" si="204"/>
        <v>109218</v>
      </c>
      <c r="P295" s="92">
        <f t="shared" si="197"/>
        <v>330766</v>
      </c>
    </row>
    <row r="296" spans="1:16" ht="16.5" customHeight="1" x14ac:dyDescent="0.25">
      <c r="A296" s="102">
        <f t="shared" ref="A296" si="205">A293+1</f>
        <v>97</v>
      </c>
      <c r="B296" s="105" t="s">
        <v>11</v>
      </c>
      <c r="C296" s="106" t="s">
        <v>454</v>
      </c>
      <c r="D296" s="182">
        <v>44169</v>
      </c>
      <c r="E296" s="181" t="s">
        <v>362</v>
      </c>
      <c r="F296" s="37" t="s">
        <v>363</v>
      </c>
      <c r="G296" s="10" t="s">
        <v>5</v>
      </c>
      <c r="H296" s="72">
        <v>36000</v>
      </c>
      <c r="I296" s="72">
        <v>36000</v>
      </c>
      <c r="J296" s="72">
        <v>36000</v>
      </c>
      <c r="K296" s="72">
        <v>36000</v>
      </c>
      <c r="L296" s="72">
        <v>36000</v>
      </c>
      <c r="M296" s="72">
        <v>36000</v>
      </c>
      <c r="N296" s="72">
        <v>36000</v>
      </c>
      <c r="O296" s="72">
        <f>392217-35656+3393-36000</f>
        <v>323954</v>
      </c>
      <c r="P296" s="11">
        <f>SUM(H296:O296)</f>
        <v>575954</v>
      </c>
    </row>
    <row r="297" spans="1:16" ht="16.5" customHeight="1" x14ac:dyDescent="0.25">
      <c r="A297" s="103"/>
      <c r="B297" s="105"/>
      <c r="C297" s="107"/>
      <c r="D297" s="182"/>
      <c r="E297" s="181"/>
      <c r="F297" s="17" t="s">
        <v>364</v>
      </c>
      <c r="G297" s="14" t="s">
        <v>8</v>
      </c>
      <c r="H297" s="15">
        <v>18833</v>
      </c>
      <c r="I297" s="15">
        <v>16637</v>
      </c>
      <c r="J297" s="73">
        <v>15589</v>
      </c>
      <c r="K297" s="73">
        <v>14500</v>
      </c>
      <c r="L297" s="74">
        <v>13334</v>
      </c>
      <c r="M297" s="74">
        <v>12208</v>
      </c>
      <c r="N297" s="74">
        <v>11084</v>
      </c>
      <c r="O297" s="74">
        <v>48814</v>
      </c>
      <c r="P297" s="15">
        <f t="shared" si="197"/>
        <v>150999</v>
      </c>
    </row>
    <row r="298" spans="1:16" ht="16.5" customHeight="1" x14ac:dyDescent="0.25">
      <c r="A298" s="104"/>
      <c r="B298" s="105"/>
      <c r="C298" s="107"/>
      <c r="D298" s="182"/>
      <c r="E298" s="181"/>
      <c r="F298" s="12"/>
      <c r="G298" s="12" t="s">
        <v>99</v>
      </c>
      <c r="H298" s="13">
        <f t="shared" ref="H298:N298" si="206">SUM(H296:H297)</f>
        <v>54833</v>
      </c>
      <c r="I298" s="13">
        <f t="shared" si="206"/>
        <v>52637</v>
      </c>
      <c r="J298" s="13">
        <f t="shared" si="206"/>
        <v>51589</v>
      </c>
      <c r="K298" s="13">
        <f t="shared" si="206"/>
        <v>50500</v>
      </c>
      <c r="L298" s="13">
        <f t="shared" si="206"/>
        <v>49334</v>
      </c>
      <c r="M298" s="13">
        <f t="shared" si="206"/>
        <v>48208</v>
      </c>
      <c r="N298" s="13">
        <f t="shared" si="206"/>
        <v>47084</v>
      </c>
      <c r="O298" s="13">
        <f>SUM(O296:O297)</f>
        <v>372768</v>
      </c>
      <c r="P298" s="92">
        <f t="shared" si="197"/>
        <v>726953</v>
      </c>
    </row>
    <row r="299" spans="1:16" ht="16.2" customHeight="1" x14ac:dyDescent="0.25">
      <c r="A299" s="102">
        <f t="shared" ref="A299" si="207">A296+1</f>
        <v>98</v>
      </c>
      <c r="B299" s="105" t="s">
        <v>11</v>
      </c>
      <c r="C299" s="107" t="s">
        <v>570</v>
      </c>
      <c r="D299" s="182">
        <v>44176</v>
      </c>
      <c r="E299" s="181" t="s">
        <v>361</v>
      </c>
      <c r="F299" s="37" t="s">
        <v>365</v>
      </c>
      <c r="G299" s="10" t="s">
        <v>5</v>
      </c>
      <c r="H299" s="11">
        <v>5544</v>
      </c>
      <c r="I299" s="11">
        <v>5544</v>
      </c>
      <c r="J299" s="11">
        <v>5544</v>
      </c>
      <c r="K299" s="11">
        <v>5544</v>
      </c>
      <c r="L299" s="11">
        <v>5544</v>
      </c>
      <c r="M299" s="11">
        <v>5544</v>
      </c>
      <c r="N299" s="11">
        <v>5544</v>
      </c>
      <c r="O299" s="11">
        <f>32856-5476+315-5544</f>
        <v>22151</v>
      </c>
      <c r="P299" s="11">
        <f>SUM(H299:O299)</f>
        <v>60959</v>
      </c>
    </row>
    <row r="300" spans="1:16" ht="16.2" customHeight="1" x14ac:dyDescent="0.25">
      <c r="A300" s="103"/>
      <c r="B300" s="105"/>
      <c r="C300" s="107"/>
      <c r="D300" s="182"/>
      <c r="E300" s="181"/>
      <c r="F300" s="17" t="s">
        <v>366</v>
      </c>
      <c r="G300" s="14" t="s">
        <v>8</v>
      </c>
      <c r="H300" s="15">
        <v>1964</v>
      </c>
      <c r="I300" s="15">
        <v>1653</v>
      </c>
      <c r="J300" s="15">
        <v>1485</v>
      </c>
      <c r="K300" s="15">
        <v>1320</v>
      </c>
      <c r="L300" s="49">
        <v>1149</v>
      </c>
      <c r="M300" s="49">
        <v>981</v>
      </c>
      <c r="N300" s="49">
        <v>813</v>
      </c>
      <c r="O300" s="49">
        <v>1568</v>
      </c>
      <c r="P300" s="15">
        <f t="shared" si="197"/>
        <v>10933</v>
      </c>
    </row>
    <row r="301" spans="1:16" ht="16.2" customHeight="1" x14ac:dyDescent="0.25">
      <c r="A301" s="104"/>
      <c r="B301" s="105"/>
      <c r="C301" s="107"/>
      <c r="D301" s="182"/>
      <c r="E301" s="181"/>
      <c r="F301" s="12"/>
      <c r="G301" s="12" t="s">
        <v>99</v>
      </c>
      <c r="H301" s="13">
        <f t="shared" ref="H301:N301" si="208">SUM(H299:H300)</f>
        <v>7508</v>
      </c>
      <c r="I301" s="13">
        <f t="shared" si="208"/>
        <v>7197</v>
      </c>
      <c r="J301" s="13">
        <f t="shared" si="208"/>
        <v>7029</v>
      </c>
      <c r="K301" s="13">
        <f t="shared" si="208"/>
        <v>6864</v>
      </c>
      <c r="L301" s="13">
        <f t="shared" si="208"/>
        <v>6693</v>
      </c>
      <c r="M301" s="13">
        <f t="shared" si="208"/>
        <v>6525</v>
      </c>
      <c r="N301" s="13">
        <f t="shared" si="208"/>
        <v>6357</v>
      </c>
      <c r="O301" s="13">
        <f>SUM(O299:O300)</f>
        <v>23719</v>
      </c>
      <c r="P301" s="92">
        <f t="shared" si="197"/>
        <v>71892</v>
      </c>
    </row>
    <row r="302" spans="1:16" ht="16.2" customHeight="1" x14ac:dyDescent="0.25">
      <c r="A302" s="102">
        <f t="shared" ref="A302" si="209">A299+1</f>
        <v>99</v>
      </c>
      <c r="B302" s="105" t="s">
        <v>11</v>
      </c>
      <c r="C302" s="107" t="s">
        <v>621</v>
      </c>
      <c r="D302" s="182">
        <v>44182</v>
      </c>
      <c r="E302" s="181" t="s">
        <v>367</v>
      </c>
      <c r="F302" s="37" t="s">
        <v>368</v>
      </c>
      <c r="G302" s="10" t="s">
        <v>5</v>
      </c>
      <c r="H302" s="11">
        <v>13460</v>
      </c>
      <c r="I302" s="11">
        <v>13460</v>
      </c>
      <c r="J302" s="11">
        <v>13460</v>
      </c>
      <c r="K302" s="11">
        <v>13460</v>
      </c>
      <c r="L302" s="11">
        <v>13460</v>
      </c>
      <c r="M302" s="11">
        <v>13460</v>
      </c>
      <c r="N302" s="11">
        <v>0</v>
      </c>
      <c r="O302" s="11">
        <v>0</v>
      </c>
      <c r="P302" s="11">
        <f>SUM(H302:O302)</f>
        <v>80760</v>
      </c>
    </row>
    <row r="303" spans="1:16" ht="16.2" customHeight="1" x14ac:dyDescent="0.25">
      <c r="A303" s="103"/>
      <c r="B303" s="105"/>
      <c r="C303" s="107"/>
      <c r="D303" s="182"/>
      <c r="E303" s="181"/>
      <c r="F303" s="17" t="s">
        <v>369</v>
      </c>
      <c r="G303" s="14" t="s">
        <v>8</v>
      </c>
      <c r="H303" s="15">
        <v>199</v>
      </c>
      <c r="I303" s="15">
        <v>165</v>
      </c>
      <c r="J303" s="15">
        <v>131</v>
      </c>
      <c r="K303" s="15">
        <v>97</v>
      </c>
      <c r="L303" s="49">
        <v>63</v>
      </c>
      <c r="M303" s="49">
        <v>29</v>
      </c>
      <c r="N303" s="49">
        <v>1</v>
      </c>
      <c r="O303" s="49">
        <v>0</v>
      </c>
      <c r="P303" s="15">
        <f t="shared" si="197"/>
        <v>685</v>
      </c>
    </row>
    <row r="304" spans="1:16" ht="16.2" customHeight="1" x14ac:dyDescent="0.25">
      <c r="A304" s="104"/>
      <c r="B304" s="105"/>
      <c r="C304" s="107"/>
      <c r="D304" s="182"/>
      <c r="E304" s="181"/>
      <c r="F304" s="12"/>
      <c r="G304" s="12" t="s">
        <v>99</v>
      </c>
      <c r="H304" s="13">
        <f t="shared" ref="H304:O304" si="210">SUM(H302:H303)</f>
        <v>13659</v>
      </c>
      <c r="I304" s="13">
        <f t="shared" si="210"/>
        <v>13625</v>
      </c>
      <c r="J304" s="13">
        <f t="shared" si="210"/>
        <v>13591</v>
      </c>
      <c r="K304" s="13">
        <f t="shared" si="210"/>
        <v>13557</v>
      </c>
      <c r="L304" s="13">
        <f t="shared" si="210"/>
        <v>13523</v>
      </c>
      <c r="M304" s="13">
        <f t="shared" si="210"/>
        <v>13489</v>
      </c>
      <c r="N304" s="13">
        <f t="shared" si="210"/>
        <v>1</v>
      </c>
      <c r="O304" s="13">
        <f t="shared" si="210"/>
        <v>0</v>
      </c>
      <c r="P304" s="92">
        <f t="shared" si="197"/>
        <v>81445</v>
      </c>
    </row>
    <row r="305" spans="1:16" ht="16.2" customHeight="1" x14ac:dyDescent="0.25">
      <c r="A305" s="102">
        <f t="shared" ref="A305" si="211">A302+1</f>
        <v>100</v>
      </c>
      <c r="B305" s="105" t="s">
        <v>11</v>
      </c>
      <c r="C305" s="107" t="s">
        <v>622</v>
      </c>
      <c r="D305" s="182">
        <v>44182</v>
      </c>
      <c r="E305" s="181" t="s">
        <v>367</v>
      </c>
      <c r="F305" s="37" t="s">
        <v>370</v>
      </c>
      <c r="G305" s="10" t="s">
        <v>5</v>
      </c>
      <c r="H305" s="72">
        <v>7628</v>
      </c>
      <c r="I305" s="72">
        <v>7628</v>
      </c>
      <c r="J305" s="72">
        <v>7628</v>
      </c>
      <c r="K305" s="72">
        <v>7628</v>
      </c>
      <c r="L305" s="72">
        <v>7628</v>
      </c>
      <c r="M305" s="72">
        <v>7628</v>
      </c>
      <c r="N305" s="72">
        <v>0</v>
      </c>
      <c r="O305" s="72">
        <v>0</v>
      </c>
      <c r="P305" s="11">
        <f>SUM(H305:O305)</f>
        <v>45768</v>
      </c>
    </row>
    <row r="306" spans="1:16" ht="16.2" customHeight="1" x14ac:dyDescent="0.25">
      <c r="A306" s="103"/>
      <c r="B306" s="105"/>
      <c r="C306" s="107"/>
      <c r="D306" s="182"/>
      <c r="E306" s="181"/>
      <c r="F306" s="17" t="s">
        <v>371</v>
      </c>
      <c r="G306" s="14" t="s">
        <v>8</v>
      </c>
      <c r="H306" s="15">
        <v>113</v>
      </c>
      <c r="I306" s="15">
        <v>94</v>
      </c>
      <c r="J306" s="15">
        <v>74</v>
      </c>
      <c r="K306" s="15">
        <v>55</v>
      </c>
      <c r="L306" s="49">
        <v>36</v>
      </c>
      <c r="M306" s="49">
        <v>16</v>
      </c>
      <c r="N306" s="49">
        <v>1</v>
      </c>
      <c r="O306" s="49">
        <v>0</v>
      </c>
      <c r="P306" s="15">
        <f t="shared" si="197"/>
        <v>389</v>
      </c>
    </row>
    <row r="307" spans="1:16" ht="16.2" customHeight="1" x14ac:dyDescent="0.25">
      <c r="A307" s="104"/>
      <c r="B307" s="105"/>
      <c r="C307" s="107"/>
      <c r="D307" s="182"/>
      <c r="E307" s="181"/>
      <c r="F307" s="12"/>
      <c r="G307" s="12" t="s">
        <v>99</v>
      </c>
      <c r="H307" s="13">
        <f t="shared" ref="H307:O307" si="212">SUM(H305:H306)</f>
        <v>7741</v>
      </c>
      <c r="I307" s="13">
        <f t="shared" si="212"/>
        <v>7722</v>
      </c>
      <c r="J307" s="13">
        <f t="shared" si="212"/>
        <v>7702</v>
      </c>
      <c r="K307" s="13">
        <f t="shared" si="212"/>
        <v>7683</v>
      </c>
      <c r="L307" s="13">
        <f t="shared" si="212"/>
        <v>7664</v>
      </c>
      <c r="M307" s="13">
        <f t="shared" si="212"/>
        <v>7644</v>
      </c>
      <c r="N307" s="13">
        <f t="shared" si="212"/>
        <v>1</v>
      </c>
      <c r="O307" s="13">
        <f t="shared" si="212"/>
        <v>0</v>
      </c>
      <c r="P307" s="92">
        <f t="shared" si="197"/>
        <v>46157</v>
      </c>
    </row>
    <row r="308" spans="1:16" ht="16.2" customHeight="1" x14ac:dyDescent="0.25">
      <c r="A308" s="102">
        <f t="shared" ref="A308" si="213">A305+1</f>
        <v>101</v>
      </c>
      <c r="B308" s="105" t="s">
        <v>11</v>
      </c>
      <c r="C308" s="106" t="s">
        <v>480</v>
      </c>
      <c r="D308" s="182">
        <v>44224</v>
      </c>
      <c r="E308" s="181" t="s">
        <v>374</v>
      </c>
      <c r="F308" s="37" t="s">
        <v>372</v>
      </c>
      <c r="G308" s="10" t="s">
        <v>5</v>
      </c>
      <c r="H308" s="11">
        <f>94448+1416</f>
        <v>95864</v>
      </c>
      <c r="I308" s="11">
        <f>94448+1416</f>
        <v>95864</v>
      </c>
      <c r="J308" s="11">
        <f t="shared" ref="J308:M308" si="214">94448+1416</f>
        <v>95864</v>
      </c>
      <c r="K308" s="11">
        <f t="shared" si="214"/>
        <v>95864</v>
      </c>
      <c r="L308" s="11">
        <f t="shared" si="214"/>
        <v>95864</v>
      </c>
      <c r="M308" s="11">
        <f t="shared" si="214"/>
        <v>95864</v>
      </c>
      <c r="N308" s="11">
        <v>95864</v>
      </c>
      <c r="O308" s="11">
        <f>1109735-47195-94448+14475-95864</f>
        <v>886703</v>
      </c>
      <c r="P308" s="11">
        <f>SUM(H308:O308)</f>
        <v>1557751</v>
      </c>
    </row>
    <row r="309" spans="1:16" ht="16.2" customHeight="1" x14ac:dyDescent="0.25">
      <c r="A309" s="103"/>
      <c r="B309" s="105"/>
      <c r="C309" s="107"/>
      <c r="D309" s="182"/>
      <c r="E309" s="181"/>
      <c r="F309" s="17" t="s">
        <v>373</v>
      </c>
      <c r="G309" s="14" t="s">
        <v>8</v>
      </c>
      <c r="H309" s="15">
        <v>53777</v>
      </c>
      <c r="I309" s="15">
        <v>44972</v>
      </c>
      <c r="J309" s="15">
        <v>41923</v>
      </c>
      <c r="K309" s="15">
        <v>39048</v>
      </c>
      <c r="L309" s="49">
        <v>35966</v>
      </c>
      <c r="M309" s="49">
        <v>32992</v>
      </c>
      <c r="N309" s="49">
        <v>30022</v>
      </c>
      <c r="O309" s="49">
        <f>135892</f>
        <v>135892</v>
      </c>
      <c r="P309" s="15">
        <f t="shared" si="197"/>
        <v>414592</v>
      </c>
    </row>
    <row r="310" spans="1:16" ht="16.2" customHeight="1" x14ac:dyDescent="0.25">
      <c r="A310" s="104"/>
      <c r="B310" s="105"/>
      <c r="C310" s="107"/>
      <c r="D310" s="182"/>
      <c r="E310" s="181"/>
      <c r="F310" s="12"/>
      <c r="G310" s="12" t="s">
        <v>99</v>
      </c>
      <c r="H310" s="13">
        <f t="shared" ref="H310:O310" si="215">SUM(H308:H309)</f>
        <v>149641</v>
      </c>
      <c r="I310" s="13">
        <f t="shared" si="215"/>
        <v>140836</v>
      </c>
      <c r="J310" s="13">
        <f t="shared" si="215"/>
        <v>137787</v>
      </c>
      <c r="K310" s="13">
        <f t="shared" si="215"/>
        <v>134912</v>
      </c>
      <c r="L310" s="13">
        <f t="shared" si="215"/>
        <v>131830</v>
      </c>
      <c r="M310" s="13">
        <f t="shared" si="215"/>
        <v>128856</v>
      </c>
      <c r="N310" s="13">
        <f t="shared" si="215"/>
        <v>125886</v>
      </c>
      <c r="O310" s="13">
        <f t="shared" si="215"/>
        <v>1022595</v>
      </c>
      <c r="P310" s="92">
        <f t="shared" si="197"/>
        <v>1972343</v>
      </c>
    </row>
    <row r="311" spans="1:16" ht="16.2" customHeight="1" x14ac:dyDescent="0.25">
      <c r="A311" s="102">
        <f t="shared" ref="A311" si="216">A308+1</f>
        <v>102</v>
      </c>
      <c r="B311" s="105" t="s">
        <v>11</v>
      </c>
      <c r="C311" s="106" t="s">
        <v>455</v>
      </c>
      <c r="D311" s="182">
        <v>44237</v>
      </c>
      <c r="E311" s="181" t="s">
        <v>377</v>
      </c>
      <c r="F311" s="37" t="s">
        <v>375</v>
      </c>
      <c r="G311" s="10" t="s">
        <v>5</v>
      </c>
      <c r="H311" s="101">
        <v>0</v>
      </c>
      <c r="I311" s="11">
        <v>942832</v>
      </c>
      <c r="J311" s="11">
        <v>942832</v>
      </c>
      <c r="K311" s="11">
        <v>942832</v>
      </c>
      <c r="L311" s="11">
        <v>942832</v>
      </c>
      <c r="M311" s="11">
        <v>942832</v>
      </c>
      <c r="N311" s="11">
        <v>942832</v>
      </c>
      <c r="O311" s="11">
        <f>16970993-5656992</f>
        <v>11314001</v>
      </c>
      <c r="P311" s="11">
        <f>SUM(H311:O311)</f>
        <v>16970993</v>
      </c>
    </row>
    <row r="312" spans="1:16" ht="16.2" customHeight="1" x14ac:dyDescent="0.25">
      <c r="A312" s="103"/>
      <c r="B312" s="105"/>
      <c r="C312" s="107"/>
      <c r="D312" s="182"/>
      <c r="E312" s="181"/>
      <c r="F312" s="17" t="s">
        <v>376</v>
      </c>
      <c r="G312" s="14" t="s">
        <v>8</v>
      </c>
      <c r="H312" s="15">
        <v>581080</v>
      </c>
      <c r="I312" s="15">
        <v>467684</v>
      </c>
      <c r="J312" s="15">
        <v>424096</v>
      </c>
      <c r="K312" s="15">
        <v>398917</v>
      </c>
      <c r="L312" s="49">
        <v>373738</v>
      </c>
      <c r="M312" s="49">
        <v>348559</v>
      </c>
      <c r="N312" s="49">
        <v>323380</v>
      </c>
      <c r="O312" s="49">
        <f>1915946</f>
        <v>1915946</v>
      </c>
      <c r="P312" s="15">
        <f t="shared" si="197"/>
        <v>4833400</v>
      </c>
    </row>
    <row r="313" spans="1:16" ht="15" customHeight="1" x14ac:dyDescent="0.25">
      <c r="A313" s="104"/>
      <c r="B313" s="105"/>
      <c r="C313" s="107"/>
      <c r="D313" s="182"/>
      <c r="E313" s="181"/>
      <c r="F313" s="12"/>
      <c r="G313" s="12" t="s">
        <v>99</v>
      </c>
      <c r="H313" s="13">
        <f t="shared" ref="H313:O313" si="217">SUM(H311:H312)</f>
        <v>581080</v>
      </c>
      <c r="I313" s="13">
        <f t="shared" si="217"/>
        <v>1410516</v>
      </c>
      <c r="J313" s="13">
        <f t="shared" si="217"/>
        <v>1366928</v>
      </c>
      <c r="K313" s="13">
        <f t="shared" si="217"/>
        <v>1341749</v>
      </c>
      <c r="L313" s="13">
        <f t="shared" si="217"/>
        <v>1316570</v>
      </c>
      <c r="M313" s="13">
        <f t="shared" si="217"/>
        <v>1291391</v>
      </c>
      <c r="N313" s="13">
        <f t="shared" si="217"/>
        <v>1266212</v>
      </c>
      <c r="O313" s="13">
        <f t="shared" si="217"/>
        <v>13229947</v>
      </c>
      <c r="P313" s="92">
        <f t="shared" si="197"/>
        <v>21804393</v>
      </c>
    </row>
    <row r="314" spans="1:16" ht="15.75" customHeight="1" x14ac:dyDescent="0.25">
      <c r="A314" s="102">
        <f t="shared" ref="A314" si="218">A311+1</f>
        <v>103</v>
      </c>
      <c r="B314" s="105" t="s">
        <v>11</v>
      </c>
      <c r="C314" s="106" t="s">
        <v>668</v>
      </c>
      <c r="D314" s="182">
        <v>44251</v>
      </c>
      <c r="E314" s="181" t="s">
        <v>380</v>
      </c>
      <c r="F314" s="37" t="s">
        <v>378</v>
      </c>
      <c r="G314" s="10" t="s">
        <v>5</v>
      </c>
      <c r="H314" s="11">
        <v>25892</v>
      </c>
      <c r="I314" s="11">
        <v>25892</v>
      </c>
      <c r="J314" s="11">
        <v>25892</v>
      </c>
      <c r="K314" s="11">
        <v>25892</v>
      </c>
      <c r="L314" s="11">
        <v>25892</v>
      </c>
      <c r="M314" s="11">
        <v>25892</v>
      </c>
      <c r="N314" s="11">
        <v>25892</v>
      </c>
      <c r="O314" s="11">
        <f>286695-25484+4131-25892</f>
        <v>239450</v>
      </c>
      <c r="P314" s="11">
        <f>SUM(H314:O314)</f>
        <v>420694</v>
      </c>
    </row>
    <row r="315" spans="1:16" ht="15.75" customHeight="1" x14ac:dyDescent="0.25">
      <c r="A315" s="103"/>
      <c r="B315" s="105"/>
      <c r="C315" s="106"/>
      <c r="D315" s="182"/>
      <c r="E315" s="181"/>
      <c r="F315" s="17" t="s">
        <v>379</v>
      </c>
      <c r="G315" s="14" t="s">
        <v>8</v>
      </c>
      <c r="H315" s="15">
        <v>14573</v>
      </c>
      <c r="I315" s="15">
        <v>11630</v>
      </c>
      <c r="J315" s="15">
        <v>10841</v>
      </c>
      <c r="K315" s="15">
        <v>10097</v>
      </c>
      <c r="L315" s="49">
        <v>9300</v>
      </c>
      <c r="M315" s="49">
        <v>8531</v>
      </c>
      <c r="N315" s="49">
        <v>7763</v>
      </c>
      <c r="O315" s="49">
        <f>35137</f>
        <v>35137</v>
      </c>
      <c r="P315" s="15">
        <f t="shared" si="197"/>
        <v>107872</v>
      </c>
    </row>
    <row r="316" spans="1:16" ht="15.75" customHeight="1" x14ac:dyDescent="0.25">
      <c r="A316" s="104"/>
      <c r="B316" s="105"/>
      <c r="C316" s="106"/>
      <c r="D316" s="182"/>
      <c r="E316" s="181"/>
      <c r="F316" s="12"/>
      <c r="G316" s="12" t="s">
        <v>99</v>
      </c>
      <c r="H316" s="13">
        <f t="shared" ref="H316:O316" si="219">SUM(H314:H315)</f>
        <v>40465</v>
      </c>
      <c r="I316" s="13">
        <f t="shared" si="219"/>
        <v>37522</v>
      </c>
      <c r="J316" s="13">
        <f t="shared" si="219"/>
        <v>36733</v>
      </c>
      <c r="K316" s="13">
        <f t="shared" si="219"/>
        <v>35989</v>
      </c>
      <c r="L316" s="13">
        <f t="shared" si="219"/>
        <v>35192</v>
      </c>
      <c r="M316" s="13">
        <f t="shared" si="219"/>
        <v>34423</v>
      </c>
      <c r="N316" s="13">
        <f t="shared" si="219"/>
        <v>33655</v>
      </c>
      <c r="O316" s="13">
        <f t="shared" si="219"/>
        <v>274587</v>
      </c>
      <c r="P316" s="92">
        <f t="shared" si="197"/>
        <v>528566</v>
      </c>
    </row>
    <row r="317" spans="1:16" ht="15.75" customHeight="1" x14ac:dyDescent="0.25">
      <c r="A317" s="102">
        <f t="shared" ref="A317" si="220">A314+1</f>
        <v>104</v>
      </c>
      <c r="B317" s="105" t="s">
        <v>11</v>
      </c>
      <c r="C317" s="106" t="s">
        <v>479</v>
      </c>
      <c r="D317" s="182">
        <v>44280</v>
      </c>
      <c r="E317" s="181" t="s">
        <v>383</v>
      </c>
      <c r="F317" s="37" t="s">
        <v>381</v>
      </c>
      <c r="G317" s="10" t="s">
        <v>5</v>
      </c>
      <c r="H317" s="11">
        <v>3064</v>
      </c>
      <c r="I317" s="11">
        <v>3064</v>
      </c>
      <c r="J317" s="11">
        <v>3064</v>
      </c>
      <c r="K317" s="11">
        <v>3064</v>
      </c>
      <c r="L317" s="11">
        <v>3064</v>
      </c>
      <c r="M317" s="11">
        <v>3064</v>
      </c>
      <c r="N317" s="11">
        <v>3064</v>
      </c>
      <c r="O317" s="11">
        <f>18775-3004+279-3064</f>
        <v>12986</v>
      </c>
      <c r="P317" s="11">
        <f>SUM(H317:O317)</f>
        <v>34434</v>
      </c>
    </row>
    <row r="318" spans="1:16" ht="15.75" customHeight="1" x14ac:dyDescent="0.25">
      <c r="A318" s="103"/>
      <c r="B318" s="105"/>
      <c r="C318" s="106"/>
      <c r="D318" s="182"/>
      <c r="E318" s="181"/>
      <c r="F318" s="17" t="s">
        <v>382</v>
      </c>
      <c r="G318" s="14" t="s">
        <v>8</v>
      </c>
      <c r="H318" s="15">
        <v>1188</v>
      </c>
      <c r="I318" s="15">
        <v>895</v>
      </c>
      <c r="J318" s="15">
        <v>805</v>
      </c>
      <c r="K318" s="15">
        <v>718</v>
      </c>
      <c r="L318" s="15">
        <v>628</v>
      </c>
      <c r="M318" s="15">
        <v>539</v>
      </c>
      <c r="N318" s="15">
        <v>450</v>
      </c>
      <c r="O318" s="15">
        <f>924</f>
        <v>924</v>
      </c>
      <c r="P318" s="15">
        <f t="shared" si="197"/>
        <v>6147</v>
      </c>
    </row>
    <row r="319" spans="1:16" ht="15.75" customHeight="1" x14ac:dyDescent="0.25">
      <c r="A319" s="104"/>
      <c r="B319" s="105"/>
      <c r="C319" s="106"/>
      <c r="D319" s="182"/>
      <c r="E319" s="181"/>
      <c r="F319" s="12"/>
      <c r="G319" s="12" t="s">
        <v>99</v>
      </c>
      <c r="H319" s="13">
        <f t="shared" ref="H319:O319" si="221">SUM(H317:H318)</f>
        <v>4252</v>
      </c>
      <c r="I319" s="13">
        <f t="shared" si="221"/>
        <v>3959</v>
      </c>
      <c r="J319" s="13">
        <f t="shared" si="221"/>
        <v>3869</v>
      </c>
      <c r="K319" s="13">
        <f t="shared" si="221"/>
        <v>3782</v>
      </c>
      <c r="L319" s="13">
        <f t="shared" si="221"/>
        <v>3692</v>
      </c>
      <c r="M319" s="13">
        <f t="shared" si="221"/>
        <v>3603</v>
      </c>
      <c r="N319" s="13">
        <f t="shared" si="221"/>
        <v>3514</v>
      </c>
      <c r="O319" s="13">
        <f t="shared" si="221"/>
        <v>13910</v>
      </c>
      <c r="P319" s="92">
        <f t="shared" si="197"/>
        <v>40581</v>
      </c>
    </row>
    <row r="320" spans="1:16" ht="24" customHeight="1" x14ac:dyDescent="0.25">
      <c r="A320" s="102">
        <f t="shared" ref="A320" si="222">A317+1</f>
        <v>105</v>
      </c>
      <c r="B320" s="105" t="s">
        <v>11</v>
      </c>
      <c r="C320" s="172" t="s">
        <v>672</v>
      </c>
      <c r="D320" s="182">
        <v>44315</v>
      </c>
      <c r="E320" s="181" t="s">
        <v>386</v>
      </c>
      <c r="F320" s="37" t="s">
        <v>384</v>
      </c>
      <c r="G320" s="10" t="s">
        <v>5</v>
      </c>
      <c r="H320" s="11">
        <v>20028</v>
      </c>
      <c r="I320" s="11">
        <v>20028</v>
      </c>
      <c r="J320" s="11">
        <v>20028</v>
      </c>
      <c r="K320" s="11">
        <v>20028</v>
      </c>
      <c r="L320" s="11">
        <v>20028</v>
      </c>
      <c r="M320" s="11">
        <v>20028</v>
      </c>
      <c r="N320" s="11">
        <v>20028</v>
      </c>
      <c r="O320" s="11">
        <f>225446-19604+4404-20028</f>
        <v>190218</v>
      </c>
      <c r="P320" s="11">
        <f>SUM(H320:O320)</f>
        <v>330414</v>
      </c>
    </row>
    <row r="321" spans="1:16" ht="18" customHeight="1" x14ac:dyDescent="0.25">
      <c r="A321" s="103"/>
      <c r="B321" s="105"/>
      <c r="C321" s="172"/>
      <c r="D321" s="182"/>
      <c r="E321" s="181"/>
      <c r="F321" s="17" t="s">
        <v>385</v>
      </c>
      <c r="G321" s="14" t="s">
        <v>8</v>
      </c>
      <c r="H321" s="15">
        <v>12073</v>
      </c>
      <c r="I321" s="15">
        <v>9067</v>
      </c>
      <c r="J321" s="15">
        <v>8461</v>
      </c>
      <c r="K321" s="15">
        <v>7891</v>
      </c>
      <c r="L321" s="49">
        <v>7280</v>
      </c>
      <c r="M321" s="49">
        <v>6690</v>
      </c>
      <c r="N321" s="49">
        <v>6101</v>
      </c>
      <c r="O321" s="49">
        <f>28354</f>
        <v>28354</v>
      </c>
      <c r="P321" s="15">
        <f t="shared" si="197"/>
        <v>85917</v>
      </c>
    </row>
    <row r="322" spans="1:16" ht="20.399999999999999" customHeight="1" x14ac:dyDescent="0.25">
      <c r="A322" s="104"/>
      <c r="B322" s="105"/>
      <c r="C322" s="172"/>
      <c r="D322" s="182"/>
      <c r="E322" s="181"/>
      <c r="F322" s="12"/>
      <c r="G322" s="12" t="s">
        <v>99</v>
      </c>
      <c r="H322" s="13">
        <f t="shared" ref="H322:O322" si="223">SUM(H320:H321)</f>
        <v>32101</v>
      </c>
      <c r="I322" s="13">
        <f t="shared" si="223"/>
        <v>29095</v>
      </c>
      <c r="J322" s="13">
        <f t="shared" si="223"/>
        <v>28489</v>
      </c>
      <c r="K322" s="13">
        <f t="shared" si="223"/>
        <v>27919</v>
      </c>
      <c r="L322" s="13">
        <f t="shared" si="223"/>
        <v>27308</v>
      </c>
      <c r="M322" s="13">
        <f t="shared" si="223"/>
        <v>26718</v>
      </c>
      <c r="N322" s="13">
        <f t="shared" si="223"/>
        <v>26129</v>
      </c>
      <c r="O322" s="13">
        <f t="shared" si="223"/>
        <v>218572</v>
      </c>
      <c r="P322" s="92">
        <f t="shared" si="197"/>
        <v>416331</v>
      </c>
    </row>
    <row r="323" spans="1:16" ht="15.75" customHeight="1" x14ac:dyDescent="0.25">
      <c r="A323" s="102">
        <f t="shared" ref="A323" si="224">A320+1</f>
        <v>106</v>
      </c>
      <c r="B323" s="105" t="s">
        <v>11</v>
      </c>
      <c r="C323" s="106" t="s">
        <v>459</v>
      </c>
      <c r="D323" s="182">
        <v>44326</v>
      </c>
      <c r="E323" s="181" t="s">
        <v>113</v>
      </c>
      <c r="F323" s="37" t="s">
        <v>387</v>
      </c>
      <c r="G323" s="10" t="s">
        <v>5</v>
      </c>
      <c r="H323" s="11">
        <v>68564</v>
      </c>
      <c r="I323" s="11">
        <v>44236</v>
      </c>
      <c r="J323" s="11">
        <f>21622+495</f>
        <v>22117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  <c r="P323" s="11">
        <f>SUM(H323:O323)</f>
        <v>134917</v>
      </c>
    </row>
    <row r="324" spans="1:16" ht="15.75" customHeight="1" x14ac:dyDescent="0.25">
      <c r="A324" s="103"/>
      <c r="B324" s="105"/>
      <c r="C324" s="107"/>
      <c r="D324" s="182"/>
      <c r="E324" s="181"/>
      <c r="F324" s="17" t="s">
        <v>388</v>
      </c>
      <c r="G324" s="14" t="s">
        <v>8</v>
      </c>
      <c r="H324" s="15">
        <f>4377+325</f>
        <v>4702</v>
      </c>
      <c r="I324" s="15">
        <f>1648+154</f>
        <v>1802</v>
      </c>
      <c r="J324" s="15">
        <f>397+37</f>
        <v>434</v>
      </c>
      <c r="K324" s="15">
        <v>0</v>
      </c>
      <c r="L324" s="15">
        <v>0</v>
      </c>
      <c r="M324" s="15">
        <v>0</v>
      </c>
      <c r="N324" s="15">
        <v>0</v>
      </c>
      <c r="O324" s="15">
        <v>0</v>
      </c>
      <c r="P324" s="15">
        <f t="shared" si="197"/>
        <v>6938</v>
      </c>
    </row>
    <row r="325" spans="1:16" ht="15.75" customHeight="1" x14ac:dyDescent="0.25">
      <c r="A325" s="104"/>
      <c r="B325" s="105"/>
      <c r="C325" s="107"/>
      <c r="D325" s="182"/>
      <c r="E325" s="181"/>
      <c r="F325" s="12"/>
      <c r="G325" s="12" t="s">
        <v>99</v>
      </c>
      <c r="H325" s="13">
        <f t="shared" ref="H325:O325" si="225">SUM(H323:H324)</f>
        <v>73266</v>
      </c>
      <c r="I325" s="13">
        <f t="shared" si="225"/>
        <v>46038</v>
      </c>
      <c r="J325" s="13">
        <f t="shared" si="225"/>
        <v>22551</v>
      </c>
      <c r="K325" s="13">
        <f t="shared" si="225"/>
        <v>0</v>
      </c>
      <c r="L325" s="13">
        <f t="shared" si="225"/>
        <v>0</v>
      </c>
      <c r="M325" s="13">
        <f>SUM(M323:M324)</f>
        <v>0</v>
      </c>
      <c r="N325" s="13">
        <f t="shared" ref="N325" si="226">SUM(N323:N324)</f>
        <v>0</v>
      </c>
      <c r="O325" s="13">
        <f t="shared" si="225"/>
        <v>0</v>
      </c>
      <c r="P325" s="92">
        <f t="shared" si="197"/>
        <v>141855</v>
      </c>
    </row>
    <row r="326" spans="1:16" ht="15.75" customHeight="1" x14ac:dyDescent="0.25">
      <c r="A326" s="102">
        <f t="shared" ref="A326" si="227">A323+1</f>
        <v>107</v>
      </c>
      <c r="B326" s="105" t="s">
        <v>11</v>
      </c>
      <c r="C326" s="107" t="s">
        <v>41</v>
      </c>
      <c r="D326" s="182">
        <v>44358</v>
      </c>
      <c r="E326" s="181" t="s">
        <v>392</v>
      </c>
      <c r="F326" s="37" t="s">
        <v>389</v>
      </c>
      <c r="G326" s="10" t="s">
        <v>5</v>
      </c>
      <c r="H326" s="11">
        <v>16112</v>
      </c>
      <c r="I326" s="11">
        <v>16112</v>
      </c>
      <c r="J326" s="11">
        <v>16112</v>
      </c>
      <c r="K326" s="11">
        <v>16112</v>
      </c>
      <c r="L326" s="11">
        <v>16112</v>
      </c>
      <c r="M326" s="11">
        <v>16112</v>
      </c>
      <c r="N326" s="11">
        <v>8041</v>
      </c>
      <c r="O326" s="11">
        <v>0</v>
      </c>
      <c r="P326" s="11">
        <f>SUM(H326:O326)</f>
        <v>104713</v>
      </c>
    </row>
    <row r="327" spans="1:16" ht="15.75" customHeight="1" x14ac:dyDescent="0.25">
      <c r="A327" s="103"/>
      <c r="B327" s="105"/>
      <c r="C327" s="107"/>
      <c r="D327" s="182"/>
      <c r="E327" s="181"/>
      <c r="F327" s="17" t="s">
        <v>393</v>
      </c>
      <c r="G327" s="14" t="s">
        <v>8</v>
      </c>
      <c r="H327" s="15">
        <v>3856</v>
      </c>
      <c r="I327" s="15">
        <v>2476</v>
      </c>
      <c r="J327" s="15">
        <v>2009</v>
      </c>
      <c r="K327" s="36">
        <v>1550</v>
      </c>
      <c r="L327" s="49">
        <v>1083</v>
      </c>
      <c r="M327" s="49">
        <v>621</v>
      </c>
      <c r="N327" s="49">
        <v>152</v>
      </c>
      <c r="O327" s="49">
        <v>0</v>
      </c>
      <c r="P327" s="15">
        <f t="shared" si="197"/>
        <v>11747</v>
      </c>
    </row>
    <row r="328" spans="1:16" ht="15.75" customHeight="1" x14ac:dyDescent="0.25">
      <c r="A328" s="104"/>
      <c r="B328" s="105"/>
      <c r="C328" s="107"/>
      <c r="D328" s="182"/>
      <c r="E328" s="181"/>
      <c r="F328" s="12"/>
      <c r="G328" s="12" t="s">
        <v>99</v>
      </c>
      <c r="H328" s="13">
        <f t="shared" ref="H328:O328" si="228">SUM(H326:H327)</f>
        <v>19968</v>
      </c>
      <c r="I328" s="13">
        <f t="shared" si="228"/>
        <v>18588</v>
      </c>
      <c r="J328" s="13">
        <f t="shared" si="228"/>
        <v>18121</v>
      </c>
      <c r="K328" s="13">
        <f t="shared" si="228"/>
        <v>17662</v>
      </c>
      <c r="L328" s="13">
        <f t="shared" si="228"/>
        <v>17195</v>
      </c>
      <c r="M328" s="13">
        <f t="shared" si="228"/>
        <v>16733</v>
      </c>
      <c r="N328" s="13">
        <f t="shared" si="228"/>
        <v>8193</v>
      </c>
      <c r="O328" s="13">
        <f t="shared" si="228"/>
        <v>0</v>
      </c>
      <c r="P328" s="92">
        <f t="shared" si="197"/>
        <v>116460</v>
      </c>
    </row>
    <row r="329" spans="1:16" ht="15.75" customHeight="1" x14ac:dyDescent="0.25">
      <c r="A329" s="102">
        <f t="shared" ref="A329" si="229">A326+1</f>
        <v>108</v>
      </c>
      <c r="B329" s="105" t="s">
        <v>11</v>
      </c>
      <c r="C329" s="107" t="s">
        <v>83</v>
      </c>
      <c r="D329" s="182">
        <v>44358</v>
      </c>
      <c r="E329" s="181" t="s">
        <v>391</v>
      </c>
      <c r="F329" s="37" t="s">
        <v>394</v>
      </c>
      <c r="G329" s="10" t="s">
        <v>5</v>
      </c>
      <c r="H329" s="11">
        <v>28252</v>
      </c>
      <c r="I329" s="11">
        <v>28252</v>
      </c>
      <c r="J329" s="11">
        <v>28252</v>
      </c>
      <c r="K329" s="11">
        <v>28252</v>
      </c>
      <c r="L329" s="11">
        <v>28252</v>
      </c>
      <c r="M329" s="11">
        <v>28252</v>
      </c>
      <c r="N329" s="11">
        <v>28252</v>
      </c>
      <c r="O329" s="11">
        <f>317768-27632+6473-28252</f>
        <v>268357</v>
      </c>
      <c r="P329" s="11">
        <f>SUM(H329:O329)</f>
        <v>466121</v>
      </c>
    </row>
    <row r="330" spans="1:16" ht="15.75" customHeight="1" x14ac:dyDescent="0.25">
      <c r="A330" s="103"/>
      <c r="B330" s="105"/>
      <c r="C330" s="107"/>
      <c r="D330" s="182"/>
      <c r="E330" s="181"/>
      <c r="F330" s="17" t="s">
        <v>390</v>
      </c>
      <c r="G330" s="14" t="s">
        <v>8</v>
      </c>
      <c r="H330" s="15">
        <v>18099</v>
      </c>
      <c r="I330" s="15">
        <v>13143</v>
      </c>
      <c r="J330" s="15">
        <v>12265</v>
      </c>
      <c r="K330" s="49">
        <v>11439</v>
      </c>
      <c r="L330" s="49">
        <v>10553</v>
      </c>
      <c r="M330" s="49">
        <v>9698</v>
      </c>
      <c r="N330" s="49">
        <v>8844</v>
      </c>
      <c r="O330" s="49">
        <f>41132</f>
        <v>41132</v>
      </c>
      <c r="P330" s="15">
        <f t="shared" si="197"/>
        <v>125173</v>
      </c>
    </row>
    <row r="331" spans="1:16" ht="15.75" customHeight="1" x14ac:dyDescent="0.25">
      <c r="A331" s="104"/>
      <c r="B331" s="105"/>
      <c r="C331" s="107"/>
      <c r="D331" s="182"/>
      <c r="E331" s="181"/>
      <c r="F331" s="12"/>
      <c r="G331" s="12" t="s">
        <v>99</v>
      </c>
      <c r="H331" s="13">
        <f t="shared" ref="H331:O331" si="230">SUM(H329:H330)</f>
        <v>46351</v>
      </c>
      <c r="I331" s="13">
        <f t="shared" si="230"/>
        <v>41395</v>
      </c>
      <c r="J331" s="13">
        <f t="shared" si="230"/>
        <v>40517</v>
      </c>
      <c r="K331" s="13">
        <f t="shared" si="230"/>
        <v>39691</v>
      </c>
      <c r="L331" s="13">
        <f t="shared" si="230"/>
        <v>38805</v>
      </c>
      <c r="M331" s="13">
        <f t="shared" si="230"/>
        <v>37950</v>
      </c>
      <c r="N331" s="13">
        <f t="shared" si="230"/>
        <v>37096</v>
      </c>
      <c r="O331" s="13">
        <f t="shared" si="230"/>
        <v>309489</v>
      </c>
      <c r="P331" s="92">
        <f t="shared" si="197"/>
        <v>591294</v>
      </c>
    </row>
    <row r="332" spans="1:16" ht="15.75" customHeight="1" x14ac:dyDescent="0.25">
      <c r="A332" s="102">
        <f t="shared" ref="A332" si="231">A329+1</f>
        <v>109</v>
      </c>
      <c r="B332" s="105" t="s">
        <v>11</v>
      </c>
      <c r="C332" s="107" t="s">
        <v>679</v>
      </c>
      <c r="D332" s="182">
        <v>44375</v>
      </c>
      <c r="E332" s="186" t="s">
        <v>397</v>
      </c>
      <c r="F332" s="37" t="s">
        <v>395</v>
      </c>
      <c r="G332" s="10" t="s">
        <v>5</v>
      </c>
      <c r="H332" s="11">
        <v>28220</v>
      </c>
      <c r="I332" s="11">
        <v>28220</v>
      </c>
      <c r="J332" s="11">
        <v>28220</v>
      </c>
      <c r="K332" s="11">
        <v>28220</v>
      </c>
      <c r="L332" s="11">
        <v>28220</v>
      </c>
      <c r="M332" s="11">
        <v>28220</v>
      </c>
      <c r="N332" s="11">
        <v>28220</v>
      </c>
      <c r="O332" s="11">
        <f>179322-27588+3436-28220</f>
        <v>126950</v>
      </c>
      <c r="P332" s="11">
        <f>SUM(H332:O332)</f>
        <v>324490</v>
      </c>
    </row>
    <row r="333" spans="1:16" ht="15.75" customHeight="1" x14ac:dyDescent="0.25">
      <c r="A333" s="103"/>
      <c r="B333" s="105"/>
      <c r="C333" s="107"/>
      <c r="D333" s="182"/>
      <c r="E333" s="186"/>
      <c r="F333" s="17" t="s">
        <v>396</v>
      </c>
      <c r="G333" s="14" t="s">
        <v>8</v>
      </c>
      <c r="H333" s="15">
        <v>12132</v>
      </c>
      <c r="I333" s="15">
        <v>8622</v>
      </c>
      <c r="J333" s="15">
        <v>7775</v>
      </c>
      <c r="K333" s="49">
        <v>6960</v>
      </c>
      <c r="L333" s="49">
        <v>6109</v>
      </c>
      <c r="M333" s="49">
        <v>5277</v>
      </c>
      <c r="N333" s="49">
        <v>4446</v>
      </c>
      <c r="O333" s="49">
        <f>9690</f>
        <v>9690</v>
      </c>
      <c r="P333" s="15">
        <f t="shared" si="197"/>
        <v>61011</v>
      </c>
    </row>
    <row r="334" spans="1:16" ht="18" customHeight="1" x14ac:dyDescent="0.25">
      <c r="A334" s="104"/>
      <c r="B334" s="105"/>
      <c r="C334" s="107"/>
      <c r="D334" s="182"/>
      <c r="E334" s="186"/>
      <c r="F334" s="12"/>
      <c r="G334" s="12" t="s">
        <v>99</v>
      </c>
      <c r="H334" s="13">
        <f t="shared" ref="H334:O334" si="232">SUM(H332:H333)</f>
        <v>40352</v>
      </c>
      <c r="I334" s="13">
        <f t="shared" si="232"/>
        <v>36842</v>
      </c>
      <c r="J334" s="13">
        <f t="shared" si="232"/>
        <v>35995</v>
      </c>
      <c r="K334" s="13">
        <f t="shared" si="232"/>
        <v>35180</v>
      </c>
      <c r="L334" s="13">
        <f t="shared" si="232"/>
        <v>34329</v>
      </c>
      <c r="M334" s="13">
        <f t="shared" si="232"/>
        <v>33497</v>
      </c>
      <c r="N334" s="13">
        <f t="shared" si="232"/>
        <v>32666</v>
      </c>
      <c r="O334" s="13">
        <f t="shared" si="232"/>
        <v>136640</v>
      </c>
      <c r="P334" s="92">
        <f t="shared" si="197"/>
        <v>385501</v>
      </c>
    </row>
    <row r="335" spans="1:16" ht="15.75" customHeight="1" x14ac:dyDescent="0.25">
      <c r="A335" s="102">
        <f t="shared" ref="A335" si="233">A332+1</f>
        <v>110</v>
      </c>
      <c r="B335" s="105" t="s">
        <v>11</v>
      </c>
      <c r="C335" s="106" t="s">
        <v>456</v>
      </c>
      <c r="D335" s="182">
        <v>44376</v>
      </c>
      <c r="E335" s="181" t="s">
        <v>398</v>
      </c>
      <c r="F335" s="37" t="s">
        <v>399</v>
      </c>
      <c r="G335" s="10" t="s">
        <v>5</v>
      </c>
      <c r="H335" s="11">
        <v>29744</v>
      </c>
      <c r="I335" s="11">
        <v>29744</v>
      </c>
      <c r="J335" s="11">
        <v>29744</v>
      </c>
      <c r="K335" s="11">
        <v>29744</v>
      </c>
      <c r="L335" s="11">
        <v>29744</v>
      </c>
      <c r="M335" s="11">
        <v>29744</v>
      </c>
      <c r="N335" s="11">
        <v>29744</v>
      </c>
      <c r="O335" s="11">
        <f>189098-29092+3573-29744</f>
        <v>133835</v>
      </c>
      <c r="P335" s="11">
        <f>SUM(H335:O335)</f>
        <v>342043</v>
      </c>
    </row>
    <row r="336" spans="1:16" ht="15.75" customHeight="1" x14ac:dyDescent="0.25">
      <c r="A336" s="103"/>
      <c r="B336" s="105"/>
      <c r="C336" s="107"/>
      <c r="D336" s="182"/>
      <c r="E336" s="181"/>
      <c r="F336" s="17" t="s">
        <v>400</v>
      </c>
      <c r="G336" s="14" t="s">
        <v>8</v>
      </c>
      <c r="H336" s="15">
        <v>12806</v>
      </c>
      <c r="I336" s="15">
        <v>9089</v>
      </c>
      <c r="J336" s="15">
        <v>8196</v>
      </c>
      <c r="K336" s="49">
        <v>7337</v>
      </c>
      <c r="L336" s="49">
        <v>6439</v>
      </c>
      <c r="M336" s="49">
        <v>5562</v>
      </c>
      <c r="N336" s="49">
        <v>4687</v>
      </c>
      <c r="O336" s="49">
        <f>10217</f>
        <v>10217</v>
      </c>
      <c r="P336" s="15">
        <f t="shared" si="197"/>
        <v>64333</v>
      </c>
    </row>
    <row r="337" spans="1:16" ht="15.75" customHeight="1" x14ac:dyDescent="0.25">
      <c r="A337" s="104"/>
      <c r="B337" s="105"/>
      <c r="C337" s="107"/>
      <c r="D337" s="182"/>
      <c r="E337" s="181"/>
      <c r="F337" s="12"/>
      <c r="G337" s="12" t="s">
        <v>99</v>
      </c>
      <c r="H337" s="13">
        <f t="shared" ref="H337:O337" si="234">SUM(H335:H336)</f>
        <v>42550</v>
      </c>
      <c r="I337" s="13">
        <f t="shared" si="234"/>
        <v>38833</v>
      </c>
      <c r="J337" s="13">
        <f t="shared" si="234"/>
        <v>37940</v>
      </c>
      <c r="K337" s="13">
        <f t="shared" si="234"/>
        <v>37081</v>
      </c>
      <c r="L337" s="13">
        <f t="shared" si="234"/>
        <v>36183</v>
      </c>
      <c r="M337" s="13">
        <f t="shared" si="234"/>
        <v>35306</v>
      </c>
      <c r="N337" s="13">
        <f t="shared" si="234"/>
        <v>34431</v>
      </c>
      <c r="O337" s="13">
        <f t="shared" si="234"/>
        <v>144052</v>
      </c>
      <c r="P337" s="92">
        <f t="shared" si="197"/>
        <v>406376</v>
      </c>
    </row>
    <row r="338" spans="1:16" ht="15.75" customHeight="1" x14ac:dyDescent="0.25">
      <c r="A338" s="102">
        <f t="shared" ref="A338" si="235">A335+1</f>
        <v>111</v>
      </c>
      <c r="B338" s="105" t="s">
        <v>11</v>
      </c>
      <c r="C338" s="106" t="s">
        <v>440</v>
      </c>
      <c r="D338" s="182">
        <v>44412</v>
      </c>
      <c r="E338" s="181" t="s">
        <v>401</v>
      </c>
      <c r="F338" s="37" t="s">
        <v>87</v>
      </c>
      <c r="G338" s="10" t="s">
        <v>5</v>
      </c>
      <c r="H338" s="11">
        <v>34784</v>
      </c>
      <c r="I338" s="11">
        <v>34784</v>
      </c>
      <c r="J338" s="11">
        <v>34784</v>
      </c>
      <c r="K338" s="11">
        <v>34784</v>
      </c>
      <c r="L338" s="11">
        <v>34784</v>
      </c>
      <c r="M338" s="11">
        <v>34784</v>
      </c>
      <c r="N338" s="11">
        <v>34784</v>
      </c>
      <c r="O338" s="11">
        <f>8696*82+8650-34784</f>
        <v>686938</v>
      </c>
      <c r="P338" s="11">
        <f>SUM(H338:O338)</f>
        <v>930426</v>
      </c>
    </row>
    <row r="339" spans="1:16" ht="15.75" customHeight="1" x14ac:dyDescent="0.25">
      <c r="A339" s="103"/>
      <c r="B339" s="105"/>
      <c r="C339" s="107"/>
      <c r="D339" s="182"/>
      <c r="E339" s="181"/>
      <c r="F339" s="17" t="s">
        <v>402</v>
      </c>
      <c r="G339" s="14" t="s">
        <v>8</v>
      </c>
      <c r="H339" s="15">
        <v>37492</v>
      </c>
      <c r="I339" s="15">
        <v>29653</v>
      </c>
      <c r="J339" s="15">
        <v>28450</v>
      </c>
      <c r="K339" s="15">
        <v>27365</v>
      </c>
      <c r="L339" s="15">
        <v>26133</v>
      </c>
      <c r="M339" s="15">
        <v>24976</v>
      </c>
      <c r="N339" s="15">
        <v>23821</v>
      </c>
      <c r="O339" s="15">
        <f>232075</f>
        <v>232075</v>
      </c>
      <c r="P339" s="15">
        <f t="shared" si="197"/>
        <v>429965</v>
      </c>
    </row>
    <row r="340" spans="1:16" ht="15.75" customHeight="1" x14ac:dyDescent="0.25">
      <c r="A340" s="104"/>
      <c r="B340" s="105"/>
      <c r="C340" s="107"/>
      <c r="D340" s="182"/>
      <c r="E340" s="181"/>
      <c r="F340" s="12"/>
      <c r="G340" s="12" t="s">
        <v>99</v>
      </c>
      <c r="H340" s="13">
        <f t="shared" ref="H340:O340" si="236">SUM(H338:H339)</f>
        <v>72276</v>
      </c>
      <c r="I340" s="13">
        <f t="shared" si="236"/>
        <v>64437</v>
      </c>
      <c r="J340" s="13">
        <f t="shared" si="236"/>
        <v>63234</v>
      </c>
      <c r="K340" s="13">
        <f t="shared" si="236"/>
        <v>62149</v>
      </c>
      <c r="L340" s="13">
        <f t="shared" si="236"/>
        <v>60917</v>
      </c>
      <c r="M340" s="13">
        <f t="shared" si="236"/>
        <v>59760</v>
      </c>
      <c r="N340" s="13">
        <f t="shared" si="236"/>
        <v>58605</v>
      </c>
      <c r="O340" s="13">
        <f t="shared" si="236"/>
        <v>919013</v>
      </c>
      <c r="P340" s="92">
        <f t="shared" si="197"/>
        <v>1360391</v>
      </c>
    </row>
    <row r="341" spans="1:16" ht="15.75" customHeight="1" x14ac:dyDescent="0.25">
      <c r="A341" s="102">
        <f t="shared" ref="A341" si="237">A338+1</f>
        <v>112</v>
      </c>
      <c r="B341" s="105" t="s">
        <v>11</v>
      </c>
      <c r="C341" s="185" t="s">
        <v>457</v>
      </c>
      <c r="D341" s="181" t="s">
        <v>93</v>
      </c>
      <c r="E341" s="181" t="s">
        <v>404</v>
      </c>
      <c r="F341" s="37" t="s">
        <v>88</v>
      </c>
      <c r="G341" s="10" t="s">
        <v>5</v>
      </c>
      <c r="H341" s="11">
        <v>9868</v>
      </c>
      <c r="I341" s="11">
        <v>9868</v>
      </c>
      <c r="J341" s="11">
        <v>9868</v>
      </c>
      <c r="K341" s="11">
        <v>7399</v>
      </c>
      <c r="L341" s="11">
        <v>0</v>
      </c>
      <c r="M341" s="11">
        <v>0</v>
      </c>
      <c r="N341" s="11">
        <v>0</v>
      </c>
      <c r="O341" s="11">
        <v>0</v>
      </c>
      <c r="P341" s="11">
        <f>SUM(H341:O341)</f>
        <v>37003</v>
      </c>
    </row>
    <row r="342" spans="1:16" ht="15.75" customHeight="1" x14ac:dyDescent="0.25">
      <c r="A342" s="103"/>
      <c r="B342" s="105"/>
      <c r="C342" s="185"/>
      <c r="D342" s="181"/>
      <c r="E342" s="181"/>
      <c r="F342" s="17" t="s">
        <v>403</v>
      </c>
      <c r="G342" s="14" t="s">
        <v>8</v>
      </c>
      <c r="H342" s="15">
        <v>1088</v>
      </c>
      <c r="I342" s="15">
        <v>724</v>
      </c>
      <c r="J342" s="15">
        <v>443</v>
      </c>
      <c r="K342" s="49">
        <v>165</v>
      </c>
      <c r="L342" s="15">
        <v>0</v>
      </c>
      <c r="M342" s="15">
        <v>0</v>
      </c>
      <c r="N342" s="15">
        <v>0</v>
      </c>
      <c r="O342" s="15">
        <v>0</v>
      </c>
      <c r="P342" s="15">
        <f t="shared" si="197"/>
        <v>2420</v>
      </c>
    </row>
    <row r="343" spans="1:16" ht="15.75" customHeight="1" x14ac:dyDescent="0.25">
      <c r="A343" s="104"/>
      <c r="B343" s="105"/>
      <c r="C343" s="185"/>
      <c r="D343" s="181"/>
      <c r="E343" s="181"/>
      <c r="F343" s="12"/>
      <c r="G343" s="12" t="s">
        <v>99</v>
      </c>
      <c r="H343" s="13">
        <f t="shared" ref="H343:O343" si="238">SUM(H341:H342)</f>
        <v>10956</v>
      </c>
      <c r="I343" s="13">
        <f t="shared" si="238"/>
        <v>10592</v>
      </c>
      <c r="J343" s="13">
        <f t="shared" si="238"/>
        <v>10311</v>
      </c>
      <c r="K343" s="13">
        <f t="shared" si="238"/>
        <v>7564</v>
      </c>
      <c r="L343" s="13">
        <f t="shared" si="238"/>
        <v>0</v>
      </c>
      <c r="M343" s="13">
        <f>SUM(M341:M342)</f>
        <v>0</v>
      </c>
      <c r="N343" s="13">
        <f t="shared" ref="N343" si="239">SUM(N341:N342)</f>
        <v>0</v>
      </c>
      <c r="O343" s="13">
        <f t="shared" si="238"/>
        <v>0</v>
      </c>
      <c r="P343" s="92">
        <f t="shared" si="197"/>
        <v>39423</v>
      </c>
    </row>
    <row r="344" spans="1:16" ht="15" customHeight="1" x14ac:dyDescent="0.25">
      <c r="A344" s="102">
        <f t="shared" ref="A344" si="240">A341+1</f>
        <v>113</v>
      </c>
      <c r="B344" s="105" t="s">
        <v>11</v>
      </c>
      <c r="C344" s="185" t="s">
        <v>458</v>
      </c>
      <c r="D344" s="181" t="s">
        <v>93</v>
      </c>
      <c r="E344" s="181" t="s">
        <v>404</v>
      </c>
      <c r="F344" s="37" t="s">
        <v>89</v>
      </c>
      <c r="G344" s="10" t="s">
        <v>5</v>
      </c>
      <c r="H344" s="11">
        <v>6032</v>
      </c>
      <c r="I344" s="11">
        <v>6032</v>
      </c>
      <c r="J344" s="11">
        <v>6032</v>
      </c>
      <c r="K344" s="11">
        <v>6032</v>
      </c>
      <c r="L344" s="11">
        <v>4520</v>
      </c>
      <c r="M344" s="11">
        <v>0</v>
      </c>
      <c r="N344" s="11">
        <v>0</v>
      </c>
      <c r="O344" s="11">
        <v>0</v>
      </c>
      <c r="P344" s="11">
        <f>SUM(H344:O344)</f>
        <v>28648</v>
      </c>
    </row>
    <row r="345" spans="1:16" ht="15" customHeight="1" x14ac:dyDescent="0.25">
      <c r="A345" s="103"/>
      <c r="B345" s="105"/>
      <c r="C345" s="185"/>
      <c r="D345" s="181"/>
      <c r="E345" s="181"/>
      <c r="F345" s="17" t="s">
        <v>405</v>
      </c>
      <c r="G345" s="14" t="s">
        <v>8</v>
      </c>
      <c r="H345" s="15">
        <v>850</v>
      </c>
      <c r="I345" s="15">
        <v>613</v>
      </c>
      <c r="J345" s="15">
        <v>441</v>
      </c>
      <c r="K345" s="15">
        <v>271</v>
      </c>
      <c r="L345" s="49">
        <v>101</v>
      </c>
      <c r="M345" s="15">
        <v>0</v>
      </c>
      <c r="N345" s="15">
        <v>0</v>
      </c>
      <c r="O345" s="15">
        <v>0</v>
      </c>
      <c r="P345" s="15">
        <f t="shared" si="197"/>
        <v>2276</v>
      </c>
    </row>
    <row r="346" spans="1:16" ht="15" customHeight="1" x14ac:dyDescent="0.25">
      <c r="A346" s="104"/>
      <c r="B346" s="105"/>
      <c r="C346" s="185"/>
      <c r="D346" s="181"/>
      <c r="E346" s="181"/>
      <c r="F346" s="12"/>
      <c r="G346" s="12" t="s">
        <v>99</v>
      </c>
      <c r="H346" s="13">
        <f t="shared" ref="H346:O346" si="241">SUM(H344:H345)</f>
        <v>6882</v>
      </c>
      <c r="I346" s="13">
        <f t="shared" si="241"/>
        <v>6645</v>
      </c>
      <c r="J346" s="13">
        <f t="shared" si="241"/>
        <v>6473</v>
      </c>
      <c r="K346" s="13">
        <f t="shared" si="241"/>
        <v>6303</v>
      </c>
      <c r="L346" s="13">
        <f t="shared" si="241"/>
        <v>4621</v>
      </c>
      <c r="M346" s="13">
        <f t="shared" si="241"/>
        <v>0</v>
      </c>
      <c r="N346" s="13">
        <f t="shared" si="241"/>
        <v>0</v>
      </c>
      <c r="O346" s="13">
        <f t="shared" si="241"/>
        <v>0</v>
      </c>
      <c r="P346" s="92">
        <f t="shared" si="197"/>
        <v>30924</v>
      </c>
    </row>
    <row r="347" spans="1:16" ht="15.75" customHeight="1" x14ac:dyDescent="0.25">
      <c r="A347" s="102">
        <f t="shared" ref="A347" si="242">A344+1</f>
        <v>114</v>
      </c>
      <c r="B347" s="105" t="s">
        <v>11</v>
      </c>
      <c r="C347" s="173" t="s">
        <v>76</v>
      </c>
      <c r="D347" s="181" t="s">
        <v>93</v>
      </c>
      <c r="E347" s="181" t="s">
        <v>406</v>
      </c>
      <c r="F347" s="37" t="s">
        <v>86</v>
      </c>
      <c r="G347" s="10" t="s">
        <v>5</v>
      </c>
      <c r="H347" s="11">
        <v>13444</v>
      </c>
      <c r="I347" s="11">
        <v>13444</v>
      </c>
      <c r="J347" s="11">
        <v>13444</v>
      </c>
      <c r="K347" s="11">
        <v>13444</v>
      </c>
      <c r="L347" s="11">
        <v>13444</v>
      </c>
      <c r="M347" s="11">
        <v>13444</v>
      </c>
      <c r="N347" s="11">
        <v>13444</v>
      </c>
      <c r="O347" s="11">
        <f>144473-13444</f>
        <v>131029</v>
      </c>
      <c r="P347" s="11">
        <f>SUM(H347:O347)</f>
        <v>225137</v>
      </c>
    </row>
    <row r="348" spans="1:16" ht="15.75" customHeight="1" x14ac:dyDescent="0.25">
      <c r="A348" s="103"/>
      <c r="B348" s="105"/>
      <c r="C348" s="173"/>
      <c r="D348" s="181"/>
      <c r="E348" s="181"/>
      <c r="F348" s="17" t="s">
        <v>407</v>
      </c>
      <c r="G348" s="14" t="s">
        <v>8</v>
      </c>
      <c r="H348" s="15">
        <v>7115</v>
      </c>
      <c r="I348" s="15">
        <v>6181</v>
      </c>
      <c r="J348" s="15">
        <v>5768</v>
      </c>
      <c r="K348" s="49">
        <v>5387</v>
      </c>
      <c r="L348" s="49">
        <v>4976</v>
      </c>
      <c r="M348" s="49">
        <v>4581</v>
      </c>
      <c r="N348" s="49">
        <v>4186</v>
      </c>
      <c r="O348" s="49">
        <f>19989</f>
        <v>19989</v>
      </c>
      <c r="P348" s="15">
        <f t="shared" si="197"/>
        <v>58183</v>
      </c>
    </row>
    <row r="349" spans="1:16" ht="15.75" customHeight="1" x14ac:dyDescent="0.25">
      <c r="A349" s="104"/>
      <c r="B349" s="105"/>
      <c r="C349" s="173"/>
      <c r="D349" s="181"/>
      <c r="E349" s="181"/>
      <c r="F349" s="12"/>
      <c r="G349" s="12" t="s">
        <v>99</v>
      </c>
      <c r="H349" s="13">
        <f t="shared" ref="H349:O349" si="243">SUM(H347:H348)</f>
        <v>20559</v>
      </c>
      <c r="I349" s="13">
        <f t="shared" si="243"/>
        <v>19625</v>
      </c>
      <c r="J349" s="13">
        <f t="shared" si="243"/>
        <v>19212</v>
      </c>
      <c r="K349" s="13">
        <f t="shared" si="243"/>
        <v>18831</v>
      </c>
      <c r="L349" s="13">
        <f t="shared" si="243"/>
        <v>18420</v>
      </c>
      <c r="M349" s="13">
        <f t="shared" si="243"/>
        <v>18025</v>
      </c>
      <c r="N349" s="13">
        <f t="shared" si="243"/>
        <v>17630</v>
      </c>
      <c r="O349" s="13">
        <f t="shared" si="243"/>
        <v>151018</v>
      </c>
      <c r="P349" s="92">
        <f t="shared" ref="P349:P352" si="244">SUM(H349:O349)</f>
        <v>283320</v>
      </c>
    </row>
    <row r="350" spans="1:16" ht="15.75" customHeight="1" x14ac:dyDescent="0.25">
      <c r="A350" s="102">
        <f t="shared" ref="A350" si="245">A347+1</f>
        <v>115</v>
      </c>
      <c r="B350" s="105" t="s">
        <v>11</v>
      </c>
      <c r="C350" s="173" t="s">
        <v>10</v>
      </c>
      <c r="D350" s="181" t="s">
        <v>84</v>
      </c>
      <c r="E350" s="181" t="s">
        <v>410</v>
      </c>
      <c r="F350" s="37" t="s">
        <v>408</v>
      </c>
      <c r="G350" s="10" t="s">
        <v>5</v>
      </c>
      <c r="H350" s="11">
        <v>70412</v>
      </c>
      <c r="I350" s="11">
        <v>70412</v>
      </c>
      <c r="J350" s="11">
        <v>70412</v>
      </c>
      <c r="K350" s="11">
        <v>70412</v>
      </c>
      <c r="L350" s="11">
        <v>70412</v>
      </c>
      <c r="M350" s="11">
        <v>70412</v>
      </c>
      <c r="N350" s="11">
        <v>70412</v>
      </c>
      <c r="O350" s="11">
        <f>1179256-69368+16624-70412</f>
        <v>1056100</v>
      </c>
      <c r="P350" s="11">
        <f>SUM(H350:O350)</f>
        <v>1548984</v>
      </c>
    </row>
    <row r="351" spans="1:16" ht="15.75" customHeight="1" x14ac:dyDescent="0.25">
      <c r="A351" s="103"/>
      <c r="B351" s="105"/>
      <c r="C351" s="173"/>
      <c r="D351" s="181"/>
      <c r="E351" s="181"/>
      <c r="F351" s="17" t="s">
        <v>409</v>
      </c>
      <c r="G351" s="14" t="s">
        <v>8</v>
      </c>
      <c r="H351" s="15">
        <v>52690</v>
      </c>
      <c r="I351" s="15">
        <v>47437</v>
      </c>
      <c r="J351" s="15">
        <v>45264</v>
      </c>
      <c r="K351" s="15">
        <v>43096</v>
      </c>
      <c r="L351" s="15">
        <v>40696</v>
      </c>
      <c r="M351" s="15">
        <v>38415</v>
      </c>
      <c r="N351" s="15">
        <v>36137</v>
      </c>
      <c r="O351" s="15">
        <f>266798</f>
        <v>266798</v>
      </c>
      <c r="P351" s="15">
        <f t="shared" si="244"/>
        <v>570533</v>
      </c>
    </row>
    <row r="352" spans="1:16" ht="15.75" customHeight="1" x14ac:dyDescent="0.25">
      <c r="A352" s="104"/>
      <c r="B352" s="105"/>
      <c r="C352" s="173"/>
      <c r="D352" s="181"/>
      <c r="E352" s="181"/>
      <c r="F352" s="12"/>
      <c r="G352" s="12" t="s">
        <v>99</v>
      </c>
      <c r="H352" s="13">
        <f t="shared" ref="H352:O352" si="246">SUM(H350:H351)</f>
        <v>123102</v>
      </c>
      <c r="I352" s="13">
        <f t="shared" si="246"/>
        <v>117849</v>
      </c>
      <c r="J352" s="13">
        <f t="shared" si="246"/>
        <v>115676</v>
      </c>
      <c r="K352" s="13">
        <f t="shared" si="246"/>
        <v>113508</v>
      </c>
      <c r="L352" s="13">
        <f t="shared" si="246"/>
        <v>111108</v>
      </c>
      <c r="M352" s="13">
        <f t="shared" si="246"/>
        <v>108827</v>
      </c>
      <c r="N352" s="13">
        <f t="shared" si="246"/>
        <v>106549</v>
      </c>
      <c r="O352" s="13">
        <f t="shared" si="246"/>
        <v>1322898</v>
      </c>
      <c r="P352" s="92">
        <f t="shared" si="244"/>
        <v>2119517</v>
      </c>
    </row>
    <row r="353" spans="1:16" ht="16.5" customHeight="1" x14ac:dyDescent="0.25">
      <c r="A353" s="102">
        <f t="shared" ref="A353" si="247">A350+1</f>
        <v>116</v>
      </c>
      <c r="B353" s="105" t="s">
        <v>11</v>
      </c>
      <c r="C353" s="184" t="s">
        <v>684</v>
      </c>
      <c r="D353" s="181" t="s">
        <v>94</v>
      </c>
      <c r="E353" s="181" t="s">
        <v>413</v>
      </c>
      <c r="F353" s="37" t="s">
        <v>411</v>
      </c>
      <c r="G353" s="10" t="s">
        <v>5</v>
      </c>
      <c r="H353" s="72">
        <v>15944</v>
      </c>
      <c r="I353" s="72">
        <v>15944</v>
      </c>
      <c r="J353" s="72">
        <v>15944</v>
      </c>
      <c r="K353" s="72">
        <v>15944</v>
      </c>
      <c r="L353" s="72">
        <v>15944</v>
      </c>
      <c r="M353" s="72">
        <v>15944</v>
      </c>
      <c r="N353" s="72">
        <v>15944</v>
      </c>
      <c r="O353" s="72">
        <f>189168-15764+1964-15944</f>
        <v>159424</v>
      </c>
      <c r="P353" s="11">
        <f>SUM(H353:O353)</f>
        <v>271032</v>
      </c>
    </row>
    <row r="354" spans="1:16" ht="16.5" customHeight="1" x14ac:dyDescent="0.25">
      <c r="A354" s="103"/>
      <c r="B354" s="105"/>
      <c r="C354" s="184"/>
      <c r="D354" s="181"/>
      <c r="E354" s="181"/>
      <c r="F354" s="17" t="s">
        <v>412</v>
      </c>
      <c r="G354" s="14" t="s">
        <v>8</v>
      </c>
      <c r="H354" s="15">
        <f>9104+1633</f>
        <v>10737</v>
      </c>
      <c r="I354" s="15">
        <f>7880+1537</f>
        <v>9417</v>
      </c>
      <c r="J354" s="15">
        <f>7360+1440</f>
        <v>8800</v>
      </c>
      <c r="K354" s="15">
        <f>6882+1346</f>
        <v>8228</v>
      </c>
      <c r="L354" s="49">
        <f>6367+1246</f>
        <v>7613</v>
      </c>
      <c r="M354" s="49">
        <f>5871+1149</f>
        <v>7020</v>
      </c>
      <c r="N354" s="49">
        <f>5376+1052</f>
        <v>6428</v>
      </c>
      <c r="O354" s="49">
        <f>26353+5193</f>
        <v>31546</v>
      </c>
      <c r="P354" s="15">
        <f t="shared" ref="P354:P417" si="248">SUM(H354:O354)</f>
        <v>89789</v>
      </c>
    </row>
    <row r="355" spans="1:16" ht="16.5" customHeight="1" x14ac:dyDescent="0.25">
      <c r="A355" s="104"/>
      <c r="B355" s="105"/>
      <c r="C355" s="184"/>
      <c r="D355" s="181"/>
      <c r="E355" s="181"/>
      <c r="F355" s="12"/>
      <c r="G355" s="12" t="s">
        <v>99</v>
      </c>
      <c r="H355" s="13">
        <f t="shared" ref="H355:O355" si="249">SUM(H353:H354)</f>
        <v>26681</v>
      </c>
      <c r="I355" s="13">
        <f t="shared" si="249"/>
        <v>25361</v>
      </c>
      <c r="J355" s="13">
        <f t="shared" si="249"/>
        <v>24744</v>
      </c>
      <c r="K355" s="13">
        <f t="shared" si="249"/>
        <v>24172</v>
      </c>
      <c r="L355" s="13">
        <f t="shared" si="249"/>
        <v>23557</v>
      </c>
      <c r="M355" s="13">
        <f t="shared" si="249"/>
        <v>22964</v>
      </c>
      <c r="N355" s="13">
        <f t="shared" si="249"/>
        <v>22372</v>
      </c>
      <c r="O355" s="13">
        <f t="shared" si="249"/>
        <v>190970</v>
      </c>
      <c r="P355" s="92">
        <f t="shared" si="248"/>
        <v>360821</v>
      </c>
    </row>
    <row r="356" spans="1:16" ht="14.25" customHeight="1" x14ac:dyDescent="0.25">
      <c r="A356" s="102">
        <f t="shared" ref="A356" si="250">A353+1</f>
        <v>117</v>
      </c>
      <c r="B356" s="105" t="s">
        <v>11</v>
      </c>
      <c r="C356" s="184" t="s">
        <v>482</v>
      </c>
      <c r="D356" s="181" t="s">
        <v>94</v>
      </c>
      <c r="E356" s="181" t="s">
        <v>413</v>
      </c>
      <c r="F356" s="37" t="s">
        <v>414</v>
      </c>
      <c r="G356" s="10" t="s">
        <v>5</v>
      </c>
      <c r="H356" s="72">
        <v>29836</v>
      </c>
      <c r="I356" s="72">
        <v>29836</v>
      </c>
      <c r="J356" s="72">
        <v>29836</v>
      </c>
      <c r="K356" s="72">
        <v>29836</v>
      </c>
      <c r="L356" s="72">
        <v>29836</v>
      </c>
      <c r="M356" s="72">
        <v>29836</v>
      </c>
      <c r="N356" s="72">
        <v>29836</v>
      </c>
      <c r="O356" s="72">
        <f>354867-29576+2889-29836</f>
        <v>298344</v>
      </c>
      <c r="P356" s="11">
        <f>SUM(H356:O356)</f>
        <v>507196</v>
      </c>
    </row>
    <row r="357" spans="1:16" ht="14.25" customHeight="1" x14ac:dyDescent="0.25">
      <c r="A357" s="103"/>
      <c r="B357" s="105"/>
      <c r="C357" s="184"/>
      <c r="D357" s="181"/>
      <c r="E357" s="181"/>
      <c r="F357" s="17" t="s">
        <v>415</v>
      </c>
      <c r="G357" s="14" t="s">
        <v>8</v>
      </c>
      <c r="H357" s="15">
        <v>17040</v>
      </c>
      <c r="I357" s="15">
        <v>14747</v>
      </c>
      <c r="J357" s="15">
        <v>13773</v>
      </c>
      <c r="K357" s="15">
        <v>12878</v>
      </c>
      <c r="L357" s="49">
        <v>11915</v>
      </c>
      <c r="M357" s="49">
        <v>10987</v>
      </c>
      <c r="N357" s="49">
        <v>10061</v>
      </c>
      <c r="O357" s="49">
        <f>49319</f>
        <v>49319</v>
      </c>
      <c r="P357" s="15">
        <f t="shared" si="248"/>
        <v>140720</v>
      </c>
    </row>
    <row r="358" spans="1:16" ht="14.25" customHeight="1" x14ac:dyDescent="0.25">
      <c r="A358" s="104"/>
      <c r="B358" s="105"/>
      <c r="C358" s="184"/>
      <c r="D358" s="181"/>
      <c r="E358" s="181"/>
      <c r="F358" s="12"/>
      <c r="G358" s="12" t="s">
        <v>99</v>
      </c>
      <c r="H358" s="13">
        <f t="shared" ref="H358:O358" si="251">SUM(H356:H357)</f>
        <v>46876</v>
      </c>
      <c r="I358" s="13">
        <f t="shared" si="251"/>
        <v>44583</v>
      </c>
      <c r="J358" s="13">
        <f t="shared" si="251"/>
        <v>43609</v>
      </c>
      <c r="K358" s="13">
        <f t="shared" si="251"/>
        <v>42714</v>
      </c>
      <c r="L358" s="13">
        <f t="shared" si="251"/>
        <v>41751</v>
      </c>
      <c r="M358" s="13">
        <f t="shared" si="251"/>
        <v>40823</v>
      </c>
      <c r="N358" s="13">
        <f t="shared" si="251"/>
        <v>39897</v>
      </c>
      <c r="O358" s="13">
        <f t="shared" si="251"/>
        <v>347663</v>
      </c>
      <c r="P358" s="92">
        <f t="shared" si="248"/>
        <v>647916</v>
      </c>
    </row>
    <row r="359" spans="1:16" ht="15" customHeight="1" x14ac:dyDescent="0.25">
      <c r="A359" s="102">
        <f t="shared" ref="A359" si="252">A356+1</f>
        <v>118</v>
      </c>
      <c r="B359" s="105" t="s">
        <v>11</v>
      </c>
      <c r="C359" s="107" t="s">
        <v>685</v>
      </c>
      <c r="D359" s="181" t="s">
        <v>416</v>
      </c>
      <c r="E359" s="181" t="s">
        <v>417</v>
      </c>
      <c r="F359" s="22" t="s">
        <v>419</v>
      </c>
      <c r="G359" s="10" t="s">
        <v>5</v>
      </c>
      <c r="H359" s="11">
        <v>123520</v>
      </c>
      <c r="I359" s="11">
        <v>123520</v>
      </c>
      <c r="J359" s="11">
        <v>123520</v>
      </c>
      <c r="K359" s="11">
        <v>123520</v>
      </c>
      <c r="L359" s="11">
        <v>123520</v>
      </c>
      <c r="M359" s="11">
        <v>123520</v>
      </c>
      <c r="N359" s="11">
        <v>123520</v>
      </c>
      <c r="O359" s="11">
        <f>2092632-121312+35867-123520</f>
        <v>1883667</v>
      </c>
      <c r="P359" s="11">
        <f>SUM(H359:O359)</f>
        <v>2748307</v>
      </c>
    </row>
    <row r="360" spans="1:16" ht="15" customHeight="1" x14ac:dyDescent="0.25">
      <c r="A360" s="103"/>
      <c r="B360" s="105"/>
      <c r="C360" s="107"/>
      <c r="D360" s="181"/>
      <c r="E360" s="181"/>
      <c r="F360" s="17" t="s">
        <v>420</v>
      </c>
      <c r="G360" s="14" t="s">
        <v>8</v>
      </c>
      <c r="H360" s="15">
        <v>109889</v>
      </c>
      <c r="I360" s="15">
        <v>91150</v>
      </c>
      <c r="J360" s="15">
        <v>86701</v>
      </c>
      <c r="K360" s="15">
        <v>82602</v>
      </c>
      <c r="L360" s="49">
        <v>78060</v>
      </c>
      <c r="M360" s="49">
        <v>73746</v>
      </c>
      <c r="N360" s="49">
        <v>69437</v>
      </c>
      <c r="O360" s="49">
        <f>521566</f>
        <v>521566</v>
      </c>
      <c r="P360" s="15">
        <f t="shared" si="248"/>
        <v>1113151</v>
      </c>
    </row>
    <row r="361" spans="1:16" ht="15" customHeight="1" x14ac:dyDescent="0.25">
      <c r="A361" s="104"/>
      <c r="B361" s="105"/>
      <c r="C361" s="107"/>
      <c r="D361" s="181"/>
      <c r="E361" s="181"/>
      <c r="F361" s="12"/>
      <c r="G361" s="12" t="s">
        <v>99</v>
      </c>
      <c r="H361" s="13">
        <f t="shared" ref="H361:O361" si="253">SUM(H359:H360)</f>
        <v>233409</v>
      </c>
      <c r="I361" s="13">
        <f t="shared" si="253"/>
        <v>214670</v>
      </c>
      <c r="J361" s="13">
        <f t="shared" si="253"/>
        <v>210221</v>
      </c>
      <c r="K361" s="13">
        <f t="shared" si="253"/>
        <v>206122</v>
      </c>
      <c r="L361" s="13">
        <f t="shared" si="253"/>
        <v>201580</v>
      </c>
      <c r="M361" s="13">
        <f t="shared" si="253"/>
        <v>197266</v>
      </c>
      <c r="N361" s="13">
        <f t="shared" si="253"/>
        <v>192957</v>
      </c>
      <c r="O361" s="13">
        <f t="shared" si="253"/>
        <v>2405233</v>
      </c>
      <c r="P361" s="92">
        <f t="shared" si="248"/>
        <v>3861458</v>
      </c>
    </row>
    <row r="362" spans="1:16" ht="15.6" customHeight="1" x14ac:dyDescent="0.25">
      <c r="A362" s="102">
        <f t="shared" ref="A362" si="254">A359+1</f>
        <v>119</v>
      </c>
      <c r="B362" s="105" t="s">
        <v>11</v>
      </c>
      <c r="C362" s="107" t="s">
        <v>9</v>
      </c>
      <c r="D362" s="181" t="s">
        <v>416</v>
      </c>
      <c r="E362" s="181" t="s">
        <v>418</v>
      </c>
      <c r="F362" s="22" t="s">
        <v>421</v>
      </c>
      <c r="G362" s="10" t="s">
        <v>5</v>
      </c>
      <c r="H362" s="72">
        <v>55016</v>
      </c>
      <c r="I362" s="72">
        <v>55016</v>
      </c>
      <c r="J362" s="72">
        <v>55016</v>
      </c>
      <c r="K362" s="72">
        <v>55016</v>
      </c>
      <c r="L362" s="72">
        <v>55016</v>
      </c>
      <c r="M362" s="72">
        <v>55016</v>
      </c>
      <c r="N362" s="72">
        <v>55016</v>
      </c>
      <c r="O362" s="72">
        <f>662235.45-54060+10712-55016</f>
        <v>563871.44999999995</v>
      </c>
      <c r="P362" s="11">
        <f>SUM(H362:O362)</f>
        <v>948983.45</v>
      </c>
    </row>
    <row r="363" spans="1:16" ht="15.6" customHeight="1" x14ac:dyDescent="0.25">
      <c r="A363" s="103"/>
      <c r="B363" s="105"/>
      <c r="C363" s="107"/>
      <c r="D363" s="181"/>
      <c r="E363" s="181"/>
      <c r="F363" s="17" t="s">
        <v>422</v>
      </c>
      <c r="G363" s="14" t="s">
        <v>8</v>
      </c>
      <c r="H363" s="15">
        <v>36661</v>
      </c>
      <c r="I363" s="15">
        <v>29808</v>
      </c>
      <c r="J363" s="15">
        <v>27913</v>
      </c>
      <c r="K363" s="15">
        <v>26131</v>
      </c>
      <c r="L363" s="49">
        <v>24209</v>
      </c>
      <c r="M363" s="49">
        <v>22360</v>
      </c>
      <c r="N363" s="49">
        <v>20514</v>
      </c>
      <c r="O363" s="49">
        <f>103118</f>
        <v>103118</v>
      </c>
      <c r="P363" s="15">
        <f t="shared" si="248"/>
        <v>290714</v>
      </c>
    </row>
    <row r="364" spans="1:16" ht="15.6" customHeight="1" x14ac:dyDescent="0.25">
      <c r="A364" s="104"/>
      <c r="B364" s="105"/>
      <c r="C364" s="107"/>
      <c r="D364" s="181"/>
      <c r="E364" s="181"/>
      <c r="F364" s="12"/>
      <c r="G364" s="12" t="s">
        <v>99</v>
      </c>
      <c r="H364" s="13">
        <f t="shared" ref="H364:O364" si="255">SUM(H362:H363)</f>
        <v>91677</v>
      </c>
      <c r="I364" s="13">
        <f t="shared" si="255"/>
        <v>84824</v>
      </c>
      <c r="J364" s="13">
        <f t="shared" si="255"/>
        <v>82929</v>
      </c>
      <c r="K364" s="13">
        <f t="shared" si="255"/>
        <v>81147</v>
      </c>
      <c r="L364" s="13">
        <f t="shared" si="255"/>
        <v>79225</v>
      </c>
      <c r="M364" s="13">
        <f t="shared" si="255"/>
        <v>77376</v>
      </c>
      <c r="N364" s="13">
        <f t="shared" si="255"/>
        <v>75530</v>
      </c>
      <c r="O364" s="13">
        <f t="shared" si="255"/>
        <v>666989.44999999995</v>
      </c>
      <c r="P364" s="92">
        <f t="shared" si="248"/>
        <v>1239697.45</v>
      </c>
    </row>
    <row r="365" spans="1:16" ht="16.5" customHeight="1" x14ac:dyDescent="0.25">
      <c r="A365" s="102">
        <f t="shared" ref="A365" si="256">A362+1</f>
        <v>120</v>
      </c>
      <c r="B365" s="105" t="s">
        <v>11</v>
      </c>
      <c r="C365" s="106" t="s">
        <v>85</v>
      </c>
      <c r="D365" s="181" t="s">
        <v>434</v>
      </c>
      <c r="E365" s="181" t="s">
        <v>435</v>
      </c>
      <c r="F365" s="22" t="s">
        <v>432</v>
      </c>
      <c r="G365" s="10" t="s">
        <v>5</v>
      </c>
      <c r="H365" s="11">
        <f t="shared" ref="H365:M365" si="257">51280-2880</f>
        <v>48400</v>
      </c>
      <c r="I365" s="11">
        <f t="shared" si="257"/>
        <v>48400</v>
      </c>
      <c r="J365" s="11">
        <f t="shared" si="257"/>
        <v>48400</v>
      </c>
      <c r="K365" s="11">
        <f t="shared" si="257"/>
        <v>48400</v>
      </c>
      <c r="L365" s="11">
        <f t="shared" si="257"/>
        <v>48400</v>
      </c>
      <c r="M365" s="11">
        <f t="shared" si="257"/>
        <v>48400</v>
      </c>
      <c r="N365" s="11">
        <v>48400</v>
      </c>
      <c r="O365" s="11">
        <f>12820*45+12778-33081-48400</f>
        <v>508197</v>
      </c>
      <c r="P365" s="11">
        <f>SUM(H365:O365)</f>
        <v>846997</v>
      </c>
    </row>
    <row r="366" spans="1:16" ht="16.5" customHeight="1" x14ac:dyDescent="0.25">
      <c r="A366" s="103"/>
      <c r="B366" s="105"/>
      <c r="C366" s="106"/>
      <c r="D366" s="181"/>
      <c r="E366" s="181"/>
      <c r="F366" s="17" t="s">
        <v>433</v>
      </c>
      <c r="G366" s="14" t="s">
        <v>8</v>
      </c>
      <c r="H366" s="15">
        <v>39836</v>
      </c>
      <c r="I366" s="15">
        <v>30763</v>
      </c>
      <c r="J366" s="15">
        <v>28842</v>
      </c>
      <c r="K366" s="15">
        <v>27032</v>
      </c>
      <c r="L366" s="49">
        <v>25078</v>
      </c>
      <c r="M366" s="49">
        <v>23198</v>
      </c>
      <c r="N366" s="49">
        <v>21321</v>
      </c>
      <c r="O366" s="49">
        <f>109966</f>
        <v>109966</v>
      </c>
      <c r="P366" s="15">
        <f t="shared" si="248"/>
        <v>306036</v>
      </c>
    </row>
    <row r="367" spans="1:16" ht="16.5" customHeight="1" x14ac:dyDescent="0.25">
      <c r="A367" s="104"/>
      <c r="B367" s="105"/>
      <c r="C367" s="106"/>
      <c r="D367" s="181"/>
      <c r="E367" s="181"/>
      <c r="F367" s="12"/>
      <c r="G367" s="12" t="s">
        <v>99</v>
      </c>
      <c r="H367" s="13">
        <f t="shared" ref="H367:O367" si="258">SUM(H365:H366)</f>
        <v>88236</v>
      </c>
      <c r="I367" s="13">
        <f t="shared" si="258"/>
        <v>79163</v>
      </c>
      <c r="J367" s="13">
        <f t="shared" si="258"/>
        <v>77242</v>
      </c>
      <c r="K367" s="13">
        <f t="shared" si="258"/>
        <v>75432</v>
      </c>
      <c r="L367" s="13">
        <f t="shared" si="258"/>
        <v>73478</v>
      </c>
      <c r="M367" s="13">
        <f t="shared" si="258"/>
        <v>71598</v>
      </c>
      <c r="N367" s="13">
        <f t="shared" si="258"/>
        <v>69721</v>
      </c>
      <c r="O367" s="13">
        <f t="shared" si="258"/>
        <v>618163</v>
      </c>
      <c r="P367" s="92">
        <f t="shared" si="248"/>
        <v>1153033</v>
      </c>
    </row>
    <row r="368" spans="1:16" ht="16.2" customHeight="1" x14ac:dyDescent="0.25">
      <c r="A368" s="102">
        <f t="shared" ref="A368" si="259">A365+1</f>
        <v>121</v>
      </c>
      <c r="B368" s="105" t="s">
        <v>11</v>
      </c>
      <c r="C368" s="107" t="s">
        <v>428</v>
      </c>
      <c r="D368" s="181" t="s">
        <v>460</v>
      </c>
      <c r="E368" s="181" t="s">
        <v>461</v>
      </c>
      <c r="F368" s="22" t="s">
        <v>462</v>
      </c>
      <c r="G368" s="10" t="s">
        <v>5</v>
      </c>
      <c r="H368" s="11">
        <v>9788</v>
      </c>
      <c r="I368" s="11">
        <v>9788</v>
      </c>
      <c r="J368" s="11">
        <v>9788</v>
      </c>
      <c r="K368" s="11">
        <v>9788</v>
      </c>
      <c r="L368" s="11">
        <v>9788</v>
      </c>
      <c r="M368" s="11">
        <v>9788</v>
      </c>
      <c r="N368" s="11">
        <v>9788</v>
      </c>
      <c r="O368" s="11">
        <f>73625-9500+1912-9788</f>
        <v>56249</v>
      </c>
      <c r="P368" s="11">
        <f>SUM(H368:O368)</f>
        <v>124765</v>
      </c>
    </row>
    <row r="369" spans="1:16" ht="16.2" customHeight="1" x14ac:dyDescent="0.25">
      <c r="A369" s="103"/>
      <c r="B369" s="105"/>
      <c r="C369" s="107"/>
      <c r="D369" s="182"/>
      <c r="E369" s="182"/>
      <c r="F369" s="17" t="s">
        <v>463</v>
      </c>
      <c r="G369" s="14" t="s">
        <v>8</v>
      </c>
      <c r="H369" s="15">
        <v>5840</v>
      </c>
      <c r="I369" s="15">
        <v>4706</v>
      </c>
      <c r="J369" s="15">
        <v>4294</v>
      </c>
      <c r="K369" s="15">
        <v>3898</v>
      </c>
      <c r="L369" s="49">
        <v>3482</v>
      </c>
      <c r="M369" s="49">
        <v>3077</v>
      </c>
      <c r="N369" s="49">
        <v>2672</v>
      </c>
      <c r="O369" s="49">
        <f>7470</f>
        <v>7470</v>
      </c>
      <c r="P369" s="15">
        <f t="shared" si="248"/>
        <v>35439</v>
      </c>
    </row>
    <row r="370" spans="1:16" ht="16.2" customHeight="1" x14ac:dyDescent="0.25">
      <c r="A370" s="104"/>
      <c r="B370" s="105"/>
      <c r="C370" s="107"/>
      <c r="D370" s="182"/>
      <c r="E370" s="182"/>
      <c r="F370" s="12"/>
      <c r="G370" s="12" t="s">
        <v>99</v>
      </c>
      <c r="H370" s="13">
        <f t="shared" ref="H370:O370" si="260">SUM(H368:H369)</f>
        <v>15628</v>
      </c>
      <c r="I370" s="13">
        <f t="shared" si="260"/>
        <v>14494</v>
      </c>
      <c r="J370" s="13">
        <f t="shared" si="260"/>
        <v>14082</v>
      </c>
      <c r="K370" s="13">
        <f t="shared" si="260"/>
        <v>13686</v>
      </c>
      <c r="L370" s="13">
        <f t="shared" si="260"/>
        <v>13270</v>
      </c>
      <c r="M370" s="13">
        <f t="shared" si="260"/>
        <v>12865</v>
      </c>
      <c r="N370" s="13">
        <f t="shared" si="260"/>
        <v>12460</v>
      </c>
      <c r="O370" s="13">
        <f t="shared" si="260"/>
        <v>63719</v>
      </c>
      <c r="P370" s="92">
        <f t="shared" si="248"/>
        <v>160204</v>
      </c>
    </row>
    <row r="371" spans="1:16" ht="16.2" customHeight="1" x14ac:dyDescent="0.25">
      <c r="A371" s="102">
        <f t="shared" ref="A371" si="261">A368+1</f>
        <v>122</v>
      </c>
      <c r="B371" s="105" t="s">
        <v>11</v>
      </c>
      <c r="C371" s="107" t="s">
        <v>427</v>
      </c>
      <c r="D371" s="181" t="s">
        <v>460</v>
      </c>
      <c r="E371" s="181" t="s">
        <v>255</v>
      </c>
      <c r="F371" s="22" t="s">
        <v>464</v>
      </c>
      <c r="G371" s="10" t="s">
        <v>5</v>
      </c>
      <c r="H371" s="11">
        <v>15944</v>
      </c>
      <c r="I371" s="11">
        <v>15944</v>
      </c>
      <c r="J371" s="11">
        <v>15944</v>
      </c>
      <c r="K371" s="11">
        <v>15944</v>
      </c>
      <c r="L371" s="11">
        <v>15944</v>
      </c>
      <c r="M371" s="11">
        <v>15944</v>
      </c>
      <c r="N371" s="11">
        <v>15944</v>
      </c>
      <c r="O371" s="11">
        <f>42537-15468+829-15944</f>
        <v>11954</v>
      </c>
      <c r="P371" s="11">
        <f>SUM(H371:O371)</f>
        <v>123562</v>
      </c>
    </row>
    <row r="372" spans="1:16" ht="16.2" customHeight="1" x14ac:dyDescent="0.25">
      <c r="A372" s="103"/>
      <c r="B372" s="105"/>
      <c r="C372" s="107"/>
      <c r="D372" s="182"/>
      <c r="E372" s="182"/>
      <c r="F372" s="17" t="s">
        <v>465</v>
      </c>
      <c r="G372" s="14" t="s">
        <v>8</v>
      </c>
      <c r="H372" s="15">
        <v>5523</v>
      </c>
      <c r="I372" s="15">
        <v>4175</v>
      </c>
      <c r="J372" s="15">
        <v>3537</v>
      </c>
      <c r="K372" s="15">
        <v>2911</v>
      </c>
      <c r="L372" s="49">
        <v>2271</v>
      </c>
      <c r="M372" s="49">
        <v>1639</v>
      </c>
      <c r="N372" s="49">
        <v>1008</v>
      </c>
      <c r="O372" s="49">
        <v>349</v>
      </c>
      <c r="P372" s="15">
        <f t="shared" si="248"/>
        <v>21413</v>
      </c>
    </row>
    <row r="373" spans="1:16" ht="15" customHeight="1" x14ac:dyDescent="0.25">
      <c r="A373" s="104"/>
      <c r="B373" s="105"/>
      <c r="C373" s="107"/>
      <c r="D373" s="182"/>
      <c r="E373" s="182"/>
      <c r="F373" s="12"/>
      <c r="G373" s="12" t="s">
        <v>99</v>
      </c>
      <c r="H373" s="13">
        <f t="shared" ref="H373:O373" si="262">SUM(H371:H372)</f>
        <v>21467</v>
      </c>
      <c r="I373" s="13">
        <f t="shared" si="262"/>
        <v>20119</v>
      </c>
      <c r="J373" s="13">
        <f t="shared" si="262"/>
        <v>19481</v>
      </c>
      <c r="K373" s="13">
        <f t="shared" si="262"/>
        <v>18855</v>
      </c>
      <c r="L373" s="13">
        <f t="shared" si="262"/>
        <v>18215</v>
      </c>
      <c r="M373" s="13">
        <f t="shared" si="262"/>
        <v>17583</v>
      </c>
      <c r="N373" s="13">
        <f t="shared" si="262"/>
        <v>16952</v>
      </c>
      <c r="O373" s="13">
        <f t="shared" si="262"/>
        <v>12303</v>
      </c>
      <c r="P373" s="92">
        <f t="shared" si="248"/>
        <v>144975</v>
      </c>
    </row>
    <row r="374" spans="1:16" ht="15" customHeight="1" x14ac:dyDescent="0.25">
      <c r="A374" s="102">
        <f t="shared" ref="A374" si="263">A371+1</f>
        <v>123</v>
      </c>
      <c r="B374" s="105" t="s">
        <v>11</v>
      </c>
      <c r="C374" s="183" t="s">
        <v>425</v>
      </c>
      <c r="D374" s="181" t="s">
        <v>460</v>
      </c>
      <c r="E374" s="181" t="s">
        <v>461</v>
      </c>
      <c r="F374" s="22" t="s">
        <v>466</v>
      </c>
      <c r="G374" s="10" t="s">
        <v>5</v>
      </c>
      <c r="H374" s="11">
        <v>13992</v>
      </c>
      <c r="I374" s="11">
        <v>13992</v>
      </c>
      <c r="J374" s="11">
        <v>13992</v>
      </c>
      <c r="K374" s="11">
        <v>13992</v>
      </c>
      <c r="L374" s="11">
        <v>13992</v>
      </c>
      <c r="M374" s="11">
        <v>13992</v>
      </c>
      <c r="N374" s="11">
        <v>13992</v>
      </c>
      <c r="O374" s="11">
        <f>105524-13616+2504-13992</f>
        <v>80420</v>
      </c>
      <c r="P374" s="11">
        <f>SUM(H374:O374)</f>
        <v>178364</v>
      </c>
    </row>
    <row r="375" spans="1:16" ht="17.25" customHeight="1" x14ac:dyDescent="0.25">
      <c r="A375" s="103"/>
      <c r="B375" s="105"/>
      <c r="C375" s="183"/>
      <c r="D375" s="182"/>
      <c r="E375" s="182"/>
      <c r="F375" s="17" t="s">
        <v>467</v>
      </c>
      <c r="G375" s="14" t="s">
        <v>8</v>
      </c>
      <c r="H375" s="15">
        <v>8350</v>
      </c>
      <c r="I375" s="15">
        <v>6727</v>
      </c>
      <c r="J375" s="15">
        <v>6139</v>
      </c>
      <c r="K375" s="15">
        <v>5573</v>
      </c>
      <c r="L375" s="49">
        <v>4878</v>
      </c>
      <c r="M375" s="49">
        <v>4399</v>
      </c>
      <c r="N375" s="49">
        <v>3820</v>
      </c>
      <c r="O375" s="49">
        <f>10681</f>
        <v>10681</v>
      </c>
      <c r="P375" s="15">
        <f t="shared" si="248"/>
        <v>50567</v>
      </c>
    </row>
    <row r="376" spans="1:16" x14ac:dyDescent="0.25">
      <c r="A376" s="104"/>
      <c r="B376" s="105"/>
      <c r="C376" s="183"/>
      <c r="D376" s="182"/>
      <c r="E376" s="182"/>
      <c r="F376" s="39"/>
      <c r="G376" s="12" t="s">
        <v>99</v>
      </c>
      <c r="H376" s="13">
        <f t="shared" ref="H376:O376" si="264">SUM(H374:H375)</f>
        <v>22342</v>
      </c>
      <c r="I376" s="13">
        <f t="shared" si="264"/>
        <v>20719</v>
      </c>
      <c r="J376" s="13">
        <f t="shared" si="264"/>
        <v>20131</v>
      </c>
      <c r="K376" s="13">
        <f t="shared" si="264"/>
        <v>19565</v>
      </c>
      <c r="L376" s="13">
        <f t="shared" si="264"/>
        <v>18870</v>
      </c>
      <c r="M376" s="13">
        <f t="shared" si="264"/>
        <v>18391</v>
      </c>
      <c r="N376" s="13">
        <f t="shared" si="264"/>
        <v>17812</v>
      </c>
      <c r="O376" s="13">
        <f t="shared" si="264"/>
        <v>91101</v>
      </c>
      <c r="P376" s="92">
        <f t="shared" si="248"/>
        <v>228931</v>
      </c>
    </row>
    <row r="377" spans="1:16" ht="15.6" customHeight="1" x14ac:dyDescent="0.25">
      <c r="A377" s="102">
        <f t="shared" ref="A377" si="265">A374+1</f>
        <v>124</v>
      </c>
      <c r="B377" s="105" t="s">
        <v>11</v>
      </c>
      <c r="C377" s="106" t="s">
        <v>426</v>
      </c>
      <c r="D377" s="181" t="s">
        <v>460</v>
      </c>
      <c r="E377" s="181" t="s">
        <v>461</v>
      </c>
      <c r="F377" s="22" t="s">
        <v>468</v>
      </c>
      <c r="G377" s="10" t="s">
        <v>5</v>
      </c>
      <c r="H377" s="40">
        <v>9780</v>
      </c>
      <c r="I377" s="40">
        <v>9780</v>
      </c>
      <c r="J377" s="40">
        <v>9780</v>
      </c>
      <c r="K377" s="40">
        <v>9780</v>
      </c>
      <c r="L377" s="40">
        <v>9780</v>
      </c>
      <c r="M377" s="40">
        <v>9780</v>
      </c>
      <c r="N377" s="40">
        <v>9780</v>
      </c>
      <c r="O377" s="40">
        <f>73718-9512+1777-9780</f>
        <v>56203</v>
      </c>
      <c r="P377" s="11">
        <f>SUM(H377:O377)</f>
        <v>124663</v>
      </c>
    </row>
    <row r="378" spans="1:16" ht="15" customHeight="1" x14ac:dyDescent="0.25">
      <c r="A378" s="103"/>
      <c r="B378" s="105"/>
      <c r="C378" s="106"/>
      <c r="D378" s="182"/>
      <c r="E378" s="182"/>
      <c r="F378" s="17" t="s">
        <v>469</v>
      </c>
      <c r="G378" s="14" t="s">
        <v>8</v>
      </c>
      <c r="H378" s="41">
        <v>5836</v>
      </c>
      <c r="I378" s="41">
        <v>4702</v>
      </c>
      <c r="J378" s="41">
        <v>4291</v>
      </c>
      <c r="K378" s="41">
        <v>3895</v>
      </c>
      <c r="L378" s="70">
        <v>3479</v>
      </c>
      <c r="M378" s="70">
        <v>3074</v>
      </c>
      <c r="N378" s="70">
        <v>2670</v>
      </c>
      <c r="O378" s="70">
        <f>7464</f>
        <v>7464</v>
      </c>
      <c r="P378" s="15">
        <f t="shared" si="248"/>
        <v>35411</v>
      </c>
    </row>
    <row r="379" spans="1:16" x14ac:dyDescent="0.25">
      <c r="A379" s="104"/>
      <c r="B379" s="105"/>
      <c r="C379" s="106"/>
      <c r="D379" s="182"/>
      <c r="E379" s="182"/>
      <c r="F379" s="39"/>
      <c r="G379" s="12" t="s">
        <v>99</v>
      </c>
      <c r="H379" s="13">
        <f t="shared" ref="H379:O379" si="266">SUM(H377:H378)</f>
        <v>15616</v>
      </c>
      <c r="I379" s="13">
        <f t="shared" si="266"/>
        <v>14482</v>
      </c>
      <c r="J379" s="13">
        <f t="shared" si="266"/>
        <v>14071</v>
      </c>
      <c r="K379" s="13">
        <f t="shared" si="266"/>
        <v>13675</v>
      </c>
      <c r="L379" s="13">
        <f t="shared" si="266"/>
        <v>13259</v>
      </c>
      <c r="M379" s="13">
        <f t="shared" si="266"/>
        <v>12854</v>
      </c>
      <c r="N379" s="13">
        <f t="shared" si="266"/>
        <v>12450</v>
      </c>
      <c r="O379" s="13">
        <f t="shared" si="266"/>
        <v>63667</v>
      </c>
      <c r="P379" s="92">
        <f t="shared" si="248"/>
        <v>160074</v>
      </c>
    </row>
    <row r="380" spans="1:16" ht="15.75" customHeight="1" x14ac:dyDescent="0.25">
      <c r="A380" s="102">
        <f t="shared" ref="A380" si="267">A377+1</f>
        <v>125</v>
      </c>
      <c r="B380" s="105" t="s">
        <v>11</v>
      </c>
      <c r="C380" s="107" t="s">
        <v>424</v>
      </c>
      <c r="D380" s="181" t="s">
        <v>460</v>
      </c>
      <c r="E380" s="181" t="s">
        <v>461</v>
      </c>
      <c r="F380" s="22" t="s">
        <v>470</v>
      </c>
      <c r="G380" s="10" t="s">
        <v>5</v>
      </c>
      <c r="H380" s="40">
        <v>36680</v>
      </c>
      <c r="I380" s="40">
        <v>36680</v>
      </c>
      <c r="J380" s="40">
        <v>36680</v>
      </c>
      <c r="K380" s="40">
        <v>36680</v>
      </c>
      <c r="L380" s="40">
        <v>36680</v>
      </c>
      <c r="M380" s="40">
        <v>36680</v>
      </c>
      <c r="N380" s="40">
        <v>36680</v>
      </c>
      <c r="O380" s="40">
        <f>483672-211027-35180+10101-36680</f>
        <v>210886</v>
      </c>
      <c r="P380" s="11">
        <f>SUM(H380:O380)</f>
        <v>467646</v>
      </c>
    </row>
    <row r="381" spans="1:16" ht="14.25" customHeight="1" x14ac:dyDescent="0.25">
      <c r="A381" s="103"/>
      <c r="B381" s="105"/>
      <c r="C381" s="107"/>
      <c r="D381" s="182"/>
      <c r="E381" s="182"/>
      <c r="F381" s="17" t="s">
        <v>471</v>
      </c>
      <c r="G381" s="14" t="s">
        <v>8</v>
      </c>
      <c r="H381" s="41">
        <v>21873</v>
      </c>
      <c r="I381" s="41">
        <v>17638</v>
      </c>
      <c r="J381" s="41">
        <v>16096</v>
      </c>
      <c r="K381" s="41">
        <v>14613</v>
      </c>
      <c r="L381" s="41">
        <v>13054</v>
      </c>
      <c r="M381" s="41">
        <v>11534</v>
      </c>
      <c r="N381" s="41">
        <v>10017</v>
      </c>
      <c r="O381" s="41">
        <f>28016</f>
        <v>28016</v>
      </c>
      <c r="P381" s="15">
        <f t="shared" si="248"/>
        <v>132841</v>
      </c>
    </row>
    <row r="382" spans="1:16" ht="14.25" customHeight="1" x14ac:dyDescent="0.25">
      <c r="A382" s="104"/>
      <c r="B382" s="105"/>
      <c r="C382" s="107"/>
      <c r="D382" s="182"/>
      <c r="E382" s="182"/>
      <c r="F382" s="39"/>
      <c r="G382" s="12" t="s">
        <v>99</v>
      </c>
      <c r="H382" s="13">
        <f t="shared" ref="H382:O382" si="268">SUM(H380:H381)</f>
        <v>58553</v>
      </c>
      <c r="I382" s="13">
        <f t="shared" si="268"/>
        <v>54318</v>
      </c>
      <c r="J382" s="13">
        <f t="shared" si="268"/>
        <v>52776</v>
      </c>
      <c r="K382" s="13">
        <f t="shared" si="268"/>
        <v>51293</v>
      </c>
      <c r="L382" s="13">
        <f t="shared" si="268"/>
        <v>49734</v>
      </c>
      <c r="M382" s="13">
        <f t="shared" si="268"/>
        <v>48214</v>
      </c>
      <c r="N382" s="13">
        <f t="shared" si="268"/>
        <v>46697</v>
      </c>
      <c r="O382" s="13">
        <f t="shared" si="268"/>
        <v>238902</v>
      </c>
      <c r="P382" s="92">
        <f t="shared" si="248"/>
        <v>600487</v>
      </c>
    </row>
    <row r="383" spans="1:16" ht="15.6" customHeight="1" x14ac:dyDescent="0.25">
      <c r="A383" s="102">
        <f t="shared" ref="A383" si="269">A380+1</f>
        <v>126</v>
      </c>
      <c r="B383" s="105" t="s">
        <v>11</v>
      </c>
      <c r="C383" s="107" t="s">
        <v>431</v>
      </c>
      <c r="D383" s="108" t="s">
        <v>472</v>
      </c>
      <c r="E383" s="108" t="s">
        <v>186</v>
      </c>
      <c r="F383" s="22" t="s">
        <v>473</v>
      </c>
      <c r="G383" s="10" t="s">
        <v>5</v>
      </c>
      <c r="H383" s="40">
        <v>14752</v>
      </c>
      <c r="I383" s="40">
        <v>14752</v>
      </c>
      <c r="J383" s="40">
        <v>14752</v>
      </c>
      <c r="K383" s="40">
        <v>14752</v>
      </c>
      <c r="L383" s="40">
        <v>14752</v>
      </c>
      <c r="M383" s="40">
        <v>14752</v>
      </c>
      <c r="N383" s="40">
        <v>14752</v>
      </c>
      <c r="O383" s="40">
        <f>183702-14408+3984-14752</f>
        <v>158526</v>
      </c>
      <c r="P383" s="11">
        <f>SUM(H383:O383)</f>
        <v>261790</v>
      </c>
    </row>
    <row r="384" spans="1:16" ht="14.25" customHeight="1" x14ac:dyDescent="0.25">
      <c r="A384" s="103"/>
      <c r="B384" s="105"/>
      <c r="C384" s="107"/>
      <c r="D384" s="109"/>
      <c r="E384" s="109"/>
      <c r="F384" s="17" t="s">
        <v>474</v>
      </c>
      <c r="G384" s="14" t="s">
        <v>8</v>
      </c>
      <c r="H384" s="41">
        <v>11387</v>
      </c>
      <c r="I384" s="41">
        <v>9592</v>
      </c>
      <c r="J384" s="41">
        <v>9002</v>
      </c>
      <c r="K384" s="41">
        <v>8446</v>
      </c>
      <c r="L384" s="41">
        <v>7845</v>
      </c>
      <c r="M384" s="41">
        <v>7268</v>
      </c>
      <c r="N384" s="41">
        <v>6692</v>
      </c>
      <c r="O384" s="41">
        <f>35320</f>
        <v>35320</v>
      </c>
      <c r="P384" s="15">
        <f t="shared" si="248"/>
        <v>95552</v>
      </c>
    </row>
    <row r="385" spans="1:16" ht="14.25" customHeight="1" x14ac:dyDescent="0.25">
      <c r="A385" s="104"/>
      <c r="B385" s="105"/>
      <c r="C385" s="107"/>
      <c r="D385" s="109"/>
      <c r="E385" s="109"/>
      <c r="F385" s="39"/>
      <c r="G385" s="12" t="s">
        <v>99</v>
      </c>
      <c r="H385" s="13">
        <f t="shared" ref="H385:O385" si="270">SUM(H383:H384)</f>
        <v>26139</v>
      </c>
      <c r="I385" s="13">
        <f t="shared" si="270"/>
        <v>24344</v>
      </c>
      <c r="J385" s="13">
        <f t="shared" si="270"/>
        <v>23754</v>
      </c>
      <c r="K385" s="13">
        <f t="shared" si="270"/>
        <v>23198</v>
      </c>
      <c r="L385" s="13">
        <f t="shared" si="270"/>
        <v>22597</v>
      </c>
      <c r="M385" s="13">
        <f t="shared" si="270"/>
        <v>22020</v>
      </c>
      <c r="N385" s="13">
        <f t="shared" si="270"/>
        <v>21444</v>
      </c>
      <c r="O385" s="13">
        <f t="shared" si="270"/>
        <v>193846</v>
      </c>
      <c r="P385" s="92">
        <f t="shared" si="248"/>
        <v>357342</v>
      </c>
    </row>
    <row r="386" spans="1:16" ht="14.4" customHeight="1" x14ac:dyDescent="0.25">
      <c r="A386" s="102">
        <f t="shared" ref="A386" si="271">A383+1</f>
        <v>127</v>
      </c>
      <c r="B386" s="105" t="s">
        <v>11</v>
      </c>
      <c r="C386" s="106" t="s">
        <v>673</v>
      </c>
      <c r="D386" s="108" t="s">
        <v>475</v>
      </c>
      <c r="E386" s="108" t="s">
        <v>476</v>
      </c>
      <c r="F386" s="22" t="s">
        <v>477</v>
      </c>
      <c r="G386" s="10" t="s">
        <v>5</v>
      </c>
      <c r="H386" s="40">
        <v>17952</v>
      </c>
      <c r="I386" s="40">
        <v>17952</v>
      </c>
      <c r="J386" s="40">
        <v>17952</v>
      </c>
      <c r="K386" s="40">
        <v>17952</v>
      </c>
      <c r="L386" s="40">
        <v>17952</v>
      </c>
      <c r="M386" s="40">
        <v>17952</v>
      </c>
      <c r="N386" s="40">
        <v>17952</v>
      </c>
      <c r="O386" s="40">
        <f>141280-17660+2051-17952</f>
        <v>107719</v>
      </c>
      <c r="P386" s="11">
        <f>SUM(H386:O386)</f>
        <v>233383</v>
      </c>
    </row>
    <row r="387" spans="1:16" ht="15.75" customHeight="1" x14ac:dyDescent="0.25">
      <c r="A387" s="103"/>
      <c r="B387" s="105"/>
      <c r="C387" s="106"/>
      <c r="D387" s="109"/>
      <c r="E387" s="109"/>
      <c r="F387" s="17" t="s">
        <v>478</v>
      </c>
      <c r="G387" s="14" t="s">
        <v>8</v>
      </c>
      <c r="H387" s="41">
        <v>10144</v>
      </c>
      <c r="I387" s="41">
        <v>8741</v>
      </c>
      <c r="J387" s="41">
        <v>7966</v>
      </c>
      <c r="K387" s="41">
        <v>7250</v>
      </c>
      <c r="L387" s="41">
        <v>6495</v>
      </c>
      <c r="M387" s="41">
        <v>5760</v>
      </c>
      <c r="N387" s="41">
        <v>5027</v>
      </c>
      <c r="O387" s="41">
        <f>14685</f>
        <v>14685</v>
      </c>
      <c r="P387" s="15">
        <f t="shared" si="248"/>
        <v>66068</v>
      </c>
    </row>
    <row r="388" spans="1:16" ht="15.75" customHeight="1" x14ac:dyDescent="0.25">
      <c r="A388" s="104"/>
      <c r="B388" s="105"/>
      <c r="C388" s="106"/>
      <c r="D388" s="109"/>
      <c r="E388" s="109"/>
      <c r="F388" s="39"/>
      <c r="G388" s="12" t="s">
        <v>99</v>
      </c>
      <c r="H388" s="13">
        <f t="shared" ref="H388:O388" si="272">SUM(H386:H387)</f>
        <v>28096</v>
      </c>
      <c r="I388" s="13">
        <f t="shared" si="272"/>
        <v>26693</v>
      </c>
      <c r="J388" s="13">
        <f t="shared" si="272"/>
        <v>25918</v>
      </c>
      <c r="K388" s="13">
        <f t="shared" si="272"/>
        <v>25202</v>
      </c>
      <c r="L388" s="13">
        <f t="shared" si="272"/>
        <v>24447</v>
      </c>
      <c r="M388" s="13">
        <f t="shared" si="272"/>
        <v>23712</v>
      </c>
      <c r="N388" s="13">
        <f t="shared" si="272"/>
        <v>22979</v>
      </c>
      <c r="O388" s="13">
        <f t="shared" si="272"/>
        <v>122404</v>
      </c>
      <c r="P388" s="92">
        <f t="shared" si="248"/>
        <v>299451</v>
      </c>
    </row>
    <row r="389" spans="1:16" ht="15.75" customHeight="1" x14ac:dyDescent="0.25">
      <c r="A389" s="102">
        <f t="shared" ref="A389" si="273">A386+1</f>
        <v>128</v>
      </c>
      <c r="B389" s="105" t="s">
        <v>11</v>
      </c>
      <c r="C389" s="173" t="s">
        <v>481</v>
      </c>
      <c r="D389" s="108" t="s">
        <v>498</v>
      </c>
      <c r="E389" s="108" t="s">
        <v>279</v>
      </c>
      <c r="F389" s="22" t="s">
        <v>499</v>
      </c>
      <c r="G389" s="44" t="s">
        <v>5</v>
      </c>
      <c r="H389" s="68">
        <v>40952</v>
      </c>
      <c r="I389" s="68">
        <v>40952</v>
      </c>
      <c r="J389" s="68">
        <v>40952</v>
      </c>
      <c r="K389" s="68">
        <v>40952</v>
      </c>
      <c r="L389" s="68">
        <v>40952</v>
      </c>
      <c r="M389" s="68">
        <v>40952</v>
      </c>
      <c r="N389" s="68">
        <v>40952</v>
      </c>
      <c r="O389" s="68">
        <f>10238*49+10207-40952</f>
        <v>470917</v>
      </c>
      <c r="P389" s="11">
        <f>SUM(H389:O389)</f>
        <v>757581</v>
      </c>
    </row>
    <row r="390" spans="1:16" ht="15.75" customHeight="1" x14ac:dyDescent="0.25">
      <c r="A390" s="103"/>
      <c r="B390" s="105"/>
      <c r="C390" s="173"/>
      <c r="D390" s="108"/>
      <c r="E390" s="108"/>
      <c r="F390" s="17" t="s">
        <v>500</v>
      </c>
      <c r="G390" s="43" t="s">
        <v>8</v>
      </c>
      <c r="H390" s="70">
        <v>34877</v>
      </c>
      <c r="I390" s="70">
        <v>33065</v>
      </c>
      <c r="J390" s="70">
        <v>31157</v>
      </c>
      <c r="K390" s="70">
        <v>29327</v>
      </c>
      <c r="L390" s="70">
        <v>27340</v>
      </c>
      <c r="M390" s="70">
        <v>25434</v>
      </c>
      <c r="N390" s="70">
        <v>23530</v>
      </c>
      <c r="O390" s="70">
        <f>157293-23530</f>
        <v>133763</v>
      </c>
      <c r="P390" s="15">
        <f t="shared" si="248"/>
        <v>338493</v>
      </c>
    </row>
    <row r="391" spans="1:16" ht="15.75" customHeight="1" x14ac:dyDescent="0.25">
      <c r="A391" s="104"/>
      <c r="B391" s="105"/>
      <c r="C391" s="173"/>
      <c r="D391" s="108"/>
      <c r="E391" s="108"/>
      <c r="F391" s="39"/>
      <c r="G391" s="45" t="s">
        <v>99</v>
      </c>
      <c r="H391" s="71">
        <f t="shared" ref="H391:O391" si="274">SUM(H389:H390)</f>
        <v>75829</v>
      </c>
      <c r="I391" s="71">
        <f t="shared" si="274"/>
        <v>74017</v>
      </c>
      <c r="J391" s="71">
        <f t="shared" si="274"/>
        <v>72109</v>
      </c>
      <c r="K391" s="71">
        <f t="shared" si="274"/>
        <v>70279</v>
      </c>
      <c r="L391" s="71">
        <f t="shared" si="274"/>
        <v>68292</v>
      </c>
      <c r="M391" s="71">
        <f t="shared" si="274"/>
        <v>66386</v>
      </c>
      <c r="N391" s="71">
        <f t="shared" si="274"/>
        <v>64482</v>
      </c>
      <c r="O391" s="71">
        <f t="shared" si="274"/>
        <v>604680</v>
      </c>
      <c r="P391" s="92">
        <f t="shared" si="248"/>
        <v>1096074</v>
      </c>
    </row>
    <row r="392" spans="1:16" ht="15.75" customHeight="1" x14ac:dyDescent="0.25">
      <c r="A392" s="102">
        <f t="shared" ref="A392" si="275">A389+1</f>
        <v>129</v>
      </c>
      <c r="B392" s="105" t="s">
        <v>11</v>
      </c>
      <c r="C392" s="106" t="s">
        <v>674</v>
      </c>
      <c r="D392" s="179" t="s">
        <v>491</v>
      </c>
      <c r="E392" s="179" t="s">
        <v>492</v>
      </c>
      <c r="F392" s="22" t="s">
        <v>493</v>
      </c>
      <c r="G392" s="44" t="s">
        <v>5</v>
      </c>
      <c r="H392" s="68">
        <v>8689</v>
      </c>
      <c r="I392" s="68">
        <v>8689</v>
      </c>
      <c r="J392" s="68">
        <v>8689</v>
      </c>
      <c r="K392" s="68">
        <v>8689</v>
      </c>
      <c r="L392" s="68">
        <v>8689</v>
      </c>
      <c r="M392" s="68">
        <v>8689</v>
      </c>
      <c r="N392" s="68">
        <v>8689</v>
      </c>
      <c r="O392" s="68">
        <f>71681-60823</f>
        <v>10858</v>
      </c>
      <c r="P392" s="11">
        <f>SUM(H392:O392)</f>
        <v>71681</v>
      </c>
    </row>
    <row r="393" spans="1:16" ht="15.75" customHeight="1" x14ac:dyDescent="0.25">
      <c r="A393" s="103"/>
      <c r="B393" s="105"/>
      <c r="C393" s="106"/>
      <c r="D393" s="180"/>
      <c r="E393" s="180"/>
      <c r="F393" s="17" t="s">
        <v>507</v>
      </c>
      <c r="G393" s="43" t="s">
        <v>8</v>
      </c>
      <c r="H393" s="70">
        <v>3035</v>
      </c>
      <c r="I393" s="70">
        <v>2624</v>
      </c>
      <c r="J393" s="70">
        <v>2254</v>
      </c>
      <c r="K393" s="70">
        <v>1889</v>
      </c>
      <c r="L393" s="70">
        <v>1514</v>
      </c>
      <c r="M393" s="70">
        <v>1144</v>
      </c>
      <c r="N393" s="70">
        <v>775</v>
      </c>
      <c r="O393" s="70">
        <f>470</f>
        <v>470</v>
      </c>
      <c r="P393" s="15">
        <f t="shared" si="248"/>
        <v>13705</v>
      </c>
    </row>
    <row r="394" spans="1:16" ht="15.75" customHeight="1" x14ac:dyDescent="0.25">
      <c r="A394" s="104"/>
      <c r="B394" s="105"/>
      <c r="C394" s="106"/>
      <c r="D394" s="180"/>
      <c r="E394" s="180"/>
      <c r="F394" s="39"/>
      <c r="G394" s="45" t="s">
        <v>99</v>
      </c>
      <c r="H394" s="71">
        <f t="shared" ref="H394:O394" si="276">SUM(H392:H393)</f>
        <v>11724</v>
      </c>
      <c r="I394" s="71">
        <f t="shared" si="276"/>
        <v>11313</v>
      </c>
      <c r="J394" s="71">
        <f t="shared" si="276"/>
        <v>10943</v>
      </c>
      <c r="K394" s="71">
        <f t="shared" si="276"/>
        <v>10578</v>
      </c>
      <c r="L394" s="71">
        <f t="shared" si="276"/>
        <v>10203</v>
      </c>
      <c r="M394" s="71">
        <f t="shared" si="276"/>
        <v>9833</v>
      </c>
      <c r="N394" s="71">
        <f t="shared" si="276"/>
        <v>9464</v>
      </c>
      <c r="O394" s="71">
        <f t="shared" si="276"/>
        <v>11328</v>
      </c>
      <c r="P394" s="92">
        <f t="shared" si="248"/>
        <v>85386</v>
      </c>
    </row>
    <row r="395" spans="1:16" ht="15.75" customHeight="1" x14ac:dyDescent="0.25">
      <c r="A395" s="102">
        <f t="shared" ref="A395" si="277">A392+1</f>
        <v>130</v>
      </c>
      <c r="B395" s="105" t="s">
        <v>11</v>
      </c>
      <c r="C395" s="106" t="s">
        <v>675</v>
      </c>
      <c r="D395" s="179" t="s">
        <v>491</v>
      </c>
      <c r="E395" s="179" t="s">
        <v>279</v>
      </c>
      <c r="F395" s="22" t="s">
        <v>494</v>
      </c>
      <c r="G395" s="44" t="s">
        <v>5</v>
      </c>
      <c r="H395" s="68">
        <v>16880</v>
      </c>
      <c r="I395" s="68">
        <v>16880</v>
      </c>
      <c r="J395" s="68">
        <v>16880</v>
      </c>
      <c r="K395" s="68">
        <v>16880</v>
      </c>
      <c r="L395" s="68">
        <v>16880</v>
      </c>
      <c r="M395" s="68">
        <v>16880</v>
      </c>
      <c r="N395" s="68">
        <v>16880</v>
      </c>
      <c r="O395" s="68">
        <f>4220*49+4170-16880</f>
        <v>194070</v>
      </c>
      <c r="P395" s="11">
        <f>SUM(H395:O395)</f>
        <v>312230</v>
      </c>
    </row>
    <row r="396" spans="1:16" ht="15.75" customHeight="1" x14ac:dyDescent="0.25">
      <c r="A396" s="103"/>
      <c r="B396" s="105"/>
      <c r="C396" s="106"/>
      <c r="D396" s="180"/>
      <c r="E396" s="180"/>
      <c r="F396" s="17" t="s">
        <v>508</v>
      </c>
      <c r="G396" s="43" t="s">
        <v>8</v>
      </c>
      <c r="H396" s="70">
        <v>14343</v>
      </c>
      <c r="I396" s="70">
        <v>13604</v>
      </c>
      <c r="J396" s="70">
        <v>12819</v>
      </c>
      <c r="K396" s="70">
        <v>12065</v>
      </c>
      <c r="L396" s="70">
        <v>11248</v>
      </c>
      <c r="M396" s="70">
        <v>10463</v>
      </c>
      <c r="N396" s="70">
        <v>9680</v>
      </c>
      <c r="O396" s="70">
        <f>55020</f>
        <v>55020</v>
      </c>
      <c r="P396" s="15">
        <f t="shared" si="248"/>
        <v>139242</v>
      </c>
    </row>
    <row r="397" spans="1:16" ht="15.75" customHeight="1" x14ac:dyDescent="0.25">
      <c r="A397" s="104"/>
      <c r="B397" s="105"/>
      <c r="C397" s="106"/>
      <c r="D397" s="180"/>
      <c r="E397" s="180"/>
      <c r="F397" s="39"/>
      <c r="G397" s="45" t="s">
        <v>99</v>
      </c>
      <c r="H397" s="71">
        <f t="shared" ref="H397:O397" si="278">SUM(H395:H396)</f>
        <v>31223</v>
      </c>
      <c r="I397" s="71">
        <f t="shared" si="278"/>
        <v>30484</v>
      </c>
      <c r="J397" s="71">
        <f t="shared" si="278"/>
        <v>29699</v>
      </c>
      <c r="K397" s="71">
        <f t="shared" si="278"/>
        <v>28945</v>
      </c>
      <c r="L397" s="71">
        <f t="shared" si="278"/>
        <v>28128</v>
      </c>
      <c r="M397" s="71">
        <f t="shared" si="278"/>
        <v>27343</v>
      </c>
      <c r="N397" s="71">
        <f t="shared" si="278"/>
        <v>26560</v>
      </c>
      <c r="O397" s="71">
        <f t="shared" si="278"/>
        <v>249090</v>
      </c>
      <c r="P397" s="92">
        <f t="shared" si="248"/>
        <v>451472</v>
      </c>
    </row>
    <row r="398" spans="1:16" ht="14.25" customHeight="1" x14ac:dyDescent="0.25">
      <c r="A398" s="102">
        <f t="shared" ref="A398" si="279">A395+1</f>
        <v>131</v>
      </c>
      <c r="B398" s="175" t="s">
        <v>11</v>
      </c>
      <c r="C398" s="172" t="s">
        <v>676</v>
      </c>
      <c r="D398" s="108" t="s">
        <v>560</v>
      </c>
      <c r="E398" s="108" t="s">
        <v>561</v>
      </c>
      <c r="F398" s="22" t="s">
        <v>562</v>
      </c>
      <c r="G398" s="44" t="s">
        <v>5</v>
      </c>
      <c r="H398" s="68">
        <v>23064</v>
      </c>
      <c r="I398" s="68">
        <v>30752</v>
      </c>
      <c r="J398" s="68">
        <v>30752</v>
      </c>
      <c r="K398" s="68">
        <v>30752</v>
      </c>
      <c r="L398" s="68">
        <v>30752</v>
      </c>
      <c r="M398" s="68">
        <v>30752</v>
      </c>
      <c r="N398" s="68">
        <v>30752</v>
      </c>
      <c r="O398" s="68">
        <f>422794-146072-30752-30752</f>
        <v>215218</v>
      </c>
      <c r="P398" s="11">
        <f>SUM(H398:O398)</f>
        <v>422794</v>
      </c>
    </row>
    <row r="399" spans="1:16" ht="13.5" customHeight="1" x14ac:dyDescent="0.25">
      <c r="A399" s="103"/>
      <c r="B399" s="175"/>
      <c r="C399" s="172"/>
      <c r="D399" s="109"/>
      <c r="E399" s="109"/>
      <c r="F399" s="17" t="s">
        <v>563</v>
      </c>
      <c r="G399" s="43" t="s">
        <v>8</v>
      </c>
      <c r="H399" s="70">
        <v>19204</v>
      </c>
      <c r="I399" s="70">
        <v>18042</v>
      </c>
      <c r="J399" s="69">
        <v>16637</v>
      </c>
      <c r="K399" s="69">
        <v>15270</v>
      </c>
      <c r="L399" s="69">
        <v>13824</v>
      </c>
      <c r="M399" s="69">
        <v>12419</v>
      </c>
      <c r="N399" s="69">
        <v>11016</v>
      </c>
      <c r="O399" s="69">
        <f>48893-11016</f>
        <v>37877</v>
      </c>
      <c r="P399" s="15">
        <f t="shared" si="248"/>
        <v>144289</v>
      </c>
    </row>
    <row r="400" spans="1:16" ht="15.75" customHeight="1" x14ac:dyDescent="0.25">
      <c r="A400" s="104"/>
      <c r="B400" s="175"/>
      <c r="C400" s="172"/>
      <c r="D400" s="109"/>
      <c r="E400" s="109"/>
      <c r="F400" s="39"/>
      <c r="G400" s="45" t="s">
        <v>99</v>
      </c>
      <c r="H400" s="71">
        <f t="shared" ref="H400:O400" si="280">SUM(H398:H399)</f>
        <v>42268</v>
      </c>
      <c r="I400" s="71">
        <f t="shared" si="280"/>
        <v>48794</v>
      </c>
      <c r="J400" s="71">
        <f t="shared" si="280"/>
        <v>47389</v>
      </c>
      <c r="K400" s="71">
        <f t="shared" si="280"/>
        <v>46022</v>
      </c>
      <c r="L400" s="71">
        <f t="shared" si="280"/>
        <v>44576</v>
      </c>
      <c r="M400" s="71">
        <f t="shared" si="280"/>
        <v>43171</v>
      </c>
      <c r="N400" s="71">
        <f t="shared" si="280"/>
        <v>41768</v>
      </c>
      <c r="O400" s="71">
        <f t="shared" si="280"/>
        <v>253095</v>
      </c>
      <c r="P400" s="92">
        <f t="shared" si="248"/>
        <v>567083</v>
      </c>
    </row>
    <row r="401" spans="1:16" ht="15" customHeight="1" x14ac:dyDescent="0.25">
      <c r="A401" s="102">
        <f t="shared" ref="A401" si="281">A398+1</f>
        <v>132</v>
      </c>
      <c r="B401" s="105" t="s">
        <v>11</v>
      </c>
      <c r="C401" s="177" t="s">
        <v>677</v>
      </c>
      <c r="D401" s="108" t="s">
        <v>505</v>
      </c>
      <c r="E401" s="108" t="s">
        <v>506</v>
      </c>
      <c r="F401" s="22" t="s">
        <v>503</v>
      </c>
      <c r="G401" s="44" t="s">
        <v>5</v>
      </c>
      <c r="H401" s="68">
        <v>160130</v>
      </c>
      <c r="I401" s="68">
        <v>160130</v>
      </c>
      <c r="J401" s="68">
        <v>160130</v>
      </c>
      <c r="K401" s="68">
        <v>160130</v>
      </c>
      <c r="L401" s="68">
        <v>160130</v>
      </c>
      <c r="M401" s="68">
        <v>160130</v>
      </c>
      <c r="N401" s="68">
        <v>160130</v>
      </c>
      <c r="O401" s="68">
        <f>2201793-1120910</f>
        <v>1080883</v>
      </c>
      <c r="P401" s="11">
        <f>SUM(H401:O401)</f>
        <v>2201793</v>
      </c>
    </row>
    <row r="402" spans="1:16" ht="15.75" customHeight="1" x14ac:dyDescent="0.25">
      <c r="A402" s="103"/>
      <c r="B402" s="105"/>
      <c r="C402" s="177"/>
      <c r="D402" s="109"/>
      <c r="E402" s="109"/>
      <c r="F402" s="17" t="s">
        <v>504</v>
      </c>
      <c r="G402" s="43" t="s">
        <v>8</v>
      </c>
      <c r="H402" s="70">
        <v>97820</v>
      </c>
      <c r="I402" s="70">
        <v>90128</v>
      </c>
      <c r="J402" s="70">
        <v>82968</v>
      </c>
      <c r="K402" s="70">
        <v>76004</v>
      </c>
      <c r="L402" s="70">
        <v>68639</v>
      </c>
      <c r="M402" s="70">
        <v>61484</v>
      </c>
      <c r="N402" s="70">
        <v>54338</v>
      </c>
      <c r="O402" s="70">
        <f>179928</f>
        <v>179928</v>
      </c>
      <c r="P402" s="15">
        <f t="shared" si="248"/>
        <v>711309</v>
      </c>
    </row>
    <row r="403" spans="1:16" ht="15.75" customHeight="1" x14ac:dyDescent="0.25">
      <c r="A403" s="104"/>
      <c r="B403" s="105"/>
      <c r="C403" s="177"/>
      <c r="D403" s="109"/>
      <c r="E403" s="109"/>
      <c r="F403" s="39"/>
      <c r="G403" s="45" t="s">
        <v>99</v>
      </c>
      <c r="H403" s="71">
        <f t="shared" ref="H403:O403" si="282">SUM(H401:H402)</f>
        <v>257950</v>
      </c>
      <c r="I403" s="71">
        <f t="shared" si="282"/>
        <v>250258</v>
      </c>
      <c r="J403" s="71">
        <f t="shared" si="282"/>
        <v>243098</v>
      </c>
      <c r="K403" s="71">
        <f t="shared" si="282"/>
        <v>236134</v>
      </c>
      <c r="L403" s="71">
        <f t="shared" si="282"/>
        <v>228769</v>
      </c>
      <c r="M403" s="71">
        <f t="shared" si="282"/>
        <v>221614</v>
      </c>
      <c r="N403" s="71">
        <f t="shared" si="282"/>
        <v>214468</v>
      </c>
      <c r="O403" s="71">
        <f t="shared" si="282"/>
        <v>1260811</v>
      </c>
      <c r="P403" s="92">
        <f t="shared" si="248"/>
        <v>2913102</v>
      </c>
    </row>
    <row r="404" spans="1:16" ht="14.25" customHeight="1" x14ac:dyDescent="0.25">
      <c r="A404" s="102">
        <f t="shared" ref="A404" si="283">A401+1</f>
        <v>133</v>
      </c>
      <c r="B404" s="178" t="s">
        <v>11</v>
      </c>
      <c r="C404" s="106" t="s">
        <v>484</v>
      </c>
      <c r="D404" s="108" t="s">
        <v>556</v>
      </c>
      <c r="E404" s="108" t="s">
        <v>557</v>
      </c>
      <c r="F404" s="10" t="s">
        <v>558</v>
      </c>
      <c r="G404" s="44" t="s">
        <v>5</v>
      </c>
      <c r="H404" s="68">
        <v>13928</v>
      </c>
      <c r="I404" s="68">
        <v>13928</v>
      </c>
      <c r="J404" s="68">
        <v>13928</v>
      </c>
      <c r="K404" s="68">
        <v>13928</v>
      </c>
      <c r="L404" s="68">
        <v>13928</v>
      </c>
      <c r="M404" s="68">
        <v>13928</v>
      </c>
      <c r="N404" s="68">
        <v>13928</v>
      </c>
      <c r="O404" s="68">
        <f>308507-73122-13928-13928</f>
        <v>207529</v>
      </c>
      <c r="P404" s="93">
        <f>SUM(H404:O404)</f>
        <v>305025</v>
      </c>
    </row>
    <row r="405" spans="1:16" ht="14.25" customHeight="1" x14ac:dyDescent="0.25">
      <c r="A405" s="103"/>
      <c r="B405" s="178"/>
      <c r="C405" s="107"/>
      <c r="D405" s="109"/>
      <c r="E405" s="109"/>
      <c r="F405" s="14" t="s">
        <v>559</v>
      </c>
      <c r="G405" s="43" t="s">
        <v>8</v>
      </c>
      <c r="H405" s="70">
        <v>14840</v>
      </c>
      <c r="I405" s="70">
        <v>14159</v>
      </c>
      <c r="J405" s="70">
        <v>13476</v>
      </c>
      <c r="K405" s="70">
        <v>12827</v>
      </c>
      <c r="L405" s="70">
        <v>12109</v>
      </c>
      <c r="M405" s="70">
        <v>11427</v>
      </c>
      <c r="N405" s="70">
        <v>10745</v>
      </c>
      <c r="O405" s="70">
        <f>79901</f>
        <v>79901</v>
      </c>
      <c r="P405" s="49">
        <f t="shared" si="248"/>
        <v>169484</v>
      </c>
    </row>
    <row r="406" spans="1:16" ht="14.25" customHeight="1" x14ac:dyDescent="0.25">
      <c r="A406" s="104"/>
      <c r="B406" s="178"/>
      <c r="C406" s="107"/>
      <c r="D406" s="109"/>
      <c r="E406" s="109"/>
      <c r="F406" s="39"/>
      <c r="G406" s="12" t="s">
        <v>99</v>
      </c>
      <c r="H406" s="71">
        <f t="shared" ref="H406:O406" si="284">SUM(H404:H405)</f>
        <v>28768</v>
      </c>
      <c r="I406" s="71">
        <f t="shared" si="284"/>
        <v>28087</v>
      </c>
      <c r="J406" s="71">
        <f t="shared" si="284"/>
        <v>27404</v>
      </c>
      <c r="K406" s="71">
        <f t="shared" si="284"/>
        <v>26755</v>
      </c>
      <c r="L406" s="71">
        <f t="shared" si="284"/>
        <v>26037</v>
      </c>
      <c r="M406" s="71">
        <f t="shared" si="284"/>
        <v>25355</v>
      </c>
      <c r="N406" s="71">
        <f t="shared" si="284"/>
        <v>24673</v>
      </c>
      <c r="O406" s="71">
        <f t="shared" si="284"/>
        <v>287430</v>
      </c>
      <c r="P406" s="94">
        <f t="shared" si="248"/>
        <v>474509</v>
      </c>
    </row>
    <row r="407" spans="1:16" ht="14.25" customHeight="1" x14ac:dyDescent="0.25">
      <c r="A407" s="102">
        <f t="shared" ref="A407" si="285">A404+1</f>
        <v>134</v>
      </c>
      <c r="B407" s="105" t="s">
        <v>11</v>
      </c>
      <c r="C407" s="173" t="s">
        <v>485</v>
      </c>
      <c r="D407" s="108" t="s">
        <v>509</v>
      </c>
      <c r="E407" s="108" t="s">
        <v>285</v>
      </c>
      <c r="F407" s="10" t="s">
        <v>510</v>
      </c>
      <c r="G407" s="44" t="s">
        <v>5</v>
      </c>
      <c r="H407" s="68">
        <v>36932</v>
      </c>
      <c r="I407" s="68">
        <v>36932</v>
      </c>
      <c r="J407" s="68">
        <v>36932</v>
      </c>
      <c r="K407" s="68">
        <v>36932</v>
      </c>
      <c r="L407" s="68">
        <v>36932</v>
      </c>
      <c r="M407" s="68">
        <v>36932</v>
      </c>
      <c r="N407" s="68">
        <v>36932</v>
      </c>
      <c r="O407" s="68">
        <f>9233*29+9191-36932</f>
        <v>240016</v>
      </c>
      <c r="P407" s="11">
        <f>SUM(H407:O407)</f>
        <v>498540</v>
      </c>
    </row>
    <row r="408" spans="1:16" ht="14.25" customHeight="1" x14ac:dyDescent="0.25">
      <c r="A408" s="103"/>
      <c r="B408" s="105"/>
      <c r="C408" s="174"/>
      <c r="D408" s="109"/>
      <c r="E408" s="109"/>
      <c r="F408" s="14" t="s">
        <v>511</v>
      </c>
      <c r="G408" s="43" t="s">
        <v>8</v>
      </c>
      <c r="H408" s="70">
        <v>21824</v>
      </c>
      <c r="I408" s="70">
        <v>20275</v>
      </c>
      <c r="J408" s="70">
        <v>18632</v>
      </c>
      <c r="K408" s="70">
        <v>17032</v>
      </c>
      <c r="L408" s="70">
        <v>15343</v>
      </c>
      <c r="M408" s="70">
        <v>13700</v>
      </c>
      <c r="N408" s="70">
        <v>12060</v>
      </c>
      <c r="O408" s="70">
        <f>50554-12060</f>
        <v>38494</v>
      </c>
      <c r="P408" s="15">
        <f t="shared" si="248"/>
        <v>157360</v>
      </c>
    </row>
    <row r="409" spans="1:16" ht="14.25" customHeight="1" x14ac:dyDescent="0.25">
      <c r="A409" s="104"/>
      <c r="B409" s="105"/>
      <c r="C409" s="174"/>
      <c r="D409" s="109"/>
      <c r="E409" s="109"/>
      <c r="F409" s="39"/>
      <c r="G409" s="12" t="s">
        <v>99</v>
      </c>
      <c r="H409" s="71">
        <f t="shared" ref="H409:O409" si="286">SUM(H407:H408)</f>
        <v>58756</v>
      </c>
      <c r="I409" s="71">
        <f t="shared" si="286"/>
        <v>57207</v>
      </c>
      <c r="J409" s="71">
        <f t="shared" si="286"/>
        <v>55564</v>
      </c>
      <c r="K409" s="71">
        <f t="shared" si="286"/>
        <v>53964</v>
      </c>
      <c r="L409" s="71">
        <f t="shared" si="286"/>
        <v>52275</v>
      </c>
      <c r="M409" s="71">
        <f t="shared" si="286"/>
        <v>50632</v>
      </c>
      <c r="N409" s="71">
        <f t="shared" si="286"/>
        <v>48992</v>
      </c>
      <c r="O409" s="71">
        <f t="shared" si="286"/>
        <v>278510</v>
      </c>
      <c r="P409" s="92">
        <f t="shared" si="248"/>
        <v>655900</v>
      </c>
    </row>
    <row r="410" spans="1:16" ht="14.25" customHeight="1" x14ac:dyDescent="0.25">
      <c r="A410" s="102">
        <f t="shared" ref="A410" si="287">A407+1</f>
        <v>135</v>
      </c>
      <c r="B410" s="175" t="s">
        <v>11</v>
      </c>
      <c r="C410" s="173" t="s">
        <v>669</v>
      </c>
      <c r="D410" s="108" t="s">
        <v>543</v>
      </c>
      <c r="E410" s="108" t="s">
        <v>544</v>
      </c>
      <c r="F410" s="10" t="s">
        <v>541</v>
      </c>
      <c r="G410" s="44" t="s">
        <v>5</v>
      </c>
      <c r="H410" s="68">
        <v>26012</v>
      </c>
      <c r="I410" s="68">
        <v>26012</v>
      </c>
      <c r="J410" s="68">
        <v>26012</v>
      </c>
      <c r="K410" s="68">
        <v>26012</v>
      </c>
      <c r="L410" s="68">
        <v>26012</v>
      </c>
      <c r="M410" s="68">
        <v>26012</v>
      </c>
      <c r="N410" s="68">
        <v>26012</v>
      </c>
      <c r="O410" s="68">
        <f>357622-130060-26012-26012</f>
        <v>175538</v>
      </c>
      <c r="P410" s="11">
        <f>SUM(H410:O410)</f>
        <v>357622</v>
      </c>
    </row>
    <row r="411" spans="1:16" ht="14.25" customHeight="1" x14ac:dyDescent="0.25">
      <c r="A411" s="103"/>
      <c r="B411" s="175"/>
      <c r="C411" s="174"/>
      <c r="D411" s="109"/>
      <c r="E411" s="109"/>
      <c r="F411" s="14" t="s">
        <v>542</v>
      </c>
      <c r="G411" s="43" t="s">
        <v>8</v>
      </c>
      <c r="H411" s="70">
        <v>16199</v>
      </c>
      <c r="I411" s="70">
        <v>15070</v>
      </c>
      <c r="J411" s="70">
        <v>13873</v>
      </c>
      <c r="K411" s="70">
        <v>12708</v>
      </c>
      <c r="L411" s="70">
        <v>11476</v>
      </c>
      <c r="M411" s="70">
        <v>10280</v>
      </c>
      <c r="N411" s="70">
        <v>9085</v>
      </c>
      <c r="O411" s="70">
        <f>30102</f>
        <v>30102</v>
      </c>
      <c r="P411" s="15">
        <f t="shared" si="248"/>
        <v>118793</v>
      </c>
    </row>
    <row r="412" spans="1:16" ht="14.25" customHeight="1" x14ac:dyDescent="0.25">
      <c r="A412" s="104"/>
      <c r="B412" s="175"/>
      <c r="C412" s="174"/>
      <c r="D412" s="109"/>
      <c r="E412" s="109"/>
      <c r="F412" s="39"/>
      <c r="G412" s="12" t="s">
        <v>99</v>
      </c>
      <c r="H412" s="71">
        <f t="shared" ref="H412:O412" si="288">SUM(H410:H411)</f>
        <v>42211</v>
      </c>
      <c r="I412" s="71">
        <f t="shared" si="288"/>
        <v>41082</v>
      </c>
      <c r="J412" s="71">
        <f t="shared" si="288"/>
        <v>39885</v>
      </c>
      <c r="K412" s="71">
        <f t="shared" si="288"/>
        <v>38720</v>
      </c>
      <c r="L412" s="71">
        <f t="shared" si="288"/>
        <v>37488</v>
      </c>
      <c r="M412" s="71">
        <f t="shared" si="288"/>
        <v>36292</v>
      </c>
      <c r="N412" s="71">
        <f t="shared" si="288"/>
        <v>35097</v>
      </c>
      <c r="O412" s="71">
        <f t="shared" si="288"/>
        <v>205640</v>
      </c>
      <c r="P412" s="92">
        <f t="shared" si="248"/>
        <v>476415</v>
      </c>
    </row>
    <row r="413" spans="1:16" ht="14.25" customHeight="1" x14ac:dyDescent="0.25">
      <c r="A413" s="102">
        <f t="shared" ref="A413" si="289">A410+1</f>
        <v>136</v>
      </c>
      <c r="B413" s="175" t="s">
        <v>11</v>
      </c>
      <c r="C413" s="173" t="s">
        <v>496</v>
      </c>
      <c r="D413" s="108" t="s">
        <v>543</v>
      </c>
      <c r="E413" s="108" t="s">
        <v>547</v>
      </c>
      <c r="F413" s="10" t="s">
        <v>545</v>
      </c>
      <c r="G413" s="44" t="s">
        <v>5</v>
      </c>
      <c r="H413" s="68">
        <v>12184</v>
      </c>
      <c r="I413" s="68">
        <v>12184</v>
      </c>
      <c r="J413" s="68">
        <v>12184</v>
      </c>
      <c r="K413" s="68">
        <v>12184</v>
      </c>
      <c r="L413" s="68">
        <v>12184</v>
      </c>
      <c r="M413" s="68">
        <v>12184</v>
      </c>
      <c r="N413" s="68">
        <v>12184</v>
      </c>
      <c r="O413" s="68">
        <f>112667-67012-12184-12184</f>
        <v>21287</v>
      </c>
      <c r="P413" s="11">
        <f>SUM(H413:O413)</f>
        <v>106575</v>
      </c>
    </row>
    <row r="414" spans="1:16" ht="14.25" customHeight="1" x14ac:dyDescent="0.25">
      <c r="A414" s="103"/>
      <c r="B414" s="175"/>
      <c r="C414" s="174"/>
      <c r="D414" s="109"/>
      <c r="E414" s="109"/>
      <c r="F414" s="14" t="s">
        <v>546</v>
      </c>
      <c r="G414" s="43" t="s">
        <v>8</v>
      </c>
      <c r="H414" s="70">
        <v>4518</v>
      </c>
      <c r="I414" s="70">
        <v>3993</v>
      </c>
      <c r="J414" s="70">
        <v>3467</v>
      </c>
      <c r="K414" s="70">
        <v>2948</v>
      </c>
      <c r="L414" s="70">
        <v>2414</v>
      </c>
      <c r="M414" s="70">
        <v>1888</v>
      </c>
      <c r="N414" s="70">
        <v>1363</v>
      </c>
      <c r="O414" s="70">
        <f>1141</f>
        <v>1141</v>
      </c>
      <c r="P414" s="15">
        <f t="shared" si="248"/>
        <v>21732</v>
      </c>
    </row>
    <row r="415" spans="1:16" ht="14.25" customHeight="1" x14ac:dyDescent="0.25">
      <c r="A415" s="104"/>
      <c r="B415" s="175"/>
      <c r="C415" s="174"/>
      <c r="D415" s="109"/>
      <c r="E415" s="109"/>
      <c r="F415" s="39"/>
      <c r="G415" s="12" t="s">
        <v>99</v>
      </c>
      <c r="H415" s="71">
        <f t="shared" ref="H415:O415" si="290">SUM(H413:H414)</f>
        <v>16702</v>
      </c>
      <c r="I415" s="71">
        <f t="shared" si="290"/>
        <v>16177</v>
      </c>
      <c r="J415" s="71">
        <f t="shared" si="290"/>
        <v>15651</v>
      </c>
      <c r="K415" s="71">
        <f t="shared" si="290"/>
        <v>15132</v>
      </c>
      <c r="L415" s="71">
        <f t="shared" si="290"/>
        <v>14598</v>
      </c>
      <c r="M415" s="71">
        <f t="shared" si="290"/>
        <v>14072</v>
      </c>
      <c r="N415" s="71">
        <f t="shared" si="290"/>
        <v>13547</v>
      </c>
      <c r="O415" s="71">
        <f t="shared" si="290"/>
        <v>22428</v>
      </c>
      <c r="P415" s="92">
        <f t="shared" si="248"/>
        <v>128307</v>
      </c>
    </row>
    <row r="416" spans="1:16" ht="14.25" customHeight="1" x14ac:dyDescent="0.25">
      <c r="A416" s="102">
        <f t="shared" ref="A416" si="291">A413+1</f>
        <v>137</v>
      </c>
      <c r="B416" s="175" t="s">
        <v>11</v>
      </c>
      <c r="C416" s="173" t="s">
        <v>486</v>
      </c>
      <c r="D416" s="108" t="s">
        <v>543</v>
      </c>
      <c r="E416" s="108" t="s">
        <v>547</v>
      </c>
      <c r="F416" s="10" t="s">
        <v>548</v>
      </c>
      <c r="G416" s="44" t="s">
        <v>5</v>
      </c>
      <c r="H416" s="68">
        <v>23480</v>
      </c>
      <c r="I416" s="68">
        <v>23480</v>
      </c>
      <c r="J416" s="68">
        <v>23480</v>
      </c>
      <c r="K416" s="68">
        <v>23480</v>
      </c>
      <c r="L416" s="68">
        <v>23480</v>
      </c>
      <c r="M416" s="68">
        <v>23480</v>
      </c>
      <c r="N416" s="68">
        <v>23480</v>
      </c>
      <c r="O416" s="68">
        <f>208393-123926-22532+2608-23480</f>
        <v>41063</v>
      </c>
      <c r="P416" s="11">
        <f>SUM(H416:O416)</f>
        <v>205423</v>
      </c>
    </row>
    <row r="417" spans="1:16" ht="14.25" customHeight="1" x14ac:dyDescent="0.25">
      <c r="A417" s="103"/>
      <c r="B417" s="175"/>
      <c r="C417" s="174"/>
      <c r="D417" s="109"/>
      <c r="E417" s="109"/>
      <c r="F417" s="14" t="s">
        <v>549</v>
      </c>
      <c r="G417" s="43" t="s">
        <v>8</v>
      </c>
      <c r="H417" s="70">
        <v>8681</v>
      </c>
      <c r="I417" s="70">
        <v>7697</v>
      </c>
      <c r="J417" s="70">
        <v>6683</v>
      </c>
      <c r="K417" s="70">
        <v>5683</v>
      </c>
      <c r="L417" s="70">
        <v>4654</v>
      </c>
      <c r="M417" s="70">
        <v>3640</v>
      </c>
      <c r="N417" s="70">
        <v>2628</v>
      </c>
      <c r="O417" s="70">
        <f>2202</f>
        <v>2202</v>
      </c>
      <c r="P417" s="15">
        <f t="shared" si="248"/>
        <v>41868</v>
      </c>
    </row>
    <row r="418" spans="1:16" ht="14.25" customHeight="1" x14ac:dyDescent="0.25">
      <c r="A418" s="104"/>
      <c r="B418" s="175"/>
      <c r="C418" s="174"/>
      <c r="D418" s="109"/>
      <c r="E418" s="109"/>
      <c r="F418" s="39"/>
      <c r="G418" s="12" t="s">
        <v>99</v>
      </c>
      <c r="H418" s="71">
        <f t="shared" ref="H418:O418" si="292">SUM(H416:H417)</f>
        <v>32161</v>
      </c>
      <c r="I418" s="71">
        <f t="shared" si="292"/>
        <v>31177</v>
      </c>
      <c r="J418" s="71">
        <f t="shared" si="292"/>
        <v>30163</v>
      </c>
      <c r="K418" s="71">
        <f t="shared" si="292"/>
        <v>29163</v>
      </c>
      <c r="L418" s="71">
        <f t="shared" si="292"/>
        <v>28134</v>
      </c>
      <c r="M418" s="71">
        <f t="shared" si="292"/>
        <v>27120</v>
      </c>
      <c r="N418" s="71">
        <f t="shared" si="292"/>
        <v>26108</v>
      </c>
      <c r="O418" s="71">
        <f t="shared" si="292"/>
        <v>43265</v>
      </c>
      <c r="P418" s="92">
        <f t="shared" ref="P418:P424" si="293">SUM(H418:O418)</f>
        <v>247291</v>
      </c>
    </row>
    <row r="419" spans="1:16" ht="14.25" customHeight="1" x14ac:dyDescent="0.25">
      <c r="A419" s="102">
        <f t="shared" ref="A419" si="294">A416+1</f>
        <v>138</v>
      </c>
      <c r="B419" s="105" t="s">
        <v>11</v>
      </c>
      <c r="C419" s="173" t="s">
        <v>501</v>
      </c>
      <c r="D419" s="108" t="s">
        <v>512</v>
      </c>
      <c r="E419" s="108" t="s">
        <v>515</v>
      </c>
      <c r="F419" s="10" t="s">
        <v>516</v>
      </c>
      <c r="G419" s="44" t="s">
        <v>5</v>
      </c>
      <c r="H419" s="68">
        <f t="shared" ref="H419:M419" si="295">4327*4</f>
        <v>17308</v>
      </c>
      <c r="I419" s="68">
        <f t="shared" si="295"/>
        <v>17308</v>
      </c>
      <c r="J419" s="68">
        <f t="shared" si="295"/>
        <v>17308</v>
      </c>
      <c r="K419" s="68">
        <f t="shared" si="295"/>
        <v>17308</v>
      </c>
      <c r="L419" s="68">
        <f t="shared" si="295"/>
        <v>17308</v>
      </c>
      <c r="M419" s="68">
        <f t="shared" si="295"/>
        <v>17308</v>
      </c>
      <c r="N419" s="68">
        <v>17308</v>
      </c>
      <c r="O419" s="68">
        <f>155761-95194-17308-17308</f>
        <v>25951</v>
      </c>
      <c r="P419" s="11">
        <f>SUM(H419:O419)</f>
        <v>147107</v>
      </c>
    </row>
    <row r="420" spans="1:16" ht="14.25" customHeight="1" x14ac:dyDescent="0.25">
      <c r="A420" s="103"/>
      <c r="B420" s="105"/>
      <c r="C420" s="174"/>
      <c r="D420" s="109"/>
      <c r="E420" s="109"/>
      <c r="F420" s="14" t="s">
        <v>517</v>
      </c>
      <c r="G420" s="43" t="s">
        <v>8</v>
      </c>
      <c r="H420" s="70">
        <v>6115</v>
      </c>
      <c r="I420" s="70">
        <v>5383</v>
      </c>
      <c r="J420" s="70">
        <v>4650</v>
      </c>
      <c r="K420" s="70">
        <v>3926</v>
      </c>
      <c r="L420" s="70">
        <v>3128</v>
      </c>
      <c r="M420" s="70">
        <v>2449</v>
      </c>
      <c r="N420" s="70">
        <v>1718</v>
      </c>
      <c r="O420" s="70">
        <f>1246</f>
        <v>1246</v>
      </c>
      <c r="P420" s="15">
        <f t="shared" si="293"/>
        <v>28615</v>
      </c>
    </row>
    <row r="421" spans="1:16" ht="14.25" customHeight="1" x14ac:dyDescent="0.25">
      <c r="A421" s="104"/>
      <c r="B421" s="105"/>
      <c r="C421" s="174"/>
      <c r="D421" s="109"/>
      <c r="E421" s="109"/>
      <c r="F421" s="39"/>
      <c r="G421" s="12" t="s">
        <v>99</v>
      </c>
      <c r="H421" s="71">
        <f t="shared" ref="H421:O421" si="296">SUM(H419:H420)</f>
        <v>23423</v>
      </c>
      <c r="I421" s="71">
        <f t="shared" si="296"/>
        <v>22691</v>
      </c>
      <c r="J421" s="71">
        <f t="shared" si="296"/>
        <v>21958</v>
      </c>
      <c r="K421" s="71">
        <f t="shared" si="296"/>
        <v>21234</v>
      </c>
      <c r="L421" s="71">
        <f t="shared" si="296"/>
        <v>20436</v>
      </c>
      <c r="M421" s="71">
        <f t="shared" si="296"/>
        <v>19757</v>
      </c>
      <c r="N421" s="71">
        <f t="shared" si="296"/>
        <v>19026</v>
      </c>
      <c r="O421" s="71">
        <f t="shared" si="296"/>
        <v>27197</v>
      </c>
      <c r="P421" s="92">
        <f t="shared" si="293"/>
        <v>175722</v>
      </c>
    </row>
    <row r="422" spans="1:16" ht="15.75" customHeight="1" x14ac:dyDescent="0.25">
      <c r="A422" s="102">
        <f t="shared" ref="A422" si="297">A419+1</f>
        <v>139</v>
      </c>
      <c r="B422" s="105" t="s">
        <v>11</v>
      </c>
      <c r="C422" s="176" t="s">
        <v>686</v>
      </c>
      <c r="D422" s="108" t="s">
        <v>512</v>
      </c>
      <c r="E422" s="108" t="s">
        <v>515</v>
      </c>
      <c r="F422" s="10" t="s">
        <v>513</v>
      </c>
      <c r="G422" s="44" t="s">
        <v>5</v>
      </c>
      <c r="H422" s="68">
        <v>22280</v>
      </c>
      <c r="I422" s="68">
        <v>22280</v>
      </c>
      <c r="J422" s="68">
        <v>22280</v>
      </c>
      <c r="K422" s="68">
        <v>22280</v>
      </c>
      <c r="L422" s="68">
        <v>22280</v>
      </c>
      <c r="M422" s="68">
        <v>22280</v>
      </c>
      <c r="N422" s="68">
        <v>22280</v>
      </c>
      <c r="O422" s="68">
        <f>5570*30-1-22280</f>
        <v>144819</v>
      </c>
      <c r="P422" s="11">
        <f>SUM(H422:O422)</f>
        <v>300779</v>
      </c>
    </row>
    <row r="423" spans="1:16" ht="14.25" customHeight="1" x14ac:dyDescent="0.25">
      <c r="A423" s="103"/>
      <c r="B423" s="105"/>
      <c r="C423" s="176"/>
      <c r="D423" s="109"/>
      <c r="E423" s="109"/>
      <c r="F423" s="43" t="s">
        <v>514</v>
      </c>
      <c r="G423" s="43" t="s">
        <v>8</v>
      </c>
      <c r="H423" s="70">
        <v>13167</v>
      </c>
      <c r="I423" s="70">
        <v>12233</v>
      </c>
      <c r="J423" s="70">
        <v>11241</v>
      </c>
      <c r="K423" s="70">
        <v>10276</v>
      </c>
      <c r="L423" s="70">
        <v>9257</v>
      </c>
      <c r="M423" s="70">
        <v>8266</v>
      </c>
      <c r="N423" s="70">
        <v>7277</v>
      </c>
      <c r="O423" s="70">
        <f>30506-7277</f>
        <v>23229</v>
      </c>
      <c r="P423" s="15">
        <f t="shared" si="293"/>
        <v>94946</v>
      </c>
    </row>
    <row r="424" spans="1:16" ht="15.75" customHeight="1" x14ac:dyDescent="0.25">
      <c r="A424" s="104"/>
      <c r="B424" s="105"/>
      <c r="C424" s="176"/>
      <c r="D424" s="109"/>
      <c r="E424" s="109"/>
      <c r="F424" s="39"/>
      <c r="G424" s="12" t="s">
        <v>99</v>
      </c>
      <c r="H424" s="71">
        <f t="shared" ref="H424:O424" si="298">SUM(H422:H423)</f>
        <v>35447</v>
      </c>
      <c r="I424" s="71">
        <f t="shared" si="298"/>
        <v>34513</v>
      </c>
      <c r="J424" s="71">
        <f t="shared" si="298"/>
        <v>33521</v>
      </c>
      <c r="K424" s="71">
        <f t="shared" si="298"/>
        <v>32556</v>
      </c>
      <c r="L424" s="71">
        <f t="shared" si="298"/>
        <v>31537</v>
      </c>
      <c r="M424" s="71">
        <f t="shared" si="298"/>
        <v>30546</v>
      </c>
      <c r="N424" s="71">
        <f t="shared" si="298"/>
        <v>29557</v>
      </c>
      <c r="O424" s="71">
        <f t="shared" si="298"/>
        <v>168048</v>
      </c>
      <c r="P424" s="92">
        <f t="shared" si="293"/>
        <v>395725</v>
      </c>
    </row>
    <row r="425" spans="1:16" ht="14.25" customHeight="1" x14ac:dyDescent="0.25">
      <c r="A425" s="102">
        <f t="shared" ref="A425" si="299">A422+1</f>
        <v>140</v>
      </c>
      <c r="B425" s="175" t="s">
        <v>11</v>
      </c>
      <c r="C425" s="173" t="s">
        <v>487</v>
      </c>
      <c r="D425" s="108" t="s">
        <v>543</v>
      </c>
      <c r="E425" s="108" t="s">
        <v>547</v>
      </c>
      <c r="F425" s="10" t="s">
        <v>550</v>
      </c>
      <c r="G425" s="44" t="s">
        <v>5</v>
      </c>
      <c r="H425" s="68">
        <v>5440</v>
      </c>
      <c r="I425" s="68">
        <v>5440</v>
      </c>
      <c r="J425" s="68">
        <v>5440</v>
      </c>
      <c r="K425" s="68">
        <v>5440</v>
      </c>
      <c r="L425" s="68">
        <v>5440</v>
      </c>
      <c r="M425" s="68">
        <v>5440</v>
      </c>
      <c r="N425" s="68">
        <v>5440</v>
      </c>
      <c r="O425" s="68">
        <f>50294-29920-5440-5440</f>
        <v>9494</v>
      </c>
      <c r="P425" s="11">
        <f>SUM(H425:O425)</f>
        <v>47574</v>
      </c>
    </row>
    <row r="426" spans="1:16" ht="14.25" customHeight="1" x14ac:dyDescent="0.25">
      <c r="A426" s="103"/>
      <c r="B426" s="175"/>
      <c r="C426" s="174"/>
      <c r="D426" s="109"/>
      <c r="E426" s="109"/>
      <c r="F426" s="14" t="s">
        <v>551</v>
      </c>
      <c r="G426" s="43" t="s">
        <v>8</v>
      </c>
      <c r="H426" s="70">
        <v>2017</v>
      </c>
      <c r="I426" s="70">
        <v>1782</v>
      </c>
      <c r="J426" s="70">
        <v>1547</v>
      </c>
      <c r="K426" s="70">
        <v>1315</v>
      </c>
      <c r="L426" s="70">
        <v>1078</v>
      </c>
      <c r="M426" s="70">
        <v>843</v>
      </c>
      <c r="N426" s="70">
        <v>608</v>
      </c>
      <c r="O426" s="70">
        <f>509</f>
        <v>509</v>
      </c>
      <c r="P426" s="15">
        <f t="shared" ref="P426:P489" si="300">SUM(H426:O426)</f>
        <v>9699</v>
      </c>
    </row>
    <row r="427" spans="1:16" ht="14.25" customHeight="1" x14ac:dyDescent="0.25">
      <c r="A427" s="104"/>
      <c r="B427" s="175"/>
      <c r="C427" s="174"/>
      <c r="D427" s="109"/>
      <c r="E427" s="109"/>
      <c r="F427" s="39"/>
      <c r="G427" s="12" t="s">
        <v>99</v>
      </c>
      <c r="H427" s="71">
        <f t="shared" ref="H427:O427" si="301">SUM(H425:H426)</f>
        <v>7457</v>
      </c>
      <c r="I427" s="71">
        <f t="shared" si="301"/>
        <v>7222</v>
      </c>
      <c r="J427" s="71">
        <f t="shared" si="301"/>
        <v>6987</v>
      </c>
      <c r="K427" s="71">
        <f t="shared" si="301"/>
        <v>6755</v>
      </c>
      <c r="L427" s="71">
        <f t="shared" si="301"/>
        <v>6518</v>
      </c>
      <c r="M427" s="71">
        <f t="shared" si="301"/>
        <v>6283</v>
      </c>
      <c r="N427" s="71">
        <f t="shared" si="301"/>
        <v>6048</v>
      </c>
      <c r="O427" s="71">
        <f t="shared" si="301"/>
        <v>10003</v>
      </c>
      <c r="P427" s="92">
        <f t="shared" si="300"/>
        <v>57273</v>
      </c>
    </row>
    <row r="428" spans="1:16" ht="14.25" customHeight="1" x14ac:dyDescent="0.25">
      <c r="A428" s="102">
        <f t="shared" ref="A428" si="302">A425+1</f>
        <v>141</v>
      </c>
      <c r="B428" s="175" t="s">
        <v>11</v>
      </c>
      <c r="C428" s="173" t="s">
        <v>495</v>
      </c>
      <c r="D428" s="108" t="s">
        <v>543</v>
      </c>
      <c r="E428" s="108" t="s">
        <v>547</v>
      </c>
      <c r="F428" s="10" t="s">
        <v>552</v>
      </c>
      <c r="G428" s="44" t="s">
        <v>5</v>
      </c>
      <c r="H428" s="68">
        <v>18856</v>
      </c>
      <c r="I428" s="68">
        <v>18856</v>
      </c>
      <c r="J428" s="68">
        <v>18856</v>
      </c>
      <c r="K428" s="68">
        <v>18856</v>
      </c>
      <c r="L428" s="68">
        <v>18856</v>
      </c>
      <c r="M428" s="68">
        <v>18856</v>
      </c>
      <c r="N428" s="68">
        <v>18856</v>
      </c>
      <c r="O428" s="68">
        <f>174418-103708-18856-3-18856</f>
        <v>32995</v>
      </c>
      <c r="P428" s="11">
        <f>SUM(H428:O428)</f>
        <v>164987</v>
      </c>
    </row>
    <row r="429" spans="1:16" ht="14.25" customHeight="1" x14ac:dyDescent="0.25">
      <c r="A429" s="103"/>
      <c r="B429" s="175"/>
      <c r="C429" s="174"/>
      <c r="D429" s="109"/>
      <c r="E429" s="109"/>
      <c r="F429" s="14" t="s">
        <v>553</v>
      </c>
      <c r="G429" s="43" t="s">
        <v>8</v>
      </c>
      <c r="H429" s="70">
        <v>6995</v>
      </c>
      <c r="I429" s="70">
        <v>6182</v>
      </c>
      <c r="J429" s="70">
        <v>5368</v>
      </c>
      <c r="K429" s="70">
        <v>4565</v>
      </c>
      <c r="L429" s="70">
        <v>3738</v>
      </c>
      <c r="M429" s="70">
        <v>2924</v>
      </c>
      <c r="N429" s="70">
        <v>2111</v>
      </c>
      <c r="O429" s="70">
        <f>1303+467</f>
        <v>1770</v>
      </c>
      <c r="P429" s="15">
        <f t="shared" si="300"/>
        <v>33653</v>
      </c>
    </row>
    <row r="430" spans="1:16" ht="14.25" customHeight="1" x14ac:dyDescent="0.25">
      <c r="A430" s="104"/>
      <c r="B430" s="175"/>
      <c r="C430" s="174"/>
      <c r="D430" s="109"/>
      <c r="E430" s="109"/>
      <c r="F430" s="39"/>
      <c r="G430" s="12" t="s">
        <v>99</v>
      </c>
      <c r="H430" s="71">
        <f t="shared" ref="H430:O430" si="303">SUM(H428:H429)</f>
        <v>25851</v>
      </c>
      <c r="I430" s="71">
        <f t="shared" si="303"/>
        <v>25038</v>
      </c>
      <c r="J430" s="71">
        <f t="shared" si="303"/>
        <v>24224</v>
      </c>
      <c r="K430" s="71">
        <f t="shared" si="303"/>
        <v>23421</v>
      </c>
      <c r="L430" s="71">
        <f t="shared" si="303"/>
        <v>22594</v>
      </c>
      <c r="M430" s="71">
        <f t="shared" si="303"/>
        <v>21780</v>
      </c>
      <c r="N430" s="71">
        <f t="shared" si="303"/>
        <v>20967</v>
      </c>
      <c r="O430" s="71">
        <f t="shared" si="303"/>
        <v>34765</v>
      </c>
      <c r="P430" s="92">
        <f t="shared" si="300"/>
        <v>198640</v>
      </c>
    </row>
    <row r="431" spans="1:16" ht="14.25" customHeight="1" x14ac:dyDescent="0.25">
      <c r="A431" s="102">
        <f t="shared" ref="A431" si="304">A428+1</f>
        <v>142</v>
      </c>
      <c r="B431" s="105" t="s">
        <v>11</v>
      </c>
      <c r="C431" s="173" t="s">
        <v>488</v>
      </c>
      <c r="D431" s="108" t="s">
        <v>512</v>
      </c>
      <c r="E431" s="108" t="s">
        <v>131</v>
      </c>
      <c r="F431" s="10" t="s">
        <v>518</v>
      </c>
      <c r="G431" s="44" t="s">
        <v>5</v>
      </c>
      <c r="H431" s="68">
        <f t="shared" ref="H431:M431" si="305">3808*4</f>
        <v>15232</v>
      </c>
      <c r="I431" s="68">
        <f t="shared" si="305"/>
        <v>15232</v>
      </c>
      <c r="J431" s="68">
        <f t="shared" si="305"/>
        <v>15232</v>
      </c>
      <c r="K431" s="68">
        <f t="shared" si="305"/>
        <v>15232</v>
      </c>
      <c r="L431" s="68">
        <f t="shared" si="305"/>
        <v>15232</v>
      </c>
      <c r="M431" s="68">
        <f t="shared" si="305"/>
        <v>15232</v>
      </c>
      <c r="N431" s="68">
        <v>15232</v>
      </c>
      <c r="O431" s="68">
        <f>137087-83776-15232-15232</f>
        <v>22847</v>
      </c>
      <c r="P431" s="11">
        <f>SUM(H431:O431)</f>
        <v>129471</v>
      </c>
    </row>
    <row r="432" spans="1:16" ht="14.25" customHeight="1" x14ac:dyDescent="0.25">
      <c r="A432" s="103"/>
      <c r="B432" s="105"/>
      <c r="C432" s="174"/>
      <c r="D432" s="109"/>
      <c r="E432" s="109"/>
      <c r="F432" s="14" t="s">
        <v>519</v>
      </c>
      <c r="G432" s="43" t="s">
        <v>8</v>
      </c>
      <c r="H432" s="70">
        <v>5381</v>
      </c>
      <c r="I432" s="70">
        <v>4738</v>
      </c>
      <c r="J432" s="70">
        <v>4092</v>
      </c>
      <c r="K432" s="70">
        <v>3456</v>
      </c>
      <c r="L432" s="70">
        <v>2801</v>
      </c>
      <c r="M432" s="70">
        <v>2156</v>
      </c>
      <c r="N432" s="70">
        <v>1512</v>
      </c>
      <c r="O432" s="70">
        <f>871+227</f>
        <v>1098</v>
      </c>
      <c r="P432" s="15">
        <f t="shared" si="300"/>
        <v>25234</v>
      </c>
    </row>
    <row r="433" spans="1:16" ht="14.25" customHeight="1" x14ac:dyDescent="0.25">
      <c r="A433" s="104"/>
      <c r="B433" s="105"/>
      <c r="C433" s="174"/>
      <c r="D433" s="109"/>
      <c r="E433" s="109"/>
      <c r="F433" s="39"/>
      <c r="G433" s="12" t="s">
        <v>99</v>
      </c>
      <c r="H433" s="71">
        <f t="shared" ref="H433:O433" si="306">SUM(H431:H432)</f>
        <v>20613</v>
      </c>
      <c r="I433" s="71">
        <f t="shared" si="306"/>
        <v>19970</v>
      </c>
      <c r="J433" s="71">
        <f t="shared" si="306"/>
        <v>19324</v>
      </c>
      <c r="K433" s="71">
        <f t="shared" si="306"/>
        <v>18688</v>
      </c>
      <c r="L433" s="71">
        <f t="shared" si="306"/>
        <v>18033</v>
      </c>
      <c r="M433" s="71">
        <f t="shared" si="306"/>
        <v>17388</v>
      </c>
      <c r="N433" s="71">
        <f t="shared" si="306"/>
        <v>16744</v>
      </c>
      <c r="O433" s="71">
        <f t="shared" si="306"/>
        <v>23945</v>
      </c>
      <c r="P433" s="92">
        <f t="shared" si="300"/>
        <v>154705</v>
      </c>
    </row>
    <row r="434" spans="1:16" ht="14.25" customHeight="1" x14ac:dyDescent="0.25">
      <c r="A434" s="102">
        <f t="shared" ref="A434" si="307">A431+1</f>
        <v>143</v>
      </c>
      <c r="B434" s="105" t="s">
        <v>11</v>
      </c>
      <c r="C434" s="173" t="s">
        <v>490</v>
      </c>
      <c r="D434" s="108" t="s">
        <v>512</v>
      </c>
      <c r="E434" s="108" t="s">
        <v>515</v>
      </c>
      <c r="F434" s="10" t="s">
        <v>520</v>
      </c>
      <c r="G434" s="44" t="s">
        <v>5</v>
      </c>
      <c r="H434" s="68">
        <f t="shared" ref="H434:M434" si="308">12331*4</f>
        <v>49324</v>
      </c>
      <c r="I434" s="68">
        <f t="shared" si="308"/>
        <v>49324</v>
      </c>
      <c r="J434" s="68">
        <f t="shared" si="308"/>
        <v>49324</v>
      </c>
      <c r="K434" s="68">
        <f t="shared" si="308"/>
        <v>49324</v>
      </c>
      <c r="L434" s="68">
        <f t="shared" si="308"/>
        <v>49324</v>
      </c>
      <c r="M434" s="68">
        <f t="shared" si="308"/>
        <v>49324</v>
      </c>
      <c r="N434" s="68">
        <v>49324</v>
      </c>
      <c r="O434" s="68">
        <f>665838-246620-49324-49324</f>
        <v>320570</v>
      </c>
      <c r="P434" s="11">
        <f>SUM(H434:O434)</f>
        <v>665838</v>
      </c>
    </row>
    <row r="435" spans="1:16" ht="14.25" customHeight="1" x14ac:dyDescent="0.25">
      <c r="A435" s="103"/>
      <c r="B435" s="105"/>
      <c r="C435" s="174"/>
      <c r="D435" s="109"/>
      <c r="E435" s="109"/>
      <c r="F435" s="14" t="s">
        <v>521</v>
      </c>
      <c r="G435" s="43" t="s">
        <v>8</v>
      </c>
      <c r="H435" s="70">
        <v>29148</v>
      </c>
      <c r="I435" s="70">
        <v>27079</v>
      </c>
      <c r="J435" s="70">
        <v>24884</v>
      </c>
      <c r="K435" s="70">
        <v>22748</v>
      </c>
      <c r="L435" s="70">
        <v>20492</v>
      </c>
      <c r="M435" s="70">
        <v>18298</v>
      </c>
      <c r="N435" s="70">
        <v>16107</v>
      </c>
      <c r="O435" s="70">
        <f>51415</f>
        <v>51415</v>
      </c>
      <c r="P435" s="15">
        <f t="shared" si="300"/>
        <v>210171</v>
      </c>
    </row>
    <row r="436" spans="1:16" ht="14.25" customHeight="1" x14ac:dyDescent="0.25">
      <c r="A436" s="104"/>
      <c r="B436" s="105"/>
      <c r="C436" s="174"/>
      <c r="D436" s="109"/>
      <c r="E436" s="109"/>
      <c r="F436" s="39"/>
      <c r="G436" s="12" t="s">
        <v>99</v>
      </c>
      <c r="H436" s="71">
        <f t="shared" ref="H436:O436" si="309">SUM(H434:H435)</f>
        <v>78472</v>
      </c>
      <c r="I436" s="71">
        <f t="shared" si="309"/>
        <v>76403</v>
      </c>
      <c r="J436" s="71">
        <f t="shared" si="309"/>
        <v>74208</v>
      </c>
      <c r="K436" s="71">
        <f t="shared" si="309"/>
        <v>72072</v>
      </c>
      <c r="L436" s="71">
        <f t="shared" si="309"/>
        <v>69816</v>
      </c>
      <c r="M436" s="71">
        <f t="shared" si="309"/>
        <v>67622</v>
      </c>
      <c r="N436" s="71">
        <f t="shared" si="309"/>
        <v>65431</v>
      </c>
      <c r="O436" s="71">
        <f t="shared" si="309"/>
        <v>371985</v>
      </c>
      <c r="P436" s="92">
        <f t="shared" si="300"/>
        <v>876009</v>
      </c>
    </row>
    <row r="437" spans="1:16" ht="14.25" customHeight="1" x14ac:dyDescent="0.25">
      <c r="A437" s="102">
        <f t="shared" ref="A437" si="310">A434+1</f>
        <v>144</v>
      </c>
      <c r="B437" s="105" t="s">
        <v>11</v>
      </c>
      <c r="C437" s="173" t="s">
        <v>502</v>
      </c>
      <c r="D437" s="108" t="s">
        <v>512</v>
      </c>
      <c r="E437" s="108" t="s">
        <v>515</v>
      </c>
      <c r="F437" s="10" t="s">
        <v>522</v>
      </c>
      <c r="G437" s="44" t="s">
        <v>5</v>
      </c>
      <c r="H437" s="68">
        <f t="shared" ref="H437:M437" si="311">11045*4</f>
        <v>44180</v>
      </c>
      <c r="I437" s="68">
        <f t="shared" si="311"/>
        <v>44180</v>
      </c>
      <c r="J437" s="68">
        <f t="shared" si="311"/>
        <v>44180</v>
      </c>
      <c r="K437" s="68">
        <f t="shared" si="311"/>
        <v>44180</v>
      </c>
      <c r="L437" s="68">
        <f t="shared" si="311"/>
        <v>44180</v>
      </c>
      <c r="M437" s="68">
        <f t="shared" si="311"/>
        <v>44180</v>
      </c>
      <c r="N437" s="68">
        <v>44180</v>
      </c>
      <c r="O437" s="68">
        <f>596420-220900-44180-44180</f>
        <v>287160</v>
      </c>
      <c r="P437" s="11">
        <f>SUM(H437:O437)</f>
        <v>596420</v>
      </c>
    </row>
    <row r="438" spans="1:16" ht="14.25" customHeight="1" x14ac:dyDescent="0.25">
      <c r="A438" s="103"/>
      <c r="B438" s="105"/>
      <c r="C438" s="174"/>
      <c r="D438" s="109"/>
      <c r="E438" s="109"/>
      <c r="F438" s="14" t="s">
        <v>523</v>
      </c>
      <c r="G438" s="43" t="s">
        <v>8</v>
      </c>
      <c r="H438" s="70">
        <v>26109</v>
      </c>
      <c r="I438" s="70">
        <v>24256</v>
      </c>
      <c r="J438" s="70">
        <v>22290</v>
      </c>
      <c r="K438" s="70">
        <v>20377</v>
      </c>
      <c r="L438" s="70">
        <v>18355</v>
      </c>
      <c r="M438" s="70">
        <v>16391</v>
      </c>
      <c r="N438" s="70">
        <v>14429</v>
      </c>
      <c r="O438" s="70">
        <f>46060</f>
        <v>46060</v>
      </c>
      <c r="P438" s="15">
        <f t="shared" si="300"/>
        <v>188267</v>
      </c>
    </row>
    <row r="439" spans="1:16" ht="14.25" customHeight="1" x14ac:dyDescent="0.25">
      <c r="A439" s="104"/>
      <c r="B439" s="105"/>
      <c r="C439" s="174"/>
      <c r="D439" s="109"/>
      <c r="E439" s="109"/>
      <c r="F439" s="39"/>
      <c r="G439" s="12" t="s">
        <v>99</v>
      </c>
      <c r="H439" s="71">
        <f t="shared" ref="H439:O439" si="312">SUM(H437:H438)</f>
        <v>70289</v>
      </c>
      <c r="I439" s="71">
        <f t="shared" si="312"/>
        <v>68436</v>
      </c>
      <c r="J439" s="71">
        <f t="shared" si="312"/>
        <v>66470</v>
      </c>
      <c r="K439" s="71">
        <f t="shared" si="312"/>
        <v>64557</v>
      </c>
      <c r="L439" s="71">
        <f t="shared" si="312"/>
        <v>62535</v>
      </c>
      <c r="M439" s="71">
        <f t="shared" si="312"/>
        <v>60571</v>
      </c>
      <c r="N439" s="71">
        <f t="shared" si="312"/>
        <v>58609</v>
      </c>
      <c r="O439" s="71">
        <f t="shared" si="312"/>
        <v>333220</v>
      </c>
      <c r="P439" s="92">
        <f t="shared" si="300"/>
        <v>784687</v>
      </c>
    </row>
    <row r="440" spans="1:16" ht="14.25" customHeight="1" x14ac:dyDescent="0.25">
      <c r="A440" s="102">
        <f t="shared" ref="A440" si="313">A437+1</f>
        <v>145</v>
      </c>
      <c r="B440" s="105" t="s">
        <v>11</v>
      </c>
      <c r="C440" s="173" t="s">
        <v>680</v>
      </c>
      <c r="D440" s="108" t="s">
        <v>512</v>
      </c>
      <c r="E440" s="108" t="s">
        <v>515</v>
      </c>
      <c r="F440" s="10" t="s">
        <v>524</v>
      </c>
      <c r="G440" s="44" t="s">
        <v>5</v>
      </c>
      <c r="H440" s="68">
        <f>3683*4</f>
        <v>14732</v>
      </c>
      <c r="I440" s="68">
        <f>3683*4</f>
        <v>14732</v>
      </c>
      <c r="J440" s="68">
        <f>3683*4</f>
        <v>14732</v>
      </c>
      <c r="K440" s="68">
        <f>3683*4</f>
        <v>14732</v>
      </c>
      <c r="L440" s="68">
        <f>3683*4</f>
        <v>14732</v>
      </c>
      <c r="M440" s="68">
        <v>14732</v>
      </c>
      <c r="N440" s="68">
        <v>14732</v>
      </c>
      <c r="O440" s="68">
        <f>198835-73660-14732-14732</f>
        <v>95711</v>
      </c>
      <c r="P440" s="11">
        <f>SUM(H440:O440)</f>
        <v>198835</v>
      </c>
    </row>
    <row r="441" spans="1:16" ht="13.5" customHeight="1" x14ac:dyDescent="0.25">
      <c r="A441" s="103"/>
      <c r="B441" s="105"/>
      <c r="C441" s="174"/>
      <c r="D441" s="109"/>
      <c r="E441" s="109"/>
      <c r="F441" s="14" t="s">
        <v>525</v>
      </c>
      <c r="G441" s="43" t="s">
        <v>8</v>
      </c>
      <c r="H441" s="70">
        <v>8704</v>
      </c>
      <c r="I441" s="70">
        <v>8086</v>
      </c>
      <c r="J441" s="70">
        <v>7431</v>
      </c>
      <c r="K441" s="70">
        <v>6793</v>
      </c>
      <c r="L441" s="70">
        <v>6119</v>
      </c>
      <c r="M441" s="70">
        <v>5464</v>
      </c>
      <c r="N441" s="70">
        <v>4809</v>
      </c>
      <c r="O441" s="70">
        <f>15346</f>
        <v>15346</v>
      </c>
      <c r="P441" s="15">
        <f t="shared" si="300"/>
        <v>62752</v>
      </c>
    </row>
    <row r="442" spans="1:16" ht="14.25" customHeight="1" x14ac:dyDescent="0.25">
      <c r="A442" s="104"/>
      <c r="B442" s="105"/>
      <c r="C442" s="174"/>
      <c r="D442" s="109"/>
      <c r="E442" s="109"/>
      <c r="F442" s="39"/>
      <c r="G442" s="12" t="s">
        <v>99</v>
      </c>
      <c r="H442" s="71">
        <f t="shared" ref="H442:O442" si="314">SUM(H440:H441)</f>
        <v>23436</v>
      </c>
      <c r="I442" s="71">
        <f t="shared" si="314"/>
        <v>22818</v>
      </c>
      <c r="J442" s="71">
        <f t="shared" si="314"/>
        <v>22163</v>
      </c>
      <c r="K442" s="71">
        <f t="shared" si="314"/>
        <v>21525</v>
      </c>
      <c r="L442" s="71">
        <f t="shared" si="314"/>
        <v>20851</v>
      </c>
      <c r="M442" s="71">
        <f t="shared" si="314"/>
        <v>20196</v>
      </c>
      <c r="N442" s="71">
        <f t="shared" si="314"/>
        <v>19541</v>
      </c>
      <c r="O442" s="71">
        <f t="shared" si="314"/>
        <v>111057</v>
      </c>
      <c r="P442" s="92">
        <f t="shared" si="300"/>
        <v>261587</v>
      </c>
    </row>
    <row r="443" spans="1:16" ht="14.25" customHeight="1" x14ac:dyDescent="0.25">
      <c r="A443" s="102">
        <f t="shared" ref="A443" si="315">A440+1</f>
        <v>146</v>
      </c>
      <c r="B443" s="175" t="s">
        <v>11</v>
      </c>
      <c r="C443" s="173" t="s">
        <v>497</v>
      </c>
      <c r="D443" s="108" t="s">
        <v>543</v>
      </c>
      <c r="E443" s="108" t="s">
        <v>544</v>
      </c>
      <c r="F443" s="10" t="s">
        <v>554</v>
      </c>
      <c r="G443" s="44" t="s">
        <v>5</v>
      </c>
      <c r="H443" s="68">
        <v>43916</v>
      </c>
      <c r="I443" s="68">
        <v>43916</v>
      </c>
      <c r="J443" s="68">
        <v>43916</v>
      </c>
      <c r="K443" s="68">
        <v>43916</v>
      </c>
      <c r="L443" s="68">
        <v>43916</v>
      </c>
      <c r="M443" s="68">
        <v>43916</v>
      </c>
      <c r="N443" s="68">
        <v>43916</v>
      </c>
      <c r="O443" s="68">
        <f>603825-219580-43916-43916</f>
        <v>296413</v>
      </c>
      <c r="P443" s="11">
        <f>SUM(H443:O443)</f>
        <v>603825</v>
      </c>
    </row>
    <row r="444" spans="1:16" ht="14.25" customHeight="1" x14ac:dyDescent="0.25">
      <c r="A444" s="103"/>
      <c r="B444" s="175"/>
      <c r="C444" s="174"/>
      <c r="D444" s="109"/>
      <c r="E444" s="109"/>
      <c r="F444" s="14" t="s">
        <v>555</v>
      </c>
      <c r="G444" s="43" t="s">
        <v>8</v>
      </c>
      <c r="H444" s="70">
        <v>27351</v>
      </c>
      <c r="I444" s="70">
        <v>25446</v>
      </c>
      <c r="J444" s="70">
        <v>23424</v>
      </c>
      <c r="K444" s="70">
        <v>21458</v>
      </c>
      <c r="L444" s="70">
        <v>19379</v>
      </c>
      <c r="M444" s="70">
        <v>17358</v>
      </c>
      <c r="N444" s="70">
        <v>15341</v>
      </c>
      <c r="O444" s="70">
        <f>50838</f>
        <v>50838</v>
      </c>
      <c r="P444" s="15">
        <f t="shared" si="300"/>
        <v>200595</v>
      </c>
    </row>
    <row r="445" spans="1:16" ht="14.25" customHeight="1" x14ac:dyDescent="0.25">
      <c r="A445" s="104"/>
      <c r="B445" s="175"/>
      <c r="C445" s="174"/>
      <c r="D445" s="109"/>
      <c r="E445" s="109"/>
      <c r="F445" s="39"/>
      <c r="G445" s="12" t="s">
        <v>99</v>
      </c>
      <c r="H445" s="71">
        <f t="shared" ref="H445:O445" si="316">SUM(H443:H444)</f>
        <v>71267</v>
      </c>
      <c r="I445" s="71">
        <f t="shared" si="316"/>
        <v>69362</v>
      </c>
      <c r="J445" s="71">
        <f t="shared" si="316"/>
        <v>67340</v>
      </c>
      <c r="K445" s="71">
        <f t="shared" si="316"/>
        <v>65374</v>
      </c>
      <c r="L445" s="71">
        <f t="shared" si="316"/>
        <v>63295</v>
      </c>
      <c r="M445" s="71">
        <f t="shared" si="316"/>
        <v>61274</v>
      </c>
      <c r="N445" s="71">
        <f t="shared" si="316"/>
        <v>59257</v>
      </c>
      <c r="O445" s="71">
        <f t="shared" si="316"/>
        <v>347251</v>
      </c>
      <c r="P445" s="92">
        <f t="shared" si="300"/>
        <v>804420</v>
      </c>
    </row>
    <row r="446" spans="1:16" ht="14.25" customHeight="1" x14ac:dyDescent="0.25">
      <c r="A446" s="102">
        <f t="shared" ref="A446" si="317">A443+1</f>
        <v>147</v>
      </c>
      <c r="B446" s="175" t="s">
        <v>11</v>
      </c>
      <c r="C446" s="106" t="s">
        <v>489</v>
      </c>
      <c r="D446" s="108" t="s">
        <v>566</v>
      </c>
      <c r="E446" s="108" t="s">
        <v>301</v>
      </c>
      <c r="F446" s="10" t="s">
        <v>564</v>
      </c>
      <c r="G446" s="44" t="s">
        <v>5</v>
      </c>
      <c r="H446" s="68">
        <v>9944</v>
      </c>
      <c r="I446" s="68">
        <v>9944</v>
      </c>
      <c r="J446" s="68">
        <v>9944</v>
      </c>
      <c r="K446" s="68">
        <v>9944</v>
      </c>
      <c r="L446" s="68">
        <v>9944</v>
      </c>
      <c r="M446" s="68">
        <v>9944</v>
      </c>
      <c r="N446" s="68">
        <v>9944</v>
      </c>
      <c r="O446" s="68">
        <f>91981-62150-9944</f>
        <v>19887</v>
      </c>
      <c r="P446" s="11">
        <f>SUM(H446:O446)</f>
        <v>89495</v>
      </c>
    </row>
    <row r="447" spans="1:16" ht="14.25" customHeight="1" x14ac:dyDescent="0.25">
      <c r="A447" s="103"/>
      <c r="B447" s="175"/>
      <c r="C447" s="107"/>
      <c r="D447" s="109"/>
      <c r="E447" s="109"/>
      <c r="F447" s="14" t="s">
        <v>565</v>
      </c>
      <c r="G447" s="43" t="s">
        <v>8</v>
      </c>
      <c r="H447" s="70">
        <v>4029</v>
      </c>
      <c r="I447" s="70">
        <v>3574</v>
      </c>
      <c r="J447" s="70">
        <v>3118</v>
      </c>
      <c r="K447" s="70">
        <v>2669</v>
      </c>
      <c r="L447" s="70">
        <v>2206</v>
      </c>
      <c r="M447" s="70">
        <v>1750</v>
      </c>
      <c r="N447" s="70">
        <v>1296</v>
      </c>
      <c r="O447" s="70">
        <f>1234</f>
        <v>1234</v>
      </c>
      <c r="P447" s="15">
        <f t="shared" si="300"/>
        <v>19876</v>
      </c>
    </row>
    <row r="448" spans="1:16" ht="14.25" customHeight="1" x14ac:dyDescent="0.25">
      <c r="A448" s="104"/>
      <c r="B448" s="175"/>
      <c r="C448" s="107"/>
      <c r="D448" s="109"/>
      <c r="E448" s="109"/>
      <c r="F448" s="39"/>
      <c r="G448" s="12" t="s">
        <v>99</v>
      </c>
      <c r="H448" s="71">
        <f t="shared" ref="H448:O448" si="318">SUM(H446:H447)</f>
        <v>13973</v>
      </c>
      <c r="I448" s="71">
        <f t="shared" si="318"/>
        <v>13518</v>
      </c>
      <c r="J448" s="71">
        <f t="shared" si="318"/>
        <v>13062</v>
      </c>
      <c r="K448" s="71">
        <f t="shared" si="318"/>
        <v>12613</v>
      </c>
      <c r="L448" s="71">
        <f t="shared" si="318"/>
        <v>12150</v>
      </c>
      <c r="M448" s="71">
        <f t="shared" si="318"/>
        <v>11694</v>
      </c>
      <c r="N448" s="71">
        <f t="shared" si="318"/>
        <v>11240</v>
      </c>
      <c r="O448" s="71">
        <f t="shared" si="318"/>
        <v>21121</v>
      </c>
      <c r="P448" s="92">
        <f t="shared" si="300"/>
        <v>109371</v>
      </c>
    </row>
    <row r="449" spans="1:16" ht="14.25" customHeight="1" x14ac:dyDescent="0.25">
      <c r="A449" s="102">
        <f t="shared" ref="A449" si="319">A446+1</f>
        <v>148</v>
      </c>
      <c r="B449" s="105" t="s">
        <v>11</v>
      </c>
      <c r="C449" s="106" t="s">
        <v>574</v>
      </c>
      <c r="D449" s="108" t="s">
        <v>576</v>
      </c>
      <c r="E449" s="108" t="s">
        <v>326</v>
      </c>
      <c r="F449" s="10" t="s">
        <v>578</v>
      </c>
      <c r="G449" s="44" t="s">
        <v>5</v>
      </c>
      <c r="H449" s="81">
        <v>6420</v>
      </c>
      <c r="I449" s="68">
        <v>8560</v>
      </c>
      <c r="J449" s="68">
        <v>8560</v>
      </c>
      <c r="K449" s="68">
        <v>8560</v>
      </c>
      <c r="L449" s="68">
        <v>8560</v>
      </c>
      <c r="M449" s="68">
        <v>8560</v>
      </c>
      <c r="N449" s="68">
        <v>8560</v>
      </c>
      <c r="O449" s="68">
        <f>79176-49220-8560</f>
        <v>21396</v>
      </c>
      <c r="P449" s="11">
        <f>SUM(H449:O449)</f>
        <v>79176</v>
      </c>
    </row>
    <row r="450" spans="1:16" ht="14.25" customHeight="1" x14ac:dyDescent="0.25">
      <c r="A450" s="103"/>
      <c r="B450" s="105"/>
      <c r="C450" s="107"/>
      <c r="D450" s="109"/>
      <c r="E450" s="109"/>
      <c r="F450" s="14" t="s">
        <v>580</v>
      </c>
      <c r="G450" s="43" t="s">
        <v>8</v>
      </c>
      <c r="H450" s="70">
        <v>2932</v>
      </c>
      <c r="I450" s="70">
        <v>2850</v>
      </c>
      <c r="J450" s="70">
        <v>2507</v>
      </c>
      <c r="K450" s="70">
        <v>2172</v>
      </c>
      <c r="L450" s="70">
        <v>1824</v>
      </c>
      <c r="M450" s="70">
        <v>1483</v>
      </c>
      <c r="N450" s="70">
        <v>1142</v>
      </c>
      <c r="O450" s="70">
        <f>1382</f>
        <v>1382</v>
      </c>
      <c r="P450" s="15">
        <f t="shared" si="300"/>
        <v>16292</v>
      </c>
    </row>
    <row r="451" spans="1:16" ht="14.25" customHeight="1" x14ac:dyDescent="0.25">
      <c r="A451" s="104"/>
      <c r="B451" s="105"/>
      <c r="C451" s="107"/>
      <c r="D451" s="109"/>
      <c r="E451" s="109"/>
      <c r="F451" s="39"/>
      <c r="G451" s="12" t="s">
        <v>99</v>
      </c>
      <c r="H451" s="71">
        <f t="shared" ref="H451:O451" si="320">SUM(H449:H450)</f>
        <v>9352</v>
      </c>
      <c r="I451" s="71">
        <f t="shared" si="320"/>
        <v>11410</v>
      </c>
      <c r="J451" s="71">
        <f t="shared" si="320"/>
        <v>11067</v>
      </c>
      <c r="K451" s="71">
        <f t="shared" si="320"/>
        <v>10732</v>
      </c>
      <c r="L451" s="71">
        <f t="shared" si="320"/>
        <v>10384</v>
      </c>
      <c r="M451" s="71">
        <f t="shared" si="320"/>
        <v>10043</v>
      </c>
      <c r="N451" s="71">
        <f t="shared" si="320"/>
        <v>9702</v>
      </c>
      <c r="O451" s="71">
        <f t="shared" si="320"/>
        <v>22778</v>
      </c>
      <c r="P451" s="92">
        <f t="shared" si="300"/>
        <v>95468</v>
      </c>
    </row>
    <row r="452" spans="1:16" ht="13.5" customHeight="1" x14ac:dyDescent="0.25">
      <c r="A452" s="102">
        <f t="shared" ref="A452" si="321">A449+1</f>
        <v>149</v>
      </c>
      <c r="B452" s="105" t="s">
        <v>11</v>
      </c>
      <c r="C452" s="173" t="s">
        <v>575</v>
      </c>
      <c r="D452" s="108" t="s">
        <v>583</v>
      </c>
      <c r="E452" s="108" t="s">
        <v>584</v>
      </c>
      <c r="F452" s="10" t="s">
        <v>581</v>
      </c>
      <c r="G452" s="44" t="s">
        <v>5</v>
      </c>
      <c r="H452" s="81">
        <v>0</v>
      </c>
      <c r="I452" s="68">
        <v>56868</v>
      </c>
      <c r="J452" s="68">
        <v>56868</v>
      </c>
      <c r="K452" s="68">
        <v>56868</v>
      </c>
      <c r="L452" s="68">
        <v>56868</v>
      </c>
      <c r="M452" s="68">
        <v>56868</v>
      </c>
      <c r="N452" s="68">
        <v>56868</v>
      </c>
      <c r="O452" s="68">
        <f>781926-284340-56868</f>
        <v>440718</v>
      </c>
      <c r="P452" s="11">
        <f>SUM(H452:O452)</f>
        <v>781926</v>
      </c>
    </row>
    <row r="453" spans="1:16" ht="14.25" customHeight="1" x14ac:dyDescent="0.25">
      <c r="A453" s="103"/>
      <c r="B453" s="105"/>
      <c r="C453" s="174"/>
      <c r="D453" s="109"/>
      <c r="E453" s="109"/>
      <c r="F453" s="14" t="s">
        <v>582</v>
      </c>
      <c r="G453" s="43" t="s">
        <v>8</v>
      </c>
      <c r="H453" s="70">
        <v>29345</v>
      </c>
      <c r="I453" s="70">
        <v>31806</v>
      </c>
      <c r="J453" s="70">
        <v>29587</v>
      </c>
      <c r="K453" s="70">
        <v>27307</v>
      </c>
      <c r="L453" s="70">
        <v>24883</v>
      </c>
      <c r="M453" s="70">
        <v>22534</v>
      </c>
      <c r="N453" s="70">
        <v>20188</v>
      </c>
      <c r="O453" s="70">
        <f>76918</f>
        <v>76918</v>
      </c>
      <c r="P453" s="15">
        <f t="shared" si="300"/>
        <v>262568</v>
      </c>
    </row>
    <row r="454" spans="1:16" ht="14.25" customHeight="1" x14ac:dyDescent="0.25">
      <c r="A454" s="104"/>
      <c r="B454" s="105"/>
      <c r="C454" s="174"/>
      <c r="D454" s="109"/>
      <c r="E454" s="109"/>
      <c r="F454" s="39"/>
      <c r="G454" s="12" t="s">
        <v>99</v>
      </c>
      <c r="H454" s="71">
        <f t="shared" ref="H454:O454" si="322">SUM(H452:H453)</f>
        <v>29345</v>
      </c>
      <c r="I454" s="71">
        <f t="shared" si="322"/>
        <v>88674</v>
      </c>
      <c r="J454" s="71">
        <f t="shared" si="322"/>
        <v>86455</v>
      </c>
      <c r="K454" s="71">
        <f t="shared" si="322"/>
        <v>84175</v>
      </c>
      <c r="L454" s="71">
        <f t="shared" si="322"/>
        <v>81751</v>
      </c>
      <c r="M454" s="71">
        <f t="shared" si="322"/>
        <v>79402</v>
      </c>
      <c r="N454" s="71">
        <f t="shared" si="322"/>
        <v>77056</v>
      </c>
      <c r="O454" s="71">
        <f t="shared" si="322"/>
        <v>517636</v>
      </c>
      <c r="P454" s="92">
        <f t="shared" si="300"/>
        <v>1044494</v>
      </c>
    </row>
    <row r="455" spans="1:16" ht="14.25" customHeight="1" x14ac:dyDescent="0.25">
      <c r="A455" s="102">
        <f t="shared" ref="A455" si="323">A452+1</f>
        <v>150</v>
      </c>
      <c r="B455" s="105" t="s">
        <v>11</v>
      </c>
      <c r="C455" s="106" t="s">
        <v>670</v>
      </c>
      <c r="D455" s="108" t="s">
        <v>583</v>
      </c>
      <c r="E455" s="108" t="s">
        <v>584</v>
      </c>
      <c r="F455" s="10" t="s">
        <v>585</v>
      </c>
      <c r="G455" s="44" t="s">
        <v>5</v>
      </c>
      <c r="H455" s="81">
        <v>0</v>
      </c>
      <c r="I455" s="68">
        <v>25776</v>
      </c>
      <c r="J455" s="68">
        <v>25776</v>
      </c>
      <c r="K455" s="68">
        <v>25776</v>
      </c>
      <c r="L455" s="68">
        <v>25776</v>
      </c>
      <c r="M455" s="68">
        <v>25776</v>
      </c>
      <c r="N455" s="68">
        <v>25776</v>
      </c>
      <c r="O455" s="68">
        <f>354406-128880-25776</f>
        <v>199750</v>
      </c>
      <c r="P455" s="11">
        <f>SUM(H455:O455)</f>
        <v>354406</v>
      </c>
    </row>
    <row r="456" spans="1:16" ht="14.25" customHeight="1" x14ac:dyDescent="0.25">
      <c r="A456" s="103"/>
      <c r="B456" s="105"/>
      <c r="C456" s="107"/>
      <c r="D456" s="109"/>
      <c r="E456" s="109"/>
      <c r="F456" s="14" t="s">
        <v>586</v>
      </c>
      <c r="G456" s="43" t="s">
        <v>8</v>
      </c>
      <c r="H456" s="70">
        <v>13543</v>
      </c>
      <c r="I456" s="70">
        <v>14416</v>
      </c>
      <c r="J456" s="70">
        <v>13410</v>
      </c>
      <c r="K456" s="70">
        <v>12377</v>
      </c>
      <c r="L456" s="70">
        <v>11278</v>
      </c>
      <c r="M456" s="70">
        <v>10213</v>
      </c>
      <c r="N456" s="70">
        <v>9150</v>
      </c>
      <c r="O456" s="70">
        <f>34861</f>
        <v>34861</v>
      </c>
      <c r="P456" s="15">
        <f t="shared" si="300"/>
        <v>119248</v>
      </c>
    </row>
    <row r="457" spans="1:16" ht="14.25" customHeight="1" x14ac:dyDescent="0.25">
      <c r="A457" s="104"/>
      <c r="B457" s="105"/>
      <c r="C457" s="107"/>
      <c r="D457" s="109"/>
      <c r="E457" s="109"/>
      <c r="F457" s="39"/>
      <c r="G457" s="12" t="s">
        <v>99</v>
      </c>
      <c r="H457" s="71">
        <f t="shared" ref="H457:O457" si="324">SUM(H455:H456)</f>
        <v>13543</v>
      </c>
      <c r="I457" s="71">
        <f t="shared" si="324"/>
        <v>40192</v>
      </c>
      <c r="J457" s="71">
        <f t="shared" si="324"/>
        <v>39186</v>
      </c>
      <c r="K457" s="71">
        <f t="shared" si="324"/>
        <v>38153</v>
      </c>
      <c r="L457" s="71">
        <f t="shared" si="324"/>
        <v>37054</v>
      </c>
      <c r="M457" s="71">
        <f t="shared" si="324"/>
        <v>35989</v>
      </c>
      <c r="N457" s="71">
        <f t="shared" si="324"/>
        <v>34926</v>
      </c>
      <c r="O457" s="71">
        <f t="shared" si="324"/>
        <v>234611</v>
      </c>
      <c r="P457" s="92">
        <f t="shared" si="300"/>
        <v>473654</v>
      </c>
    </row>
    <row r="458" spans="1:16" ht="14.25" customHeight="1" x14ac:dyDescent="0.25">
      <c r="A458" s="102">
        <f t="shared" ref="A458" si="325">A455+1</f>
        <v>151</v>
      </c>
      <c r="B458" s="105" t="s">
        <v>11</v>
      </c>
      <c r="C458" s="106" t="s">
        <v>577</v>
      </c>
      <c r="D458" s="108" t="s">
        <v>583</v>
      </c>
      <c r="E458" s="108" t="s">
        <v>590</v>
      </c>
      <c r="F458" s="10" t="s">
        <v>588</v>
      </c>
      <c r="G458" s="10" t="s">
        <v>5</v>
      </c>
      <c r="H458" s="81">
        <v>443778</v>
      </c>
      <c r="I458" s="68">
        <v>887556</v>
      </c>
      <c r="J458" s="68">
        <v>665666</v>
      </c>
      <c r="K458" s="91">
        <v>0</v>
      </c>
      <c r="L458" s="91">
        <v>0</v>
      </c>
      <c r="M458" s="91">
        <v>0</v>
      </c>
      <c r="N458" s="11">
        <v>0</v>
      </c>
      <c r="O458" s="91">
        <v>0</v>
      </c>
      <c r="P458" s="11">
        <f>SUM(H458:O458)</f>
        <v>1997000</v>
      </c>
    </row>
    <row r="459" spans="1:16" ht="14.25" customHeight="1" x14ac:dyDescent="0.25">
      <c r="A459" s="103"/>
      <c r="B459" s="105"/>
      <c r="C459" s="107"/>
      <c r="D459" s="109"/>
      <c r="E459" s="109"/>
      <c r="F459" s="14" t="s">
        <v>589</v>
      </c>
      <c r="G459" s="14" t="s">
        <v>8</v>
      </c>
      <c r="H459" s="70">
        <v>70395</v>
      </c>
      <c r="I459" s="70">
        <v>52067</v>
      </c>
      <c r="J459" s="70">
        <v>18048</v>
      </c>
      <c r="K459" s="70">
        <v>0</v>
      </c>
      <c r="L459" s="70">
        <v>0</v>
      </c>
      <c r="M459" s="70">
        <v>0</v>
      </c>
      <c r="N459" s="15">
        <v>0</v>
      </c>
      <c r="O459" s="70">
        <v>0</v>
      </c>
      <c r="P459" s="15">
        <f t="shared" si="300"/>
        <v>140510</v>
      </c>
    </row>
    <row r="460" spans="1:16" ht="14.25" customHeight="1" x14ac:dyDescent="0.25">
      <c r="A460" s="104"/>
      <c r="B460" s="105"/>
      <c r="C460" s="107"/>
      <c r="D460" s="109"/>
      <c r="E460" s="109"/>
      <c r="F460" s="39"/>
      <c r="G460" s="12" t="s">
        <v>99</v>
      </c>
      <c r="H460" s="71">
        <f t="shared" ref="H460:O460" si="326">SUM(H458:H459)</f>
        <v>514173</v>
      </c>
      <c r="I460" s="71">
        <f t="shared" si="326"/>
        <v>939623</v>
      </c>
      <c r="J460" s="71">
        <f t="shared" si="326"/>
        <v>683714</v>
      </c>
      <c r="K460" s="95">
        <f t="shared" si="326"/>
        <v>0</v>
      </c>
      <c r="L460" s="95">
        <f t="shared" si="326"/>
        <v>0</v>
      </c>
      <c r="M460" s="95">
        <f t="shared" si="326"/>
        <v>0</v>
      </c>
      <c r="N460" s="96">
        <f t="shared" si="326"/>
        <v>0</v>
      </c>
      <c r="O460" s="95">
        <f t="shared" si="326"/>
        <v>0</v>
      </c>
      <c r="P460" s="92">
        <f t="shared" si="300"/>
        <v>2137510</v>
      </c>
    </row>
    <row r="461" spans="1:16" ht="14.25" customHeight="1" x14ac:dyDescent="0.25">
      <c r="A461" s="102">
        <f t="shared" ref="A461" si="327">A458+1</f>
        <v>152</v>
      </c>
      <c r="B461" s="105" t="s">
        <v>11</v>
      </c>
      <c r="C461" s="106" t="s">
        <v>579</v>
      </c>
      <c r="D461" s="108" t="s">
        <v>594</v>
      </c>
      <c r="E461" s="108" t="s">
        <v>595</v>
      </c>
      <c r="F461" s="10" t="s">
        <v>596</v>
      </c>
      <c r="G461" s="44" t="s">
        <v>5</v>
      </c>
      <c r="H461" s="81">
        <v>0</v>
      </c>
      <c r="I461" s="68">
        <v>86612</v>
      </c>
      <c r="J461" s="68">
        <v>86612</v>
      </c>
      <c r="K461" s="68">
        <v>86612</v>
      </c>
      <c r="L461" s="68">
        <v>86612</v>
      </c>
      <c r="M461" s="68">
        <v>86612</v>
      </c>
      <c r="N461" s="68">
        <v>86612</v>
      </c>
      <c r="O461" s="68">
        <f>1190873-433060-86612</f>
        <v>671201</v>
      </c>
      <c r="P461" s="11">
        <f>SUM(H461:O461)</f>
        <v>1190873</v>
      </c>
    </row>
    <row r="462" spans="1:16" ht="14.25" customHeight="1" x14ac:dyDescent="0.25">
      <c r="A462" s="103"/>
      <c r="B462" s="105"/>
      <c r="C462" s="107"/>
      <c r="D462" s="109"/>
      <c r="E462" s="109"/>
      <c r="F462" s="14" t="s">
        <v>597</v>
      </c>
      <c r="G462" s="43" t="s">
        <v>8</v>
      </c>
      <c r="H462" s="69">
        <v>19381</v>
      </c>
      <c r="I462" s="70">
        <v>46602</v>
      </c>
      <c r="J462" s="70">
        <v>39722</v>
      </c>
      <c r="K462" s="70">
        <v>31762</v>
      </c>
      <c r="L462" s="70">
        <v>29022</v>
      </c>
      <c r="M462" s="70">
        <v>26282</v>
      </c>
      <c r="N462" s="70">
        <v>23542</v>
      </c>
      <c r="O462" s="70">
        <f>305984-216313</f>
        <v>89671</v>
      </c>
      <c r="P462" s="15">
        <f t="shared" si="300"/>
        <v>305984</v>
      </c>
    </row>
    <row r="463" spans="1:16" ht="14.25" customHeight="1" x14ac:dyDescent="0.25">
      <c r="A463" s="104"/>
      <c r="B463" s="105"/>
      <c r="C463" s="107"/>
      <c r="D463" s="109"/>
      <c r="E463" s="109"/>
      <c r="F463" s="39"/>
      <c r="G463" s="12" t="s">
        <v>99</v>
      </c>
      <c r="H463" s="71">
        <f t="shared" ref="H463:O463" si="328">SUM(H461:H462)</f>
        <v>19381</v>
      </c>
      <c r="I463" s="71">
        <f t="shared" si="328"/>
        <v>133214</v>
      </c>
      <c r="J463" s="71">
        <f t="shared" si="328"/>
        <v>126334</v>
      </c>
      <c r="K463" s="71">
        <f t="shared" si="328"/>
        <v>118374</v>
      </c>
      <c r="L463" s="71">
        <f t="shared" si="328"/>
        <v>115634</v>
      </c>
      <c r="M463" s="71">
        <f t="shared" si="328"/>
        <v>112894</v>
      </c>
      <c r="N463" s="71">
        <f t="shared" si="328"/>
        <v>110154</v>
      </c>
      <c r="O463" s="71">
        <f t="shared" si="328"/>
        <v>760872</v>
      </c>
      <c r="P463" s="92">
        <f t="shared" si="300"/>
        <v>1496857</v>
      </c>
    </row>
    <row r="464" spans="1:16" ht="14.25" customHeight="1" x14ac:dyDescent="0.25">
      <c r="A464" s="102">
        <f t="shared" ref="A464" si="329">A461+1</f>
        <v>153</v>
      </c>
      <c r="B464" s="105" t="s">
        <v>11</v>
      </c>
      <c r="C464" s="106" t="s">
        <v>593</v>
      </c>
      <c r="D464" s="108" t="s">
        <v>594</v>
      </c>
      <c r="E464" s="108" t="s">
        <v>595</v>
      </c>
      <c r="F464" s="10" t="s">
        <v>598</v>
      </c>
      <c r="G464" s="44" t="s">
        <v>5</v>
      </c>
      <c r="H464" s="81">
        <v>4254</v>
      </c>
      <c r="I464" s="68">
        <v>8508</v>
      </c>
      <c r="J464" s="68">
        <v>8508</v>
      </c>
      <c r="K464" s="68">
        <v>8508</v>
      </c>
      <c r="L464" s="68">
        <v>8508</v>
      </c>
      <c r="M464" s="68">
        <v>8508</v>
      </c>
      <c r="N464" s="81">
        <v>8508</v>
      </c>
      <c r="O464" s="91">
        <f>121188-46794-8508</f>
        <v>65886</v>
      </c>
      <c r="P464" s="11">
        <f>SUM(H464:O464)</f>
        <v>121188</v>
      </c>
    </row>
    <row r="465" spans="1:16" ht="14.25" customHeight="1" x14ac:dyDescent="0.25">
      <c r="A465" s="103"/>
      <c r="B465" s="105"/>
      <c r="C465" s="107"/>
      <c r="D465" s="109"/>
      <c r="E465" s="109"/>
      <c r="F465" s="14" t="s">
        <v>599</v>
      </c>
      <c r="G465" s="43" t="s">
        <v>8</v>
      </c>
      <c r="H465" s="70">
        <v>4293</v>
      </c>
      <c r="I465" s="70">
        <v>4595</v>
      </c>
      <c r="J465" s="70">
        <v>4257</v>
      </c>
      <c r="K465" s="90">
        <v>3929</v>
      </c>
      <c r="L465" s="90">
        <v>3580</v>
      </c>
      <c r="M465" s="90">
        <v>3242</v>
      </c>
      <c r="N465" s="69">
        <v>2904</v>
      </c>
      <c r="O465" s="90">
        <f>11065</f>
        <v>11065</v>
      </c>
      <c r="P465" s="15">
        <f t="shared" si="300"/>
        <v>37865</v>
      </c>
    </row>
    <row r="466" spans="1:16" ht="14.25" customHeight="1" x14ac:dyDescent="0.25">
      <c r="A466" s="104"/>
      <c r="B466" s="105"/>
      <c r="C466" s="107"/>
      <c r="D466" s="109"/>
      <c r="E466" s="109"/>
      <c r="F466" s="39"/>
      <c r="G466" s="12" t="s">
        <v>99</v>
      </c>
      <c r="H466" s="71">
        <f t="shared" ref="H466:O466" si="330">SUM(H464:H465)</f>
        <v>8547</v>
      </c>
      <c r="I466" s="71">
        <f t="shared" si="330"/>
        <v>13103</v>
      </c>
      <c r="J466" s="71">
        <f t="shared" si="330"/>
        <v>12765</v>
      </c>
      <c r="K466" s="71">
        <f t="shared" si="330"/>
        <v>12437</v>
      </c>
      <c r="L466" s="71">
        <f t="shared" si="330"/>
        <v>12088</v>
      </c>
      <c r="M466" s="71">
        <f t="shared" si="330"/>
        <v>11750</v>
      </c>
      <c r="N466" s="71">
        <f t="shared" si="330"/>
        <v>11412</v>
      </c>
      <c r="O466" s="71">
        <f t="shared" si="330"/>
        <v>76951</v>
      </c>
      <c r="P466" s="92">
        <f t="shared" si="300"/>
        <v>159053</v>
      </c>
    </row>
    <row r="467" spans="1:16" ht="14.25" customHeight="1" x14ac:dyDescent="0.25">
      <c r="A467" s="102">
        <f t="shared" ref="A467" si="331">A464+1</f>
        <v>154</v>
      </c>
      <c r="B467" s="105" t="s">
        <v>11</v>
      </c>
      <c r="C467" s="172" t="s">
        <v>591</v>
      </c>
      <c r="D467" s="108" t="s">
        <v>594</v>
      </c>
      <c r="E467" s="108" t="s">
        <v>595</v>
      </c>
      <c r="F467" s="10" t="s">
        <v>600</v>
      </c>
      <c r="G467" s="44" t="s">
        <v>5</v>
      </c>
      <c r="H467" s="81">
        <v>3226</v>
      </c>
      <c r="I467" s="68">
        <v>6452</v>
      </c>
      <c r="J467" s="68">
        <v>6452</v>
      </c>
      <c r="K467" s="68">
        <v>6452</v>
      </c>
      <c r="L467" s="68">
        <v>6452</v>
      </c>
      <c r="M467" s="68">
        <v>6452</v>
      </c>
      <c r="N467" s="81">
        <v>6452</v>
      </c>
      <c r="O467" s="68">
        <f>91916-35486-6452</f>
        <v>49978</v>
      </c>
      <c r="P467" s="11">
        <f>SUM(H467:O467)</f>
        <v>91916</v>
      </c>
    </row>
    <row r="468" spans="1:16" ht="14.25" customHeight="1" x14ac:dyDescent="0.25">
      <c r="A468" s="103"/>
      <c r="B468" s="105"/>
      <c r="C468" s="172"/>
      <c r="D468" s="109"/>
      <c r="E468" s="109"/>
      <c r="F468" s="14" t="s">
        <v>601</v>
      </c>
      <c r="G468" s="43" t="s">
        <v>8</v>
      </c>
      <c r="H468" s="70">
        <v>3567</v>
      </c>
      <c r="I468" s="70">
        <v>3485</v>
      </c>
      <c r="J468" s="70">
        <v>3229</v>
      </c>
      <c r="K468" s="70">
        <v>2980</v>
      </c>
      <c r="L468" s="70">
        <v>2715</v>
      </c>
      <c r="M468" s="70">
        <v>2459</v>
      </c>
      <c r="N468" s="69">
        <v>2203</v>
      </c>
      <c r="O468" s="70">
        <f>8395</f>
        <v>8395</v>
      </c>
      <c r="P468" s="15">
        <f t="shared" si="300"/>
        <v>29033</v>
      </c>
    </row>
    <row r="469" spans="1:16" ht="14.25" customHeight="1" x14ac:dyDescent="0.25">
      <c r="A469" s="104"/>
      <c r="B469" s="105"/>
      <c r="C469" s="172"/>
      <c r="D469" s="109"/>
      <c r="E469" s="109"/>
      <c r="F469" s="39"/>
      <c r="G469" s="12" t="s">
        <v>99</v>
      </c>
      <c r="H469" s="71">
        <f t="shared" ref="H469:O469" si="332">SUM(H467:H468)</f>
        <v>6793</v>
      </c>
      <c r="I469" s="71">
        <f t="shared" si="332"/>
        <v>9937</v>
      </c>
      <c r="J469" s="71">
        <f t="shared" si="332"/>
        <v>9681</v>
      </c>
      <c r="K469" s="71">
        <f t="shared" si="332"/>
        <v>9432</v>
      </c>
      <c r="L469" s="71">
        <f t="shared" si="332"/>
        <v>9167</v>
      </c>
      <c r="M469" s="71">
        <f t="shared" si="332"/>
        <v>8911</v>
      </c>
      <c r="N469" s="71">
        <f t="shared" si="332"/>
        <v>8655</v>
      </c>
      <c r="O469" s="71">
        <f t="shared" si="332"/>
        <v>58373</v>
      </c>
      <c r="P469" s="92">
        <f t="shared" si="300"/>
        <v>120949</v>
      </c>
    </row>
    <row r="470" spans="1:16" ht="14.25" customHeight="1" x14ac:dyDescent="0.25">
      <c r="A470" s="102">
        <f t="shared" ref="A470" si="333">A467+1</f>
        <v>155</v>
      </c>
      <c r="B470" s="105" t="s">
        <v>11</v>
      </c>
      <c r="C470" s="106" t="s">
        <v>592</v>
      </c>
      <c r="D470" s="108" t="s">
        <v>594</v>
      </c>
      <c r="E470" s="108" t="s">
        <v>595</v>
      </c>
      <c r="F470" s="10" t="s">
        <v>602</v>
      </c>
      <c r="G470" s="44" t="s">
        <v>5</v>
      </c>
      <c r="H470" s="81">
        <v>4688</v>
      </c>
      <c r="I470" s="81">
        <v>9376</v>
      </c>
      <c r="J470" s="81">
        <v>9376</v>
      </c>
      <c r="K470" s="81">
        <v>9376</v>
      </c>
      <c r="L470" s="81">
        <v>9376</v>
      </c>
      <c r="M470" s="81">
        <v>9376</v>
      </c>
      <c r="N470" s="81">
        <v>9376</v>
      </c>
      <c r="O470" s="81">
        <f>133597-51568-9376</f>
        <v>72653</v>
      </c>
      <c r="P470" s="11">
        <f>SUM(H470:O470)</f>
        <v>133597</v>
      </c>
    </row>
    <row r="471" spans="1:16" ht="14.25" customHeight="1" x14ac:dyDescent="0.25">
      <c r="A471" s="103"/>
      <c r="B471" s="105"/>
      <c r="C471" s="107"/>
      <c r="D471" s="109"/>
      <c r="E471" s="109"/>
      <c r="F471" s="14" t="s">
        <v>603</v>
      </c>
      <c r="G471" s="43" t="s">
        <v>8</v>
      </c>
      <c r="H471" s="69">
        <v>4799</v>
      </c>
      <c r="I471" s="69">
        <v>5066</v>
      </c>
      <c r="J471" s="69">
        <v>4693</v>
      </c>
      <c r="K471" s="69">
        <v>4332</v>
      </c>
      <c r="L471" s="69">
        <v>3947</v>
      </c>
      <c r="M471" s="69">
        <v>3574</v>
      </c>
      <c r="N471" s="69">
        <v>3202</v>
      </c>
      <c r="O471" s="69">
        <f>12208</f>
        <v>12208</v>
      </c>
      <c r="P471" s="15">
        <f t="shared" si="300"/>
        <v>41821</v>
      </c>
    </row>
    <row r="472" spans="1:16" ht="14.25" customHeight="1" x14ac:dyDescent="0.25">
      <c r="A472" s="104"/>
      <c r="B472" s="105"/>
      <c r="C472" s="107"/>
      <c r="D472" s="109"/>
      <c r="E472" s="109"/>
      <c r="F472" s="39"/>
      <c r="G472" s="12" t="s">
        <v>99</v>
      </c>
      <c r="H472" s="71">
        <f t="shared" ref="H472:O472" si="334">SUM(H470:H471)</f>
        <v>9487</v>
      </c>
      <c r="I472" s="71">
        <f t="shared" si="334"/>
        <v>14442</v>
      </c>
      <c r="J472" s="71">
        <f t="shared" si="334"/>
        <v>14069</v>
      </c>
      <c r="K472" s="71">
        <f t="shared" si="334"/>
        <v>13708</v>
      </c>
      <c r="L472" s="71">
        <f t="shared" si="334"/>
        <v>13323</v>
      </c>
      <c r="M472" s="71">
        <f t="shared" si="334"/>
        <v>12950</v>
      </c>
      <c r="N472" s="71">
        <f t="shared" si="334"/>
        <v>12578</v>
      </c>
      <c r="O472" s="71">
        <f t="shared" si="334"/>
        <v>84861</v>
      </c>
      <c r="P472" s="92">
        <f t="shared" si="300"/>
        <v>175418</v>
      </c>
    </row>
    <row r="473" spans="1:16" ht="14.25" customHeight="1" x14ac:dyDescent="0.25">
      <c r="A473" s="102">
        <f t="shared" ref="A473" si="335">A470+1</f>
        <v>156</v>
      </c>
      <c r="B473" s="105" t="s">
        <v>11</v>
      </c>
      <c r="C473" s="106" t="s">
        <v>678</v>
      </c>
      <c r="D473" s="108" t="s">
        <v>594</v>
      </c>
      <c r="E473" s="108" t="s">
        <v>604</v>
      </c>
      <c r="F473" s="10" t="s">
        <v>605</v>
      </c>
      <c r="G473" s="44" t="s">
        <v>5</v>
      </c>
      <c r="H473" s="81">
        <v>4040</v>
      </c>
      <c r="I473" s="68">
        <v>8080</v>
      </c>
      <c r="J473" s="68">
        <v>8080</v>
      </c>
      <c r="K473" s="68">
        <v>8080</v>
      </c>
      <c r="L473" s="68">
        <v>8080</v>
      </c>
      <c r="M473" s="68">
        <v>8080</v>
      </c>
      <c r="N473" s="68">
        <v>8080</v>
      </c>
      <c r="O473" s="68">
        <f>74723-44440-8080</f>
        <v>22203</v>
      </c>
      <c r="P473" s="11">
        <f>SUM(H473:O473)</f>
        <v>74723</v>
      </c>
    </row>
    <row r="474" spans="1:16" ht="14.25" customHeight="1" x14ac:dyDescent="0.25">
      <c r="A474" s="103"/>
      <c r="B474" s="105"/>
      <c r="C474" s="107"/>
      <c r="D474" s="109"/>
      <c r="E474" s="109"/>
      <c r="F474" s="14" t="s">
        <v>606</v>
      </c>
      <c r="G474" s="43" t="s">
        <v>8</v>
      </c>
      <c r="H474" s="70">
        <v>2518</v>
      </c>
      <c r="I474" s="70">
        <v>2565</v>
      </c>
      <c r="J474" s="70">
        <v>2266</v>
      </c>
      <c r="K474" s="70">
        <v>1973</v>
      </c>
      <c r="L474" s="70">
        <v>1669</v>
      </c>
      <c r="M474" s="70">
        <v>1370</v>
      </c>
      <c r="N474" s="70">
        <v>1072</v>
      </c>
      <c r="O474" s="70">
        <f>1422</f>
        <v>1422</v>
      </c>
      <c r="P474" s="15">
        <f t="shared" si="300"/>
        <v>14855</v>
      </c>
    </row>
    <row r="475" spans="1:16" ht="14.25" customHeight="1" x14ac:dyDescent="0.25">
      <c r="A475" s="104"/>
      <c r="B475" s="105"/>
      <c r="C475" s="107"/>
      <c r="D475" s="109"/>
      <c r="E475" s="109"/>
      <c r="F475" s="39"/>
      <c r="G475" s="12" t="s">
        <v>99</v>
      </c>
      <c r="H475" s="71">
        <f t="shared" ref="H475:O475" si="336">SUM(H473:H474)</f>
        <v>6558</v>
      </c>
      <c r="I475" s="71">
        <f t="shared" si="336"/>
        <v>10645</v>
      </c>
      <c r="J475" s="71">
        <f t="shared" si="336"/>
        <v>10346</v>
      </c>
      <c r="K475" s="71">
        <f t="shared" si="336"/>
        <v>10053</v>
      </c>
      <c r="L475" s="71">
        <f t="shared" si="336"/>
        <v>9749</v>
      </c>
      <c r="M475" s="71">
        <f t="shared" si="336"/>
        <v>9450</v>
      </c>
      <c r="N475" s="71">
        <f t="shared" si="336"/>
        <v>9152</v>
      </c>
      <c r="O475" s="71">
        <f t="shared" si="336"/>
        <v>23625</v>
      </c>
      <c r="P475" s="92">
        <f t="shared" si="300"/>
        <v>89578</v>
      </c>
    </row>
    <row r="476" spans="1:16" ht="14.25" customHeight="1" x14ac:dyDescent="0.25">
      <c r="A476" s="102">
        <f t="shared" ref="A476" si="337">A473+1</f>
        <v>157</v>
      </c>
      <c r="B476" s="105" t="s">
        <v>11</v>
      </c>
      <c r="C476" s="172" t="s">
        <v>587</v>
      </c>
      <c r="D476" s="108" t="s">
        <v>607</v>
      </c>
      <c r="E476" s="108" t="s">
        <v>595</v>
      </c>
      <c r="F476" s="10" t="s">
        <v>608</v>
      </c>
      <c r="G476" s="44" t="s">
        <v>5</v>
      </c>
      <c r="H476" s="81">
        <v>8860</v>
      </c>
      <c r="I476" s="68">
        <v>17720</v>
      </c>
      <c r="J476" s="68">
        <v>17720</v>
      </c>
      <c r="K476" s="68">
        <v>17720</v>
      </c>
      <c r="L476" s="68">
        <v>17720</v>
      </c>
      <c r="M476" s="68">
        <v>17720</v>
      </c>
      <c r="N476" s="68">
        <v>17720</v>
      </c>
      <c r="O476" s="68">
        <f>252490-97460-17720</f>
        <v>137310</v>
      </c>
      <c r="P476" s="11">
        <f>SUM(H476:O476)</f>
        <v>252490</v>
      </c>
    </row>
    <row r="477" spans="1:16" ht="14.25" customHeight="1" x14ac:dyDescent="0.25">
      <c r="A477" s="103"/>
      <c r="B477" s="105"/>
      <c r="C477" s="172"/>
      <c r="D477" s="109"/>
      <c r="E477" s="109"/>
      <c r="F477" s="14" t="s">
        <v>609</v>
      </c>
      <c r="G477" s="43" t="s">
        <v>8</v>
      </c>
      <c r="H477" s="70">
        <v>8502</v>
      </c>
      <c r="I477" s="70">
        <v>9509</v>
      </c>
      <c r="J477" s="70">
        <v>8807</v>
      </c>
      <c r="K477" s="70">
        <v>8130</v>
      </c>
      <c r="L477" s="70">
        <v>7408</v>
      </c>
      <c r="M477" s="70">
        <v>6709</v>
      </c>
      <c r="N477" s="70">
        <v>6010</v>
      </c>
      <c r="O477" s="70">
        <f>22913</f>
        <v>22913</v>
      </c>
      <c r="P477" s="15">
        <f t="shared" si="300"/>
        <v>77988</v>
      </c>
    </row>
    <row r="478" spans="1:16" ht="14.25" customHeight="1" x14ac:dyDescent="0.25">
      <c r="A478" s="104"/>
      <c r="B478" s="105"/>
      <c r="C478" s="172"/>
      <c r="D478" s="109"/>
      <c r="E478" s="109"/>
      <c r="F478" s="39"/>
      <c r="G478" s="12" t="s">
        <v>99</v>
      </c>
      <c r="H478" s="71">
        <f t="shared" ref="H478:O478" si="338">SUM(H476:H477)</f>
        <v>17362</v>
      </c>
      <c r="I478" s="71">
        <f t="shared" si="338"/>
        <v>27229</v>
      </c>
      <c r="J478" s="71">
        <f t="shared" si="338"/>
        <v>26527</v>
      </c>
      <c r="K478" s="71">
        <f t="shared" si="338"/>
        <v>25850</v>
      </c>
      <c r="L478" s="71">
        <f t="shared" si="338"/>
        <v>25128</v>
      </c>
      <c r="M478" s="71">
        <f t="shared" si="338"/>
        <v>24429</v>
      </c>
      <c r="N478" s="71">
        <f t="shared" si="338"/>
        <v>23730</v>
      </c>
      <c r="O478" s="71">
        <f t="shared" si="338"/>
        <v>160223</v>
      </c>
      <c r="P478" s="92">
        <f t="shared" si="300"/>
        <v>330478</v>
      </c>
    </row>
    <row r="479" spans="1:16" ht="14.25" customHeight="1" x14ac:dyDescent="0.25">
      <c r="A479" s="102">
        <f t="shared" ref="A479" si="339">A476+1</f>
        <v>158</v>
      </c>
      <c r="B479" s="105" t="s">
        <v>11</v>
      </c>
      <c r="C479" s="106" t="s">
        <v>483</v>
      </c>
      <c r="D479" s="108" t="s">
        <v>610</v>
      </c>
      <c r="E479" s="108" t="s">
        <v>611</v>
      </c>
      <c r="F479" s="10" t="s">
        <v>612</v>
      </c>
      <c r="G479" s="44" t="s">
        <v>5</v>
      </c>
      <c r="H479" s="68">
        <v>0</v>
      </c>
      <c r="I479" s="68">
        <v>26184</v>
      </c>
      <c r="J479" s="68">
        <v>26184</v>
      </c>
      <c r="K479" s="68">
        <v>26184</v>
      </c>
      <c r="L479" s="68">
        <v>26184</v>
      </c>
      <c r="M479" s="68">
        <v>26184</v>
      </c>
      <c r="N479" s="68">
        <v>26184</v>
      </c>
      <c r="O479" s="68">
        <f>366528-130920-26184</f>
        <v>209424</v>
      </c>
      <c r="P479" s="11">
        <f>SUM(H479:O479)</f>
        <v>366528</v>
      </c>
    </row>
    <row r="480" spans="1:16" ht="14.25" customHeight="1" x14ac:dyDescent="0.25">
      <c r="A480" s="103"/>
      <c r="B480" s="105"/>
      <c r="C480" s="107"/>
      <c r="D480" s="109"/>
      <c r="E480" s="109"/>
      <c r="F480" s="14" t="s">
        <v>613</v>
      </c>
      <c r="G480" s="43" t="s">
        <v>8</v>
      </c>
      <c r="H480" s="70">
        <v>13138</v>
      </c>
      <c r="I480" s="70">
        <v>14411</v>
      </c>
      <c r="J480" s="70">
        <v>13377</v>
      </c>
      <c r="K480" s="70">
        <v>12366</v>
      </c>
      <c r="L480" s="70">
        <v>11291</v>
      </c>
      <c r="M480" s="70">
        <v>10249</v>
      </c>
      <c r="N480" s="70">
        <v>9209</v>
      </c>
      <c r="O480" s="70">
        <f>36028</f>
        <v>36028</v>
      </c>
      <c r="P480" s="15">
        <f t="shared" si="300"/>
        <v>120069</v>
      </c>
    </row>
    <row r="481" spans="1:16" ht="14.25" customHeight="1" x14ac:dyDescent="0.25">
      <c r="A481" s="104"/>
      <c r="B481" s="105"/>
      <c r="C481" s="107"/>
      <c r="D481" s="109"/>
      <c r="E481" s="109"/>
      <c r="F481" s="39"/>
      <c r="G481" s="12" t="s">
        <v>99</v>
      </c>
      <c r="H481" s="71">
        <f t="shared" ref="H481:O481" si="340">SUM(H479:H480)</f>
        <v>13138</v>
      </c>
      <c r="I481" s="71">
        <f t="shared" si="340"/>
        <v>40595</v>
      </c>
      <c r="J481" s="71">
        <f t="shared" si="340"/>
        <v>39561</v>
      </c>
      <c r="K481" s="71">
        <f t="shared" si="340"/>
        <v>38550</v>
      </c>
      <c r="L481" s="71">
        <f t="shared" si="340"/>
        <v>37475</v>
      </c>
      <c r="M481" s="71">
        <f t="shared" si="340"/>
        <v>36433</v>
      </c>
      <c r="N481" s="71">
        <f t="shared" si="340"/>
        <v>35393</v>
      </c>
      <c r="O481" s="71">
        <f t="shared" si="340"/>
        <v>245452</v>
      </c>
      <c r="P481" s="92">
        <f t="shared" si="300"/>
        <v>486597</v>
      </c>
    </row>
    <row r="482" spans="1:16" ht="14.25" customHeight="1" x14ac:dyDescent="0.25">
      <c r="A482" s="102">
        <f t="shared" ref="A482" si="341">A479+1</f>
        <v>159</v>
      </c>
      <c r="B482" s="105" t="s">
        <v>11</v>
      </c>
      <c r="C482" s="106" t="s">
        <v>569</v>
      </c>
      <c r="D482" s="108" t="s">
        <v>615</v>
      </c>
      <c r="E482" s="108" t="s">
        <v>616</v>
      </c>
      <c r="F482" s="10" t="s">
        <v>617</v>
      </c>
      <c r="G482" s="44" t="s">
        <v>5</v>
      </c>
      <c r="H482" s="68">
        <v>0</v>
      </c>
      <c r="I482" s="68">
        <v>61068</v>
      </c>
      <c r="J482" s="68">
        <v>81424</v>
      </c>
      <c r="K482" s="68">
        <v>81424</v>
      </c>
      <c r="L482" s="68">
        <v>81424</v>
      </c>
      <c r="M482" s="68">
        <v>81424</v>
      </c>
      <c r="N482" s="68">
        <v>81424</v>
      </c>
      <c r="O482" s="81">
        <f>2340909-386764-81424</f>
        <v>1872721</v>
      </c>
      <c r="P482" s="11">
        <f>SUM(H482:O482)</f>
        <v>2340909</v>
      </c>
    </row>
    <row r="483" spans="1:16" ht="14.25" customHeight="1" x14ac:dyDescent="0.25">
      <c r="A483" s="103"/>
      <c r="B483" s="105"/>
      <c r="C483" s="107"/>
      <c r="D483" s="109"/>
      <c r="E483" s="109"/>
      <c r="F483" s="14" t="s">
        <v>618</v>
      </c>
      <c r="G483" s="43" t="s">
        <v>8</v>
      </c>
      <c r="H483" s="74">
        <v>43207</v>
      </c>
      <c r="I483" s="74">
        <v>94483</v>
      </c>
      <c r="J483" s="49">
        <v>94402</v>
      </c>
      <c r="K483" s="49">
        <v>91011</v>
      </c>
      <c r="L483" s="49">
        <v>87621</v>
      </c>
      <c r="M483" s="70">
        <v>84230</v>
      </c>
      <c r="N483" s="70">
        <v>80840</v>
      </c>
      <c r="O483" s="69">
        <f>1497163-494954-80840</f>
        <v>921369</v>
      </c>
      <c r="P483" s="15">
        <f t="shared" si="300"/>
        <v>1497163</v>
      </c>
    </row>
    <row r="484" spans="1:16" ht="14.25" customHeight="1" x14ac:dyDescent="0.25">
      <c r="A484" s="104"/>
      <c r="B484" s="105"/>
      <c r="C484" s="107"/>
      <c r="D484" s="109"/>
      <c r="E484" s="109"/>
      <c r="F484" s="39"/>
      <c r="G484" s="12" t="s">
        <v>99</v>
      </c>
      <c r="H484" s="71">
        <f t="shared" ref="H484:O484" si="342">SUM(H482:H483)</f>
        <v>43207</v>
      </c>
      <c r="I484" s="71">
        <f t="shared" si="342"/>
        <v>155551</v>
      </c>
      <c r="J484" s="71">
        <f t="shared" si="342"/>
        <v>175826</v>
      </c>
      <c r="K484" s="71">
        <f t="shared" si="342"/>
        <v>172435</v>
      </c>
      <c r="L484" s="71">
        <f t="shared" si="342"/>
        <v>169045</v>
      </c>
      <c r="M484" s="71">
        <f t="shared" si="342"/>
        <v>165654</v>
      </c>
      <c r="N484" s="71">
        <f t="shared" si="342"/>
        <v>162264</v>
      </c>
      <c r="O484" s="71">
        <f t="shared" si="342"/>
        <v>2794090</v>
      </c>
      <c r="P484" s="92">
        <f t="shared" si="300"/>
        <v>3838072</v>
      </c>
    </row>
    <row r="485" spans="1:16" ht="14.25" customHeight="1" x14ac:dyDescent="0.25">
      <c r="A485" s="102">
        <f t="shared" ref="A485" si="343">A482+1</f>
        <v>160</v>
      </c>
      <c r="B485" s="105" t="s">
        <v>11</v>
      </c>
      <c r="C485" s="106" t="s">
        <v>614</v>
      </c>
      <c r="D485" s="108" t="s">
        <v>615</v>
      </c>
      <c r="E485" s="108" t="s">
        <v>616</v>
      </c>
      <c r="F485" s="10" t="s">
        <v>619</v>
      </c>
      <c r="G485" s="44" t="s">
        <v>5</v>
      </c>
      <c r="H485" s="81">
        <v>0</v>
      </c>
      <c r="I485" s="68">
        <v>258969</v>
      </c>
      <c r="J485" s="68">
        <v>345292</v>
      </c>
      <c r="K485" s="68">
        <v>345292</v>
      </c>
      <c r="L485" s="68">
        <v>345292</v>
      </c>
      <c r="M485" s="68">
        <v>345292</v>
      </c>
      <c r="N485" s="68">
        <v>345292</v>
      </c>
      <c r="O485" s="68">
        <f>9927142-1640137-345292</f>
        <v>7941713</v>
      </c>
      <c r="P485" s="11">
        <f>SUM(H485:O485)</f>
        <v>9927142</v>
      </c>
    </row>
    <row r="486" spans="1:16" ht="14.25" customHeight="1" x14ac:dyDescent="0.25">
      <c r="A486" s="103"/>
      <c r="B486" s="105"/>
      <c r="C486" s="107"/>
      <c r="D486" s="109"/>
      <c r="E486" s="109"/>
      <c r="F486" s="14" t="s">
        <v>620</v>
      </c>
      <c r="G486" s="43" t="s">
        <v>8</v>
      </c>
      <c r="H486" s="69">
        <f>50618+7395+90056</f>
        <v>148069</v>
      </c>
      <c r="I486" s="69">
        <v>459537</v>
      </c>
      <c r="J486" s="70">
        <v>458817</v>
      </c>
      <c r="K486" s="70">
        <v>442338</v>
      </c>
      <c r="L486" s="70">
        <v>425859</v>
      </c>
      <c r="M486" s="70">
        <v>409381</v>
      </c>
      <c r="N486" s="70">
        <v>392902</v>
      </c>
      <c r="O486" s="70">
        <f>7218081-2314044-422859</f>
        <v>4481178</v>
      </c>
      <c r="P486" s="15">
        <f t="shared" si="300"/>
        <v>7218081</v>
      </c>
    </row>
    <row r="487" spans="1:16" ht="14.25" customHeight="1" x14ac:dyDescent="0.25">
      <c r="A487" s="104"/>
      <c r="B487" s="105"/>
      <c r="C487" s="107"/>
      <c r="D487" s="109"/>
      <c r="E487" s="109"/>
      <c r="F487" s="39"/>
      <c r="G487" s="12" t="s">
        <v>99</v>
      </c>
      <c r="H487" s="71">
        <f t="shared" ref="H487:O487" si="344">SUM(H485:H486)</f>
        <v>148069</v>
      </c>
      <c r="I487" s="71">
        <f t="shared" si="344"/>
        <v>718506</v>
      </c>
      <c r="J487" s="71">
        <f t="shared" si="344"/>
        <v>804109</v>
      </c>
      <c r="K487" s="71">
        <f t="shared" si="344"/>
        <v>787630</v>
      </c>
      <c r="L487" s="71">
        <f t="shared" si="344"/>
        <v>771151</v>
      </c>
      <c r="M487" s="71">
        <f t="shared" si="344"/>
        <v>754673</v>
      </c>
      <c r="N487" s="71">
        <f t="shared" si="344"/>
        <v>738194</v>
      </c>
      <c r="O487" s="71">
        <f t="shared" si="344"/>
        <v>12422891</v>
      </c>
      <c r="P487" s="92">
        <f t="shared" si="300"/>
        <v>17145223</v>
      </c>
    </row>
    <row r="488" spans="1:16" ht="14.25" customHeight="1" x14ac:dyDescent="0.25">
      <c r="A488" s="102">
        <f t="shared" ref="A488" si="345">A485+1</f>
        <v>161</v>
      </c>
      <c r="B488" s="105" t="s">
        <v>11</v>
      </c>
      <c r="C488" s="106" t="s">
        <v>623</v>
      </c>
      <c r="D488" s="108" t="s">
        <v>624</v>
      </c>
      <c r="E488" s="108" t="s">
        <v>625</v>
      </c>
      <c r="F488" s="10"/>
      <c r="G488" s="44" t="s">
        <v>5</v>
      </c>
      <c r="H488" s="89">
        <v>0</v>
      </c>
      <c r="I488" s="82">
        <v>0</v>
      </c>
      <c r="J488" s="82">
        <v>39272</v>
      </c>
      <c r="K488" s="82">
        <v>39272</v>
      </c>
      <c r="L488" s="82">
        <v>39272</v>
      </c>
      <c r="M488" s="82">
        <v>39272</v>
      </c>
      <c r="N488" s="82">
        <v>39272</v>
      </c>
      <c r="O488" s="82">
        <f>530160-196360</f>
        <v>333800</v>
      </c>
      <c r="P488" s="11">
        <f>SUM(H488:O488)</f>
        <v>530160</v>
      </c>
    </row>
    <row r="489" spans="1:16" ht="14.25" customHeight="1" x14ac:dyDescent="0.25">
      <c r="A489" s="103"/>
      <c r="B489" s="105"/>
      <c r="C489" s="107"/>
      <c r="D489" s="109"/>
      <c r="E489" s="109"/>
      <c r="F489" s="43" t="s">
        <v>568</v>
      </c>
      <c r="G489" s="43" t="s">
        <v>8</v>
      </c>
      <c r="H489" s="42">
        <v>1210</v>
      </c>
      <c r="I489" s="42">
        <v>11135</v>
      </c>
      <c r="J489" s="42">
        <v>18731</v>
      </c>
      <c r="K489" s="42">
        <v>16508</v>
      </c>
      <c r="L489" s="42">
        <v>15170</v>
      </c>
      <c r="M489" s="42">
        <v>13833</v>
      </c>
      <c r="N489" s="42">
        <v>12495</v>
      </c>
      <c r="O489" s="42">
        <f>141370-89082</f>
        <v>52288</v>
      </c>
      <c r="P489" s="15">
        <f t="shared" si="300"/>
        <v>141370</v>
      </c>
    </row>
    <row r="490" spans="1:16" ht="14.25" customHeight="1" x14ac:dyDescent="0.25">
      <c r="A490" s="104"/>
      <c r="B490" s="105"/>
      <c r="C490" s="107"/>
      <c r="D490" s="109"/>
      <c r="E490" s="109"/>
      <c r="F490" s="39"/>
      <c r="G490" s="12" t="s">
        <v>99</v>
      </c>
      <c r="H490" s="46">
        <f t="shared" ref="H490:O490" si="346">SUM(H488:H489)</f>
        <v>1210</v>
      </c>
      <c r="I490" s="46">
        <f t="shared" si="346"/>
        <v>11135</v>
      </c>
      <c r="J490" s="46">
        <f t="shared" si="346"/>
        <v>58003</v>
      </c>
      <c r="K490" s="46">
        <f t="shared" si="346"/>
        <v>55780</v>
      </c>
      <c r="L490" s="46">
        <f t="shared" si="346"/>
        <v>54442</v>
      </c>
      <c r="M490" s="46">
        <f t="shared" si="346"/>
        <v>53105</v>
      </c>
      <c r="N490" s="46">
        <f t="shared" si="346"/>
        <v>51767</v>
      </c>
      <c r="O490" s="46">
        <f t="shared" si="346"/>
        <v>386088</v>
      </c>
      <c r="P490" s="92">
        <f t="shared" ref="P490:P496" si="347">SUM(H490:O490)</f>
        <v>671530</v>
      </c>
    </row>
    <row r="491" spans="1:16" ht="14.25" customHeight="1" x14ac:dyDescent="0.25">
      <c r="A491" s="102">
        <f t="shared" ref="A491" si="348">A488+1</f>
        <v>162</v>
      </c>
      <c r="B491" s="105" t="s">
        <v>11</v>
      </c>
      <c r="C491" s="106" t="s">
        <v>632</v>
      </c>
      <c r="D491" s="108" t="s">
        <v>624</v>
      </c>
      <c r="E491" s="108" t="s">
        <v>625</v>
      </c>
      <c r="F491" s="10"/>
      <c r="G491" s="44" t="s">
        <v>5</v>
      </c>
      <c r="H491" s="89">
        <v>0</v>
      </c>
      <c r="I491" s="82">
        <v>0</v>
      </c>
      <c r="J491" s="82">
        <v>9820</v>
      </c>
      <c r="K491" s="82">
        <v>9820</v>
      </c>
      <c r="L491" s="82">
        <v>9820</v>
      </c>
      <c r="M491" s="82">
        <v>9820</v>
      </c>
      <c r="N491" s="82">
        <v>9820</v>
      </c>
      <c r="O491" s="82">
        <f>132590-49100</f>
        <v>83490</v>
      </c>
      <c r="P491" s="11">
        <f>SUM(H491:O491)</f>
        <v>132590</v>
      </c>
    </row>
    <row r="492" spans="1:16" ht="14.25" customHeight="1" x14ac:dyDescent="0.25">
      <c r="A492" s="103"/>
      <c r="B492" s="105"/>
      <c r="C492" s="107"/>
      <c r="D492" s="109"/>
      <c r="E492" s="109"/>
      <c r="F492" s="43" t="s">
        <v>568</v>
      </c>
      <c r="G492" s="43" t="s">
        <v>8</v>
      </c>
      <c r="H492" s="42">
        <v>371</v>
      </c>
      <c r="I492" s="42">
        <v>4288</v>
      </c>
      <c r="J492" s="42">
        <v>4684</v>
      </c>
      <c r="K492" s="42">
        <v>4129</v>
      </c>
      <c r="L492" s="42">
        <v>3794</v>
      </c>
      <c r="M492" s="42">
        <v>3460</v>
      </c>
      <c r="N492" s="42">
        <v>3125</v>
      </c>
      <c r="O492" s="42">
        <f>36932-23851</f>
        <v>13081</v>
      </c>
      <c r="P492" s="15">
        <f t="shared" si="347"/>
        <v>36932</v>
      </c>
    </row>
    <row r="493" spans="1:16" ht="14.25" customHeight="1" x14ac:dyDescent="0.25">
      <c r="A493" s="104"/>
      <c r="B493" s="105"/>
      <c r="C493" s="107"/>
      <c r="D493" s="109"/>
      <c r="E493" s="109"/>
      <c r="F493" s="39"/>
      <c r="G493" s="12" t="s">
        <v>99</v>
      </c>
      <c r="H493" s="46">
        <f t="shared" ref="H493:O493" si="349">SUM(H491:H492)</f>
        <v>371</v>
      </c>
      <c r="I493" s="46">
        <f t="shared" si="349"/>
        <v>4288</v>
      </c>
      <c r="J493" s="46">
        <f t="shared" si="349"/>
        <v>14504</v>
      </c>
      <c r="K493" s="46">
        <f t="shared" si="349"/>
        <v>13949</v>
      </c>
      <c r="L493" s="46">
        <f t="shared" si="349"/>
        <v>13614</v>
      </c>
      <c r="M493" s="46">
        <f t="shared" si="349"/>
        <v>13280</v>
      </c>
      <c r="N493" s="46">
        <f t="shared" si="349"/>
        <v>12945</v>
      </c>
      <c r="O493" s="46">
        <f t="shared" si="349"/>
        <v>96571</v>
      </c>
      <c r="P493" s="92">
        <f t="shared" si="347"/>
        <v>169522</v>
      </c>
    </row>
    <row r="494" spans="1:16" ht="14.25" customHeight="1" x14ac:dyDescent="0.25">
      <c r="A494" s="102">
        <f t="shared" ref="A494" si="350">A491+1</f>
        <v>163</v>
      </c>
      <c r="B494" s="105" t="s">
        <v>11</v>
      </c>
      <c r="C494" s="106" t="s">
        <v>633</v>
      </c>
      <c r="D494" s="108" t="s">
        <v>626</v>
      </c>
      <c r="E494" s="108" t="s">
        <v>627</v>
      </c>
      <c r="F494" s="10"/>
      <c r="G494" s="44" t="s">
        <v>5</v>
      </c>
      <c r="H494" s="89">
        <v>0</v>
      </c>
      <c r="I494" s="82">
        <v>4986</v>
      </c>
      <c r="J494" s="82">
        <v>10012</v>
      </c>
      <c r="K494" s="82">
        <v>10012</v>
      </c>
      <c r="L494" s="82">
        <v>10012</v>
      </c>
      <c r="M494" s="82">
        <v>10012</v>
      </c>
      <c r="N494" s="82">
        <v>10012</v>
      </c>
      <c r="O494" s="82">
        <f>135142-55046</f>
        <v>80096</v>
      </c>
      <c r="P494" s="11">
        <f>SUM(H494:O494)</f>
        <v>135142</v>
      </c>
    </row>
    <row r="495" spans="1:16" ht="14.25" customHeight="1" x14ac:dyDescent="0.25">
      <c r="A495" s="103"/>
      <c r="B495" s="105"/>
      <c r="C495" s="107"/>
      <c r="D495" s="109"/>
      <c r="E495" s="109"/>
      <c r="F495" s="43" t="s">
        <v>568</v>
      </c>
      <c r="G495" s="43" t="s">
        <v>8</v>
      </c>
      <c r="H495" s="42">
        <v>1639</v>
      </c>
      <c r="I495" s="42">
        <v>4943</v>
      </c>
      <c r="J495" s="42">
        <v>4588</v>
      </c>
      <c r="K495" s="42">
        <v>4008</v>
      </c>
      <c r="L495" s="42">
        <v>3670</v>
      </c>
      <c r="M495" s="42">
        <v>3331</v>
      </c>
      <c r="N495" s="42">
        <v>2992</v>
      </c>
      <c r="O495" s="42">
        <f>36949-25171</f>
        <v>11778</v>
      </c>
      <c r="P495" s="15">
        <f t="shared" si="347"/>
        <v>36949</v>
      </c>
    </row>
    <row r="496" spans="1:16" ht="14.25" customHeight="1" x14ac:dyDescent="0.25">
      <c r="A496" s="104"/>
      <c r="B496" s="105"/>
      <c r="C496" s="107"/>
      <c r="D496" s="109"/>
      <c r="E496" s="109"/>
      <c r="F496" s="39"/>
      <c r="G496" s="12" t="s">
        <v>99</v>
      </c>
      <c r="H496" s="46">
        <f t="shared" ref="H496:O496" si="351">SUM(H494:H495)</f>
        <v>1639</v>
      </c>
      <c r="I496" s="46">
        <f t="shared" si="351"/>
        <v>9929</v>
      </c>
      <c r="J496" s="46">
        <f t="shared" si="351"/>
        <v>14600</v>
      </c>
      <c r="K496" s="46">
        <f t="shared" si="351"/>
        <v>14020</v>
      </c>
      <c r="L496" s="46">
        <f t="shared" si="351"/>
        <v>13682</v>
      </c>
      <c r="M496" s="46">
        <f t="shared" si="351"/>
        <v>13343</v>
      </c>
      <c r="N496" s="46">
        <f t="shared" si="351"/>
        <v>13004</v>
      </c>
      <c r="O496" s="46">
        <f t="shared" si="351"/>
        <v>91874</v>
      </c>
      <c r="P496" s="92">
        <f t="shared" si="347"/>
        <v>172091</v>
      </c>
    </row>
    <row r="497" spans="1:16" ht="14.25" customHeight="1" x14ac:dyDescent="0.25">
      <c r="A497" s="102">
        <f t="shared" ref="A497" si="352">A494+1</f>
        <v>164</v>
      </c>
      <c r="B497" s="105" t="s">
        <v>11</v>
      </c>
      <c r="C497" s="106" t="s">
        <v>634</v>
      </c>
      <c r="D497" s="108" t="s">
        <v>635</v>
      </c>
      <c r="E497" s="108" t="s">
        <v>637</v>
      </c>
      <c r="F497" s="10"/>
      <c r="G497" s="44" t="s">
        <v>5</v>
      </c>
      <c r="H497" s="89">
        <v>0</v>
      </c>
      <c r="I497" s="82">
        <v>2964</v>
      </c>
      <c r="J497" s="82">
        <v>11808</v>
      </c>
      <c r="K497" s="82">
        <v>11808</v>
      </c>
      <c r="L497" s="82">
        <v>11808</v>
      </c>
      <c r="M497" s="82">
        <v>11808</v>
      </c>
      <c r="N497" s="82">
        <v>11808</v>
      </c>
      <c r="O497" s="82">
        <f>218460-62004</f>
        <v>156456</v>
      </c>
      <c r="P497" s="11">
        <f>SUM(H497:O497)</f>
        <v>218460</v>
      </c>
    </row>
    <row r="498" spans="1:16" ht="14.25" customHeight="1" x14ac:dyDescent="0.25">
      <c r="A498" s="103"/>
      <c r="B498" s="105"/>
      <c r="C498" s="107"/>
      <c r="D498" s="109"/>
      <c r="E498" s="109"/>
      <c r="F498" s="43" t="s">
        <v>568</v>
      </c>
      <c r="G498" s="43" t="s">
        <v>8</v>
      </c>
      <c r="H498" s="42">
        <v>1654</v>
      </c>
      <c r="I498" s="42">
        <v>8492</v>
      </c>
      <c r="J498" s="42">
        <v>7950</v>
      </c>
      <c r="K498" s="42">
        <v>6823</v>
      </c>
      <c r="L498" s="42">
        <v>6423</v>
      </c>
      <c r="M498" s="42">
        <v>6024</v>
      </c>
      <c r="N498" s="42">
        <v>5625</v>
      </c>
      <c r="O498" s="42">
        <f>79891-42987</f>
        <v>36904</v>
      </c>
      <c r="P498" s="15">
        <f t="shared" ref="P498:P499" si="353">SUM(H498:O498)</f>
        <v>79895</v>
      </c>
    </row>
    <row r="499" spans="1:16" ht="14.25" customHeight="1" x14ac:dyDescent="0.25">
      <c r="A499" s="104"/>
      <c r="B499" s="105"/>
      <c r="C499" s="107"/>
      <c r="D499" s="109"/>
      <c r="E499" s="109"/>
      <c r="F499" s="39"/>
      <c r="G499" s="12" t="s">
        <v>99</v>
      </c>
      <c r="H499" s="46">
        <f t="shared" ref="H499:O499" si="354">SUM(H497:H498)</f>
        <v>1654</v>
      </c>
      <c r="I499" s="46">
        <f t="shared" si="354"/>
        <v>11456</v>
      </c>
      <c r="J499" s="46">
        <f t="shared" si="354"/>
        <v>19758</v>
      </c>
      <c r="K499" s="46">
        <f t="shared" si="354"/>
        <v>18631</v>
      </c>
      <c r="L499" s="46">
        <f t="shared" si="354"/>
        <v>18231</v>
      </c>
      <c r="M499" s="46">
        <f t="shared" si="354"/>
        <v>17832</v>
      </c>
      <c r="N499" s="46">
        <f t="shared" si="354"/>
        <v>17433</v>
      </c>
      <c r="O499" s="46">
        <f t="shared" si="354"/>
        <v>193360</v>
      </c>
      <c r="P499" s="92">
        <f t="shared" si="353"/>
        <v>298355</v>
      </c>
    </row>
    <row r="500" spans="1:16" ht="14.25" customHeight="1" x14ac:dyDescent="0.25">
      <c r="A500" s="102">
        <f t="shared" ref="A500" si="355">A497+1</f>
        <v>165</v>
      </c>
      <c r="B500" s="105" t="s">
        <v>11</v>
      </c>
      <c r="C500" s="106" t="s">
        <v>636</v>
      </c>
      <c r="D500" s="108" t="s">
        <v>635</v>
      </c>
      <c r="E500" s="108" t="s">
        <v>637</v>
      </c>
      <c r="F500" s="10"/>
      <c r="G500" s="44" t="s">
        <v>5</v>
      </c>
      <c r="H500" s="89">
        <v>0</v>
      </c>
      <c r="I500" s="82">
        <v>2844</v>
      </c>
      <c r="J500" s="82">
        <v>11436</v>
      </c>
      <c r="K500" s="82">
        <v>11436</v>
      </c>
      <c r="L500" s="82">
        <v>11436</v>
      </c>
      <c r="M500" s="82">
        <v>11436</v>
      </c>
      <c r="N500" s="82">
        <v>11436</v>
      </c>
      <c r="O500" s="82">
        <f>211551-60024</f>
        <v>151527</v>
      </c>
      <c r="P500" s="11">
        <f>SUM(H500:O500)</f>
        <v>211551</v>
      </c>
    </row>
    <row r="501" spans="1:16" ht="14.25" customHeight="1" x14ac:dyDescent="0.25">
      <c r="A501" s="103"/>
      <c r="B501" s="105"/>
      <c r="C501" s="107"/>
      <c r="D501" s="109"/>
      <c r="E501" s="109"/>
      <c r="F501" s="43" t="s">
        <v>568</v>
      </c>
      <c r="G501" s="43" t="s">
        <v>8</v>
      </c>
      <c r="H501" s="42">
        <v>1628</v>
      </c>
      <c r="I501" s="42">
        <v>8224</v>
      </c>
      <c r="J501" s="42">
        <v>7699</v>
      </c>
      <c r="K501" s="42">
        <v>6608</v>
      </c>
      <c r="L501" s="42">
        <v>6221</v>
      </c>
      <c r="M501" s="42">
        <v>5834</v>
      </c>
      <c r="N501" s="42">
        <v>5448</v>
      </c>
      <c r="O501" s="42">
        <f>77374-41662</f>
        <v>35712</v>
      </c>
      <c r="P501" s="15">
        <f t="shared" ref="P501:P502" si="356">SUM(H501:O501)</f>
        <v>77374</v>
      </c>
    </row>
    <row r="502" spans="1:16" ht="14.25" customHeight="1" x14ac:dyDescent="0.25">
      <c r="A502" s="104"/>
      <c r="B502" s="105"/>
      <c r="C502" s="107"/>
      <c r="D502" s="109"/>
      <c r="E502" s="109"/>
      <c r="F502" s="39"/>
      <c r="G502" s="12" t="s">
        <v>99</v>
      </c>
      <c r="H502" s="46">
        <f t="shared" ref="H502:O502" si="357">SUM(H500:H501)</f>
        <v>1628</v>
      </c>
      <c r="I502" s="46">
        <f t="shared" si="357"/>
        <v>11068</v>
      </c>
      <c r="J502" s="46">
        <f t="shared" si="357"/>
        <v>19135</v>
      </c>
      <c r="K502" s="46">
        <f t="shared" si="357"/>
        <v>18044</v>
      </c>
      <c r="L502" s="46">
        <f t="shared" si="357"/>
        <v>17657</v>
      </c>
      <c r="M502" s="46">
        <f t="shared" si="357"/>
        <v>17270</v>
      </c>
      <c r="N502" s="46">
        <f t="shared" si="357"/>
        <v>16884</v>
      </c>
      <c r="O502" s="46">
        <f t="shared" si="357"/>
        <v>187239</v>
      </c>
      <c r="P502" s="92">
        <f t="shared" si="356"/>
        <v>288925</v>
      </c>
    </row>
    <row r="503" spans="1:16" ht="14.25" customHeight="1" x14ac:dyDescent="0.25">
      <c r="A503" s="102">
        <f t="shared" ref="A503:A515" si="358">A500+1</f>
        <v>166</v>
      </c>
      <c r="B503" s="105" t="s">
        <v>11</v>
      </c>
      <c r="C503" s="106" t="s">
        <v>628</v>
      </c>
      <c r="D503" s="108" t="s">
        <v>629</v>
      </c>
      <c r="E503" s="108" t="s">
        <v>630</v>
      </c>
      <c r="F503" s="10"/>
      <c r="G503" s="44" t="s">
        <v>5</v>
      </c>
      <c r="H503" s="89">
        <v>0</v>
      </c>
      <c r="I503" s="82">
        <v>0</v>
      </c>
      <c r="J503" s="82">
        <v>44477</v>
      </c>
      <c r="K503" s="82">
        <v>44504</v>
      </c>
      <c r="L503" s="82">
        <v>44504</v>
      </c>
      <c r="M503" s="82">
        <v>44504</v>
      </c>
      <c r="N503" s="82">
        <v>44504</v>
      </c>
      <c r="O503" s="82">
        <f>1045817-222493</f>
        <v>823324</v>
      </c>
      <c r="P503" s="11">
        <f>SUM(H503:O503)</f>
        <v>1045817</v>
      </c>
    </row>
    <row r="504" spans="1:16" ht="14.25" customHeight="1" x14ac:dyDescent="0.25">
      <c r="A504" s="103"/>
      <c r="B504" s="105"/>
      <c r="C504" s="107"/>
      <c r="D504" s="109"/>
      <c r="E504" s="109"/>
      <c r="F504" s="43" t="s">
        <v>568</v>
      </c>
      <c r="G504" s="43" t="s">
        <v>8</v>
      </c>
      <c r="H504" s="42">
        <v>284</v>
      </c>
      <c r="I504" s="42">
        <v>29654</v>
      </c>
      <c r="J504" s="42">
        <v>40171</v>
      </c>
      <c r="K504" s="42">
        <v>36516</v>
      </c>
      <c r="L504" s="42">
        <v>34882</v>
      </c>
      <c r="M504" s="42">
        <v>33247</v>
      </c>
      <c r="N504" s="42">
        <v>31613</v>
      </c>
      <c r="O504" s="42">
        <f>496503-206367</f>
        <v>290136</v>
      </c>
      <c r="P504" s="15">
        <f t="shared" ref="P504:P505" si="359">SUM(H504:O504)</f>
        <v>496503</v>
      </c>
    </row>
    <row r="505" spans="1:16" ht="14.25" customHeight="1" x14ac:dyDescent="0.25">
      <c r="A505" s="104"/>
      <c r="B505" s="105"/>
      <c r="C505" s="107"/>
      <c r="D505" s="109"/>
      <c r="E505" s="109"/>
      <c r="F505" s="39"/>
      <c r="G505" s="12" t="s">
        <v>99</v>
      </c>
      <c r="H505" s="46">
        <f t="shared" ref="H505:O505" si="360">SUM(H503:H504)</f>
        <v>284</v>
      </c>
      <c r="I505" s="46">
        <f t="shared" si="360"/>
        <v>29654</v>
      </c>
      <c r="J505" s="46">
        <f t="shared" si="360"/>
        <v>84648</v>
      </c>
      <c r="K505" s="46">
        <f t="shared" si="360"/>
        <v>81020</v>
      </c>
      <c r="L505" s="46">
        <f t="shared" si="360"/>
        <v>79386</v>
      </c>
      <c r="M505" s="46">
        <f t="shared" si="360"/>
        <v>77751</v>
      </c>
      <c r="N505" s="46">
        <f t="shared" si="360"/>
        <v>76117</v>
      </c>
      <c r="O505" s="46">
        <f t="shared" si="360"/>
        <v>1113460</v>
      </c>
      <c r="P505" s="92">
        <f t="shared" si="359"/>
        <v>1542320</v>
      </c>
    </row>
    <row r="506" spans="1:16" ht="14.25" customHeight="1" x14ac:dyDescent="0.25">
      <c r="A506" s="102">
        <f t="shared" si="358"/>
        <v>167</v>
      </c>
      <c r="B506" s="105" t="s">
        <v>11</v>
      </c>
      <c r="C506" s="106" t="s">
        <v>631</v>
      </c>
      <c r="D506" s="108" t="s">
        <v>629</v>
      </c>
      <c r="E506" s="108" t="s">
        <v>630</v>
      </c>
      <c r="F506" s="10"/>
      <c r="G506" s="44" t="s">
        <v>5</v>
      </c>
      <c r="H506" s="89">
        <v>0</v>
      </c>
      <c r="I506" s="82">
        <v>0</v>
      </c>
      <c r="J506" s="82">
        <v>21206</v>
      </c>
      <c r="K506" s="82">
        <v>21208</v>
      </c>
      <c r="L506" s="82">
        <v>21208</v>
      </c>
      <c r="M506" s="82">
        <v>21208</v>
      </c>
      <c r="N506" s="82">
        <v>21208</v>
      </c>
      <c r="O506" s="82">
        <f>498386-106038</f>
        <v>392348</v>
      </c>
      <c r="P506" s="11">
        <f>SUM(H506:O506)</f>
        <v>498386</v>
      </c>
    </row>
    <row r="507" spans="1:16" ht="14.25" customHeight="1" x14ac:dyDescent="0.25">
      <c r="A507" s="103"/>
      <c r="B507" s="105"/>
      <c r="C507" s="107"/>
      <c r="D507" s="109"/>
      <c r="E507" s="109"/>
      <c r="F507" s="43" t="s">
        <v>568</v>
      </c>
      <c r="G507" s="43" t="s">
        <v>8</v>
      </c>
      <c r="H507" s="42">
        <v>283</v>
      </c>
      <c r="I507" s="42">
        <v>17785</v>
      </c>
      <c r="J507" s="42">
        <v>19143</v>
      </c>
      <c r="K507" s="42">
        <v>17401</v>
      </c>
      <c r="L507" s="42">
        <v>16623</v>
      </c>
      <c r="M507" s="42">
        <v>15844</v>
      </c>
      <c r="N507" s="42">
        <v>15065</v>
      </c>
      <c r="O507" s="42">
        <f>240407-102144</f>
        <v>138263</v>
      </c>
      <c r="P507" s="15">
        <f t="shared" ref="P507:P508" si="361">SUM(H507:O507)</f>
        <v>240407</v>
      </c>
    </row>
    <row r="508" spans="1:16" ht="14.25" customHeight="1" x14ac:dyDescent="0.25">
      <c r="A508" s="104"/>
      <c r="B508" s="105"/>
      <c r="C508" s="107"/>
      <c r="D508" s="109"/>
      <c r="E508" s="109"/>
      <c r="F508" s="39"/>
      <c r="G508" s="12" t="s">
        <v>99</v>
      </c>
      <c r="H508" s="46">
        <f t="shared" ref="H508:O508" si="362">SUM(H506:H507)</f>
        <v>283</v>
      </c>
      <c r="I508" s="46">
        <f t="shared" si="362"/>
        <v>17785</v>
      </c>
      <c r="J508" s="46">
        <f t="shared" si="362"/>
        <v>40349</v>
      </c>
      <c r="K508" s="46">
        <f t="shared" si="362"/>
        <v>38609</v>
      </c>
      <c r="L508" s="46">
        <f t="shared" si="362"/>
        <v>37831</v>
      </c>
      <c r="M508" s="46">
        <f t="shared" si="362"/>
        <v>37052</v>
      </c>
      <c r="N508" s="46">
        <f t="shared" si="362"/>
        <v>36273</v>
      </c>
      <c r="O508" s="46">
        <f t="shared" si="362"/>
        <v>530611</v>
      </c>
      <c r="P508" s="92">
        <f t="shared" si="361"/>
        <v>738793</v>
      </c>
    </row>
    <row r="509" spans="1:16" ht="14.25" customHeight="1" x14ac:dyDescent="0.25">
      <c r="A509" s="102">
        <f t="shared" si="358"/>
        <v>168</v>
      </c>
      <c r="B509" s="105" t="s">
        <v>11</v>
      </c>
      <c r="C509" s="106" t="s">
        <v>638</v>
      </c>
      <c r="D509" s="108" t="s">
        <v>640</v>
      </c>
      <c r="E509" s="108" t="s">
        <v>641</v>
      </c>
      <c r="F509" s="10"/>
      <c r="G509" s="44" t="s">
        <v>5</v>
      </c>
      <c r="H509" s="89">
        <v>0</v>
      </c>
      <c r="I509" s="82">
        <v>0</v>
      </c>
      <c r="J509" s="82">
        <v>41964</v>
      </c>
      <c r="K509" s="82">
        <v>42000</v>
      </c>
      <c r="L509" s="82">
        <v>42000</v>
      </c>
      <c r="M509" s="82">
        <v>42000</v>
      </c>
      <c r="N509" s="82">
        <v>42000</v>
      </c>
      <c r="O509" s="82">
        <f>776964-209964</f>
        <v>567000</v>
      </c>
      <c r="P509" s="11">
        <f>SUM(H509:O509)</f>
        <v>776964</v>
      </c>
    </row>
    <row r="510" spans="1:16" ht="14.25" customHeight="1" x14ac:dyDescent="0.25">
      <c r="A510" s="103"/>
      <c r="B510" s="105"/>
      <c r="C510" s="107"/>
      <c r="D510" s="109"/>
      <c r="E510" s="109"/>
      <c r="F510" s="43" t="s">
        <v>568</v>
      </c>
      <c r="G510" s="43" t="s">
        <v>8</v>
      </c>
      <c r="H510" s="42">
        <v>518</v>
      </c>
      <c r="I510" s="42">
        <v>13190</v>
      </c>
      <c r="J510" s="42">
        <v>28575</v>
      </c>
      <c r="K510" s="42">
        <v>24623</v>
      </c>
      <c r="L510" s="42">
        <v>23203</v>
      </c>
      <c r="M510" s="42">
        <v>21783</v>
      </c>
      <c r="N510" s="42">
        <v>20363</v>
      </c>
      <c r="O510" s="42">
        <f>268283-132255</f>
        <v>136028</v>
      </c>
      <c r="P510" s="15">
        <f t="shared" ref="P510:P547" si="363">SUM(H510:O510)</f>
        <v>268283</v>
      </c>
    </row>
    <row r="511" spans="1:16" ht="14.25" customHeight="1" x14ac:dyDescent="0.25">
      <c r="A511" s="104"/>
      <c r="B511" s="105"/>
      <c r="C511" s="107"/>
      <c r="D511" s="109"/>
      <c r="E511" s="109"/>
      <c r="F511" s="39"/>
      <c r="G511" s="12" t="s">
        <v>99</v>
      </c>
      <c r="H511" s="46">
        <f t="shared" ref="H511:O511" si="364">SUM(H509:H510)</f>
        <v>518</v>
      </c>
      <c r="I511" s="46">
        <f t="shared" si="364"/>
        <v>13190</v>
      </c>
      <c r="J511" s="46">
        <f t="shared" si="364"/>
        <v>70539</v>
      </c>
      <c r="K511" s="46">
        <f t="shared" si="364"/>
        <v>66623</v>
      </c>
      <c r="L511" s="46">
        <f t="shared" si="364"/>
        <v>65203</v>
      </c>
      <c r="M511" s="46">
        <f t="shared" si="364"/>
        <v>63783</v>
      </c>
      <c r="N511" s="46">
        <f t="shared" si="364"/>
        <v>62363</v>
      </c>
      <c r="O511" s="46">
        <f t="shared" si="364"/>
        <v>703028</v>
      </c>
      <c r="P511" s="92">
        <f t="shared" si="363"/>
        <v>1045247</v>
      </c>
    </row>
    <row r="512" spans="1:16" ht="14.25" customHeight="1" x14ac:dyDescent="0.25">
      <c r="A512" s="102">
        <f t="shared" si="358"/>
        <v>169</v>
      </c>
      <c r="B512" s="105" t="s">
        <v>11</v>
      </c>
      <c r="C512" s="106" t="s">
        <v>639</v>
      </c>
      <c r="D512" s="108" t="s">
        <v>640</v>
      </c>
      <c r="E512" s="108" t="s">
        <v>641</v>
      </c>
      <c r="F512" s="10"/>
      <c r="G512" s="44" t="s">
        <v>5</v>
      </c>
      <c r="H512" s="89">
        <v>0</v>
      </c>
      <c r="I512" s="82">
        <v>0</v>
      </c>
      <c r="J512" s="82">
        <v>27833</v>
      </c>
      <c r="K512" s="82">
        <v>27828</v>
      </c>
      <c r="L512" s="82">
        <v>27828</v>
      </c>
      <c r="M512" s="82">
        <v>27828</v>
      </c>
      <c r="N512" s="82">
        <v>27828</v>
      </c>
      <c r="O512" s="82">
        <f>514823-139145</f>
        <v>375678</v>
      </c>
      <c r="P512" s="11">
        <f>SUM(H512:O512)</f>
        <v>514823</v>
      </c>
    </row>
    <row r="513" spans="1:16" ht="14.25" customHeight="1" x14ac:dyDescent="0.25">
      <c r="A513" s="103"/>
      <c r="B513" s="105"/>
      <c r="C513" s="107"/>
      <c r="D513" s="109"/>
      <c r="E513" s="109"/>
      <c r="F513" s="43" t="s">
        <v>568</v>
      </c>
      <c r="G513" s="43" t="s">
        <v>8</v>
      </c>
      <c r="H513" s="42">
        <v>744</v>
      </c>
      <c r="I513" s="42">
        <v>12429</v>
      </c>
      <c r="J513" s="42">
        <v>18934</v>
      </c>
      <c r="K513" s="42">
        <v>16314</v>
      </c>
      <c r="L513" s="42">
        <v>15373</v>
      </c>
      <c r="M513" s="42">
        <v>14433</v>
      </c>
      <c r="N513" s="42">
        <v>13492</v>
      </c>
      <c r="O513" s="42">
        <f>181848-91719</f>
        <v>90129</v>
      </c>
      <c r="P513" s="15">
        <f t="shared" si="363"/>
        <v>181848</v>
      </c>
    </row>
    <row r="514" spans="1:16" ht="14.25" customHeight="1" x14ac:dyDescent="0.25">
      <c r="A514" s="104"/>
      <c r="B514" s="105"/>
      <c r="C514" s="107"/>
      <c r="D514" s="109"/>
      <c r="E514" s="109"/>
      <c r="F514" s="39"/>
      <c r="G514" s="12" t="s">
        <v>99</v>
      </c>
      <c r="H514" s="46">
        <f t="shared" ref="H514:O514" si="365">SUM(H512:H513)</f>
        <v>744</v>
      </c>
      <c r="I514" s="46">
        <f t="shared" si="365"/>
        <v>12429</v>
      </c>
      <c r="J514" s="46">
        <f t="shared" si="365"/>
        <v>46767</v>
      </c>
      <c r="K514" s="46">
        <f t="shared" si="365"/>
        <v>44142</v>
      </c>
      <c r="L514" s="46">
        <f t="shared" si="365"/>
        <v>43201</v>
      </c>
      <c r="M514" s="46">
        <f t="shared" si="365"/>
        <v>42261</v>
      </c>
      <c r="N514" s="46">
        <f t="shared" si="365"/>
        <v>41320</v>
      </c>
      <c r="O514" s="46">
        <f t="shared" si="365"/>
        <v>465807</v>
      </c>
      <c r="P514" s="92">
        <f t="shared" si="363"/>
        <v>696671</v>
      </c>
    </row>
    <row r="515" spans="1:16" ht="14.25" customHeight="1" x14ac:dyDescent="0.25">
      <c r="A515" s="102">
        <f t="shared" si="358"/>
        <v>170</v>
      </c>
      <c r="B515" s="105" t="s">
        <v>11</v>
      </c>
      <c r="C515" s="106" t="s">
        <v>642</v>
      </c>
      <c r="D515" s="108" t="s">
        <v>640</v>
      </c>
      <c r="E515" s="108" t="s">
        <v>643</v>
      </c>
      <c r="F515" s="10"/>
      <c r="G515" s="44" t="s">
        <v>5</v>
      </c>
      <c r="H515" s="89">
        <v>0</v>
      </c>
      <c r="I515" s="82">
        <v>7365</v>
      </c>
      <c r="J515" s="82">
        <v>14688</v>
      </c>
      <c r="K515" s="82">
        <v>14688</v>
      </c>
      <c r="L515" s="82">
        <v>14688</v>
      </c>
      <c r="M515" s="82">
        <v>14688</v>
      </c>
      <c r="N515" s="82">
        <v>14688</v>
      </c>
      <c r="O515" s="82">
        <f>7344</f>
        <v>7344</v>
      </c>
      <c r="P515" s="11">
        <f>SUM(H515:O515)</f>
        <v>88149</v>
      </c>
    </row>
    <row r="516" spans="1:16" ht="14.25" customHeight="1" x14ac:dyDescent="0.25">
      <c r="A516" s="103"/>
      <c r="B516" s="105"/>
      <c r="C516" s="107"/>
      <c r="D516" s="109"/>
      <c r="E516" s="109"/>
      <c r="F516" s="43" t="s">
        <v>568</v>
      </c>
      <c r="G516" s="43" t="s">
        <v>8</v>
      </c>
      <c r="H516" s="42">
        <v>174</v>
      </c>
      <c r="I516" s="42">
        <v>2703</v>
      </c>
      <c r="J516" s="42">
        <v>2395</v>
      </c>
      <c r="K516" s="42">
        <v>1804</v>
      </c>
      <c r="L516" s="42">
        <v>1389</v>
      </c>
      <c r="M516" s="42">
        <v>973</v>
      </c>
      <c r="N516" s="42">
        <v>557</v>
      </c>
      <c r="O516" s="42">
        <v>146</v>
      </c>
      <c r="P516" s="15">
        <f t="shared" si="363"/>
        <v>10141</v>
      </c>
    </row>
    <row r="517" spans="1:16" ht="14.25" customHeight="1" x14ac:dyDescent="0.25">
      <c r="A517" s="104"/>
      <c r="B517" s="105"/>
      <c r="C517" s="107"/>
      <c r="D517" s="109"/>
      <c r="E517" s="109"/>
      <c r="F517" s="39"/>
      <c r="G517" s="12" t="s">
        <v>99</v>
      </c>
      <c r="H517" s="46">
        <f t="shared" ref="H517:O517" si="366">SUM(H515:H516)</f>
        <v>174</v>
      </c>
      <c r="I517" s="46">
        <f t="shared" si="366"/>
        <v>10068</v>
      </c>
      <c r="J517" s="46">
        <f t="shared" si="366"/>
        <v>17083</v>
      </c>
      <c r="K517" s="46">
        <f t="shared" si="366"/>
        <v>16492</v>
      </c>
      <c r="L517" s="46">
        <f t="shared" si="366"/>
        <v>16077</v>
      </c>
      <c r="M517" s="46">
        <f t="shared" si="366"/>
        <v>15661</v>
      </c>
      <c r="N517" s="46">
        <f t="shared" si="366"/>
        <v>15245</v>
      </c>
      <c r="O517" s="46">
        <f t="shared" si="366"/>
        <v>7490</v>
      </c>
      <c r="P517" s="92">
        <f t="shared" si="363"/>
        <v>98290</v>
      </c>
    </row>
    <row r="518" spans="1:16" ht="14.25" customHeight="1" x14ac:dyDescent="0.25">
      <c r="A518" s="102">
        <f t="shared" ref="A518" si="367">A515+1</f>
        <v>171</v>
      </c>
      <c r="B518" s="105" t="s">
        <v>11</v>
      </c>
      <c r="C518" s="106" t="s">
        <v>646</v>
      </c>
      <c r="D518" s="108" t="s">
        <v>644</v>
      </c>
      <c r="E518" s="108" t="s">
        <v>645</v>
      </c>
      <c r="F518" s="10"/>
      <c r="G518" s="44" t="s">
        <v>5</v>
      </c>
      <c r="H518" s="89">
        <v>0</v>
      </c>
      <c r="I518" s="82">
        <v>3843</v>
      </c>
      <c r="J518" s="82">
        <v>15484</v>
      </c>
      <c r="K518" s="82">
        <v>15484</v>
      </c>
      <c r="L518" s="82">
        <v>15484</v>
      </c>
      <c r="M518" s="82">
        <v>15484</v>
      </c>
      <c r="N518" s="82">
        <v>15484</v>
      </c>
      <c r="O518" s="82">
        <f>209006-81263</f>
        <v>127743</v>
      </c>
      <c r="P518" s="11">
        <f>SUM(H518:O518)</f>
        <v>209006</v>
      </c>
    </row>
    <row r="519" spans="1:16" ht="14.25" customHeight="1" x14ac:dyDescent="0.25">
      <c r="A519" s="103"/>
      <c r="B519" s="105"/>
      <c r="C519" s="107"/>
      <c r="D519" s="109"/>
      <c r="E519" s="109"/>
      <c r="F519" s="43" t="s">
        <v>568</v>
      </c>
      <c r="G519" s="43" t="s">
        <v>8</v>
      </c>
      <c r="H519" s="42">
        <v>2671</v>
      </c>
      <c r="I519" s="42">
        <v>7647</v>
      </c>
      <c r="J519" s="42">
        <v>7277</v>
      </c>
      <c r="K519" s="42">
        <v>6377</v>
      </c>
      <c r="L519" s="42">
        <v>5850</v>
      </c>
      <c r="M519" s="42">
        <v>5322</v>
      </c>
      <c r="N519" s="42">
        <v>4795</v>
      </c>
      <c r="O519" s="42">
        <f>58960-39492</f>
        <v>19468</v>
      </c>
      <c r="P519" s="15">
        <f t="shared" ref="P519:P520" si="368">SUM(H519:O519)</f>
        <v>59407</v>
      </c>
    </row>
    <row r="520" spans="1:16" ht="14.25" customHeight="1" x14ac:dyDescent="0.25">
      <c r="A520" s="104"/>
      <c r="B520" s="105"/>
      <c r="C520" s="107"/>
      <c r="D520" s="109"/>
      <c r="E520" s="109"/>
      <c r="F520" s="39"/>
      <c r="G520" s="12" t="s">
        <v>99</v>
      </c>
      <c r="H520" s="46">
        <f t="shared" ref="H520:O520" si="369">SUM(H518:H519)</f>
        <v>2671</v>
      </c>
      <c r="I520" s="46">
        <f t="shared" si="369"/>
        <v>11490</v>
      </c>
      <c r="J520" s="46">
        <f t="shared" si="369"/>
        <v>22761</v>
      </c>
      <c r="K520" s="46">
        <f t="shared" si="369"/>
        <v>21861</v>
      </c>
      <c r="L520" s="46">
        <f t="shared" si="369"/>
        <v>21334</v>
      </c>
      <c r="M520" s="46">
        <f t="shared" si="369"/>
        <v>20806</v>
      </c>
      <c r="N520" s="46">
        <f t="shared" si="369"/>
        <v>20279</v>
      </c>
      <c r="O520" s="46">
        <f t="shared" si="369"/>
        <v>147211</v>
      </c>
      <c r="P520" s="92">
        <f t="shared" si="368"/>
        <v>268413</v>
      </c>
    </row>
    <row r="521" spans="1:16" ht="14.25" customHeight="1" x14ac:dyDescent="0.25">
      <c r="A521" s="102">
        <f t="shared" ref="A521" si="370">A518+1</f>
        <v>172</v>
      </c>
      <c r="B521" s="105" t="s">
        <v>11</v>
      </c>
      <c r="C521" s="106" t="s">
        <v>647</v>
      </c>
      <c r="D521" s="108" t="s">
        <v>624</v>
      </c>
      <c r="E521" s="108" t="s">
        <v>648</v>
      </c>
      <c r="F521" s="10"/>
      <c r="G521" s="44" t="s">
        <v>5</v>
      </c>
      <c r="H521" s="89">
        <v>0</v>
      </c>
      <c r="I521" s="82">
        <v>1652</v>
      </c>
      <c r="J521" s="82">
        <v>6624</v>
      </c>
      <c r="K521" s="82">
        <v>6624</v>
      </c>
      <c r="L521" s="82">
        <v>6624</v>
      </c>
      <c r="M521" s="82">
        <v>6624</v>
      </c>
      <c r="N521" s="82">
        <v>6624</v>
      </c>
      <c r="O521" s="82">
        <f>89420-34772</f>
        <v>54648</v>
      </c>
      <c r="P521" s="11">
        <f>SUM(H521:O521)</f>
        <v>89420</v>
      </c>
    </row>
    <row r="522" spans="1:16" ht="14.25" customHeight="1" x14ac:dyDescent="0.25">
      <c r="A522" s="103"/>
      <c r="B522" s="105"/>
      <c r="C522" s="107"/>
      <c r="D522" s="109"/>
      <c r="E522" s="109"/>
      <c r="F522" s="43" t="s">
        <v>568</v>
      </c>
      <c r="G522" s="43" t="s">
        <v>8</v>
      </c>
      <c r="H522" s="42">
        <v>1071</v>
      </c>
      <c r="I522" s="42">
        <v>3272</v>
      </c>
      <c r="J522" s="42">
        <v>3113</v>
      </c>
      <c r="K522" s="42">
        <v>2728</v>
      </c>
      <c r="L522" s="42">
        <v>2502</v>
      </c>
      <c r="M522" s="42">
        <v>2277</v>
      </c>
      <c r="N522" s="42">
        <v>2051</v>
      </c>
      <c r="O522" s="42">
        <f>25343-17014</f>
        <v>8329</v>
      </c>
      <c r="P522" s="15">
        <f t="shared" ref="P522:P523" si="371">SUM(H522:O522)</f>
        <v>25343</v>
      </c>
    </row>
    <row r="523" spans="1:16" ht="14.25" customHeight="1" x14ac:dyDescent="0.25">
      <c r="A523" s="104"/>
      <c r="B523" s="105"/>
      <c r="C523" s="107"/>
      <c r="D523" s="109"/>
      <c r="E523" s="109"/>
      <c r="F523" s="39"/>
      <c r="G523" s="12" t="s">
        <v>99</v>
      </c>
      <c r="H523" s="46">
        <f t="shared" ref="H523:O523" si="372">SUM(H521:H522)</f>
        <v>1071</v>
      </c>
      <c r="I523" s="46">
        <f t="shared" si="372"/>
        <v>4924</v>
      </c>
      <c r="J523" s="46">
        <f t="shared" si="372"/>
        <v>9737</v>
      </c>
      <c r="K523" s="46">
        <f t="shared" si="372"/>
        <v>9352</v>
      </c>
      <c r="L523" s="46">
        <f t="shared" si="372"/>
        <v>9126</v>
      </c>
      <c r="M523" s="46">
        <f t="shared" si="372"/>
        <v>8901</v>
      </c>
      <c r="N523" s="46">
        <f t="shared" si="372"/>
        <v>8675</v>
      </c>
      <c r="O523" s="46">
        <f t="shared" si="372"/>
        <v>62977</v>
      </c>
      <c r="P523" s="92">
        <f t="shared" si="371"/>
        <v>114763</v>
      </c>
    </row>
    <row r="524" spans="1:16" ht="14.25" customHeight="1" x14ac:dyDescent="0.25">
      <c r="A524" s="102">
        <f t="shared" ref="A524" si="373">A521+1</f>
        <v>173</v>
      </c>
      <c r="B524" s="105" t="s">
        <v>11</v>
      </c>
      <c r="C524" s="106" t="s">
        <v>649</v>
      </c>
      <c r="D524" s="108" t="s">
        <v>624</v>
      </c>
      <c r="E524" s="108" t="s">
        <v>648</v>
      </c>
      <c r="F524" s="10"/>
      <c r="G524" s="44" t="s">
        <v>5</v>
      </c>
      <c r="H524" s="89">
        <v>0</v>
      </c>
      <c r="I524" s="82">
        <v>1695</v>
      </c>
      <c r="J524" s="82">
        <v>6740</v>
      </c>
      <c r="K524" s="82">
        <v>6740</v>
      </c>
      <c r="L524" s="82">
        <v>6740</v>
      </c>
      <c r="M524" s="82">
        <v>6740</v>
      </c>
      <c r="N524" s="82">
        <v>6740</v>
      </c>
      <c r="O524" s="82">
        <f>91000-35395</f>
        <v>55605</v>
      </c>
      <c r="P524" s="11">
        <f>SUM(H524:O524)</f>
        <v>91000</v>
      </c>
    </row>
    <row r="525" spans="1:16" ht="14.25" customHeight="1" x14ac:dyDescent="0.25">
      <c r="A525" s="103"/>
      <c r="B525" s="105"/>
      <c r="C525" s="107"/>
      <c r="D525" s="109"/>
      <c r="E525" s="109"/>
      <c r="F525" s="43" t="s">
        <v>568</v>
      </c>
      <c r="G525" s="43" t="s">
        <v>8</v>
      </c>
      <c r="H525" s="42">
        <v>1081</v>
      </c>
      <c r="I525" s="42">
        <v>3330</v>
      </c>
      <c r="J525" s="42">
        <v>3168</v>
      </c>
      <c r="K525" s="42">
        <v>2776</v>
      </c>
      <c r="L525" s="42">
        <v>2546</v>
      </c>
      <c r="M525" s="42">
        <v>2317</v>
      </c>
      <c r="N525" s="42">
        <v>2087</v>
      </c>
      <c r="O525" s="42">
        <f>25779-17305</f>
        <v>8474</v>
      </c>
      <c r="P525" s="15">
        <f t="shared" ref="P525:P526" si="374">SUM(H525:O525)</f>
        <v>25779</v>
      </c>
    </row>
    <row r="526" spans="1:16" ht="14.25" customHeight="1" x14ac:dyDescent="0.25">
      <c r="A526" s="104"/>
      <c r="B526" s="105"/>
      <c r="C526" s="107"/>
      <c r="D526" s="109"/>
      <c r="E526" s="109"/>
      <c r="F526" s="39"/>
      <c r="G526" s="12" t="s">
        <v>99</v>
      </c>
      <c r="H526" s="46">
        <f t="shared" ref="H526:O526" si="375">SUM(H524:H525)</f>
        <v>1081</v>
      </c>
      <c r="I526" s="46">
        <f t="shared" si="375"/>
        <v>5025</v>
      </c>
      <c r="J526" s="46">
        <f t="shared" si="375"/>
        <v>9908</v>
      </c>
      <c r="K526" s="46">
        <f t="shared" si="375"/>
        <v>9516</v>
      </c>
      <c r="L526" s="46">
        <f t="shared" si="375"/>
        <v>9286</v>
      </c>
      <c r="M526" s="46">
        <f t="shared" si="375"/>
        <v>9057</v>
      </c>
      <c r="N526" s="46">
        <f t="shared" si="375"/>
        <v>8827</v>
      </c>
      <c r="O526" s="46">
        <f t="shared" si="375"/>
        <v>64079</v>
      </c>
      <c r="P526" s="92">
        <f t="shared" si="374"/>
        <v>116779</v>
      </c>
    </row>
    <row r="527" spans="1:16" ht="14.25" customHeight="1" x14ac:dyDescent="0.25">
      <c r="A527" s="102">
        <f t="shared" ref="A527" si="376">A524+1</f>
        <v>174</v>
      </c>
      <c r="B527" s="105" t="s">
        <v>11</v>
      </c>
      <c r="C527" s="106" t="s">
        <v>650</v>
      </c>
      <c r="D527" s="108" t="s">
        <v>651</v>
      </c>
      <c r="E527" s="108" t="s">
        <v>625</v>
      </c>
      <c r="F527" s="10"/>
      <c r="G527" s="44" t="s">
        <v>5</v>
      </c>
      <c r="H527" s="89">
        <v>0</v>
      </c>
      <c r="I527" s="82">
        <v>959</v>
      </c>
      <c r="J527" s="82">
        <v>3924</v>
      </c>
      <c r="K527" s="82">
        <v>3924</v>
      </c>
      <c r="L527" s="82">
        <v>3924</v>
      </c>
      <c r="M527" s="82">
        <v>3924</v>
      </c>
      <c r="N527" s="82">
        <v>3924</v>
      </c>
      <c r="O527" s="82">
        <f>52952-20579</f>
        <v>32373</v>
      </c>
      <c r="P527" s="11">
        <f>SUM(H527:O527)</f>
        <v>52952</v>
      </c>
    </row>
    <row r="528" spans="1:16" ht="14.25" customHeight="1" x14ac:dyDescent="0.25">
      <c r="A528" s="103"/>
      <c r="B528" s="105"/>
      <c r="C528" s="107"/>
      <c r="D528" s="109"/>
      <c r="E528" s="109"/>
      <c r="F528" s="43" t="s">
        <v>568</v>
      </c>
      <c r="G528" s="43" t="s">
        <v>8</v>
      </c>
      <c r="H528" s="42">
        <v>483</v>
      </c>
      <c r="I528" s="42">
        <v>1937</v>
      </c>
      <c r="J528" s="42">
        <v>1844</v>
      </c>
      <c r="K528" s="42">
        <v>1616</v>
      </c>
      <c r="L528" s="42">
        <v>1482</v>
      </c>
      <c r="M528" s="42">
        <v>1349</v>
      </c>
      <c r="N528" s="42">
        <v>1215</v>
      </c>
      <c r="O528" s="42">
        <f>14861-9926</f>
        <v>4935</v>
      </c>
      <c r="P528" s="15">
        <f t="shared" ref="P528:P529" si="377">SUM(H528:O528)</f>
        <v>14861</v>
      </c>
    </row>
    <row r="529" spans="1:16" ht="14.25" customHeight="1" x14ac:dyDescent="0.25">
      <c r="A529" s="104"/>
      <c r="B529" s="105"/>
      <c r="C529" s="107"/>
      <c r="D529" s="109"/>
      <c r="E529" s="109"/>
      <c r="F529" s="39"/>
      <c r="G529" s="12" t="s">
        <v>99</v>
      </c>
      <c r="H529" s="46">
        <f t="shared" ref="H529:O529" si="378">SUM(H527:H528)</f>
        <v>483</v>
      </c>
      <c r="I529" s="46">
        <f t="shared" si="378"/>
        <v>2896</v>
      </c>
      <c r="J529" s="46">
        <f t="shared" si="378"/>
        <v>5768</v>
      </c>
      <c r="K529" s="46">
        <f t="shared" si="378"/>
        <v>5540</v>
      </c>
      <c r="L529" s="46">
        <f t="shared" si="378"/>
        <v>5406</v>
      </c>
      <c r="M529" s="46">
        <f t="shared" si="378"/>
        <v>5273</v>
      </c>
      <c r="N529" s="46">
        <f t="shared" si="378"/>
        <v>5139</v>
      </c>
      <c r="O529" s="46">
        <f t="shared" si="378"/>
        <v>37308</v>
      </c>
      <c r="P529" s="92">
        <f t="shared" si="377"/>
        <v>67813</v>
      </c>
    </row>
    <row r="530" spans="1:16" ht="14.25" customHeight="1" x14ac:dyDescent="0.25">
      <c r="A530" s="102">
        <f t="shared" ref="A530" si="379">A527+1</f>
        <v>175</v>
      </c>
      <c r="B530" s="105" t="s">
        <v>11</v>
      </c>
      <c r="C530" s="106" t="s">
        <v>652</v>
      </c>
      <c r="D530" s="108" t="s">
        <v>651</v>
      </c>
      <c r="E530" s="108" t="s">
        <v>625</v>
      </c>
      <c r="F530" s="10"/>
      <c r="G530" s="44" t="s">
        <v>5</v>
      </c>
      <c r="H530" s="89">
        <v>0</v>
      </c>
      <c r="I530" s="82">
        <v>19246</v>
      </c>
      <c r="J530" s="82">
        <v>77024</v>
      </c>
      <c r="K530" s="82">
        <v>77024</v>
      </c>
      <c r="L530" s="82">
        <v>77024</v>
      </c>
      <c r="M530" s="82">
        <v>77024</v>
      </c>
      <c r="N530" s="82">
        <v>77024</v>
      </c>
      <c r="O530" s="82">
        <f>1039814-404366</f>
        <v>635448</v>
      </c>
      <c r="P530" s="11">
        <f>SUM(H530:O530)</f>
        <v>1039814</v>
      </c>
    </row>
    <row r="531" spans="1:16" ht="14.25" customHeight="1" x14ac:dyDescent="0.25">
      <c r="A531" s="103"/>
      <c r="B531" s="105"/>
      <c r="C531" s="107"/>
      <c r="D531" s="109"/>
      <c r="E531" s="109"/>
      <c r="F531" s="43" t="s">
        <v>568</v>
      </c>
      <c r="G531" s="43" t="s">
        <v>8</v>
      </c>
      <c r="H531" s="42">
        <v>5133</v>
      </c>
      <c r="I531" s="42">
        <v>35647</v>
      </c>
      <c r="J531" s="42">
        <v>36201</v>
      </c>
      <c r="K531" s="42">
        <v>31722</v>
      </c>
      <c r="L531" s="42">
        <v>29099</v>
      </c>
      <c r="M531" s="42">
        <v>26476</v>
      </c>
      <c r="N531" s="42">
        <v>23853</v>
      </c>
      <c r="O531" s="42">
        <f>284970-188131</f>
        <v>96839</v>
      </c>
      <c r="P531" s="15">
        <f t="shared" ref="P531:P532" si="380">SUM(H531:O531)</f>
        <v>284970</v>
      </c>
    </row>
    <row r="532" spans="1:16" ht="14.25" customHeight="1" x14ac:dyDescent="0.25">
      <c r="A532" s="104"/>
      <c r="B532" s="105"/>
      <c r="C532" s="107"/>
      <c r="D532" s="109"/>
      <c r="E532" s="109"/>
      <c r="F532" s="39"/>
      <c r="G532" s="12" t="s">
        <v>99</v>
      </c>
      <c r="H532" s="46">
        <f t="shared" ref="H532:O532" si="381">SUM(H530:H531)</f>
        <v>5133</v>
      </c>
      <c r="I532" s="46">
        <f t="shared" si="381"/>
        <v>54893</v>
      </c>
      <c r="J532" s="46">
        <f t="shared" si="381"/>
        <v>113225</v>
      </c>
      <c r="K532" s="46">
        <f t="shared" si="381"/>
        <v>108746</v>
      </c>
      <c r="L532" s="46">
        <f t="shared" si="381"/>
        <v>106123</v>
      </c>
      <c r="M532" s="46">
        <f t="shared" si="381"/>
        <v>103500</v>
      </c>
      <c r="N532" s="46">
        <f t="shared" si="381"/>
        <v>100877</v>
      </c>
      <c r="O532" s="46">
        <f t="shared" si="381"/>
        <v>732287</v>
      </c>
      <c r="P532" s="92">
        <f t="shared" si="380"/>
        <v>1324784</v>
      </c>
    </row>
    <row r="533" spans="1:16" ht="14.25" customHeight="1" x14ac:dyDescent="0.25">
      <c r="A533" s="102">
        <f t="shared" ref="A533" si="382">A530+1</f>
        <v>176</v>
      </c>
      <c r="B533" s="105" t="s">
        <v>11</v>
      </c>
      <c r="C533" s="106" t="s">
        <v>653</v>
      </c>
      <c r="D533" s="108" t="s">
        <v>651</v>
      </c>
      <c r="E533" s="108" t="s">
        <v>625</v>
      </c>
      <c r="F533" s="10"/>
      <c r="G533" s="44" t="s">
        <v>5</v>
      </c>
      <c r="H533" s="89">
        <v>0</v>
      </c>
      <c r="I533" s="82">
        <v>1287</v>
      </c>
      <c r="J533" s="82">
        <v>5196</v>
      </c>
      <c r="K533" s="82">
        <v>5196</v>
      </c>
      <c r="L533" s="82">
        <v>5196</v>
      </c>
      <c r="M533" s="82">
        <v>5196</v>
      </c>
      <c r="N533" s="82">
        <v>5196</v>
      </c>
      <c r="O533" s="82">
        <f>70134-27267</f>
        <v>42867</v>
      </c>
      <c r="P533" s="11">
        <f>SUM(H533:O533)</f>
        <v>70134</v>
      </c>
    </row>
    <row r="534" spans="1:16" ht="14.25" customHeight="1" x14ac:dyDescent="0.25">
      <c r="A534" s="103"/>
      <c r="B534" s="105"/>
      <c r="C534" s="107"/>
      <c r="D534" s="109"/>
      <c r="E534" s="109"/>
      <c r="F534" s="43" t="s">
        <v>568</v>
      </c>
      <c r="G534" s="43" t="s">
        <v>8</v>
      </c>
      <c r="H534" s="42">
        <v>535</v>
      </c>
      <c r="I534" s="42">
        <v>2566</v>
      </c>
      <c r="J534" s="42">
        <v>2442</v>
      </c>
      <c r="K534" s="42">
        <v>2140</v>
      </c>
      <c r="L534" s="42">
        <v>1963</v>
      </c>
      <c r="M534" s="42">
        <v>1786</v>
      </c>
      <c r="N534" s="42">
        <v>1609</v>
      </c>
      <c r="O534" s="42">
        <f>19574-13041</f>
        <v>6533</v>
      </c>
      <c r="P534" s="15">
        <f t="shared" ref="P534:P535" si="383">SUM(H534:O534)</f>
        <v>19574</v>
      </c>
    </row>
    <row r="535" spans="1:16" ht="14.25" customHeight="1" x14ac:dyDescent="0.25">
      <c r="A535" s="104"/>
      <c r="B535" s="105"/>
      <c r="C535" s="107"/>
      <c r="D535" s="109"/>
      <c r="E535" s="109"/>
      <c r="F535" s="39"/>
      <c r="G535" s="12" t="s">
        <v>99</v>
      </c>
      <c r="H535" s="46">
        <f t="shared" ref="H535:O535" si="384">SUM(H533:H534)</f>
        <v>535</v>
      </c>
      <c r="I535" s="46">
        <f t="shared" si="384"/>
        <v>3853</v>
      </c>
      <c r="J535" s="46">
        <f t="shared" si="384"/>
        <v>7638</v>
      </c>
      <c r="K535" s="46">
        <f t="shared" si="384"/>
        <v>7336</v>
      </c>
      <c r="L535" s="46">
        <f t="shared" si="384"/>
        <v>7159</v>
      </c>
      <c r="M535" s="46">
        <f t="shared" si="384"/>
        <v>6982</v>
      </c>
      <c r="N535" s="46">
        <f t="shared" si="384"/>
        <v>6805</v>
      </c>
      <c r="O535" s="46">
        <f t="shared" si="384"/>
        <v>49400</v>
      </c>
      <c r="P535" s="92">
        <f t="shared" si="383"/>
        <v>89708</v>
      </c>
    </row>
    <row r="536" spans="1:16" ht="14.25" customHeight="1" x14ac:dyDescent="0.25">
      <c r="A536" s="102">
        <f t="shared" ref="A536" si="385">A533+1</f>
        <v>177</v>
      </c>
      <c r="B536" s="105" t="s">
        <v>11</v>
      </c>
      <c r="C536" s="106" t="s">
        <v>654</v>
      </c>
      <c r="D536" s="108" t="s">
        <v>624</v>
      </c>
      <c r="E536" s="108" t="s">
        <v>648</v>
      </c>
      <c r="F536" s="10"/>
      <c r="G536" s="44" t="s">
        <v>5</v>
      </c>
      <c r="H536" s="89">
        <v>0</v>
      </c>
      <c r="I536" s="82">
        <v>4008</v>
      </c>
      <c r="J536" s="82">
        <v>16056</v>
      </c>
      <c r="K536" s="82">
        <v>16056</v>
      </c>
      <c r="L536" s="82">
        <v>16056</v>
      </c>
      <c r="M536" s="82">
        <v>16056</v>
      </c>
      <c r="N536" s="82">
        <v>16056</v>
      </c>
      <c r="O536" s="82">
        <f>216750-84288</f>
        <v>132462</v>
      </c>
      <c r="P536" s="11">
        <f>SUM(H536:O536)</f>
        <v>216750</v>
      </c>
    </row>
    <row r="537" spans="1:16" ht="14.25" customHeight="1" x14ac:dyDescent="0.25">
      <c r="A537" s="103"/>
      <c r="B537" s="105"/>
      <c r="C537" s="107"/>
      <c r="D537" s="109"/>
      <c r="E537" s="109"/>
      <c r="F537" s="43" t="s">
        <v>568</v>
      </c>
      <c r="G537" s="43" t="s">
        <v>8</v>
      </c>
      <c r="H537" s="42">
        <v>1827</v>
      </c>
      <c r="I537" s="42">
        <v>7931</v>
      </c>
      <c r="J537" s="42">
        <v>7546</v>
      </c>
      <c r="K537" s="42">
        <v>6613</v>
      </c>
      <c r="L537" s="42">
        <v>6066</v>
      </c>
      <c r="M537" s="42">
        <v>5519</v>
      </c>
      <c r="N537" s="42">
        <v>4972</v>
      </c>
      <c r="O537" s="42">
        <f>60660-40474</f>
        <v>20186</v>
      </c>
      <c r="P537" s="15">
        <f t="shared" ref="P537:P538" si="386">SUM(H537:O537)</f>
        <v>60660</v>
      </c>
    </row>
    <row r="538" spans="1:16" ht="14.25" customHeight="1" x14ac:dyDescent="0.25">
      <c r="A538" s="104"/>
      <c r="B538" s="105"/>
      <c r="C538" s="107"/>
      <c r="D538" s="109"/>
      <c r="E538" s="109"/>
      <c r="F538" s="39"/>
      <c r="G538" s="12" t="s">
        <v>99</v>
      </c>
      <c r="H538" s="46">
        <f t="shared" ref="H538:O538" si="387">SUM(H536:H537)</f>
        <v>1827</v>
      </c>
      <c r="I538" s="46">
        <f t="shared" si="387"/>
        <v>11939</v>
      </c>
      <c r="J538" s="46">
        <f t="shared" si="387"/>
        <v>23602</v>
      </c>
      <c r="K538" s="46">
        <f t="shared" si="387"/>
        <v>22669</v>
      </c>
      <c r="L538" s="46">
        <f t="shared" si="387"/>
        <v>22122</v>
      </c>
      <c r="M538" s="46">
        <f t="shared" si="387"/>
        <v>21575</v>
      </c>
      <c r="N538" s="46">
        <f t="shared" si="387"/>
        <v>21028</v>
      </c>
      <c r="O538" s="46">
        <f t="shared" si="387"/>
        <v>152648</v>
      </c>
      <c r="P538" s="92">
        <f t="shared" si="386"/>
        <v>277410</v>
      </c>
    </row>
    <row r="539" spans="1:16" ht="14.25" customHeight="1" x14ac:dyDescent="0.25">
      <c r="A539" s="102">
        <f t="shared" ref="A539" si="388">A536+1</f>
        <v>178</v>
      </c>
      <c r="B539" s="105" t="s">
        <v>11</v>
      </c>
      <c r="C539" s="106" t="s">
        <v>655</v>
      </c>
      <c r="D539" s="108" t="s">
        <v>651</v>
      </c>
      <c r="E539" s="108" t="s">
        <v>625</v>
      </c>
      <c r="F539" s="10"/>
      <c r="G539" s="44" t="s">
        <v>5</v>
      </c>
      <c r="H539" s="89">
        <v>0</v>
      </c>
      <c r="I539" s="82">
        <v>2449</v>
      </c>
      <c r="J539" s="82">
        <v>9832</v>
      </c>
      <c r="K539" s="82">
        <v>9832</v>
      </c>
      <c r="L539" s="82">
        <v>9832</v>
      </c>
      <c r="M539" s="82">
        <v>9832</v>
      </c>
      <c r="N539" s="82">
        <v>9832</v>
      </c>
      <c r="O539" s="82">
        <f>132723-51609</f>
        <v>81114</v>
      </c>
      <c r="P539" s="11">
        <f>SUM(H539:O539)</f>
        <v>132723</v>
      </c>
    </row>
    <row r="540" spans="1:16" ht="14.25" customHeight="1" x14ac:dyDescent="0.25">
      <c r="A540" s="103"/>
      <c r="B540" s="105"/>
      <c r="C540" s="107"/>
      <c r="D540" s="109"/>
      <c r="E540" s="109"/>
      <c r="F540" s="43" t="s">
        <v>568</v>
      </c>
      <c r="G540" s="43" t="s">
        <v>8</v>
      </c>
      <c r="H540" s="42">
        <v>727</v>
      </c>
      <c r="I540" s="42">
        <v>4808</v>
      </c>
      <c r="J540" s="42">
        <v>4621</v>
      </c>
      <c r="K540" s="42">
        <v>4049</v>
      </c>
      <c r="L540" s="42">
        <v>3714</v>
      </c>
      <c r="M540" s="42">
        <v>3380</v>
      </c>
      <c r="N540" s="42">
        <v>3045</v>
      </c>
      <c r="O540" s="42">
        <f>36705-24344</f>
        <v>12361</v>
      </c>
      <c r="P540" s="15">
        <f t="shared" ref="P540:P541" si="389">SUM(H540:O540)</f>
        <v>36705</v>
      </c>
    </row>
    <row r="541" spans="1:16" ht="14.25" customHeight="1" x14ac:dyDescent="0.25">
      <c r="A541" s="104"/>
      <c r="B541" s="105"/>
      <c r="C541" s="107"/>
      <c r="D541" s="109"/>
      <c r="E541" s="109"/>
      <c r="F541" s="39"/>
      <c r="G541" s="12" t="s">
        <v>99</v>
      </c>
      <c r="H541" s="46">
        <f t="shared" ref="H541:O541" si="390">SUM(H539:H540)</f>
        <v>727</v>
      </c>
      <c r="I541" s="46">
        <f t="shared" si="390"/>
        <v>7257</v>
      </c>
      <c r="J541" s="46">
        <f t="shared" si="390"/>
        <v>14453</v>
      </c>
      <c r="K541" s="46">
        <f t="shared" si="390"/>
        <v>13881</v>
      </c>
      <c r="L541" s="46">
        <f t="shared" si="390"/>
        <v>13546</v>
      </c>
      <c r="M541" s="46">
        <f t="shared" si="390"/>
        <v>13212</v>
      </c>
      <c r="N541" s="46">
        <f t="shared" si="390"/>
        <v>12877</v>
      </c>
      <c r="O541" s="46">
        <f t="shared" si="390"/>
        <v>93475</v>
      </c>
      <c r="P541" s="92">
        <f t="shared" si="389"/>
        <v>169428</v>
      </c>
    </row>
    <row r="542" spans="1:16" ht="14.25" customHeight="1" x14ac:dyDescent="0.25">
      <c r="A542" s="102">
        <f t="shared" ref="A542" si="391">A539+1</f>
        <v>179</v>
      </c>
      <c r="B542" s="105" t="s">
        <v>11</v>
      </c>
      <c r="C542" s="106" t="s">
        <v>656</v>
      </c>
      <c r="D542" s="108" t="s">
        <v>651</v>
      </c>
      <c r="E542" s="108" t="s">
        <v>625</v>
      </c>
      <c r="F542" s="10"/>
      <c r="G542" s="44" t="s">
        <v>5</v>
      </c>
      <c r="H542" s="89">
        <v>0</v>
      </c>
      <c r="I542" s="82">
        <v>2233</v>
      </c>
      <c r="J542" s="82">
        <v>8992</v>
      </c>
      <c r="K542" s="82">
        <v>8992</v>
      </c>
      <c r="L542" s="82">
        <v>8992</v>
      </c>
      <c r="M542" s="82">
        <v>8992</v>
      </c>
      <c r="N542" s="82">
        <v>8992</v>
      </c>
      <c r="O542" s="82">
        <f>121377-47193</f>
        <v>74184</v>
      </c>
      <c r="P542" s="11">
        <f>SUM(H542:O542)</f>
        <v>121377</v>
      </c>
    </row>
    <row r="543" spans="1:16" ht="14.25" customHeight="1" x14ac:dyDescent="0.25">
      <c r="A543" s="103"/>
      <c r="B543" s="105"/>
      <c r="C543" s="107"/>
      <c r="D543" s="109"/>
      <c r="E543" s="109"/>
      <c r="F543" s="43" t="s">
        <v>568</v>
      </c>
      <c r="G543" s="43" t="s">
        <v>8</v>
      </c>
      <c r="H543" s="42">
        <v>666</v>
      </c>
      <c r="I543" s="42">
        <v>4397</v>
      </c>
      <c r="J543" s="42">
        <v>4226</v>
      </c>
      <c r="K543" s="42">
        <v>3703</v>
      </c>
      <c r="L543" s="42">
        <v>3397</v>
      </c>
      <c r="M543" s="42">
        <v>3091</v>
      </c>
      <c r="N543" s="42">
        <v>2785</v>
      </c>
      <c r="O543" s="42">
        <f>33570-22265</f>
        <v>11305</v>
      </c>
      <c r="P543" s="15">
        <f t="shared" ref="P543:P544" si="392">SUM(H543:O543)</f>
        <v>33570</v>
      </c>
    </row>
    <row r="544" spans="1:16" ht="14.25" customHeight="1" x14ac:dyDescent="0.25">
      <c r="A544" s="104"/>
      <c r="B544" s="105"/>
      <c r="C544" s="107"/>
      <c r="D544" s="109"/>
      <c r="E544" s="109"/>
      <c r="F544" s="39"/>
      <c r="G544" s="12" t="s">
        <v>99</v>
      </c>
      <c r="H544" s="46">
        <f t="shared" ref="H544:O544" si="393">SUM(H542:H543)</f>
        <v>666</v>
      </c>
      <c r="I544" s="46">
        <f t="shared" si="393"/>
        <v>6630</v>
      </c>
      <c r="J544" s="46">
        <f t="shared" si="393"/>
        <v>13218</v>
      </c>
      <c r="K544" s="46">
        <f t="shared" si="393"/>
        <v>12695</v>
      </c>
      <c r="L544" s="46">
        <f t="shared" si="393"/>
        <v>12389</v>
      </c>
      <c r="M544" s="46">
        <f t="shared" si="393"/>
        <v>12083</v>
      </c>
      <c r="N544" s="46">
        <f t="shared" si="393"/>
        <v>11777</v>
      </c>
      <c r="O544" s="46">
        <f t="shared" si="393"/>
        <v>85489</v>
      </c>
      <c r="P544" s="92">
        <f t="shared" si="392"/>
        <v>154947</v>
      </c>
    </row>
    <row r="545" spans="1:16" ht="14.25" hidden="1" customHeight="1" outlineLevel="1" x14ac:dyDescent="0.25">
      <c r="A545" s="109"/>
      <c r="B545" s="105" t="s">
        <v>11</v>
      </c>
      <c r="C545" s="106"/>
      <c r="D545" s="108"/>
      <c r="E545" s="108"/>
      <c r="F545" s="10"/>
      <c r="G545" s="44" t="s">
        <v>5</v>
      </c>
      <c r="H545" s="89"/>
      <c r="I545" s="82"/>
      <c r="J545" s="82"/>
      <c r="K545" s="82"/>
      <c r="L545" s="82"/>
      <c r="M545" s="82"/>
      <c r="N545" s="82"/>
      <c r="O545" s="82"/>
      <c r="P545" s="11">
        <f>SUM(H545:O545)</f>
        <v>0</v>
      </c>
    </row>
    <row r="546" spans="1:16" ht="14.25" hidden="1" customHeight="1" outlineLevel="1" x14ac:dyDescent="0.25">
      <c r="A546" s="109"/>
      <c r="B546" s="105"/>
      <c r="C546" s="107"/>
      <c r="D546" s="109"/>
      <c r="E546" s="109"/>
      <c r="F546" s="43" t="s">
        <v>568</v>
      </c>
      <c r="G546" s="43" t="s">
        <v>8</v>
      </c>
      <c r="H546" s="42"/>
      <c r="I546" s="42"/>
      <c r="J546" s="42"/>
      <c r="K546" s="42"/>
      <c r="L546" s="42"/>
      <c r="M546" s="42"/>
      <c r="N546" s="42"/>
      <c r="O546" s="42"/>
      <c r="P546" s="15">
        <f t="shared" si="363"/>
        <v>0</v>
      </c>
    </row>
    <row r="547" spans="1:16" ht="14.25" hidden="1" customHeight="1" outlineLevel="1" x14ac:dyDescent="0.25">
      <c r="A547" s="109"/>
      <c r="B547" s="105"/>
      <c r="C547" s="107"/>
      <c r="D547" s="109"/>
      <c r="E547" s="109"/>
      <c r="F547" s="39"/>
      <c r="G547" s="12" t="s">
        <v>99</v>
      </c>
      <c r="H547" s="46">
        <f t="shared" ref="H547:O547" si="394">SUM(H545:H546)</f>
        <v>0</v>
      </c>
      <c r="I547" s="46">
        <f t="shared" si="394"/>
        <v>0</v>
      </c>
      <c r="J547" s="46">
        <f t="shared" si="394"/>
        <v>0</v>
      </c>
      <c r="K547" s="46">
        <f t="shared" si="394"/>
        <v>0</v>
      </c>
      <c r="L547" s="46">
        <f t="shared" si="394"/>
        <v>0</v>
      </c>
      <c r="M547" s="46">
        <f t="shared" si="394"/>
        <v>0</v>
      </c>
      <c r="N547" s="46">
        <f t="shared" si="394"/>
        <v>0</v>
      </c>
      <c r="O547" s="46">
        <f t="shared" si="394"/>
        <v>0</v>
      </c>
      <c r="P547" s="92">
        <f t="shared" si="363"/>
        <v>0</v>
      </c>
    </row>
    <row r="548" spans="1:16" ht="13.5" customHeight="1" collapsed="1" x14ac:dyDescent="0.25">
      <c r="A548" s="169"/>
      <c r="B548" s="170" t="s">
        <v>3</v>
      </c>
      <c r="C548" s="171" t="s">
        <v>437</v>
      </c>
      <c r="D548" s="170" t="s">
        <v>3</v>
      </c>
      <c r="E548" s="170" t="s">
        <v>3</v>
      </c>
      <c r="F548" s="170" t="s">
        <v>3</v>
      </c>
      <c r="G548" s="24" t="s">
        <v>5</v>
      </c>
      <c r="H548" s="34">
        <f>H8+H11+H14+H17+H20+H23+H26+H29+H32+H35+H38+H41+H44+H47+H50+H53+H56+H59+H62+H65+H68+H71+H74+H77+H80+H83+H86+H89+H92+H95+H98+H101+H104+H107+H110+H113+H116+H119+H122+H125+H128+H131+H134+H137+H140+H143+H146+H149+H152+H155+H158+H161+H164+H167+H170+H173+H176+H179+H182+H185+H188+H191+H194+H197+H200+H203+H206+H209+H212+H215+H218+H221+H224+H227+H230+H233+H236+H239+H242+H245+H248+H251+H254+H257+H260+H263+H266+H269+H272+H275+H278+H281+H284+H287+H290+H293+H296+H299+H302+H305+H308+H311+H314+H317+H320+H323+H326+H329+H332+H335+H338+H341+H344+H347+H350+H353+H356+H359+H362+H365+H368+H371+H374+H377+H380+H383+H386+H389+H392+H395+H398+H401+H404+H407+H410+H413+H416+H419+H422+H425+H428+H431+H434+H437+H440+H443+H446+H449+H452+H455+H458+H461+H464+H467+H470+H473+H476+H479+H482+H485+H488+H491+H494+H497+H500+H503+H506+H509+H512+H515+H518+H521+H524+H527+H530+H533+H536+H539+H542+H545</f>
        <v>3706511</v>
      </c>
      <c r="I548" s="34">
        <f t="shared" ref="I548:P548" si="395">I8+I11+I14+I17+I20+I23+I26+I29+I32+I35+I38+I41+I44+I47+I50+I53+I56+I59+I62+I65+I68+I71+I74+I77+I80+I83+I86+I89+I92+I95+I98+I101+I104+I107+I110+I113+I116+I119+I122+I125+I128+I131+I134+I137+I140+I143+I146+I149+I152+I155+I158+I161+I164+I167+I170+I173+I176+I179+I182+I185+I188+I191+I194+I197+I200+I203+I206+I209+I212+I215+I218+I221+I224+I227+I230+I233+I236+I239+I242+I245+I248+I251+I254+I257+I260+I263+I266+I269+I272+I275+I278+I281+I284+I287+I290+I293+I296+I299+I302+I305+I308+I311+I314+I317+I320+I323+I326+I329+I332+I335+I338+I341+I344+I347+I350+I353+I356+I359+I362+I365+I368+I371+I374+I377+I380+I383+I386+I389+I392+I395+I398+I401+I404+I407+I410+I413+I416+I419+I422+I425+I428+I431+I434+I437+I440+I443+I446+I449+I452+I455+I458+I461+I464+I467+I470+I473+I476+I479+I482+I485+I488+I491+I494+I497+I500+I503+I506+I509+I512+I515+I518+I521+I524+I527+I530+I533+I536+I539+I542+I545</f>
        <v>6336718</v>
      </c>
      <c r="J548" s="34">
        <f t="shared" si="395"/>
        <v>6461583</v>
      </c>
      <c r="K548" s="34">
        <f t="shared" si="395"/>
        <v>5555161</v>
      </c>
      <c r="L548" s="34">
        <f t="shared" si="395"/>
        <v>5160722</v>
      </c>
      <c r="M548" s="34">
        <f t="shared" si="395"/>
        <v>5026807</v>
      </c>
      <c r="N548" s="34">
        <f t="shared" si="395"/>
        <v>4927610</v>
      </c>
      <c r="O548" s="34">
        <f t="shared" si="395"/>
        <v>55760501.450000003</v>
      </c>
      <c r="P548" s="34">
        <f t="shared" si="395"/>
        <v>92935613.450000003</v>
      </c>
    </row>
    <row r="549" spans="1:16" ht="13.5" customHeight="1" x14ac:dyDescent="0.25">
      <c r="A549" s="169"/>
      <c r="B549" s="105"/>
      <c r="C549" s="171"/>
      <c r="D549" s="105"/>
      <c r="E549" s="105"/>
      <c r="F549" s="170"/>
      <c r="G549" s="25" t="s">
        <v>8</v>
      </c>
      <c r="H549" s="34">
        <f t="shared" ref="H549:P550" si="396">H9+H12+H15+H18+H21+H24+H27+H30+H33+H36+H39+H42+H45+H48+H51+H54+H57+H60+H63+H66+H69+H72+H75+H78+H81+H84+H87+H90+H93+H96+H99+H102+H105+H108+H111+H114+H117+H120+H123+H126+H129+H132+H135+H138+H141+H144+H147+H150+H153+H156+H159+H162+H165+H168+H171+H174+H177+H180+H183+H186+H189+H192+H195+H198+H201+H204+H207+H210+H213+H216+H219+H222+H225+H228+H231+H234+H237+H240+H243+H246+H249+H252+H255+H258+H261+H264+H267+H270+H273+H276+H279+H282+H285+H288+H291+H294+H297+H300+H303+H306+H309+H312+H315+H318+H321+H324+H327+H330+H333+H336+H339+H342+H345+H348+H351+H354+H357+H360+H363+H366+H369+H372+H375+H378+H381+H384+H387+H390+H393+H396+H399+H402+H405+H408+H411+H414+H417+H420+H423+H426+H429+H432+H435+H438+H441+H444+H447+H450+H453+H456+H459+H462+H465+H468+H471+H474+H477+H480+H483+H486+H489+H492+H495+H498+H501+H504+H507+H510+H513+H516+H519+H522+H525+H528+H531+H534+H537+H540+H543+H546</f>
        <v>2936337</v>
      </c>
      <c r="I549" s="34">
        <f t="shared" si="396"/>
        <v>3110466</v>
      </c>
      <c r="J549" s="34">
        <f t="shared" si="396"/>
        <v>2919458</v>
      </c>
      <c r="K549" s="34">
        <f t="shared" si="396"/>
        <v>2688151</v>
      </c>
      <c r="L549" s="34">
        <f t="shared" si="396"/>
        <v>2498078</v>
      </c>
      <c r="M549" s="34">
        <f t="shared" si="396"/>
        <v>2321245</v>
      </c>
      <c r="N549" s="34">
        <f t="shared" si="396"/>
        <v>2148659</v>
      </c>
      <c r="O549" s="34">
        <f t="shared" si="396"/>
        <v>15503008</v>
      </c>
      <c r="P549" s="34">
        <f t="shared" si="396"/>
        <v>34125402</v>
      </c>
    </row>
    <row r="550" spans="1:16" ht="15" customHeight="1" x14ac:dyDescent="0.25">
      <c r="A550" s="169"/>
      <c r="B550" s="105"/>
      <c r="C550" s="171"/>
      <c r="D550" s="105"/>
      <c r="E550" s="105"/>
      <c r="F550" s="170"/>
      <c r="G550" s="26" t="s">
        <v>438</v>
      </c>
      <c r="H550" s="8">
        <f t="shared" si="396"/>
        <v>6642848</v>
      </c>
      <c r="I550" s="8">
        <f t="shared" si="396"/>
        <v>9447184</v>
      </c>
      <c r="J550" s="8">
        <f t="shared" si="396"/>
        <v>9381041</v>
      </c>
      <c r="K550" s="8">
        <f t="shared" si="396"/>
        <v>8243312</v>
      </c>
      <c r="L550" s="8">
        <f t="shared" si="396"/>
        <v>7658800</v>
      </c>
      <c r="M550" s="8">
        <f t="shared" si="396"/>
        <v>7348052</v>
      </c>
      <c r="N550" s="8">
        <f t="shared" si="396"/>
        <v>7076269</v>
      </c>
      <c r="O550" s="8">
        <f t="shared" si="396"/>
        <v>71263509.450000003</v>
      </c>
      <c r="P550" s="8">
        <f t="shared" si="396"/>
        <v>127061015.45</v>
      </c>
    </row>
    <row r="551" spans="1:16" ht="16.5" hidden="1" customHeight="1" outlineLevel="1" x14ac:dyDescent="0.25">
      <c r="A551" s="27"/>
      <c r="B551" s="3"/>
      <c r="C551" s="56"/>
      <c r="D551" s="50"/>
      <c r="E551" s="50"/>
      <c r="F551" s="50"/>
      <c r="G551" s="51"/>
      <c r="H551" s="52"/>
      <c r="I551" s="52"/>
      <c r="J551" s="52"/>
      <c r="K551" s="52"/>
      <c r="L551" s="52"/>
      <c r="M551" s="52"/>
      <c r="N551" s="52"/>
      <c r="O551" s="52"/>
      <c r="P551" s="52"/>
    </row>
    <row r="552" spans="1:16" ht="13.8" collapsed="1" x14ac:dyDescent="0.25">
      <c r="A552" s="161" t="s">
        <v>4</v>
      </c>
      <c r="B552" s="162"/>
      <c r="C552" s="162"/>
      <c r="D552" s="162"/>
      <c r="E552" s="162"/>
      <c r="F552" s="162"/>
      <c r="G552" s="162"/>
      <c r="H552" s="162"/>
      <c r="I552" s="162"/>
      <c r="J552" s="162"/>
      <c r="K552" s="162"/>
      <c r="L552" s="162"/>
      <c r="M552" s="162"/>
      <c r="N552" s="162"/>
      <c r="O552" s="162"/>
      <c r="P552" s="162"/>
    </row>
    <row r="553" spans="1:16" x14ac:dyDescent="0.25">
      <c r="A553" s="6">
        <v>1</v>
      </c>
      <c r="B553" s="6">
        <v>2</v>
      </c>
      <c r="C553" s="6">
        <v>3</v>
      </c>
      <c r="D553" s="6">
        <v>4</v>
      </c>
      <c r="E553" s="6">
        <v>5</v>
      </c>
      <c r="F553" s="19">
        <v>6</v>
      </c>
      <c r="G553" s="19">
        <v>7</v>
      </c>
      <c r="H553" s="19">
        <v>11</v>
      </c>
      <c r="I553" s="19">
        <v>12</v>
      </c>
      <c r="J553" s="19">
        <v>13</v>
      </c>
      <c r="K553" s="19">
        <v>14</v>
      </c>
      <c r="L553" s="19">
        <v>15</v>
      </c>
      <c r="M553" s="19"/>
      <c r="N553" s="19"/>
      <c r="O553" s="19">
        <v>16</v>
      </c>
      <c r="P553" s="19">
        <v>17</v>
      </c>
    </row>
    <row r="554" spans="1:16" ht="17.25" customHeight="1" x14ac:dyDescent="0.25">
      <c r="A554" s="102">
        <v>1</v>
      </c>
      <c r="B554" s="134" t="s">
        <v>11</v>
      </c>
      <c r="C554" s="163" t="s">
        <v>681</v>
      </c>
      <c r="D554" s="125" t="s">
        <v>441</v>
      </c>
      <c r="E554" s="166" t="s">
        <v>130</v>
      </c>
      <c r="F554" s="152" t="s">
        <v>529</v>
      </c>
      <c r="G554" s="10" t="s">
        <v>5</v>
      </c>
      <c r="H554" s="58">
        <v>10968</v>
      </c>
      <c r="I554" s="58">
        <v>10968</v>
      </c>
      <c r="J554" s="65">
        <v>7850</v>
      </c>
      <c r="K554" s="86">
        <v>0</v>
      </c>
      <c r="L554" s="84">
        <v>0</v>
      </c>
      <c r="M554" s="84">
        <v>0</v>
      </c>
      <c r="N554" s="84">
        <v>0</v>
      </c>
      <c r="O554" s="85">
        <v>0</v>
      </c>
      <c r="P554" s="97">
        <f t="shared" ref="P554:P574" si="397">SUM(H554:O554)</f>
        <v>29786</v>
      </c>
    </row>
    <row r="555" spans="1:16" ht="17.25" customHeight="1" x14ac:dyDescent="0.25">
      <c r="A555" s="103"/>
      <c r="B555" s="135"/>
      <c r="C555" s="164"/>
      <c r="D555" s="126"/>
      <c r="E555" s="167"/>
      <c r="F555" s="153"/>
      <c r="G555" s="14" t="s">
        <v>8</v>
      </c>
      <c r="H555" s="60">
        <f>1108+164-80</f>
        <v>1192</v>
      </c>
      <c r="I555" s="60">
        <f>1056-355</f>
        <v>701</v>
      </c>
      <c r="J555" s="66">
        <f>177+50</f>
        <v>227</v>
      </c>
      <c r="K555" s="87">
        <v>0</v>
      </c>
      <c r="L555" s="88">
        <v>0</v>
      </c>
      <c r="M555" s="88">
        <v>0</v>
      </c>
      <c r="N555" s="88">
        <v>0</v>
      </c>
      <c r="O555" s="87">
        <v>0</v>
      </c>
      <c r="P555" s="97">
        <f t="shared" si="397"/>
        <v>2120</v>
      </c>
    </row>
    <row r="556" spans="1:16" x14ac:dyDescent="0.25">
      <c r="A556" s="104"/>
      <c r="B556" s="136"/>
      <c r="C556" s="165"/>
      <c r="D556" s="127"/>
      <c r="E556" s="168"/>
      <c r="F556" s="154"/>
      <c r="G556" s="12" t="s">
        <v>99</v>
      </c>
      <c r="H556" s="61">
        <f t="shared" ref="H556:O556" si="398">SUM(H554:H555)</f>
        <v>12160</v>
      </c>
      <c r="I556" s="61">
        <f t="shared" si="398"/>
        <v>11669</v>
      </c>
      <c r="J556" s="61">
        <f t="shared" si="398"/>
        <v>8077</v>
      </c>
      <c r="K556" s="61">
        <f t="shared" si="398"/>
        <v>0</v>
      </c>
      <c r="L556" s="61">
        <f t="shared" si="398"/>
        <v>0</v>
      </c>
      <c r="M556" s="61">
        <f t="shared" si="398"/>
        <v>0</v>
      </c>
      <c r="N556" s="61">
        <f t="shared" si="398"/>
        <v>0</v>
      </c>
      <c r="O556" s="61">
        <f t="shared" si="398"/>
        <v>0</v>
      </c>
      <c r="P556" s="98">
        <f t="shared" si="397"/>
        <v>31906</v>
      </c>
    </row>
    <row r="557" spans="1:16" x14ac:dyDescent="0.25">
      <c r="A557" s="102">
        <v>2</v>
      </c>
      <c r="B557" s="134" t="s">
        <v>11</v>
      </c>
      <c r="C557" s="146" t="s">
        <v>528</v>
      </c>
      <c r="D557" s="125" t="s">
        <v>43</v>
      </c>
      <c r="E557" s="149" t="s">
        <v>538</v>
      </c>
      <c r="F557" s="152" t="s">
        <v>532</v>
      </c>
      <c r="G557" s="10" t="s">
        <v>5</v>
      </c>
      <c r="H557" s="62">
        <v>46540</v>
      </c>
      <c r="I557" s="62">
        <v>46540</v>
      </c>
      <c r="J557" s="62">
        <v>46540</v>
      </c>
      <c r="K557" s="62">
        <v>46540</v>
      </c>
      <c r="L557" s="62">
        <v>46540</v>
      </c>
      <c r="M557" s="62">
        <v>46540</v>
      </c>
      <c r="N557" s="62">
        <v>46540</v>
      </c>
      <c r="O557" s="62">
        <f>279240-46540-46540</f>
        <v>186160</v>
      </c>
      <c r="P557" s="97">
        <f t="shared" si="397"/>
        <v>511940</v>
      </c>
    </row>
    <row r="558" spans="1:16" x14ac:dyDescent="0.25">
      <c r="A558" s="103"/>
      <c r="B558" s="135"/>
      <c r="C558" s="147"/>
      <c r="D558" s="126"/>
      <c r="E558" s="150"/>
      <c r="F558" s="153"/>
      <c r="G558" s="14" t="s">
        <v>8</v>
      </c>
      <c r="H558" s="60">
        <f>23636-1507</f>
        <v>22129</v>
      </c>
      <c r="I558" s="60">
        <f>21461-1617</f>
        <v>19844</v>
      </c>
      <c r="J558" s="60">
        <f>19280-1453</f>
        <v>17827</v>
      </c>
      <c r="K558" s="64">
        <f>17142-1291</f>
        <v>15851</v>
      </c>
      <c r="L558" s="64">
        <f>14915-1124</f>
        <v>13791</v>
      </c>
      <c r="M558" s="64">
        <v>11776</v>
      </c>
      <c r="N558" s="64">
        <f>M558-2015</f>
        <v>9761</v>
      </c>
      <c r="O558" s="60">
        <f>40371+193448-9761</f>
        <v>224058</v>
      </c>
      <c r="P558" s="97">
        <f t="shared" si="397"/>
        <v>335037</v>
      </c>
    </row>
    <row r="559" spans="1:16" x14ac:dyDescent="0.25">
      <c r="A559" s="104"/>
      <c r="B559" s="136"/>
      <c r="C559" s="148"/>
      <c r="D559" s="127"/>
      <c r="E559" s="151"/>
      <c r="F559" s="154"/>
      <c r="G559" s="12" t="s">
        <v>99</v>
      </c>
      <c r="H559" s="61">
        <f t="shared" ref="H559:O559" si="399">SUM(H557:H558)</f>
        <v>68669</v>
      </c>
      <c r="I559" s="61">
        <f t="shared" si="399"/>
        <v>66384</v>
      </c>
      <c r="J559" s="61">
        <f t="shared" si="399"/>
        <v>64367</v>
      </c>
      <c r="K559" s="61">
        <f t="shared" si="399"/>
        <v>62391</v>
      </c>
      <c r="L559" s="61">
        <f t="shared" si="399"/>
        <v>60331</v>
      </c>
      <c r="M559" s="61">
        <f t="shared" si="399"/>
        <v>58316</v>
      </c>
      <c r="N559" s="61">
        <f t="shared" si="399"/>
        <v>56301</v>
      </c>
      <c r="O559" s="61">
        <f t="shared" si="399"/>
        <v>410218</v>
      </c>
      <c r="P559" s="98">
        <f t="shared" si="397"/>
        <v>846977</v>
      </c>
    </row>
    <row r="560" spans="1:16" x14ac:dyDescent="0.25">
      <c r="A560" s="102">
        <v>3</v>
      </c>
      <c r="B560" s="134" t="s">
        <v>11</v>
      </c>
      <c r="C560" s="158" t="s">
        <v>42</v>
      </c>
      <c r="D560" s="125" t="s">
        <v>44</v>
      </c>
      <c r="E560" s="149" t="s">
        <v>539</v>
      </c>
      <c r="F560" s="152" t="s">
        <v>533</v>
      </c>
      <c r="G560" s="10" t="s">
        <v>5</v>
      </c>
      <c r="H560" s="62">
        <v>12384</v>
      </c>
      <c r="I560" s="62">
        <v>12384</v>
      </c>
      <c r="J560" s="62">
        <v>12384</v>
      </c>
      <c r="K560" s="62">
        <v>12384</v>
      </c>
      <c r="L560" s="62">
        <v>12384</v>
      </c>
      <c r="M560" s="62">
        <v>12384</v>
      </c>
      <c r="N560" s="62">
        <v>12384</v>
      </c>
      <c r="O560" s="62">
        <f>109412-12384-12384</f>
        <v>84644</v>
      </c>
      <c r="P560" s="97">
        <f t="shared" si="397"/>
        <v>171332</v>
      </c>
    </row>
    <row r="561" spans="1:16" x14ac:dyDescent="0.25">
      <c r="A561" s="103"/>
      <c r="B561" s="135"/>
      <c r="C561" s="159"/>
      <c r="D561" s="126"/>
      <c r="E561" s="150"/>
      <c r="F561" s="153"/>
      <c r="G561" s="14" t="s">
        <v>8</v>
      </c>
      <c r="H561" s="60">
        <f>7885-522</f>
        <v>7363</v>
      </c>
      <c r="I561" s="60">
        <f>7305-550</f>
        <v>6755</v>
      </c>
      <c r="J561" s="60">
        <f>6726-507</f>
        <v>6219</v>
      </c>
      <c r="K561" s="64">
        <f>6163-464</f>
        <v>5699</v>
      </c>
      <c r="L561" s="67">
        <f>5565-419</f>
        <v>5146</v>
      </c>
      <c r="M561" s="67">
        <v>4610</v>
      </c>
      <c r="N561" s="67">
        <f>M561-517</f>
        <v>4093</v>
      </c>
      <c r="O561" s="60">
        <f>115751-4093</f>
        <v>111658</v>
      </c>
      <c r="P561" s="97">
        <f t="shared" si="397"/>
        <v>151543</v>
      </c>
    </row>
    <row r="562" spans="1:16" x14ac:dyDescent="0.25">
      <c r="A562" s="104"/>
      <c r="B562" s="136"/>
      <c r="C562" s="160"/>
      <c r="D562" s="127"/>
      <c r="E562" s="151"/>
      <c r="F562" s="154"/>
      <c r="G562" s="12" t="s">
        <v>99</v>
      </c>
      <c r="H562" s="61">
        <f t="shared" ref="H562:O562" si="400">SUM(H560:H561)</f>
        <v>19747</v>
      </c>
      <c r="I562" s="61">
        <f t="shared" si="400"/>
        <v>19139</v>
      </c>
      <c r="J562" s="61">
        <f t="shared" si="400"/>
        <v>18603</v>
      </c>
      <c r="K562" s="61">
        <f t="shared" si="400"/>
        <v>18083</v>
      </c>
      <c r="L562" s="61">
        <f t="shared" si="400"/>
        <v>17530</v>
      </c>
      <c r="M562" s="61">
        <f t="shared" si="400"/>
        <v>16994</v>
      </c>
      <c r="N562" s="61">
        <f t="shared" si="400"/>
        <v>16477</v>
      </c>
      <c r="O562" s="61">
        <f t="shared" si="400"/>
        <v>196302</v>
      </c>
      <c r="P562" s="98">
        <f t="shared" si="397"/>
        <v>322875</v>
      </c>
    </row>
    <row r="563" spans="1:16" x14ac:dyDescent="0.25">
      <c r="A563" s="102">
        <v>4</v>
      </c>
      <c r="B563" s="134" t="s">
        <v>11</v>
      </c>
      <c r="C563" s="146" t="s">
        <v>528</v>
      </c>
      <c r="D563" s="125" t="s">
        <v>38</v>
      </c>
      <c r="E563" s="149" t="s">
        <v>537</v>
      </c>
      <c r="F563" s="155" t="s">
        <v>531</v>
      </c>
      <c r="G563" s="10" t="s">
        <v>5</v>
      </c>
      <c r="H563" s="62">
        <v>76356</v>
      </c>
      <c r="I563" s="62">
        <v>76356</v>
      </c>
      <c r="J563" s="62">
        <v>76356</v>
      </c>
      <c r="K563" s="62">
        <v>76356</v>
      </c>
      <c r="L563" s="62">
        <v>76356</v>
      </c>
      <c r="M563" s="62">
        <v>76356</v>
      </c>
      <c r="N563" s="62">
        <v>76356</v>
      </c>
      <c r="O563" s="62">
        <f>725382-76356-76356</f>
        <v>572670</v>
      </c>
      <c r="P563" s="97">
        <f t="shared" si="397"/>
        <v>1107162</v>
      </c>
    </row>
    <row r="564" spans="1:16" x14ac:dyDescent="0.25">
      <c r="A564" s="103"/>
      <c r="B564" s="135"/>
      <c r="C564" s="147"/>
      <c r="D564" s="126"/>
      <c r="E564" s="150"/>
      <c r="F564" s="156"/>
      <c r="G564" s="14" t="s">
        <v>8</v>
      </c>
      <c r="H564" s="60">
        <f>51294-3864</f>
        <v>47430</v>
      </c>
      <c r="I564" s="60">
        <f>47725-3595</f>
        <v>44130</v>
      </c>
      <c r="J564" s="60">
        <f>44147-3326</f>
        <v>40821</v>
      </c>
      <c r="K564" s="64">
        <f>40674-3064</f>
        <v>37610</v>
      </c>
      <c r="L564" s="64">
        <f>36986-2787</f>
        <v>34199</v>
      </c>
      <c r="M564" s="64">
        <v>30893</v>
      </c>
      <c r="N564" s="64"/>
      <c r="O564" s="60">
        <f>173368+630539</f>
        <v>803907</v>
      </c>
      <c r="P564" s="97">
        <f t="shared" si="397"/>
        <v>1038990</v>
      </c>
    </row>
    <row r="565" spans="1:16" x14ac:dyDescent="0.25">
      <c r="A565" s="104"/>
      <c r="B565" s="136"/>
      <c r="C565" s="148"/>
      <c r="D565" s="127"/>
      <c r="E565" s="151"/>
      <c r="F565" s="157"/>
      <c r="G565" s="12" t="s">
        <v>99</v>
      </c>
      <c r="H565" s="61">
        <f t="shared" ref="H565:O565" si="401">SUM(H563:H564)</f>
        <v>123786</v>
      </c>
      <c r="I565" s="61">
        <f t="shared" si="401"/>
        <v>120486</v>
      </c>
      <c r="J565" s="61">
        <f t="shared" si="401"/>
        <v>117177</v>
      </c>
      <c r="K565" s="61">
        <f t="shared" si="401"/>
        <v>113966</v>
      </c>
      <c r="L565" s="61">
        <f t="shared" si="401"/>
        <v>110555</v>
      </c>
      <c r="M565" s="61">
        <f t="shared" si="401"/>
        <v>107249</v>
      </c>
      <c r="N565" s="61">
        <f t="shared" si="401"/>
        <v>76356</v>
      </c>
      <c r="O565" s="61">
        <f t="shared" si="401"/>
        <v>1376577</v>
      </c>
      <c r="P565" s="98">
        <f t="shared" si="397"/>
        <v>2146152</v>
      </c>
    </row>
    <row r="566" spans="1:16" x14ac:dyDescent="0.25">
      <c r="A566" s="102">
        <v>5</v>
      </c>
      <c r="B566" s="134" t="s">
        <v>11</v>
      </c>
      <c r="C566" s="146" t="s">
        <v>57</v>
      </c>
      <c r="D566" s="125" t="s">
        <v>59</v>
      </c>
      <c r="E566" s="149" t="s">
        <v>540</v>
      </c>
      <c r="F566" s="152" t="s">
        <v>534</v>
      </c>
      <c r="G566" s="10" t="s">
        <v>5</v>
      </c>
      <c r="H566" s="62">
        <v>26380</v>
      </c>
      <c r="I566" s="62">
        <v>19785</v>
      </c>
      <c r="J566" s="76">
        <v>0</v>
      </c>
      <c r="K566" s="77">
        <v>0</v>
      </c>
      <c r="L566" s="78">
        <v>0</v>
      </c>
      <c r="M566" s="78">
        <v>0</v>
      </c>
      <c r="N566" s="78">
        <v>0</v>
      </c>
      <c r="O566" s="76">
        <v>0</v>
      </c>
      <c r="P566" s="97">
        <f t="shared" si="397"/>
        <v>46165</v>
      </c>
    </row>
    <row r="567" spans="1:16" x14ac:dyDescent="0.25">
      <c r="A567" s="103"/>
      <c r="B567" s="135"/>
      <c r="C567" s="147"/>
      <c r="D567" s="126"/>
      <c r="E567" s="150"/>
      <c r="F567" s="153"/>
      <c r="G567" s="14" t="s">
        <v>8</v>
      </c>
      <c r="H567" s="60">
        <f>213+1</f>
        <v>214</v>
      </c>
      <c r="I567" s="60">
        <v>77</v>
      </c>
      <c r="J567" s="57">
        <v>0</v>
      </c>
      <c r="K567" s="75">
        <v>0</v>
      </c>
      <c r="L567" s="59">
        <v>0</v>
      </c>
      <c r="M567" s="59">
        <v>0</v>
      </c>
      <c r="N567" s="59">
        <v>0</v>
      </c>
      <c r="O567" s="57">
        <v>0</v>
      </c>
      <c r="P567" s="97">
        <f t="shared" si="397"/>
        <v>291</v>
      </c>
    </row>
    <row r="568" spans="1:16" x14ac:dyDescent="0.25">
      <c r="A568" s="104"/>
      <c r="B568" s="136"/>
      <c r="C568" s="148"/>
      <c r="D568" s="127"/>
      <c r="E568" s="151"/>
      <c r="F568" s="154"/>
      <c r="G568" s="12" t="s">
        <v>99</v>
      </c>
      <c r="H568" s="61">
        <f t="shared" ref="H568:O568" si="402">SUM(H566:H567)</f>
        <v>26594</v>
      </c>
      <c r="I568" s="61">
        <f t="shared" si="402"/>
        <v>19862</v>
      </c>
      <c r="J568" s="61">
        <f t="shared" si="402"/>
        <v>0</v>
      </c>
      <c r="K568" s="61">
        <f t="shared" si="402"/>
        <v>0</v>
      </c>
      <c r="L568" s="83">
        <f t="shared" si="402"/>
        <v>0</v>
      </c>
      <c r="M568" s="83">
        <f t="shared" si="402"/>
        <v>0</v>
      </c>
      <c r="N568" s="83">
        <f t="shared" si="402"/>
        <v>0</v>
      </c>
      <c r="O568" s="61">
        <f t="shared" si="402"/>
        <v>0</v>
      </c>
      <c r="P568" s="98">
        <f t="shared" si="397"/>
        <v>46456</v>
      </c>
    </row>
    <row r="569" spans="1:16" x14ac:dyDescent="0.25">
      <c r="A569" s="102">
        <v>6</v>
      </c>
      <c r="B569" s="134" t="s">
        <v>11</v>
      </c>
      <c r="C569" s="146" t="s">
        <v>58</v>
      </c>
      <c r="D569" s="125" t="s">
        <v>60</v>
      </c>
      <c r="E569" s="149" t="s">
        <v>326</v>
      </c>
      <c r="F569" s="152" t="s">
        <v>535</v>
      </c>
      <c r="G569" s="10" t="s">
        <v>5</v>
      </c>
      <c r="H569" s="62">
        <v>52732</v>
      </c>
      <c r="I569" s="62">
        <v>52732</v>
      </c>
      <c r="J569" s="62">
        <v>52732</v>
      </c>
      <c r="K569" s="62">
        <v>52732</v>
      </c>
      <c r="L569" s="62">
        <v>52732</v>
      </c>
      <c r="M569" s="62">
        <v>52732</v>
      </c>
      <c r="N569" s="62">
        <v>52732</v>
      </c>
      <c r="O569" s="62">
        <f>237097-52732-52732</f>
        <v>131633</v>
      </c>
      <c r="P569" s="97">
        <f t="shared" si="397"/>
        <v>500757</v>
      </c>
    </row>
    <row r="570" spans="1:16" x14ac:dyDescent="0.25">
      <c r="A570" s="103"/>
      <c r="B570" s="135"/>
      <c r="C570" s="147"/>
      <c r="D570" s="126"/>
      <c r="E570" s="150"/>
      <c r="F570" s="153"/>
      <c r="G570" s="14" t="s">
        <v>8</v>
      </c>
      <c r="H570" s="60">
        <f>21714-2787</f>
        <v>18927</v>
      </c>
      <c r="I570" s="60">
        <f>19394-2489</f>
        <v>16905</v>
      </c>
      <c r="J570" s="60">
        <f>17068-2191</f>
        <v>14877</v>
      </c>
      <c r="K570" s="64">
        <f>14778-1896</f>
        <v>12882</v>
      </c>
      <c r="L570" s="64">
        <f>12412-1593</f>
        <v>10819</v>
      </c>
      <c r="M570" s="64">
        <v>8793</v>
      </c>
      <c r="N570" s="64">
        <f>M570-1985</f>
        <v>6808</v>
      </c>
      <c r="O570" s="60">
        <f>24478-9527-6808</f>
        <v>8143</v>
      </c>
      <c r="P570" s="97">
        <f t="shared" si="397"/>
        <v>98154</v>
      </c>
    </row>
    <row r="571" spans="1:16" x14ac:dyDescent="0.25">
      <c r="A571" s="104"/>
      <c r="B571" s="136"/>
      <c r="C571" s="148"/>
      <c r="D571" s="127"/>
      <c r="E571" s="151"/>
      <c r="F571" s="154"/>
      <c r="G571" s="12" t="s">
        <v>99</v>
      </c>
      <c r="H571" s="61">
        <f t="shared" ref="H571:O571" si="403">SUM(H569:H570)</f>
        <v>71659</v>
      </c>
      <c r="I571" s="61">
        <f t="shared" si="403"/>
        <v>69637</v>
      </c>
      <c r="J571" s="61">
        <f t="shared" si="403"/>
        <v>67609</v>
      </c>
      <c r="K571" s="61">
        <f t="shared" si="403"/>
        <v>65614</v>
      </c>
      <c r="L571" s="61">
        <f t="shared" si="403"/>
        <v>63551</v>
      </c>
      <c r="M571" s="61">
        <f t="shared" si="403"/>
        <v>61525</v>
      </c>
      <c r="N571" s="61">
        <f t="shared" si="403"/>
        <v>59540</v>
      </c>
      <c r="O571" s="61">
        <f t="shared" si="403"/>
        <v>139776</v>
      </c>
      <c r="P571" s="98">
        <f t="shared" si="397"/>
        <v>598911</v>
      </c>
    </row>
    <row r="572" spans="1:16" x14ac:dyDescent="0.25">
      <c r="A572" s="102">
        <v>7</v>
      </c>
      <c r="B572" s="134" t="s">
        <v>11</v>
      </c>
      <c r="C572" s="137" t="s">
        <v>77</v>
      </c>
      <c r="D572" s="125" t="s">
        <v>84</v>
      </c>
      <c r="E572" s="140" t="s">
        <v>406</v>
      </c>
      <c r="F572" s="143" t="s">
        <v>536</v>
      </c>
      <c r="G572" s="10" t="s">
        <v>5</v>
      </c>
      <c r="H572" s="62">
        <v>11492</v>
      </c>
      <c r="I572" s="62">
        <v>11492</v>
      </c>
      <c r="J572" s="62">
        <v>11492</v>
      </c>
      <c r="K572" s="62">
        <v>11492</v>
      </c>
      <c r="L572" s="62">
        <v>11492</v>
      </c>
      <c r="M572" s="62">
        <v>11492</v>
      </c>
      <c r="N572" s="62">
        <v>11492</v>
      </c>
      <c r="O572" s="62">
        <f>135031-11492-11492</f>
        <v>112047</v>
      </c>
      <c r="P572" s="97">
        <f t="shared" si="397"/>
        <v>192491</v>
      </c>
    </row>
    <row r="573" spans="1:16" x14ac:dyDescent="0.25">
      <c r="A573" s="103"/>
      <c r="B573" s="135"/>
      <c r="C573" s="138"/>
      <c r="D573" s="126"/>
      <c r="E573" s="141"/>
      <c r="F573" s="144"/>
      <c r="G573" s="14" t="s">
        <v>8</v>
      </c>
      <c r="H573" s="60">
        <f>9117-194</f>
        <v>8923</v>
      </c>
      <c r="I573" s="60">
        <f>8568-181</f>
        <v>8387</v>
      </c>
      <c r="J573" s="60">
        <f>8019-170</f>
        <v>7849</v>
      </c>
      <c r="K573" s="64">
        <f>7488-158</f>
        <v>7330</v>
      </c>
      <c r="L573" s="64">
        <f>6918-146</f>
        <v>6772</v>
      </c>
      <c r="M573" s="64">
        <v>6234</v>
      </c>
      <c r="N573" s="64">
        <f>M573-518</f>
        <v>5716</v>
      </c>
      <c r="O573" s="60">
        <f>40202-7086-5716</f>
        <v>27400</v>
      </c>
      <c r="P573" s="97">
        <f t="shared" si="397"/>
        <v>78611</v>
      </c>
    </row>
    <row r="574" spans="1:16" x14ac:dyDescent="0.25">
      <c r="A574" s="104"/>
      <c r="B574" s="136"/>
      <c r="C574" s="139"/>
      <c r="D574" s="127"/>
      <c r="E574" s="142"/>
      <c r="F574" s="145"/>
      <c r="G574" s="12" t="s">
        <v>99</v>
      </c>
      <c r="H574" s="61">
        <f t="shared" ref="H574:O574" si="404">SUM(H572:H573)</f>
        <v>20415</v>
      </c>
      <c r="I574" s="61">
        <f t="shared" si="404"/>
        <v>19879</v>
      </c>
      <c r="J574" s="61">
        <f t="shared" si="404"/>
        <v>19341</v>
      </c>
      <c r="K574" s="61">
        <f t="shared" si="404"/>
        <v>18822</v>
      </c>
      <c r="L574" s="61">
        <f t="shared" si="404"/>
        <v>18264</v>
      </c>
      <c r="M574" s="61">
        <f t="shared" si="404"/>
        <v>17726</v>
      </c>
      <c r="N574" s="61">
        <f t="shared" si="404"/>
        <v>17208</v>
      </c>
      <c r="O574" s="61">
        <f t="shared" si="404"/>
        <v>139447</v>
      </c>
      <c r="P574" s="98">
        <f t="shared" si="397"/>
        <v>271102</v>
      </c>
    </row>
    <row r="575" spans="1:16" x14ac:dyDescent="0.25">
      <c r="A575" s="116"/>
      <c r="B575" s="119"/>
      <c r="C575" s="122" t="s">
        <v>530</v>
      </c>
      <c r="D575" s="125"/>
      <c r="E575" s="128"/>
      <c r="F575" s="131"/>
      <c r="G575" s="24" t="s">
        <v>5</v>
      </c>
      <c r="H575" s="62">
        <f t="shared" ref="H575:O577" si="405">H554+H557+H560+H563+H566+H569+H572</f>
        <v>236852</v>
      </c>
      <c r="I575" s="62">
        <f t="shared" si="405"/>
        <v>230257</v>
      </c>
      <c r="J575" s="62">
        <f t="shared" si="405"/>
        <v>207354</v>
      </c>
      <c r="K575" s="62">
        <f t="shared" si="405"/>
        <v>199504</v>
      </c>
      <c r="L575" s="62">
        <f t="shared" si="405"/>
        <v>199504</v>
      </c>
      <c r="M575" s="62">
        <f>M554+M557+M560+M563+M566+M569+M572</f>
        <v>199504</v>
      </c>
      <c r="N575" s="62">
        <f>N554+N557+N560+N563+N566+N569+N572</f>
        <v>199504</v>
      </c>
      <c r="O575" s="62">
        <f t="shared" si="405"/>
        <v>1087154</v>
      </c>
      <c r="P575" s="79">
        <f>P554+P557+P560+P563+P566+P569+P572</f>
        <v>2559633</v>
      </c>
    </row>
    <row r="576" spans="1:16" x14ac:dyDescent="0.25">
      <c r="A576" s="117"/>
      <c r="B576" s="120"/>
      <c r="C576" s="123"/>
      <c r="D576" s="126"/>
      <c r="E576" s="129"/>
      <c r="F576" s="132"/>
      <c r="G576" s="25" t="s">
        <v>8</v>
      </c>
      <c r="H576" s="60">
        <f t="shared" si="405"/>
        <v>106178</v>
      </c>
      <c r="I576" s="60">
        <f t="shared" si="405"/>
        <v>96799</v>
      </c>
      <c r="J576" s="60">
        <f t="shared" si="405"/>
        <v>87820</v>
      </c>
      <c r="K576" s="60">
        <f t="shared" si="405"/>
        <v>79372</v>
      </c>
      <c r="L576" s="60">
        <f t="shared" si="405"/>
        <v>70727</v>
      </c>
      <c r="M576" s="60">
        <f>M555+M558+M561+M564+M567+M570+M573</f>
        <v>62306</v>
      </c>
      <c r="N576" s="60">
        <f>N555+N558+N561+N564+N567+N570+N573</f>
        <v>26378</v>
      </c>
      <c r="O576" s="60">
        <f t="shared" si="405"/>
        <v>1175166</v>
      </c>
      <c r="P576" s="80">
        <f>P555+P558+P561+P564+P567+P570+P573</f>
        <v>1704746</v>
      </c>
    </row>
    <row r="577" spans="1:16" x14ac:dyDescent="0.25">
      <c r="A577" s="118"/>
      <c r="B577" s="121"/>
      <c r="C577" s="124"/>
      <c r="D577" s="127"/>
      <c r="E577" s="130"/>
      <c r="F577" s="133"/>
      <c r="G577" s="26" t="s">
        <v>99</v>
      </c>
      <c r="H577" s="63">
        <f t="shared" si="405"/>
        <v>343030</v>
      </c>
      <c r="I577" s="63">
        <f t="shared" si="405"/>
        <v>327056</v>
      </c>
      <c r="J577" s="63">
        <f t="shared" si="405"/>
        <v>295174</v>
      </c>
      <c r="K577" s="63">
        <f t="shared" si="405"/>
        <v>278876</v>
      </c>
      <c r="L577" s="63">
        <f t="shared" si="405"/>
        <v>270231</v>
      </c>
      <c r="M577" s="63">
        <f t="shared" si="405"/>
        <v>261810</v>
      </c>
      <c r="N577" s="63">
        <f t="shared" si="405"/>
        <v>225882</v>
      </c>
      <c r="O577" s="63">
        <f t="shared" si="405"/>
        <v>2262320</v>
      </c>
      <c r="P577" s="63">
        <f>P556+P559+P562+P565+P568+P571+P574</f>
        <v>4264379</v>
      </c>
    </row>
    <row r="578" spans="1:16" x14ac:dyDescent="0.25">
      <c r="A578" s="21"/>
      <c r="B578" s="110"/>
      <c r="C578" s="110"/>
      <c r="D578" s="110"/>
      <c r="E578" s="110"/>
      <c r="F578" s="4"/>
      <c r="G578" s="21"/>
      <c r="H578" s="9"/>
      <c r="I578" s="9"/>
      <c r="J578" s="9"/>
      <c r="K578" s="20"/>
      <c r="L578" s="20"/>
      <c r="M578" s="20"/>
      <c r="N578" s="20"/>
      <c r="O578" s="9"/>
      <c r="P578" s="9"/>
    </row>
    <row r="580" spans="1:16" ht="17.25" customHeight="1" x14ac:dyDescent="0.25">
      <c r="A580" s="111" t="s">
        <v>527</v>
      </c>
      <c r="B580" s="111"/>
      <c r="C580" s="111"/>
      <c r="D580" s="111"/>
      <c r="E580" s="111"/>
      <c r="F580" s="111"/>
      <c r="G580" s="111"/>
      <c r="H580" s="8">
        <f t="shared" ref="H580:P580" si="406">H550+H577</f>
        <v>6985878</v>
      </c>
      <c r="I580" s="8">
        <f t="shared" si="406"/>
        <v>9774240</v>
      </c>
      <c r="J580" s="8">
        <f t="shared" si="406"/>
        <v>9676215</v>
      </c>
      <c r="K580" s="8">
        <f t="shared" si="406"/>
        <v>8522188</v>
      </c>
      <c r="L580" s="8">
        <f t="shared" si="406"/>
        <v>7929031</v>
      </c>
      <c r="M580" s="8">
        <f t="shared" si="406"/>
        <v>7609862</v>
      </c>
      <c r="N580" s="8">
        <f t="shared" si="406"/>
        <v>7302151</v>
      </c>
      <c r="O580" s="8">
        <f t="shared" si="406"/>
        <v>73525829.450000003</v>
      </c>
      <c r="P580" s="8">
        <f t="shared" si="406"/>
        <v>131325394.45</v>
      </c>
    </row>
    <row r="582" spans="1:16" ht="13.2" customHeight="1" x14ac:dyDescent="0.25">
      <c r="B582" s="112" t="s">
        <v>6</v>
      </c>
      <c r="C582" s="113"/>
      <c r="D582" s="113"/>
      <c r="E582" s="113"/>
      <c r="F582" s="113"/>
      <c r="G582" s="114"/>
      <c r="H582" s="5">
        <f t="shared" ref="H582:N582" si="407">H580*100/($P$583)</f>
        <v>8.3453004953761791</v>
      </c>
      <c r="I582" s="5">
        <f t="shared" si="407"/>
        <v>11.676266020380783</v>
      </c>
      <c r="J582" s="5">
        <f t="shared" si="407"/>
        <v>11.559165767404815</v>
      </c>
      <c r="K582" s="5">
        <f t="shared" si="407"/>
        <v>10.18056996387411</v>
      </c>
      <c r="L582" s="5">
        <f t="shared" si="407"/>
        <v>9.471987104863997</v>
      </c>
      <c r="M582" s="5">
        <f t="shared" si="407"/>
        <v>9.0907091590125635</v>
      </c>
      <c r="N582" s="5">
        <f t="shared" si="407"/>
        <v>8.7231188918002385</v>
      </c>
      <c r="O582" s="21"/>
      <c r="P582" s="21"/>
    </row>
    <row r="583" spans="1:16" ht="16.2" customHeight="1" x14ac:dyDescent="0.25">
      <c r="B583" s="115" t="s">
        <v>7</v>
      </c>
      <c r="C583" s="115"/>
      <c r="D583" s="115"/>
      <c r="E583" s="115"/>
      <c r="P583" s="100">
        <f>129869562-31897258-22345657+7671576+565865-153765</f>
        <v>83710323</v>
      </c>
    </row>
    <row r="584" spans="1:16" ht="16.2" customHeight="1" x14ac:dyDescent="0.25">
      <c r="B584" s="53"/>
      <c r="C584" s="53"/>
      <c r="D584" s="53"/>
      <c r="E584" s="53"/>
    </row>
    <row r="585" spans="1:16" ht="15.75" hidden="1" customHeight="1" outlineLevel="1" x14ac:dyDescent="0.25">
      <c r="G585" s="54" t="s">
        <v>526</v>
      </c>
      <c r="H585" s="55" t="e">
        <f>(#REF!+H577)*100/$P$583</f>
        <v>#REF!</v>
      </c>
      <c r="I585" s="55" t="e">
        <f>(#REF!+I577)*100/$P$583</f>
        <v>#REF!</v>
      </c>
      <c r="J585" s="55" t="e">
        <f>(#REF!+J577)*100/$P$583</f>
        <v>#REF!</v>
      </c>
      <c r="K585" s="55" t="e">
        <f>(#REF!+K577)*100/$P$583</f>
        <v>#REF!</v>
      </c>
      <c r="L585" s="55" t="e">
        <f>(#REF!+L577)*100/$P$583</f>
        <v>#REF!</v>
      </c>
      <c r="M585" s="55" t="e">
        <f>(#REF!+M577)*100/$P$583</f>
        <v>#REF!</v>
      </c>
      <c r="N585" s="55"/>
    </row>
    <row r="586" spans="1:16" hidden="1" outlineLevel="1" x14ac:dyDescent="0.25">
      <c r="G586" s="54"/>
      <c r="H586" s="55" t="e">
        <f t="shared" ref="H586:L586" si="408">H582-H585</f>
        <v>#REF!</v>
      </c>
      <c r="I586" s="55" t="e">
        <f t="shared" si="408"/>
        <v>#REF!</v>
      </c>
      <c r="J586" s="55" t="e">
        <f t="shared" si="408"/>
        <v>#REF!</v>
      </c>
      <c r="K586" s="55" t="e">
        <f t="shared" si="408"/>
        <v>#REF!</v>
      </c>
      <c r="L586" s="55" t="e">
        <f t="shared" si="408"/>
        <v>#REF!</v>
      </c>
      <c r="M586" s="55"/>
      <c r="N586" s="55"/>
    </row>
    <row r="587" spans="1:16" collapsed="1" x14ac:dyDescent="0.25">
      <c r="G587" s="47"/>
      <c r="H587" s="48"/>
      <c r="I587" s="48"/>
      <c r="J587" s="48"/>
      <c r="K587" s="48"/>
      <c r="L587" s="48"/>
      <c r="M587" s="48"/>
      <c r="N587" s="48"/>
    </row>
    <row r="589" spans="1:16" x14ac:dyDescent="0.25">
      <c r="G589" s="1"/>
      <c r="H589" s="99"/>
    </row>
  </sheetData>
  <mergeCells count="963">
    <mergeCell ref="I1:P1"/>
    <mergeCell ref="I2:P2"/>
    <mergeCell ref="I3:P3"/>
    <mergeCell ref="E506:E508"/>
    <mergeCell ref="A8:A10"/>
    <mergeCell ref="B8:B10"/>
    <mergeCell ref="C8:C10"/>
    <mergeCell ref="D8:D10"/>
    <mergeCell ref="E8:E10"/>
    <mergeCell ref="F8:F10"/>
    <mergeCell ref="A11:A13"/>
    <mergeCell ref="B11:B13"/>
    <mergeCell ref="C11:C13"/>
    <mergeCell ref="D11:D13"/>
    <mergeCell ref="E11:E13"/>
    <mergeCell ref="A14:A16"/>
    <mergeCell ref="B14:B16"/>
    <mergeCell ref="C14:C16"/>
    <mergeCell ref="D14:D16"/>
    <mergeCell ref="E14:E16"/>
    <mergeCell ref="A17:A19"/>
    <mergeCell ref="B17:B19"/>
    <mergeCell ref="C17:C19"/>
    <mergeCell ref="D17:D19"/>
    <mergeCell ref="E17:E19"/>
    <mergeCell ref="A20:A22"/>
    <mergeCell ref="B20:B22"/>
    <mergeCell ref="C20:C22"/>
    <mergeCell ref="D20:D22"/>
    <mergeCell ref="E20:E22"/>
    <mergeCell ref="A23:A25"/>
    <mergeCell ref="B23:B25"/>
    <mergeCell ref="C23:C25"/>
    <mergeCell ref="D23:D25"/>
    <mergeCell ref="E23:E25"/>
    <mergeCell ref="A26:A28"/>
    <mergeCell ref="B26:B28"/>
    <mergeCell ref="C26:C28"/>
    <mergeCell ref="D26:D28"/>
    <mergeCell ref="E26:E28"/>
    <mergeCell ref="A29:A31"/>
    <mergeCell ref="B29:B31"/>
    <mergeCell ref="C29:C31"/>
    <mergeCell ref="D29:D31"/>
    <mergeCell ref="E29:E31"/>
    <mergeCell ref="A32:A34"/>
    <mergeCell ref="B32:B34"/>
    <mergeCell ref="C32:C34"/>
    <mergeCell ref="D32:D34"/>
    <mergeCell ref="E32:E34"/>
    <mergeCell ref="A35:A37"/>
    <mergeCell ref="B35:B37"/>
    <mergeCell ref="C35:C37"/>
    <mergeCell ref="D35:D37"/>
    <mergeCell ref="E35:E37"/>
    <mergeCell ref="A38:A40"/>
    <mergeCell ref="B38:B40"/>
    <mergeCell ref="C38:C40"/>
    <mergeCell ref="D38:D40"/>
    <mergeCell ref="E38:E40"/>
    <mergeCell ref="A41:A43"/>
    <mergeCell ref="B41:B43"/>
    <mergeCell ref="C41:C43"/>
    <mergeCell ref="D41:D43"/>
    <mergeCell ref="E41:E43"/>
    <mergeCell ref="A44:A46"/>
    <mergeCell ref="B44:B46"/>
    <mergeCell ref="C44:C46"/>
    <mergeCell ref="D44:D46"/>
    <mergeCell ref="E44:E46"/>
    <mergeCell ref="A47:A49"/>
    <mergeCell ref="B47:B49"/>
    <mergeCell ref="C47:C49"/>
    <mergeCell ref="D47:D49"/>
    <mergeCell ref="E47:E49"/>
    <mergeCell ref="A50:A52"/>
    <mergeCell ref="B50:B52"/>
    <mergeCell ref="C50:C52"/>
    <mergeCell ref="D50:D52"/>
    <mergeCell ref="E50:E52"/>
    <mergeCell ref="A53:A55"/>
    <mergeCell ref="B53:B55"/>
    <mergeCell ref="C53:C55"/>
    <mergeCell ref="D53:D55"/>
    <mergeCell ref="E53:E55"/>
    <mergeCell ref="A56:A58"/>
    <mergeCell ref="B56:B58"/>
    <mergeCell ref="C56:C58"/>
    <mergeCell ref="D56:D58"/>
    <mergeCell ref="E56:E58"/>
    <mergeCell ref="A59:A61"/>
    <mergeCell ref="B59:B61"/>
    <mergeCell ref="C59:C61"/>
    <mergeCell ref="D59:D61"/>
    <mergeCell ref="E59:E61"/>
    <mergeCell ref="A62:A64"/>
    <mergeCell ref="B62:B64"/>
    <mergeCell ref="C62:C64"/>
    <mergeCell ref="D62:D64"/>
    <mergeCell ref="E62:E64"/>
    <mergeCell ref="A65:A67"/>
    <mergeCell ref="B65:B67"/>
    <mergeCell ref="C65:C67"/>
    <mergeCell ref="D65:D67"/>
    <mergeCell ref="E65:E67"/>
    <mergeCell ref="A68:A70"/>
    <mergeCell ref="B68:B70"/>
    <mergeCell ref="C68:C70"/>
    <mergeCell ref="D68:D70"/>
    <mergeCell ref="E68:E70"/>
    <mergeCell ref="A71:A73"/>
    <mergeCell ref="B71:B73"/>
    <mergeCell ref="C71:C73"/>
    <mergeCell ref="D71:D73"/>
    <mergeCell ref="E71:E73"/>
    <mergeCell ref="A74:A76"/>
    <mergeCell ref="B74:B76"/>
    <mergeCell ref="C74:C76"/>
    <mergeCell ref="D74:D76"/>
    <mergeCell ref="E74:E76"/>
    <mergeCell ref="A77:A79"/>
    <mergeCell ref="B77:B79"/>
    <mergeCell ref="C77:C79"/>
    <mergeCell ref="D77:D79"/>
    <mergeCell ref="E77:E79"/>
    <mergeCell ref="A80:A82"/>
    <mergeCell ref="B80:B82"/>
    <mergeCell ref="C80:C82"/>
    <mergeCell ref="D80:D82"/>
    <mergeCell ref="E80:E82"/>
    <mergeCell ref="A83:A85"/>
    <mergeCell ref="B83:B85"/>
    <mergeCell ref="C83:C85"/>
    <mergeCell ref="D83:D85"/>
    <mergeCell ref="E83:E85"/>
    <mergeCell ref="A86:A88"/>
    <mergeCell ref="B86:B88"/>
    <mergeCell ref="C86:C88"/>
    <mergeCell ref="D86:D88"/>
    <mergeCell ref="E86:E88"/>
    <mergeCell ref="A89:A91"/>
    <mergeCell ref="B89:B91"/>
    <mergeCell ref="C89:C91"/>
    <mergeCell ref="D89:D91"/>
    <mergeCell ref="E89:E91"/>
    <mergeCell ref="A92:A94"/>
    <mergeCell ref="B92:B94"/>
    <mergeCell ref="C92:C94"/>
    <mergeCell ref="D92:D94"/>
    <mergeCell ref="E92:E94"/>
    <mergeCell ref="A95:A97"/>
    <mergeCell ref="B95:B97"/>
    <mergeCell ref="C95:C97"/>
    <mergeCell ref="D95:D97"/>
    <mergeCell ref="E95:E97"/>
    <mergeCell ref="A98:A100"/>
    <mergeCell ref="B98:B100"/>
    <mergeCell ref="C98:C100"/>
    <mergeCell ref="D98:D100"/>
    <mergeCell ref="E98:E100"/>
    <mergeCell ref="A101:A103"/>
    <mergeCell ref="B101:B103"/>
    <mergeCell ref="C101:C103"/>
    <mergeCell ref="D101:D103"/>
    <mergeCell ref="E101:E103"/>
    <mergeCell ref="A104:A106"/>
    <mergeCell ref="B104:B106"/>
    <mergeCell ref="C104:C106"/>
    <mergeCell ref="D104:D106"/>
    <mergeCell ref="E104:E106"/>
    <mergeCell ref="A107:A109"/>
    <mergeCell ref="B107:B109"/>
    <mergeCell ref="C107:C109"/>
    <mergeCell ref="D107:D109"/>
    <mergeCell ref="E107:E109"/>
    <mergeCell ref="A110:A112"/>
    <mergeCell ref="B110:B112"/>
    <mergeCell ref="C110:C112"/>
    <mergeCell ref="D110:D112"/>
    <mergeCell ref="E110:E112"/>
    <mergeCell ref="A113:A115"/>
    <mergeCell ref="B113:B115"/>
    <mergeCell ref="C113:C115"/>
    <mergeCell ref="D113:D115"/>
    <mergeCell ref="E113:E115"/>
    <mergeCell ref="A116:A118"/>
    <mergeCell ref="B116:B118"/>
    <mergeCell ref="C116:C118"/>
    <mergeCell ref="D116:D118"/>
    <mergeCell ref="E116:E118"/>
    <mergeCell ref="A119:A121"/>
    <mergeCell ref="B119:B121"/>
    <mergeCell ref="C119:C121"/>
    <mergeCell ref="D119:D121"/>
    <mergeCell ref="E119:E121"/>
    <mergeCell ref="A122:A124"/>
    <mergeCell ref="B122:B124"/>
    <mergeCell ref="C122:C124"/>
    <mergeCell ref="D122:D124"/>
    <mergeCell ref="E122:E124"/>
    <mergeCell ref="A125:A127"/>
    <mergeCell ref="B125:B127"/>
    <mergeCell ref="C125:C127"/>
    <mergeCell ref="D125:D127"/>
    <mergeCell ref="E125:E127"/>
    <mergeCell ref="A128:A130"/>
    <mergeCell ref="B128:B130"/>
    <mergeCell ref="C128:C130"/>
    <mergeCell ref="D128:D130"/>
    <mergeCell ref="E128:E130"/>
    <mergeCell ref="A131:A133"/>
    <mergeCell ref="B131:B133"/>
    <mergeCell ref="C131:C133"/>
    <mergeCell ref="D131:D133"/>
    <mergeCell ref="E131:E133"/>
    <mergeCell ref="A134:A136"/>
    <mergeCell ref="B134:B136"/>
    <mergeCell ref="C134:C136"/>
    <mergeCell ref="D134:D136"/>
    <mergeCell ref="E134:E136"/>
    <mergeCell ref="A137:A139"/>
    <mergeCell ref="B137:B139"/>
    <mergeCell ref="C137:C139"/>
    <mergeCell ref="D137:D139"/>
    <mergeCell ref="E137:E139"/>
    <mergeCell ref="A140:A142"/>
    <mergeCell ref="B140:B142"/>
    <mergeCell ref="C140:C142"/>
    <mergeCell ref="D140:D142"/>
    <mergeCell ref="E140:E142"/>
    <mergeCell ref="A143:A145"/>
    <mergeCell ref="B143:B145"/>
    <mergeCell ref="C143:C145"/>
    <mergeCell ref="D143:D145"/>
    <mergeCell ref="E143:E145"/>
    <mergeCell ref="A146:A148"/>
    <mergeCell ref="B146:B148"/>
    <mergeCell ref="C146:C148"/>
    <mergeCell ref="D146:D148"/>
    <mergeCell ref="E146:E148"/>
    <mergeCell ref="A149:A151"/>
    <mergeCell ref="B149:B151"/>
    <mergeCell ref="C149:C151"/>
    <mergeCell ref="D149:D151"/>
    <mergeCell ref="E149:E151"/>
    <mergeCell ref="A152:A154"/>
    <mergeCell ref="B152:B154"/>
    <mergeCell ref="C152:C154"/>
    <mergeCell ref="D152:D154"/>
    <mergeCell ref="E152:E154"/>
    <mergeCell ref="A155:A157"/>
    <mergeCell ref="B155:B157"/>
    <mergeCell ref="C155:C157"/>
    <mergeCell ref="D155:D157"/>
    <mergeCell ref="E155:E157"/>
    <mergeCell ref="A158:A160"/>
    <mergeCell ref="B158:B160"/>
    <mergeCell ref="C158:C160"/>
    <mergeCell ref="D158:D160"/>
    <mergeCell ref="E158:E160"/>
    <mergeCell ref="A161:A163"/>
    <mergeCell ref="B161:B163"/>
    <mergeCell ref="C161:C163"/>
    <mergeCell ref="D161:D163"/>
    <mergeCell ref="E161:E163"/>
    <mergeCell ref="A164:A166"/>
    <mergeCell ref="B164:B166"/>
    <mergeCell ref="C164:C166"/>
    <mergeCell ref="D164:D166"/>
    <mergeCell ref="E164:E166"/>
    <mergeCell ref="A167:A169"/>
    <mergeCell ref="B167:B169"/>
    <mergeCell ref="C167:C169"/>
    <mergeCell ref="D167:D169"/>
    <mergeCell ref="E167:E169"/>
    <mergeCell ref="A170:A172"/>
    <mergeCell ref="B170:B172"/>
    <mergeCell ref="C170:C172"/>
    <mergeCell ref="D170:D172"/>
    <mergeCell ref="E170:E172"/>
    <mergeCell ref="A173:A175"/>
    <mergeCell ref="B173:B175"/>
    <mergeCell ref="C173:C175"/>
    <mergeCell ref="D173:D175"/>
    <mergeCell ref="E173:E175"/>
    <mergeCell ref="A176:A178"/>
    <mergeCell ref="B176:B178"/>
    <mergeCell ref="C176:C178"/>
    <mergeCell ref="D176:D178"/>
    <mergeCell ref="E176:E178"/>
    <mergeCell ref="A179:A181"/>
    <mergeCell ref="B179:B181"/>
    <mergeCell ref="C179:C181"/>
    <mergeCell ref="D179:D181"/>
    <mergeCell ref="E179:E181"/>
    <mergeCell ref="A182:A184"/>
    <mergeCell ref="B182:B184"/>
    <mergeCell ref="C182:C184"/>
    <mergeCell ref="D182:D184"/>
    <mergeCell ref="E182:E184"/>
    <mergeCell ref="A185:A187"/>
    <mergeCell ref="B185:B187"/>
    <mergeCell ref="C185:C187"/>
    <mergeCell ref="D185:D187"/>
    <mergeCell ref="E185:E187"/>
    <mergeCell ref="A188:A190"/>
    <mergeCell ref="B188:B190"/>
    <mergeCell ref="C188:C190"/>
    <mergeCell ref="D188:D190"/>
    <mergeCell ref="E188:E190"/>
    <mergeCell ref="A191:A193"/>
    <mergeCell ref="B191:B193"/>
    <mergeCell ref="C191:C193"/>
    <mergeCell ref="D191:D193"/>
    <mergeCell ref="E191:E193"/>
    <mergeCell ref="A194:A196"/>
    <mergeCell ref="B194:B196"/>
    <mergeCell ref="C194:C196"/>
    <mergeCell ref="D194:D196"/>
    <mergeCell ref="E194:E196"/>
    <mergeCell ref="A197:A199"/>
    <mergeCell ref="B197:B199"/>
    <mergeCell ref="C197:C199"/>
    <mergeCell ref="D197:D199"/>
    <mergeCell ref="E197:E199"/>
    <mergeCell ref="A200:A202"/>
    <mergeCell ref="B200:B202"/>
    <mergeCell ref="C200:C202"/>
    <mergeCell ref="D200:D202"/>
    <mergeCell ref="E200:E202"/>
    <mergeCell ref="A203:A205"/>
    <mergeCell ref="B203:B205"/>
    <mergeCell ref="C203:C205"/>
    <mergeCell ref="D203:D205"/>
    <mergeCell ref="E203:E205"/>
    <mergeCell ref="A206:A208"/>
    <mergeCell ref="B206:B208"/>
    <mergeCell ref="C206:C208"/>
    <mergeCell ref="D206:D208"/>
    <mergeCell ref="E206:E208"/>
    <mergeCell ref="A209:A211"/>
    <mergeCell ref="B209:B211"/>
    <mergeCell ref="C209:C211"/>
    <mergeCell ref="D209:D211"/>
    <mergeCell ref="E209:E211"/>
    <mergeCell ref="A212:A214"/>
    <mergeCell ref="B212:B214"/>
    <mergeCell ref="C212:C214"/>
    <mergeCell ref="D212:D214"/>
    <mergeCell ref="E212:E214"/>
    <mergeCell ref="A215:A217"/>
    <mergeCell ref="B215:B217"/>
    <mergeCell ref="C215:C217"/>
    <mergeCell ref="D215:D217"/>
    <mergeCell ref="E215:E217"/>
    <mergeCell ref="A218:A220"/>
    <mergeCell ref="B218:B220"/>
    <mergeCell ref="C218:C220"/>
    <mergeCell ref="D218:D220"/>
    <mergeCell ref="E218:E220"/>
    <mergeCell ref="A221:A223"/>
    <mergeCell ref="B221:B223"/>
    <mergeCell ref="C221:C223"/>
    <mergeCell ref="D221:D223"/>
    <mergeCell ref="E221:E223"/>
    <mergeCell ref="A224:A226"/>
    <mergeCell ref="B224:B226"/>
    <mergeCell ref="C224:C226"/>
    <mergeCell ref="D224:D226"/>
    <mergeCell ref="E224:E226"/>
    <mergeCell ref="A227:A229"/>
    <mergeCell ref="B227:B229"/>
    <mergeCell ref="C227:C229"/>
    <mergeCell ref="D227:D229"/>
    <mergeCell ref="E227:E229"/>
    <mergeCell ref="A230:A232"/>
    <mergeCell ref="B230:B232"/>
    <mergeCell ref="C230:C232"/>
    <mergeCell ref="D230:D232"/>
    <mergeCell ref="E230:E232"/>
    <mergeCell ref="A233:A235"/>
    <mergeCell ref="B233:B235"/>
    <mergeCell ref="C233:C235"/>
    <mergeCell ref="D233:D235"/>
    <mergeCell ref="E233:E235"/>
    <mergeCell ref="A236:A238"/>
    <mergeCell ref="B236:B238"/>
    <mergeCell ref="C236:C238"/>
    <mergeCell ref="D236:D238"/>
    <mergeCell ref="E236:E238"/>
    <mergeCell ref="A239:A241"/>
    <mergeCell ref="B239:B241"/>
    <mergeCell ref="C239:C241"/>
    <mergeCell ref="D239:D241"/>
    <mergeCell ref="E239:E241"/>
    <mergeCell ref="A242:A244"/>
    <mergeCell ref="B242:B244"/>
    <mergeCell ref="C242:C244"/>
    <mergeCell ref="D242:D244"/>
    <mergeCell ref="E242:E244"/>
    <mergeCell ref="A245:A247"/>
    <mergeCell ref="B245:B247"/>
    <mergeCell ref="C245:C247"/>
    <mergeCell ref="D245:D247"/>
    <mergeCell ref="E245:E247"/>
    <mergeCell ref="A248:A250"/>
    <mergeCell ref="B248:B250"/>
    <mergeCell ref="C248:C250"/>
    <mergeCell ref="D248:D250"/>
    <mergeCell ref="E248:E250"/>
    <mergeCell ref="A251:A253"/>
    <mergeCell ref="B251:B253"/>
    <mergeCell ref="C251:C253"/>
    <mergeCell ref="D251:D253"/>
    <mergeCell ref="E251:E253"/>
    <mergeCell ref="A254:A256"/>
    <mergeCell ref="B254:B256"/>
    <mergeCell ref="C254:C256"/>
    <mergeCell ref="D254:D256"/>
    <mergeCell ref="E254:E256"/>
    <mergeCell ref="A257:A259"/>
    <mergeCell ref="B257:B259"/>
    <mergeCell ref="C257:C259"/>
    <mergeCell ref="D257:D259"/>
    <mergeCell ref="E257:E259"/>
    <mergeCell ref="A260:A262"/>
    <mergeCell ref="B260:B262"/>
    <mergeCell ref="C260:C262"/>
    <mergeCell ref="D260:D262"/>
    <mergeCell ref="E260:E262"/>
    <mergeCell ref="A263:A265"/>
    <mergeCell ref="B263:B265"/>
    <mergeCell ref="C263:C265"/>
    <mergeCell ref="D263:D265"/>
    <mergeCell ref="E263:E265"/>
    <mergeCell ref="A266:A268"/>
    <mergeCell ref="B266:B268"/>
    <mergeCell ref="C266:C268"/>
    <mergeCell ref="D266:D268"/>
    <mergeCell ref="E266:E268"/>
    <mergeCell ref="A269:A271"/>
    <mergeCell ref="B269:B271"/>
    <mergeCell ref="C269:C271"/>
    <mergeCell ref="D269:D271"/>
    <mergeCell ref="E269:E271"/>
    <mergeCell ref="A272:A274"/>
    <mergeCell ref="B272:B274"/>
    <mergeCell ref="C272:C274"/>
    <mergeCell ref="D272:D274"/>
    <mergeCell ref="E272:E274"/>
    <mergeCell ref="A275:A277"/>
    <mergeCell ref="B275:B277"/>
    <mergeCell ref="C275:C277"/>
    <mergeCell ref="D275:D277"/>
    <mergeCell ref="E275:E277"/>
    <mergeCell ref="A278:A280"/>
    <mergeCell ref="B278:B280"/>
    <mergeCell ref="C278:C280"/>
    <mergeCell ref="D278:D280"/>
    <mergeCell ref="E278:E280"/>
    <mergeCell ref="A281:A283"/>
    <mergeCell ref="B281:B283"/>
    <mergeCell ref="C281:C283"/>
    <mergeCell ref="D281:D283"/>
    <mergeCell ref="E281:E283"/>
    <mergeCell ref="A284:A286"/>
    <mergeCell ref="B284:B286"/>
    <mergeCell ref="C284:C286"/>
    <mergeCell ref="D284:D286"/>
    <mergeCell ref="E284:E286"/>
    <mergeCell ref="A287:A289"/>
    <mergeCell ref="B287:B289"/>
    <mergeCell ref="C287:C289"/>
    <mergeCell ref="D287:D289"/>
    <mergeCell ref="E287:E289"/>
    <mergeCell ref="A290:A292"/>
    <mergeCell ref="B290:B292"/>
    <mergeCell ref="C290:C292"/>
    <mergeCell ref="D290:D292"/>
    <mergeCell ref="E290:E292"/>
    <mergeCell ref="A293:A295"/>
    <mergeCell ref="B293:B295"/>
    <mergeCell ref="C293:C295"/>
    <mergeCell ref="D293:D295"/>
    <mergeCell ref="E293:E295"/>
    <mergeCell ref="A296:A298"/>
    <mergeCell ref="B296:B298"/>
    <mergeCell ref="C296:C298"/>
    <mergeCell ref="D296:D298"/>
    <mergeCell ref="E296:E298"/>
    <mergeCell ref="A299:A301"/>
    <mergeCell ref="B299:B301"/>
    <mergeCell ref="C299:C301"/>
    <mergeCell ref="D299:D301"/>
    <mergeCell ref="E299:E301"/>
    <mergeCell ref="A302:A304"/>
    <mergeCell ref="B302:B304"/>
    <mergeCell ref="C302:C304"/>
    <mergeCell ref="D302:D304"/>
    <mergeCell ref="E302:E304"/>
    <mergeCell ref="A305:A307"/>
    <mergeCell ref="B305:B307"/>
    <mergeCell ref="C305:C307"/>
    <mergeCell ref="D305:D307"/>
    <mergeCell ref="E305:E307"/>
    <mergeCell ref="A308:A310"/>
    <mergeCell ref="B308:B310"/>
    <mergeCell ref="C308:C310"/>
    <mergeCell ref="D308:D310"/>
    <mergeCell ref="E308:E310"/>
    <mergeCell ref="A311:A313"/>
    <mergeCell ref="B311:B313"/>
    <mergeCell ref="C311:C313"/>
    <mergeCell ref="D311:D313"/>
    <mergeCell ref="E311:E313"/>
    <mergeCell ref="A314:A316"/>
    <mergeCell ref="B314:B316"/>
    <mergeCell ref="C314:C316"/>
    <mergeCell ref="D314:D316"/>
    <mergeCell ref="E314:E316"/>
    <mergeCell ref="A317:A319"/>
    <mergeCell ref="B317:B319"/>
    <mergeCell ref="C317:C319"/>
    <mergeCell ref="D317:D319"/>
    <mergeCell ref="E317:E319"/>
    <mergeCell ref="A320:A322"/>
    <mergeCell ref="B320:B322"/>
    <mergeCell ref="C320:C322"/>
    <mergeCell ref="D320:D322"/>
    <mergeCell ref="E320:E322"/>
    <mergeCell ref="A323:A325"/>
    <mergeCell ref="B323:B325"/>
    <mergeCell ref="C323:C325"/>
    <mergeCell ref="D323:D325"/>
    <mergeCell ref="E323:E325"/>
    <mergeCell ref="A326:A328"/>
    <mergeCell ref="B326:B328"/>
    <mergeCell ref="C326:C328"/>
    <mergeCell ref="D326:D328"/>
    <mergeCell ref="E326:E328"/>
    <mergeCell ref="A329:A331"/>
    <mergeCell ref="B329:B331"/>
    <mergeCell ref="C329:C331"/>
    <mergeCell ref="D329:D331"/>
    <mergeCell ref="E329:E331"/>
    <mergeCell ref="A332:A334"/>
    <mergeCell ref="B332:B334"/>
    <mergeCell ref="C332:C334"/>
    <mergeCell ref="D332:D334"/>
    <mergeCell ref="E332:E334"/>
    <mergeCell ref="A335:A337"/>
    <mergeCell ref="B335:B337"/>
    <mergeCell ref="C335:C337"/>
    <mergeCell ref="D335:D337"/>
    <mergeCell ref="E335:E337"/>
    <mergeCell ref="A338:A340"/>
    <mergeCell ref="B338:B340"/>
    <mergeCell ref="C338:C340"/>
    <mergeCell ref="D338:D340"/>
    <mergeCell ref="E338:E340"/>
    <mergeCell ref="A341:A343"/>
    <mergeCell ref="B341:B343"/>
    <mergeCell ref="C341:C343"/>
    <mergeCell ref="D341:D343"/>
    <mergeCell ref="E341:E343"/>
    <mergeCell ref="A344:A346"/>
    <mergeCell ref="B344:B346"/>
    <mergeCell ref="C344:C346"/>
    <mergeCell ref="D344:D346"/>
    <mergeCell ref="E344:E346"/>
    <mergeCell ref="A347:A349"/>
    <mergeCell ref="B347:B349"/>
    <mergeCell ref="C347:C349"/>
    <mergeCell ref="D347:D349"/>
    <mergeCell ref="E347:E349"/>
    <mergeCell ref="A350:A352"/>
    <mergeCell ref="B350:B352"/>
    <mergeCell ref="C350:C352"/>
    <mergeCell ref="D350:D352"/>
    <mergeCell ref="E350:E352"/>
    <mergeCell ref="A353:A355"/>
    <mergeCell ref="B353:B355"/>
    <mergeCell ref="C353:C355"/>
    <mergeCell ref="D353:D355"/>
    <mergeCell ref="E353:E355"/>
    <mergeCell ref="A356:A358"/>
    <mergeCell ref="B356:B358"/>
    <mergeCell ref="C356:C358"/>
    <mergeCell ref="D356:D358"/>
    <mergeCell ref="E356:E358"/>
    <mergeCell ref="A359:A361"/>
    <mergeCell ref="B359:B361"/>
    <mergeCell ref="C359:C361"/>
    <mergeCell ref="D359:D361"/>
    <mergeCell ref="E359:E361"/>
    <mergeCell ref="A362:A364"/>
    <mergeCell ref="B362:B364"/>
    <mergeCell ref="C362:C364"/>
    <mergeCell ref="D362:D364"/>
    <mergeCell ref="E362:E364"/>
    <mergeCell ref="A365:A367"/>
    <mergeCell ref="B365:B367"/>
    <mergeCell ref="C365:C367"/>
    <mergeCell ref="D365:D367"/>
    <mergeCell ref="E365:E367"/>
    <mergeCell ref="A368:A370"/>
    <mergeCell ref="B368:B370"/>
    <mergeCell ref="C368:C370"/>
    <mergeCell ref="D368:D370"/>
    <mergeCell ref="E368:E370"/>
    <mergeCell ref="A371:A373"/>
    <mergeCell ref="B371:B373"/>
    <mergeCell ref="C371:C373"/>
    <mergeCell ref="D371:D373"/>
    <mergeCell ref="E371:E373"/>
    <mergeCell ref="A374:A376"/>
    <mergeCell ref="B374:B376"/>
    <mergeCell ref="C374:C376"/>
    <mergeCell ref="D374:D376"/>
    <mergeCell ref="E374:E376"/>
    <mergeCell ref="A377:A379"/>
    <mergeCell ref="B377:B379"/>
    <mergeCell ref="C377:C379"/>
    <mergeCell ref="D377:D379"/>
    <mergeCell ref="E377:E379"/>
    <mergeCell ref="A380:A382"/>
    <mergeCell ref="B380:B382"/>
    <mergeCell ref="C380:C382"/>
    <mergeCell ref="D380:D382"/>
    <mergeCell ref="E380:E382"/>
    <mergeCell ref="A383:A385"/>
    <mergeCell ref="B383:B385"/>
    <mergeCell ref="C383:C385"/>
    <mergeCell ref="D383:D385"/>
    <mergeCell ref="E383:E385"/>
    <mergeCell ref="A386:A388"/>
    <mergeCell ref="B386:B388"/>
    <mergeCell ref="C386:C388"/>
    <mergeCell ref="D386:D388"/>
    <mergeCell ref="E386:E388"/>
    <mergeCell ref="A389:A391"/>
    <mergeCell ref="B389:B391"/>
    <mergeCell ref="C389:C391"/>
    <mergeCell ref="D389:D391"/>
    <mergeCell ref="E389:E391"/>
    <mergeCell ref="A392:A394"/>
    <mergeCell ref="B392:B394"/>
    <mergeCell ref="C392:C394"/>
    <mergeCell ref="D392:D394"/>
    <mergeCell ref="E392:E394"/>
    <mergeCell ref="A395:A397"/>
    <mergeCell ref="B395:B397"/>
    <mergeCell ref="C395:C397"/>
    <mergeCell ref="D395:D397"/>
    <mergeCell ref="E395:E397"/>
    <mergeCell ref="A398:A400"/>
    <mergeCell ref="B398:B400"/>
    <mergeCell ref="C398:C400"/>
    <mergeCell ref="D398:D400"/>
    <mergeCell ref="E398:E400"/>
    <mergeCell ref="A401:A403"/>
    <mergeCell ref="B401:B403"/>
    <mergeCell ref="C401:C403"/>
    <mergeCell ref="D401:D403"/>
    <mergeCell ref="E401:E403"/>
    <mergeCell ref="A404:A406"/>
    <mergeCell ref="B404:B406"/>
    <mergeCell ref="C404:C406"/>
    <mergeCell ref="D404:D406"/>
    <mergeCell ref="E404:E406"/>
    <mergeCell ref="A407:A409"/>
    <mergeCell ref="B407:B409"/>
    <mergeCell ref="C407:C409"/>
    <mergeCell ref="D407:D409"/>
    <mergeCell ref="E407:E409"/>
    <mergeCell ref="A410:A412"/>
    <mergeCell ref="B410:B412"/>
    <mergeCell ref="C410:C412"/>
    <mergeCell ref="D410:D412"/>
    <mergeCell ref="E410:E412"/>
    <mergeCell ref="A413:A415"/>
    <mergeCell ref="B413:B415"/>
    <mergeCell ref="C413:C415"/>
    <mergeCell ref="D413:D415"/>
    <mergeCell ref="E413:E415"/>
    <mergeCell ref="A416:A418"/>
    <mergeCell ref="B416:B418"/>
    <mergeCell ref="C416:C418"/>
    <mergeCell ref="D416:D418"/>
    <mergeCell ref="E416:E418"/>
    <mergeCell ref="A419:A421"/>
    <mergeCell ref="B419:B421"/>
    <mergeCell ref="C419:C421"/>
    <mergeCell ref="D419:D421"/>
    <mergeCell ref="E419:E421"/>
    <mergeCell ref="A422:A424"/>
    <mergeCell ref="B422:B424"/>
    <mergeCell ref="C422:C424"/>
    <mergeCell ref="D422:D424"/>
    <mergeCell ref="E422:E424"/>
    <mergeCell ref="A425:A427"/>
    <mergeCell ref="B425:B427"/>
    <mergeCell ref="C425:C427"/>
    <mergeCell ref="D425:D427"/>
    <mergeCell ref="E425:E427"/>
    <mergeCell ref="A428:A430"/>
    <mergeCell ref="B428:B430"/>
    <mergeCell ref="C428:C430"/>
    <mergeCell ref="D428:D430"/>
    <mergeCell ref="E428:E430"/>
    <mergeCell ref="A431:A433"/>
    <mergeCell ref="B431:B433"/>
    <mergeCell ref="C431:C433"/>
    <mergeCell ref="D431:D433"/>
    <mergeCell ref="E431:E433"/>
    <mergeCell ref="A434:A436"/>
    <mergeCell ref="B434:B436"/>
    <mergeCell ref="C434:C436"/>
    <mergeCell ref="D434:D436"/>
    <mergeCell ref="E434:E436"/>
    <mergeCell ref="A437:A439"/>
    <mergeCell ref="B437:B439"/>
    <mergeCell ref="C437:C439"/>
    <mergeCell ref="D437:D439"/>
    <mergeCell ref="E437:E439"/>
    <mergeCell ref="A440:A442"/>
    <mergeCell ref="B440:B442"/>
    <mergeCell ref="C440:C442"/>
    <mergeCell ref="D440:D442"/>
    <mergeCell ref="E440:E442"/>
    <mergeCell ref="A443:A445"/>
    <mergeCell ref="B443:B445"/>
    <mergeCell ref="C443:C445"/>
    <mergeCell ref="D443:D445"/>
    <mergeCell ref="E443:E445"/>
    <mergeCell ref="A446:A448"/>
    <mergeCell ref="B446:B448"/>
    <mergeCell ref="C446:C448"/>
    <mergeCell ref="D446:D448"/>
    <mergeCell ref="E446:E448"/>
    <mergeCell ref="A449:A451"/>
    <mergeCell ref="B449:B451"/>
    <mergeCell ref="C449:C451"/>
    <mergeCell ref="D449:D451"/>
    <mergeCell ref="E449:E451"/>
    <mergeCell ref="A452:A454"/>
    <mergeCell ref="B452:B454"/>
    <mergeCell ref="C452:C454"/>
    <mergeCell ref="D452:D454"/>
    <mergeCell ref="E452:E454"/>
    <mergeCell ref="A455:A457"/>
    <mergeCell ref="B455:B457"/>
    <mergeCell ref="C455:C457"/>
    <mergeCell ref="D455:D457"/>
    <mergeCell ref="E455:E457"/>
    <mergeCell ref="A458:A460"/>
    <mergeCell ref="B458:B460"/>
    <mergeCell ref="C458:C460"/>
    <mergeCell ref="D458:D460"/>
    <mergeCell ref="E458:E460"/>
    <mergeCell ref="A461:A463"/>
    <mergeCell ref="B461:B463"/>
    <mergeCell ref="C461:C463"/>
    <mergeCell ref="D461:D463"/>
    <mergeCell ref="E461:E463"/>
    <mergeCell ref="A464:A466"/>
    <mergeCell ref="B464:B466"/>
    <mergeCell ref="C464:C466"/>
    <mergeCell ref="D464:D466"/>
    <mergeCell ref="E464:E466"/>
    <mergeCell ref="A467:A469"/>
    <mergeCell ref="B467:B469"/>
    <mergeCell ref="C467:C469"/>
    <mergeCell ref="D467:D469"/>
    <mergeCell ref="E467:E469"/>
    <mergeCell ref="A470:A472"/>
    <mergeCell ref="B470:B472"/>
    <mergeCell ref="C470:C472"/>
    <mergeCell ref="D470:D472"/>
    <mergeCell ref="E470:E472"/>
    <mergeCell ref="A473:A475"/>
    <mergeCell ref="B473:B475"/>
    <mergeCell ref="C473:C475"/>
    <mergeCell ref="D473:D475"/>
    <mergeCell ref="E473:E475"/>
    <mergeCell ref="A476:A478"/>
    <mergeCell ref="B476:B478"/>
    <mergeCell ref="C476:C478"/>
    <mergeCell ref="D476:D478"/>
    <mergeCell ref="E476:E478"/>
    <mergeCell ref="A479:A481"/>
    <mergeCell ref="B479:B481"/>
    <mergeCell ref="C479:C481"/>
    <mergeCell ref="D479:D481"/>
    <mergeCell ref="E479:E481"/>
    <mergeCell ref="A482:A484"/>
    <mergeCell ref="B482:B484"/>
    <mergeCell ref="C482:C484"/>
    <mergeCell ref="D482:D484"/>
    <mergeCell ref="E482:E484"/>
    <mergeCell ref="A485:A487"/>
    <mergeCell ref="B485:B487"/>
    <mergeCell ref="C485:C487"/>
    <mergeCell ref="D485:D487"/>
    <mergeCell ref="E485:E487"/>
    <mergeCell ref="A488:A490"/>
    <mergeCell ref="B488:B490"/>
    <mergeCell ref="C488:C490"/>
    <mergeCell ref="D488:D490"/>
    <mergeCell ref="E488:E490"/>
    <mergeCell ref="A491:A493"/>
    <mergeCell ref="B491:B493"/>
    <mergeCell ref="C491:C493"/>
    <mergeCell ref="D491:D493"/>
    <mergeCell ref="E491:E493"/>
    <mergeCell ref="A494:A496"/>
    <mergeCell ref="B494:B496"/>
    <mergeCell ref="C494:C496"/>
    <mergeCell ref="D494:D496"/>
    <mergeCell ref="E494:E496"/>
    <mergeCell ref="A509:A511"/>
    <mergeCell ref="B509:B511"/>
    <mergeCell ref="C509:C511"/>
    <mergeCell ref="D509:D511"/>
    <mergeCell ref="E509:E511"/>
    <mergeCell ref="A497:A499"/>
    <mergeCell ref="B497:B499"/>
    <mergeCell ref="C497:C499"/>
    <mergeCell ref="D497:D499"/>
    <mergeCell ref="E497:E499"/>
    <mergeCell ref="A503:A505"/>
    <mergeCell ref="B503:B505"/>
    <mergeCell ref="C503:C505"/>
    <mergeCell ref="D503:D505"/>
    <mergeCell ref="E503:E505"/>
    <mergeCell ref="A506:A508"/>
    <mergeCell ref="B506:B508"/>
    <mergeCell ref="C506:C508"/>
    <mergeCell ref="D506:D508"/>
    <mergeCell ref="A500:A502"/>
    <mergeCell ref="B500:B502"/>
    <mergeCell ref="C500:C502"/>
    <mergeCell ref="D500:D502"/>
    <mergeCell ref="E500:E502"/>
    <mergeCell ref="A512:A514"/>
    <mergeCell ref="B512:B514"/>
    <mergeCell ref="C512:C514"/>
    <mergeCell ref="D512:D514"/>
    <mergeCell ref="E512:E514"/>
    <mergeCell ref="A515:A517"/>
    <mergeCell ref="B515:B517"/>
    <mergeCell ref="C515:C517"/>
    <mergeCell ref="D515:D517"/>
    <mergeCell ref="E515:E517"/>
    <mergeCell ref="A545:A547"/>
    <mergeCell ref="B545:B547"/>
    <mergeCell ref="C545:C547"/>
    <mergeCell ref="D545:D547"/>
    <mergeCell ref="E545:E547"/>
    <mergeCell ref="A552:P552"/>
    <mergeCell ref="A554:A556"/>
    <mergeCell ref="B554:B556"/>
    <mergeCell ref="C554:C556"/>
    <mergeCell ref="D554:D556"/>
    <mergeCell ref="E554:E556"/>
    <mergeCell ref="F554:F556"/>
    <mergeCell ref="A548:A550"/>
    <mergeCell ref="B548:B550"/>
    <mergeCell ref="C548:C550"/>
    <mergeCell ref="D548:D550"/>
    <mergeCell ref="E548:E550"/>
    <mergeCell ref="F548:F550"/>
    <mergeCell ref="A560:A562"/>
    <mergeCell ref="B560:B562"/>
    <mergeCell ref="C560:C562"/>
    <mergeCell ref="D560:D562"/>
    <mergeCell ref="E560:E562"/>
    <mergeCell ref="F560:F562"/>
    <mergeCell ref="A557:A559"/>
    <mergeCell ref="B557:B559"/>
    <mergeCell ref="C557:C559"/>
    <mergeCell ref="D557:D559"/>
    <mergeCell ref="E557:E559"/>
    <mergeCell ref="F557:F559"/>
    <mergeCell ref="A566:A568"/>
    <mergeCell ref="B566:B568"/>
    <mergeCell ref="C566:C568"/>
    <mergeCell ref="D566:D568"/>
    <mergeCell ref="E566:E568"/>
    <mergeCell ref="F566:F568"/>
    <mergeCell ref="A563:A565"/>
    <mergeCell ref="B563:B565"/>
    <mergeCell ref="C563:C565"/>
    <mergeCell ref="D563:D565"/>
    <mergeCell ref="E563:E565"/>
    <mergeCell ref="F563:F565"/>
    <mergeCell ref="A572:A574"/>
    <mergeCell ref="B572:B574"/>
    <mergeCell ref="C572:C574"/>
    <mergeCell ref="D572:D574"/>
    <mergeCell ref="E572:E574"/>
    <mergeCell ref="F572:F574"/>
    <mergeCell ref="A569:A571"/>
    <mergeCell ref="B569:B571"/>
    <mergeCell ref="C569:C571"/>
    <mergeCell ref="D569:D571"/>
    <mergeCell ref="E569:E571"/>
    <mergeCell ref="F569:F571"/>
    <mergeCell ref="B578:E578"/>
    <mergeCell ref="A580:G580"/>
    <mergeCell ref="B582:G582"/>
    <mergeCell ref="B583:E583"/>
    <mergeCell ref="A575:A577"/>
    <mergeCell ref="B575:B577"/>
    <mergeCell ref="C575:C577"/>
    <mergeCell ref="D575:D577"/>
    <mergeCell ref="E575:E577"/>
    <mergeCell ref="F575:F577"/>
    <mergeCell ref="A518:A520"/>
    <mergeCell ref="B518:B520"/>
    <mergeCell ref="C518:C520"/>
    <mergeCell ref="D518:D520"/>
    <mergeCell ref="E518:E520"/>
    <mergeCell ref="A521:A523"/>
    <mergeCell ref="B521:B523"/>
    <mergeCell ref="C521:C523"/>
    <mergeCell ref="D521:D523"/>
    <mergeCell ref="E521:E523"/>
    <mergeCell ref="A524:A526"/>
    <mergeCell ref="B524:B526"/>
    <mergeCell ref="C524:C526"/>
    <mergeCell ref="D524:D526"/>
    <mergeCell ref="E524:E526"/>
    <mergeCell ref="A527:A529"/>
    <mergeCell ref="B527:B529"/>
    <mergeCell ref="C527:C529"/>
    <mergeCell ref="D527:D529"/>
    <mergeCell ref="E527:E529"/>
    <mergeCell ref="A530:A532"/>
    <mergeCell ref="B530:B532"/>
    <mergeCell ref="C530:C532"/>
    <mergeCell ref="D530:D532"/>
    <mergeCell ref="E530:E532"/>
    <mergeCell ref="A533:A535"/>
    <mergeCell ref="B533:B535"/>
    <mergeCell ref="C533:C535"/>
    <mergeCell ref="D533:D535"/>
    <mergeCell ref="E533:E535"/>
    <mergeCell ref="A542:A544"/>
    <mergeCell ref="B542:B544"/>
    <mergeCell ref="C542:C544"/>
    <mergeCell ref="D542:D544"/>
    <mergeCell ref="E542:E544"/>
    <mergeCell ref="A536:A538"/>
    <mergeCell ref="B536:B538"/>
    <mergeCell ref="C536:C538"/>
    <mergeCell ref="D536:D538"/>
    <mergeCell ref="E536:E538"/>
    <mergeCell ref="A539:A541"/>
    <mergeCell ref="B539:B541"/>
    <mergeCell ref="C539:C541"/>
    <mergeCell ref="D539:D541"/>
    <mergeCell ref="E539:E541"/>
  </mergeCells>
  <pageMargins left="0.31496062992125984" right="0.31496062992125984" top="0.74803149606299213" bottom="0.55118110236220474" header="0.31496062992125984" footer="0.11811023622047245"/>
  <pageSetup paperSize="9" scale="65" orientation="landscape" horizontalDpi="4294967293" r:id="rId1"/>
  <headerFooter>
    <oddFooter>&amp;R&amp;P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Company>Valmieras pilsetas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dala</dc:creator>
  <cp:lastModifiedBy>Sanita Djadela</cp:lastModifiedBy>
  <cp:lastPrinted>2025-02-17T06:44:00Z</cp:lastPrinted>
  <dcterms:created xsi:type="dcterms:W3CDTF">2012-01-17T09:24:01Z</dcterms:created>
  <dcterms:modified xsi:type="dcterms:W3CDTF">2025-02-20T09:43:39Z</dcterms:modified>
</cp:coreProperties>
</file>