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076DD13-8F3B-48C8-AD7E-D4B4EBABAAE9}" xr6:coauthVersionLast="47" xr6:coauthVersionMax="47" xr10:uidLastSave="{00000000-0000-0000-0000-000000000000}"/>
  <bookViews>
    <workbookView xWindow="-108" yWindow="-108" windowWidth="23256" windowHeight="12456" activeTab="8" xr2:uid="{06B35588-249B-421F-BBCD-3D1A8ADCF16B}"/>
  </bookViews>
  <sheets>
    <sheet name="1.pielikums" sheetId="10" r:id="rId1"/>
    <sheet name="2.pielikums" sheetId="12" r:id="rId2"/>
    <sheet name="3.pielikums" sheetId="13" r:id="rId3"/>
    <sheet name="4.pielikums" sheetId="11" r:id="rId4"/>
    <sheet name="5.piel." sheetId="7" r:id="rId5"/>
    <sheet name="6.piel." sheetId="5" r:id="rId6"/>
    <sheet name="7.piel." sheetId="6" r:id="rId7"/>
    <sheet name="8.piel. " sheetId="8" r:id="rId8"/>
    <sheet name="9.pielik." sheetId="9" r:id="rId9"/>
    <sheet name="Sheet1" sheetId="14" r:id="rId10"/>
  </sheets>
  <definedNames>
    <definedName name="_xlnm.Print_Titles" localSheetId="8">'9.pielik.'!$10:$14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42" i="11" l="1"/>
  <c r="D2647" i="10"/>
  <c r="D37" i="10" l="1"/>
  <c r="D2620" i="13"/>
  <c r="D2617" i="13"/>
  <c r="D2616" i="13"/>
  <c r="D2578" i="13"/>
  <c r="D2574" i="13"/>
  <c r="D2569" i="13"/>
  <c r="D2549" i="13" s="1"/>
  <c r="D2548" i="13" s="1"/>
  <c r="D2565" i="13"/>
  <c r="D2562" i="13"/>
  <c r="D2559" i="13"/>
  <c r="D2553" i="13"/>
  <c r="D2550" i="13"/>
  <c r="D2544" i="13"/>
  <c r="D2373" i="13" s="1"/>
  <c r="D2540" i="13"/>
  <c r="D2535" i="13"/>
  <c r="D2531" i="13"/>
  <c r="D2528" i="13"/>
  <c r="D2525" i="13"/>
  <c r="D2519" i="13"/>
  <c r="D2516" i="13"/>
  <c r="D2510" i="13"/>
  <c r="D2506" i="13"/>
  <c r="D2501" i="13"/>
  <c r="D2497" i="13"/>
  <c r="D2494" i="13"/>
  <c r="D2491" i="13"/>
  <c r="D2485" i="13"/>
  <c r="D2482" i="13"/>
  <c r="D2476" i="13"/>
  <c r="D2472" i="13"/>
  <c r="D2467" i="13"/>
  <c r="D2463" i="13"/>
  <c r="D2460" i="13"/>
  <c r="D2457" i="13"/>
  <c r="D2451" i="13"/>
  <c r="D2448" i="13"/>
  <c r="D2442" i="13"/>
  <c r="D2438" i="13"/>
  <c r="D2434" i="13"/>
  <c r="D2433" i="13" s="1"/>
  <c r="D2429" i="13"/>
  <c r="D2426" i="13"/>
  <c r="D2423" i="13"/>
  <c r="D2417" i="13"/>
  <c r="D2414" i="13"/>
  <c r="D2408" i="13"/>
  <c r="D2374" i="13" s="1"/>
  <c r="D2404" i="13"/>
  <c r="D2399" i="13"/>
  <c r="D2395" i="13"/>
  <c r="D2361" i="13" s="1"/>
  <c r="D2392" i="13"/>
  <c r="D2389" i="13"/>
  <c r="D2355" i="13" s="1"/>
  <c r="D2383" i="13"/>
  <c r="D2380" i="13"/>
  <c r="D2377" i="13"/>
  <c r="D2376" i="13"/>
  <c r="D2375" i="13"/>
  <c r="D2372" i="13"/>
  <c r="D2371" i="13"/>
  <c r="D2369" i="13"/>
  <c r="D2368" i="13"/>
  <c r="D2367" i="13"/>
  <c r="D2366" i="13"/>
  <c r="D2364" i="13"/>
  <c r="D2363" i="13"/>
  <c r="D2362" i="13"/>
  <c r="D2360" i="13"/>
  <c r="D2359" i="13"/>
  <c r="D2358" i="13"/>
  <c r="D2357" i="13"/>
  <c r="D2356" i="13"/>
  <c r="D2354" i="13"/>
  <c r="D2353" i="13"/>
  <c r="D2352" i="13"/>
  <c r="D2351" i="13"/>
  <c r="D2350" i="13"/>
  <c r="D2348" i="13"/>
  <c r="D2347" i="13"/>
  <c r="D2340" i="13"/>
  <c r="D2336" i="13"/>
  <c r="D2331" i="13"/>
  <c r="D2327" i="13"/>
  <c r="D2324" i="13"/>
  <c r="D2321" i="13"/>
  <c r="D2315" i="13"/>
  <c r="D2312" i="13"/>
  <c r="D2311" i="13" s="1"/>
  <c r="D2310" i="13" s="1"/>
  <c r="D2306" i="13"/>
  <c r="D2302" i="13"/>
  <c r="D2297" i="13"/>
  <c r="D2293" i="13"/>
  <c r="D2259" i="13" s="1"/>
  <c r="D2290" i="13"/>
  <c r="D2256" i="13" s="1"/>
  <c r="D2287" i="13"/>
  <c r="D2253" i="13" s="1"/>
  <c r="D2281" i="13"/>
  <c r="D2278" i="13"/>
  <c r="D2277" i="13" s="1"/>
  <c r="D2276" i="13" s="1"/>
  <c r="D2275" i="13"/>
  <c r="D2274" i="13"/>
  <c r="D2273" i="13"/>
  <c r="D2272" i="13"/>
  <c r="D2271" i="13"/>
  <c r="D2270" i="13"/>
  <c r="D2269" i="13"/>
  <c r="D2267" i="13"/>
  <c r="D2266" i="13"/>
  <c r="D2265" i="13"/>
  <c r="D2264" i="13"/>
  <c r="D2263" i="13"/>
  <c r="D2262" i="13"/>
  <c r="D2261" i="13"/>
  <c r="D2260" i="13"/>
  <c r="D2258" i="13"/>
  <c r="D2257" i="13"/>
  <c r="D2255" i="13"/>
  <c r="D2254" i="13"/>
  <c r="D2252" i="13"/>
  <c r="D2251" i="13"/>
  <c r="D2250" i="13"/>
  <c r="D1808" i="13" s="1"/>
  <c r="D2249" i="13"/>
  <c r="D2248" i="13"/>
  <c r="D2246" i="13"/>
  <c r="D2245" i="13"/>
  <c r="D2238" i="13"/>
  <c r="D2234" i="13"/>
  <c r="D2229" i="13"/>
  <c r="D2225" i="13"/>
  <c r="D2222" i="13"/>
  <c r="D2219" i="13"/>
  <c r="D2213" i="13"/>
  <c r="D2210" i="13"/>
  <c r="D2209" i="13" s="1"/>
  <c r="D2208" i="13" s="1"/>
  <c r="D2204" i="13"/>
  <c r="D2200" i="13"/>
  <c r="D2195" i="13"/>
  <c r="D2191" i="13"/>
  <c r="D2188" i="13"/>
  <c r="D2185" i="13"/>
  <c r="D2179" i="13"/>
  <c r="D2176" i="13"/>
  <c r="D2175" i="13" s="1"/>
  <c r="D2174" i="13" s="1"/>
  <c r="D2170" i="13"/>
  <c r="D2166" i="13"/>
  <c r="D2161" i="13"/>
  <c r="D2157" i="13"/>
  <c r="D2154" i="13"/>
  <c r="D2151" i="13"/>
  <c r="D2145" i="13"/>
  <c r="D2142" i="13"/>
  <c r="D2141" i="13" s="1"/>
  <c r="D2140" i="13" s="1"/>
  <c r="D2136" i="13"/>
  <c r="D2132" i="13"/>
  <c r="D2127" i="13"/>
  <c r="D2123" i="13"/>
  <c r="D2089" i="13" s="1"/>
  <c r="D2120" i="13"/>
  <c r="D2117" i="13"/>
  <c r="D2083" i="13" s="1"/>
  <c r="D2111" i="13"/>
  <c r="D2108" i="13"/>
  <c r="D2107" i="13" s="1"/>
  <c r="D2105" i="13"/>
  <c r="D2104" i="13"/>
  <c r="D1832" i="13" s="1"/>
  <c r="D2103" i="13"/>
  <c r="D2102" i="13"/>
  <c r="D2101" i="13"/>
  <c r="D2100" i="13"/>
  <c r="D2099" i="13"/>
  <c r="D2097" i="13"/>
  <c r="D2096" i="13"/>
  <c r="D2095" i="13"/>
  <c r="D2094" i="13"/>
  <c r="D2093" i="13"/>
  <c r="D2092" i="13"/>
  <c r="D2091" i="13"/>
  <c r="D2090" i="13"/>
  <c r="D2088" i="13"/>
  <c r="D2087" i="13"/>
  <c r="D1815" i="13" s="1"/>
  <c r="D2086" i="13"/>
  <c r="D2085" i="13"/>
  <c r="D2084" i="13"/>
  <c r="D2082" i="13"/>
  <c r="D2081" i="13"/>
  <c r="D2080" i="13"/>
  <c r="D2079" i="13"/>
  <c r="D2078" i="13"/>
  <c r="D2077" i="13"/>
  <c r="D2076" i="13"/>
  <c r="D2075" i="13"/>
  <c r="D2068" i="13"/>
  <c r="D2064" i="13"/>
  <c r="D2059" i="13"/>
  <c r="D2055" i="13"/>
  <c r="D2052" i="13"/>
  <c r="D2049" i="13"/>
  <c r="D2043" i="13"/>
  <c r="D2040" i="13"/>
  <c r="D2039" i="13" s="1"/>
  <c r="D2034" i="13"/>
  <c r="D2030" i="13"/>
  <c r="D2025" i="13"/>
  <c r="D2021" i="13"/>
  <c r="D2018" i="13"/>
  <c r="D2015" i="13"/>
  <c r="D2009" i="13"/>
  <c r="D2006" i="13"/>
  <c r="D2005" i="13" s="1"/>
  <c r="D2000" i="13"/>
  <c r="D1996" i="13"/>
  <c r="D1991" i="13"/>
  <c r="D1987" i="13"/>
  <c r="D1984" i="13"/>
  <c r="D1981" i="13"/>
  <c r="D1975" i="13"/>
  <c r="D1972" i="13"/>
  <c r="D1966" i="13"/>
  <c r="D1962" i="13"/>
  <c r="D1957" i="13"/>
  <c r="D1953" i="13"/>
  <c r="D1950" i="13"/>
  <c r="D1947" i="13"/>
  <c r="D1941" i="13"/>
  <c r="D1938" i="13"/>
  <c r="D1937" i="13" s="1"/>
  <c r="D1932" i="13"/>
  <c r="D1928" i="13"/>
  <c r="D1893" i="13" s="1"/>
  <c r="D1923" i="13"/>
  <c r="D1919" i="13"/>
  <c r="D1916" i="13"/>
  <c r="D1882" i="13" s="1"/>
  <c r="D1913" i="13"/>
  <c r="D1879" i="13" s="1"/>
  <c r="D1907" i="13"/>
  <c r="D1873" i="13" s="1"/>
  <c r="D1904" i="13"/>
  <c r="D1903" i="13" s="1"/>
  <c r="D1901" i="13"/>
  <c r="D1900" i="13"/>
  <c r="D1899" i="13"/>
  <c r="D1898" i="13"/>
  <c r="D1897" i="13"/>
  <c r="D1829" i="13" s="1"/>
  <c r="D1896" i="13"/>
  <c r="D1895" i="13"/>
  <c r="D1894" i="13"/>
  <c r="D1892" i="13"/>
  <c r="D1891" i="13"/>
  <c r="D1890" i="13"/>
  <c r="D1889" i="13"/>
  <c r="D1821" i="13" s="1"/>
  <c r="D1888" i="13"/>
  <c r="D1820" i="13" s="1"/>
  <c r="D1887" i="13"/>
  <c r="D1886" i="13"/>
  <c r="D1884" i="13"/>
  <c r="D1883" i="13"/>
  <c r="D1881" i="13"/>
  <c r="D1880" i="13"/>
  <c r="D1812" i="13" s="1"/>
  <c r="D1878" i="13"/>
  <c r="D1810" i="13" s="1"/>
  <c r="D1877" i="13"/>
  <c r="D1876" i="13"/>
  <c r="D1875" i="13"/>
  <c r="D1874" i="13"/>
  <c r="D1872" i="13"/>
  <c r="D1871" i="13"/>
  <c r="D1870" i="13"/>
  <c r="D1864" i="13"/>
  <c r="D1830" i="13" s="1"/>
  <c r="D1860" i="13"/>
  <c r="D1855" i="13"/>
  <c r="D1851" i="13"/>
  <c r="D1848" i="13"/>
  <c r="D1845" i="13"/>
  <c r="D1839" i="13"/>
  <c r="D1836" i="13"/>
  <c r="D1835" i="13" s="1"/>
  <c r="D1833" i="13"/>
  <c r="D1831" i="13"/>
  <c r="D1824" i="13"/>
  <c r="D1823" i="13"/>
  <c r="D1822" i="13"/>
  <c r="D1819" i="13"/>
  <c r="D1813" i="13"/>
  <c r="D1809" i="13"/>
  <c r="D1806" i="13"/>
  <c r="D1796" i="13"/>
  <c r="D1792" i="13"/>
  <c r="D1787" i="13"/>
  <c r="D1783" i="13"/>
  <c r="D1780" i="13"/>
  <c r="D1777" i="13"/>
  <c r="D1771" i="13"/>
  <c r="D1768" i="13"/>
  <c r="D1762" i="13"/>
  <c r="D1758" i="13"/>
  <c r="D1753" i="13"/>
  <c r="D1749" i="13"/>
  <c r="D1746" i="13"/>
  <c r="D1743" i="13"/>
  <c r="D1737" i="13"/>
  <c r="D1734" i="13"/>
  <c r="D1728" i="13"/>
  <c r="D1724" i="13"/>
  <c r="D1719" i="13"/>
  <c r="D1715" i="13"/>
  <c r="D1712" i="13"/>
  <c r="D1709" i="13"/>
  <c r="D1703" i="13"/>
  <c r="D1700" i="13"/>
  <c r="D1694" i="13"/>
  <c r="D1690" i="13"/>
  <c r="D1685" i="13"/>
  <c r="D1681" i="13"/>
  <c r="D1678" i="13"/>
  <c r="D1675" i="13"/>
  <c r="D1669" i="13"/>
  <c r="D1666" i="13"/>
  <c r="D1660" i="13"/>
  <c r="D1656" i="13"/>
  <c r="D1651" i="13"/>
  <c r="D1647" i="13"/>
  <c r="D1644" i="13"/>
  <c r="D1641" i="13"/>
  <c r="D1635" i="13"/>
  <c r="D1632" i="13"/>
  <c r="D1626" i="13"/>
  <c r="D1622" i="13"/>
  <c r="D1617" i="13"/>
  <c r="D1613" i="13"/>
  <c r="D1610" i="13"/>
  <c r="D1607" i="13"/>
  <c r="D1601" i="13"/>
  <c r="D1598" i="13"/>
  <c r="D1592" i="13"/>
  <c r="D1588" i="13"/>
  <c r="D1583" i="13"/>
  <c r="D1579" i="13"/>
  <c r="D1545" i="13" s="1"/>
  <c r="D1477" i="13" s="1"/>
  <c r="D1576" i="13"/>
  <c r="D1542" i="13" s="1"/>
  <c r="D1573" i="13"/>
  <c r="D1567" i="13"/>
  <c r="D1564" i="13"/>
  <c r="D1561" i="13"/>
  <c r="D1560" i="13"/>
  <c r="D1492" i="13" s="1"/>
  <c r="D1559" i="13"/>
  <c r="D1558" i="13"/>
  <c r="D1557" i="13"/>
  <c r="D1556" i="13"/>
  <c r="D1488" i="13" s="1"/>
  <c r="D1555" i="13"/>
  <c r="D1487" i="13" s="1"/>
  <c r="D1553" i="13"/>
  <c r="D1552" i="13"/>
  <c r="D1484" i="13" s="1"/>
  <c r="D1551" i="13"/>
  <c r="D1483" i="13" s="1"/>
  <c r="D1550" i="13"/>
  <c r="D1482" i="13" s="1"/>
  <c r="D1548" i="13"/>
  <c r="D1480" i="13" s="1"/>
  <c r="D1547" i="13"/>
  <c r="D1479" i="13" s="1"/>
  <c r="D1546" i="13"/>
  <c r="D1478" i="13" s="1"/>
  <c r="D1544" i="13"/>
  <c r="D1476" i="13" s="1"/>
  <c r="D1543" i="13"/>
  <c r="D1541" i="13"/>
  <c r="D1540" i="13"/>
  <c r="D1472" i="13" s="1"/>
  <c r="D1538" i="13"/>
  <c r="D1470" i="13" s="1"/>
  <c r="D1537" i="13"/>
  <c r="D1469" i="13" s="1"/>
  <c r="D1536" i="13"/>
  <c r="D1468" i="13" s="1"/>
  <c r="D1535" i="13"/>
  <c r="D1534" i="13"/>
  <c r="D1466" i="13" s="1"/>
  <c r="D1532" i="13"/>
  <c r="D1531" i="13"/>
  <c r="D1463" i="13" s="1"/>
  <c r="D1524" i="13"/>
  <c r="D1520" i="13"/>
  <c r="D1515" i="13"/>
  <c r="D1511" i="13"/>
  <c r="D1508" i="13"/>
  <c r="D1505" i="13"/>
  <c r="D1499" i="13"/>
  <c r="D1496" i="13"/>
  <c r="D1493" i="13"/>
  <c r="D1491" i="13"/>
  <c r="D1489" i="13"/>
  <c r="D1485" i="13"/>
  <c r="D1475" i="13"/>
  <c r="D1473" i="13"/>
  <c r="D1467" i="13"/>
  <c r="D1464" i="13"/>
  <c r="D1456" i="13"/>
  <c r="D1452" i="13"/>
  <c r="D1447" i="13"/>
  <c r="D1443" i="13"/>
  <c r="D1440" i="13"/>
  <c r="D1437" i="13"/>
  <c r="D1431" i="13"/>
  <c r="D1428" i="13"/>
  <c r="D1422" i="13"/>
  <c r="D1418" i="13"/>
  <c r="D1413" i="13"/>
  <c r="D1409" i="13"/>
  <c r="D1354" i="13" s="1"/>
  <c r="D1406" i="13"/>
  <c r="D1403" i="13"/>
  <c r="D1397" i="13"/>
  <c r="D1394" i="13"/>
  <c r="D1388" i="13"/>
  <c r="D1384" i="13"/>
  <c r="D1356" i="13" s="1"/>
  <c r="D1379" i="13"/>
  <c r="D1355" i="13" s="1"/>
  <c r="D1375" i="13"/>
  <c r="D1372" i="13"/>
  <c r="D1353" i="13" s="1"/>
  <c r="D1369" i="13"/>
  <c r="D1363" i="13"/>
  <c r="D1360" i="13"/>
  <c r="D1350" i="13"/>
  <c r="D1344" i="13"/>
  <c r="D1340" i="13"/>
  <c r="D1335" i="13"/>
  <c r="D1331" i="13"/>
  <c r="D1328" i="13"/>
  <c r="D1325" i="13"/>
  <c r="D1319" i="13"/>
  <c r="D1316" i="13"/>
  <c r="D1310" i="13"/>
  <c r="D1306" i="13"/>
  <c r="D1301" i="13"/>
  <c r="D1297" i="13"/>
  <c r="D1294" i="13"/>
  <c r="D1291" i="13"/>
  <c r="D1285" i="13"/>
  <c r="D1282" i="13"/>
  <c r="D1276" i="13"/>
  <c r="D1272" i="13"/>
  <c r="D1267" i="13"/>
  <c r="D1263" i="13"/>
  <c r="D1260" i="13"/>
  <c r="D1257" i="13"/>
  <c r="D1251" i="13"/>
  <c r="D1248" i="13"/>
  <c r="D1242" i="13"/>
  <c r="D1238" i="13"/>
  <c r="D1233" i="13"/>
  <c r="D1229" i="13"/>
  <c r="D1226" i="13"/>
  <c r="D1223" i="13"/>
  <c r="D1217" i="13"/>
  <c r="D1214" i="13"/>
  <c r="D1208" i="13"/>
  <c r="D1174" i="13" s="1"/>
  <c r="D1204" i="13"/>
  <c r="D1199" i="13"/>
  <c r="D1195" i="13"/>
  <c r="D1161" i="13" s="1"/>
  <c r="D1192" i="13"/>
  <c r="D1189" i="13"/>
  <c r="D1183" i="13"/>
  <c r="D1180" i="13"/>
  <c r="D1177" i="13"/>
  <c r="D1176" i="13"/>
  <c r="D1175" i="13"/>
  <c r="D1173" i="13"/>
  <c r="D1172" i="13"/>
  <c r="D1171" i="13"/>
  <c r="D1169" i="13"/>
  <c r="D1168" i="13"/>
  <c r="D1167" i="13"/>
  <c r="D1166" i="13"/>
  <c r="D1164" i="13"/>
  <c r="D1163" i="13"/>
  <c r="D1162" i="13"/>
  <c r="D1160" i="13"/>
  <c r="D1159" i="13"/>
  <c r="D1158" i="13"/>
  <c r="D1157" i="13"/>
  <c r="D1156" i="13"/>
  <c r="D1154" i="13"/>
  <c r="D1153" i="13"/>
  <c r="D1152" i="13"/>
  <c r="D1151" i="13"/>
  <c r="D1150" i="13"/>
  <c r="D1148" i="13"/>
  <c r="D1147" i="13"/>
  <c r="D1140" i="13"/>
  <c r="D1136" i="13"/>
  <c r="D1131" i="13"/>
  <c r="D1127" i="13"/>
  <c r="D1124" i="13"/>
  <c r="D1121" i="13"/>
  <c r="D1115" i="13"/>
  <c r="D1112" i="13"/>
  <c r="D1111" i="13" s="1"/>
  <c r="D1106" i="13"/>
  <c r="D1102" i="13"/>
  <c r="D1097" i="13"/>
  <c r="D1093" i="13"/>
  <c r="D1090" i="13"/>
  <c r="D1087" i="13"/>
  <c r="D1081" i="13"/>
  <c r="D1078" i="13"/>
  <c r="D1077" i="13" s="1"/>
  <c r="D1072" i="13"/>
  <c r="D1068" i="13"/>
  <c r="D1063" i="13"/>
  <c r="D1059" i="13"/>
  <c r="D1056" i="13"/>
  <c r="D1053" i="13"/>
  <c r="D1047" i="13"/>
  <c r="D1044" i="13"/>
  <c r="D1038" i="13"/>
  <c r="D1034" i="13"/>
  <c r="D1029" i="13"/>
  <c r="D1025" i="13"/>
  <c r="D1022" i="13"/>
  <c r="D1019" i="13"/>
  <c r="D1013" i="13"/>
  <c r="D1010" i="13"/>
  <c r="D1004" i="13"/>
  <c r="D1000" i="13"/>
  <c r="D995" i="13"/>
  <c r="D991" i="13"/>
  <c r="D988" i="13"/>
  <c r="D985" i="13"/>
  <c r="D979" i="13"/>
  <c r="D976" i="13"/>
  <c r="D975" i="13" s="1"/>
  <c r="D970" i="13"/>
  <c r="D936" i="13" s="1"/>
  <c r="D966" i="13"/>
  <c r="D961" i="13"/>
  <c r="D927" i="13" s="1"/>
  <c r="D957" i="13"/>
  <c r="D954" i="13"/>
  <c r="D951" i="13"/>
  <c r="D916" i="13" s="1"/>
  <c r="D945" i="13"/>
  <c r="D942" i="13"/>
  <c r="D941" i="13" s="1"/>
  <c r="D939" i="13"/>
  <c r="D938" i="13"/>
  <c r="D937" i="13"/>
  <c r="D935" i="13"/>
  <c r="D934" i="13"/>
  <c r="D933" i="13"/>
  <c r="D931" i="13"/>
  <c r="D930" i="13"/>
  <c r="D929" i="13"/>
  <c r="D928" i="13"/>
  <c r="D926" i="13"/>
  <c r="D925" i="13"/>
  <c r="D924" i="13"/>
  <c r="D923" i="13"/>
  <c r="D921" i="13"/>
  <c r="D920" i="13"/>
  <c r="D918" i="13"/>
  <c r="D917" i="13"/>
  <c r="D915" i="13"/>
  <c r="D914" i="13"/>
  <c r="D913" i="13"/>
  <c r="D912" i="13"/>
  <c r="D911" i="13"/>
  <c r="D910" i="13"/>
  <c r="D909" i="13"/>
  <c r="D908" i="13"/>
  <c r="D901" i="13"/>
  <c r="D897" i="13"/>
  <c r="D892" i="13"/>
  <c r="D888" i="13"/>
  <c r="D885" i="13"/>
  <c r="D882" i="13"/>
  <c r="D876" i="13"/>
  <c r="D873" i="13"/>
  <c r="D867" i="13"/>
  <c r="D863" i="13"/>
  <c r="D858" i="13"/>
  <c r="D854" i="13"/>
  <c r="D851" i="13"/>
  <c r="D848" i="13"/>
  <c r="D842" i="13"/>
  <c r="D774" i="13" s="1"/>
  <c r="D839" i="13"/>
  <c r="D833" i="13"/>
  <c r="D829" i="13"/>
  <c r="D795" i="13" s="1"/>
  <c r="D824" i="13"/>
  <c r="D820" i="13"/>
  <c r="D786" i="13" s="1"/>
  <c r="D817" i="13"/>
  <c r="D814" i="13"/>
  <c r="D805" i="13"/>
  <c r="D802" i="13"/>
  <c r="D801" i="13"/>
  <c r="D800" i="13"/>
  <c r="D798" i="13"/>
  <c r="D797" i="13"/>
  <c r="D525" i="13" s="1"/>
  <c r="D796" i="13"/>
  <c r="D524" i="13" s="1"/>
  <c r="D794" i="13"/>
  <c r="D793" i="13"/>
  <c r="D792" i="13"/>
  <c r="D791" i="13"/>
  <c r="D790" i="13"/>
  <c r="D789" i="13"/>
  <c r="D788" i="13"/>
  <c r="D787" i="13"/>
  <c r="D785" i="13"/>
  <c r="D784" i="13"/>
  <c r="D512" i="13" s="1"/>
  <c r="D783" i="13"/>
  <c r="D782" i="13"/>
  <c r="D781" i="13"/>
  <c r="D509" i="13" s="1"/>
  <c r="D779" i="13"/>
  <c r="D507" i="13" s="1"/>
  <c r="D778" i="13"/>
  <c r="D777" i="13"/>
  <c r="D776" i="13"/>
  <c r="D775" i="13"/>
  <c r="D773" i="13"/>
  <c r="D772" i="13"/>
  <c r="D500" i="13" s="1"/>
  <c r="D765" i="13"/>
  <c r="D761" i="13"/>
  <c r="D756" i="13"/>
  <c r="D752" i="13"/>
  <c r="D749" i="13"/>
  <c r="D746" i="13"/>
  <c r="D740" i="13"/>
  <c r="D737" i="13"/>
  <c r="D731" i="13"/>
  <c r="D727" i="13"/>
  <c r="D722" i="13"/>
  <c r="D718" i="13"/>
  <c r="D715" i="13"/>
  <c r="D712" i="13"/>
  <c r="D706" i="13"/>
  <c r="D703" i="13"/>
  <c r="D697" i="13"/>
  <c r="D693" i="13"/>
  <c r="D688" i="13"/>
  <c r="D684" i="13"/>
  <c r="D681" i="13"/>
  <c r="D678" i="13"/>
  <c r="D672" i="13"/>
  <c r="D669" i="13"/>
  <c r="D663" i="13"/>
  <c r="D659" i="13"/>
  <c r="D654" i="13"/>
  <c r="D650" i="13"/>
  <c r="D647" i="13"/>
  <c r="D644" i="13"/>
  <c r="D638" i="13"/>
  <c r="D635" i="13"/>
  <c r="D629" i="13"/>
  <c r="D625" i="13"/>
  <c r="D591" i="13" s="1"/>
  <c r="D620" i="13"/>
  <c r="D586" i="13" s="1"/>
  <c r="D616" i="13"/>
  <c r="D582" i="13" s="1"/>
  <c r="D613" i="13"/>
  <c r="D610" i="13"/>
  <c r="D604" i="13"/>
  <c r="D570" i="13" s="1"/>
  <c r="D601" i="13"/>
  <c r="D598" i="13"/>
  <c r="D530" i="13" s="1"/>
  <c r="D597" i="13"/>
  <c r="D596" i="13"/>
  <c r="D594" i="13"/>
  <c r="D593" i="13"/>
  <c r="D590" i="13"/>
  <c r="D522" i="13" s="1"/>
  <c r="D589" i="13"/>
  <c r="D521" i="13" s="1"/>
  <c r="D588" i="13"/>
  <c r="D520" i="13" s="1"/>
  <c r="D587" i="13"/>
  <c r="D519" i="13" s="1"/>
  <c r="D585" i="13"/>
  <c r="D517" i="13" s="1"/>
  <c r="D583" i="13"/>
  <c r="D581" i="13"/>
  <c r="D580" i="13"/>
  <c r="D579" i="13"/>
  <c r="D578" i="13"/>
  <c r="D577" i="13"/>
  <c r="D571" i="13"/>
  <c r="D503" i="13" s="1"/>
  <c r="D569" i="13"/>
  <c r="D568" i="13"/>
  <c r="D561" i="13"/>
  <c r="D557" i="13"/>
  <c r="D552" i="13"/>
  <c r="D548" i="13"/>
  <c r="D545" i="13"/>
  <c r="D542" i="13"/>
  <c r="D536" i="13"/>
  <c r="D533" i="13"/>
  <c r="D516" i="13"/>
  <c r="D515" i="13"/>
  <c r="D513" i="13"/>
  <c r="D506" i="13"/>
  <c r="D2591" i="13" s="1"/>
  <c r="D505" i="13"/>
  <c r="D504" i="13"/>
  <c r="D493" i="13"/>
  <c r="D489" i="13"/>
  <c r="D484" i="13"/>
  <c r="D480" i="13"/>
  <c r="D477" i="13"/>
  <c r="D474" i="13"/>
  <c r="D468" i="13"/>
  <c r="D465" i="13"/>
  <c r="D464" i="13" s="1"/>
  <c r="D459" i="13"/>
  <c r="D455" i="13"/>
  <c r="D450" i="13"/>
  <c r="D446" i="13"/>
  <c r="D443" i="13"/>
  <c r="D440" i="13"/>
  <c r="D434" i="13"/>
  <c r="D431" i="13"/>
  <c r="D430" i="13" s="1"/>
  <c r="D425" i="13"/>
  <c r="D421" i="13"/>
  <c r="D416" i="13"/>
  <c r="D412" i="13"/>
  <c r="D409" i="13"/>
  <c r="D406" i="13"/>
  <c r="D400" i="13"/>
  <c r="D397" i="13"/>
  <c r="D391" i="13"/>
  <c r="D387" i="13"/>
  <c r="D382" i="13"/>
  <c r="D378" i="13"/>
  <c r="D344" i="13" s="1"/>
  <c r="D375" i="13"/>
  <c r="D372" i="13"/>
  <c r="D366" i="13"/>
  <c r="D332" i="13" s="1"/>
  <c r="D363" i="13"/>
  <c r="D362" i="13" s="1"/>
  <c r="D360" i="13"/>
  <c r="D359" i="13"/>
  <c r="D358" i="13"/>
  <c r="D356" i="13"/>
  <c r="D355" i="13"/>
  <c r="D354" i="13"/>
  <c r="D353" i="13"/>
  <c r="D352" i="13"/>
  <c r="D351" i="13"/>
  <c r="D350" i="13"/>
  <c r="D349" i="13"/>
  <c r="D348" i="13"/>
  <c r="D347" i="13"/>
  <c r="D343" i="13"/>
  <c r="D342" i="13"/>
  <c r="D341" i="13"/>
  <c r="D340" i="13"/>
  <c r="D323" i="13"/>
  <c r="D319" i="13"/>
  <c r="D314" i="13"/>
  <c r="D310" i="13"/>
  <c r="D307" i="13"/>
  <c r="D304" i="13"/>
  <c r="D298" i="13"/>
  <c r="D295" i="13"/>
  <c r="D289" i="13"/>
  <c r="D285" i="13"/>
  <c r="D280" i="13"/>
  <c r="D246" i="13" s="1"/>
  <c r="D276" i="13"/>
  <c r="D273" i="13"/>
  <c r="D270" i="13"/>
  <c r="D264" i="13"/>
  <c r="D230" i="13" s="1"/>
  <c r="D261" i="13"/>
  <c r="D255" i="13"/>
  <c r="D242" i="13"/>
  <c r="D239" i="13"/>
  <c r="D69" i="13" s="1"/>
  <c r="D236" i="13"/>
  <c r="D221" i="13"/>
  <c r="D217" i="13"/>
  <c r="D212" i="13"/>
  <c r="D208" i="13"/>
  <c r="D205" i="13"/>
  <c r="D202" i="13"/>
  <c r="D196" i="13"/>
  <c r="D193" i="13"/>
  <c r="D187" i="13"/>
  <c r="D183" i="13"/>
  <c r="D178" i="13"/>
  <c r="D174" i="13"/>
  <c r="D171" i="13"/>
  <c r="D168" i="13"/>
  <c r="D162" i="13"/>
  <c r="D159" i="13"/>
  <c r="D153" i="13"/>
  <c r="D149" i="13"/>
  <c r="D144" i="13"/>
  <c r="D140" i="13"/>
  <c r="D137" i="13"/>
  <c r="D134" i="13"/>
  <c r="D128" i="13"/>
  <c r="D125" i="13"/>
  <c r="D119" i="13"/>
  <c r="D85" i="13" s="1"/>
  <c r="D115" i="13"/>
  <c r="D110" i="13"/>
  <c r="D106" i="13"/>
  <c r="D103" i="13"/>
  <c r="D100" i="13"/>
  <c r="D94" i="13"/>
  <c r="D91" i="13"/>
  <c r="D88" i="13"/>
  <c r="D87" i="13"/>
  <c r="D86" i="13"/>
  <c r="D84" i="13"/>
  <c r="D83" i="13"/>
  <c r="D82" i="13"/>
  <c r="D80" i="13"/>
  <c r="D79" i="13"/>
  <c r="D78" i="13"/>
  <c r="D77" i="13"/>
  <c r="D75" i="13"/>
  <c r="D74" i="13"/>
  <c r="D73" i="13"/>
  <c r="D71" i="13"/>
  <c r="D70" i="13"/>
  <c r="D68" i="13"/>
  <c r="D67" i="13"/>
  <c r="D65" i="13"/>
  <c r="D64" i="13"/>
  <c r="D63" i="13"/>
  <c r="D62" i="13"/>
  <c r="D61" i="13"/>
  <c r="D59" i="13"/>
  <c r="D58" i="13"/>
  <c r="D45" i="13"/>
  <c r="D43" i="13"/>
  <c r="D40" i="13"/>
  <c r="D24" i="13"/>
  <c r="D13" i="13"/>
  <c r="D12" i="13" s="1"/>
  <c r="N535" i="11"/>
  <c r="N534" i="11"/>
  <c r="M534" i="11"/>
  <c r="L534" i="11"/>
  <c r="K534" i="11"/>
  <c r="J534" i="11"/>
  <c r="I534" i="11"/>
  <c r="H534" i="11"/>
  <c r="O533" i="11"/>
  <c r="N533" i="11"/>
  <c r="O532" i="11"/>
  <c r="M532" i="11"/>
  <c r="M533" i="11" s="1"/>
  <c r="L532" i="11"/>
  <c r="L533" i="11" s="1"/>
  <c r="K532" i="11"/>
  <c r="K533" i="11" s="1"/>
  <c r="J532" i="11"/>
  <c r="J533" i="11" s="1"/>
  <c r="I532" i="11"/>
  <c r="I533" i="11" s="1"/>
  <c r="H532" i="11"/>
  <c r="H533" i="11" s="1"/>
  <c r="O531" i="11"/>
  <c r="P531" i="11" s="1"/>
  <c r="O530" i="11"/>
  <c r="N530" i="11"/>
  <c r="K530" i="11"/>
  <c r="J530" i="11"/>
  <c r="P529" i="11"/>
  <c r="O529" i="11"/>
  <c r="M529" i="11"/>
  <c r="M530" i="11" s="1"/>
  <c r="L529" i="11"/>
  <c r="L530" i="11" s="1"/>
  <c r="K529" i="11"/>
  <c r="J529" i="11"/>
  <c r="I529" i="11"/>
  <c r="I530" i="11" s="1"/>
  <c r="H529" i="11"/>
  <c r="H530" i="11" s="1"/>
  <c r="P528" i="11"/>
  <c r="O528" i="11"/>
  <c r="O527" i="11"/>
  <c r="N527" i="11"/>
  <c r="M527" i="11"/>
  <c r="L527" i="11"/>
  <c r="K527" i="11"/>
  <c r="J527" i="11"/>
  <c r="I527" i="11"/>
  <c r="H527" i="11"/>
  <c r="I526" i="11"/>
  <c r="P526" i="11" s="1"/>
  <c r="P525" i="11"/>
  <c r="N524" i="11"/>
  <c r="J524" i="11"/>
  <c r="I524" i="11"/>
  <c r="O523" i="11"/>
  <c r="M523" i="11"/>
  <c r="L523" i="11"/>
  <c r="L524" i="11" s="1"/>
  <c r="K523" i="11"/>
  <c r="K524" i="11" s="1"/>
  <c r="J523" i="11"/>
  <c r="I523" i="11"/>
  <c r="H523" i="11"/>
  <c r="H524" i="11" s="1"/>
  <c r="O522" i="11"/>
  <c r="N521" i="11"/>
  <c r="M521" i="11"/>
  <c r="M520" i="11"/>
  <c r="L520" i="11"/>
  <c r="L521" i="11" s="1"/>
  <c r="K520" i="11"/>
  <c r="K521" i="11" s="1"/>
  <c r="J520" i="11"/>
  <c r="J521" i="11" s="1"/>
  <c r="I520" i="11"/>
  <c r="I521" i="11" s="1"/>
  <c r="H520" i="11"/>
  <c r="H521" i="11" s="1"/>
  <c r="O519" i="11"/>
  <c r="O521" i="11" s="1"/>
  <c r="N518" i="11"/>
  <c r="J518" i="11"/>
  <c r="O517" i="11"/>
  <c r="M517" i="11"/>
  <c r="M518" i="11" s="1"/>
  <c r="L517" i="11"/>
  <c r="K517" i="11"/>
  <c r="K518" i="11" s="1"/>
  <c r="J517" i="11"/>
  <c r="I517" i="11"/>
  <c r="I518" i="11" s="1"/>
  <c r="H517" i="11"/>
  <c r="H518" i="11" s="1"/>
  <c r="O516" i="11"/>
  <c r="O515" i="11"/>
  <c r="N515" i="11"/>
  <c r="M515" i="11"/>
  <c r="L515" i="11"/>
  <c r="K514" i="11"/>
  <c r="J514" i="11"/>
  <c r="J515" i="11" s="1"/>
  <c r="I514" i="11"/>
  <c r="H514" i="11"/>
  <c r="P513" i="11"/>
  <c r="O506" i="11"/>
  <c r="N506" i="11"/>
  <c r="M506" i="11"/>
  <c r="L506" i="11"/>
  <c r="K506" i="11"/>
  <c r="J506" i="11"/>
  <c r="I506" i="11"/>
  <c r="H506" i="11"/>
  <c r="P505" i="11"/>
  <c r="P504" i="11"/>
  <c r="N503" i="11"/>
  <c r="M503" i="11"/>
  <c r="L503" i="11"/>
  <c r="K503" i="11"/>
  <c r="J503" i="11"/>
  <c r="I503" i="11"/>
  <c r="H503" i="11"/>
  <c r="O502" i="11"/>
  <c r="P502" i="11" s="1"/>
  <c r="O501" i="11"/>
  <c r="P501" i="11" s="1"/>
  <c r="N500" i="11"/>
  <c r="M500" i="11"/>
  <c r="L500" i="11"/>
  <c r="K500" i="11"/>
  <c r="J500" i="11"/>
  <c r="I500" i="11"/>
  <c r="H500" i="11"/>
  <c r="O499" i="11"/>
  <c r="P499" i="11" s="1"/>
  <c r="O498" i="11"/>
  <c r="O500" i="11" s="1"/>
  <c r="N497" i="11"/>
  <c r="M497" i="11"/>
  <c r="L497" i="11"/>
  <c r="K497" i="11"/>
  <c r="J497" i="11"/>
  <c r="I497" i="11"/>
  <c r="H497" i="11"/>
  <c r="O496" i="11"/>
  <c r="O495" i="11"/>
  <c r="P495" i="11" s="1"/>
  <c r="N494" i="11"/>
  <c r="M494" i="11"/>
  <c r="L494" i="11"/>
  <c r="K494" i="11"/>
  <c r="J494" i="11"/>
  <c r="I494" i="11"/>
  <c r="H494" i="11"/>
  <c r="O493" i="11"/>
  <c r="P493" i="11" s="1"/>
  <c r="O492" i="11"/>
  <c r="O494" i="11" s="1"/>
  <c r="N491" i="11"/>
  <c r="M491" i="11"/>
  <c r="L491" i="11"/>
  <c r="K491" i="11"/>
  <c r="J491" i="11"/>
  <c r="I491" i="11"/>
  <c r="H491" i="11"/>
  <c r="P490" i="11"/>
  <c r="O490" i="11"/>
  <c r="O489" i="11"/>
  <c r="N488" i="11"/>
  <c r="M488" i="11"/>
  <c r="L488" i="11"/>
  <c r="K488" i="11"/>
  <c r="J488" i="11"/>
  <c r="I488" i="11"/>
  <c r="H488" i="11"/>
  <c r="O487" i="11"/>
  <c r="P487" i="11" s="1"/>
  <c r="O486" i="11"/>
  <c r="O485" i="11"/>
  <c r="N485" i="11"/>
  <c r="M485" i="11"/>
  <c r="L485" i="11"/>
  <c r="K485" i="11"/>
  <c r="J485" i="11"/>
  <c r="I485" i="11"/>
  <c r="H485" i="11"/>
  <c r="P484" i="11"/>
  <c r="O484" i="11"/>
  <c r="O483" i="11"/>
  <c r="P483" i="11" s="1"/>
  <c r="N482" i="11"/>
  <c r="M482" i="11"/>
  <c r="L482" i="11"/>
  <c r="K482" i="11"/>
  <c r="J482" i="11"/>
  <c r="I482" i="11"/>
  <c r="H482" i="11"/>
  <c r="O481" i="11"/>
  <c r="P481" i="11" s="1"/>
  <c r="O480" i="11"/>
  <c r="O482" i="11" s="1"/>
  <c r="N479" i="11"/>
  <c r="M479" i="11"/>
  <c r="L479" i="11"/>
  <c r="K479" i="11"/>
  <c r="J479" i="11"/>
  <c r="I479" i="11"/>
  <c r="H479" i="11"/>
  <c r="O478" i="11"/>
  <c r="O477" i="11"/>
  <c r="P477" i="11" s="1"/>
  <c r="O476" i="11"/>
  <c r="N476" i="11"/>
  <c r="M476" i="11"/>
  <c r="L476" i="11"/>
  <c r="K476" i="11"/>
  <c r="J476" i="11"/>
  <c r="I476" i="11"/>
  <c r="H475" i="11"/>
  <c r="P475" i="11" s="1"/>
  <c r="P476" i="11" s="1"/>
  <c r="P474" i="11"/>
  <c r="N473" i="11"/>
  <c r="M473" i="11"/>
  <c r="L473" i="11"/>
  <c r="K473" i="11"/>
  <c r="J473" i="11"/>
  <c r="I473" i="11"/>
  <c r="O472" i="11"/>
  <c r="H472" i="11"/>
  <c r="O471" i="11"/>
  <c r="P471" i="11" s="1"/>
  <c r="N470" i="11"/>
  <c r="M470" i="11"/>
  <c r="L470" i="11"/>
  <c r="K470" i="11"/>
  <c r="J470" i="11"/>
  <c r="I470" i="11"/>
  <c r="H470" i="11"/>
  <c r="O469" i="11"/>
  <c r="H469" i="11"/>
  <c r="O468" i="11"/>
  <c r="P468" i="11" s="1"/>
  <c r="N467" i="11"/>
  <c r="M467" i="11"/>
  <c r="L467" i="11"/>
  <c r="K467" i="11"/>
  <c r="J467" i="11"/>
  <c r="I467" i="11"/>
  <c r="O466" i="11"/>
  <c r="O467" i="11" s="1"/>
  <c r="H466" i="11"/>
  <c r="P465" i="11"/>
  <c r="O465" i="11"/>
  <c r="N464" i="11"/>
  <c r="M464" i="11"/>
  <c r="L464" i="11"/>
  <c r="K464" i="11"/>
  <c r="J464" i="11"/>
  <c r="I464" i="11"/>
  <c r="P463" i="11"/>
  <c r="O463" i="11"/>
  <c r="O462" i="11"/>
  <c r="O464" i="11" s="1"/>
  <c r="H462" i="11"/>
  <c r="N461" i="11"/>
  <c r="M461" i="11"/>
  <c r="L461" i="11"/>
  <c r="K461" i="11"/>
  <c r="J461" i="11"/>
  <c r="I461" i="11"/>
  <c r="O460" i="11"/>
  <c r="H460" i="11"/>
  <c r="O459" i="11"/>
  <c r="N458" i="11"/>
  <c r="M458" i="11"/>
  <c r="H458" i="11"/>
  <c r="H457" i="11"/>
  <c r="P457" i="11" s="1"/>
  <c r="O456" i="11"/>
  <c r="O458" i="11" s="1"/>
  <c r="M456" i="11"/>
  <c r="L456" i="11"/>
  <c r="L458" i="11" s="1"/>
  <c r="K456" i="11"/>
  <c r="K458" i="11" s="1"/>
  <c r="J456" i="11"/>
  <c r="I456" i="11"/>
  <c r="I458" i="11" s="1"/>
  <c r="O455" i="11"/>
  <c r="H454" i="11"/>
  <c r="O453" i="11"/>
  <c r="N453" i="11"/>
  <c r="N455" i="11" s="1"/>
  <c r="M453" i="11"/>
  <c r="M455" i="11" s="1"/>
  <c r="L453" i="11"/>
  <c r="L455" i="11" s="1"/>
  <c r="K453" i="11"/>
  <c r="J453" i="11"/>
  <c r="J455" i="11" s="1"/>
  <c r="I453" i="11"/>
  <c r="I455" i="11" s="1"/>
  <c r="O451" i="11"/>
  <c r="H451" i="11"/>
  <c r="H452" i="11" s="1"/>
  <c r="O450" i="11"/>
  <c r="N450" i="11"/>
  <c r="N452" i="11" s="1"/>
  <c r="M450" i="11"/>
  <c r="M452" i="11" s="1"/>
  <c r="L450" i="11"/>
  <c r="L452" i="11" s="1"/>
  <c r="K450" i="11"/>
  <c r="J450" i="11"/>
  <c r="J452" i="11" s="1"/>
  <c r="I450" i="11"/>
  <c r="I452" i="11" s="1"/>
  <c r="N449" i="11"/>
  <c r="O448" i="11"/>
  <c r="P448" i="11" s="1"/>
  <c r="O447" i="11"/>
  <c r="N447" i="11"/>
  <c r="M447" i="11"/>
  <c r="M449" i="11" s="1"/>
  <c r="L447" i="11"/>
  <c r="L449" i="11" s="1"/>
  <c r="K447" i="11"/>
  <c r="K449" i="11" s="1"/>
  <c r="J447" i="11"/>
  <c r="J449" i="11" s="1"/>
  <c r="I447" i="11"/>
  <c r="I449" i="11" s="1"/>
  <c r="H447" i="11"/>
  <c r="H449" i="11" s="1"/>
  <c r="N446" i="11"/>
  <c r="M446" i="11"/>
  <c r="L446" i="11"/>
  <c r="K446" i="11"/>
  <c r="J446" i="11"/>
  <c r="I446" i="11"/>
  <c r="H446" i="11"/>
  <c r="O445" i="11"/>
  <c r="O444" i="11"/>
  <c r="P444" i="11" s="1"/>
  <c r="O443" i="11"/>
  <c r="N443" i="11"/>
  <c r="M443" i="11"/>
  <c r="L443" i="11"/>
  <c r="K443" i="11"/>
  <c r="J443" i="11"/>
  <c r="I443" i="11"/>
  <c r="H443" i="11"/>
  <c r="P442" i="11"/>
  <c r="P443" i="11" s="1"/>
  <c r="O441" i="11"/>
  <c r="P441" i="11" s="1"/>
  <c r="N440" i="11"/>
  <c r="M440" i="11"/>
  <c r="L440" i="11"/>
  <c r="K440" i="11"/>
  <c r="J440" i="11"/>
  <c r="I440" i="11"/>
  <c r="H439" i="11"/>
  <c r="P439" i="11" s="1"/>
  <c r="O438" i="11"/>
  <c r="O440" i="11" s="1"/>
  <c r="H438" i="11"/>
  <c r="P438" i="11" s="1"/>
  <c r="P440" i="11" s="1"/>
  <c r="M437" i="11"/>
  <c r="L437" i="11"/>
  <c r="H437" i="11"/>
  <c r="P436" i="11"/>
  <c r="O435" i="11"/>
  <c r="O437" i="11" s="1"/>
  <c r="N435" i="11"/>
  <c r="N437" i="11" s="1"/>
  <c r="M435" i="11"/>
  <c r="L435" i="11"/>
  <c r="K435" i="11"/>
  <c r="K437" i="11" s="1"/>
  <c r="J435" i="11"/>
  <c r="J437" i="11" s="1"/>
  <c r="I435" i="11"/>
  <c r="I437" i="11" s="1"/>
  <c r="H435" i="11"/>
  <c r="N434" i="11"/>
  <c r="M434" i="11"/>
  <c r="L434" i="11"/>
  <c r="K434" i="11"/>
  <c r="J434" i="11"/>
  <c r="I434" i="11"/>
  <c r="P433" i="11"/>
  <c r="H433" i="11"/>
  <c r="O432" i="11"/>
  <c r="O434" i="11" s="1"/>
  <c r="H432" i="11"/>
  <c r="N431" i="11"/>
  <c r="M431" i="11"/>
  <c r="L431" i="11"/>
  <c r="K431" i="11"/>
  <c r="J431" i="11"/>
  <c r="I431" i="11"/>
  <c r="H431" i="11"/>
  <c r="O430" i="11"/>
  <c r="O429" i="11"/>
  <c r="P429" i="11" s="1"/>
  <c r="N428" i="11"/>
  <c r="M428" i="11"/>
  <c r="L428" i="11"/>
  <c r="K428" i="11"/>
  <c r="J428" i="11"/>
  <c r="I428" i="11"/>
  <c r="O427" i="11"/>
  <c r="H427" i="11"/>
  <c r="P426" i="11"/>
  <c r="O426" i="11"/>
  <c r="O425" i="11"/>
  <c r="N425" i="11"/>
  <c r="M425" i="11"/>
  <c r="L425" i="11"/>
  <c r="K425" i="11"/>
  <c r="J425" i="11"/>
  <c r="I425" i="11"/>
  <c r="H424" i="11"/>
  <c r="P424" i="11" s="1"/>
  <c r="O423" i="11"/>
  <c r="H423" i="11"/>
  <c r="P423" i="11" s="1"/>
  <c r="N422" i="11"/>
  <c r="M422" i="11"/>
  <c r="L422" i="11"/>
  <c r="K422" i="11"/>
  <c r="J422" i="11"/>
  <c r="I422" i="11"/>
  <c r="H421" i="11"/>
  <c r="H422" i="11" s="1"/>
  <c r="O420" i="11"/>
  <c r="N419" i="11"/>
  <c r="M419" i="11"/>
  <c r="L419" i="11"/>
  <c r="K419" i="11"/>
  <c r="J419" i="11"/>
  <c r="I419" i="11"/>
  <c r="H418" i="11"/>
  <c r="P418" i="11" s="1"/>
  <c r="O417" i="11"/>
  <c r="O419" i="11" s="1"/>
  <c r="H417" i="11"/>
  <c r="N416" i="11"/>
  <c r="M416" i="11"/>
  <c r="L416" i="11"/>
  <c r="K416" i="11"/>
  <c r="J416" i="11"/>
  <c r="I416" i="11"/>
  <c r="H416" i="11"/>
  <c r="P415" i="11"/>
  <c r="O414" i="11"/>
  <c r="P414" i="11" s="1"/>
  <c r="N413" i="11"/>
  <c r="M413" i="11"/>
  <c r="L413" i="11"/>
  <c r="K413" i="11"/>
  <c r="J413" i="11"/>
  <c r="I413" i="11"/>
  <c r="H413" i="11"/>
  <c r="P412" i="11"/>
  <c r="O411" i="11"/>
  <c r="O413" i="11" s="1"/>
  <c r="H411" i="11"/>
  <c r="N410" i="11"/>
  <c r="M410" i="11"/>
  <c r="L410" i="11"/>
  <c r="K410" i="11"/>
  <c r="J410" i="11"/>
  <c r="I410" i="11"/>
  <c r="P409" i="11"/>
  <c r="O408" i="11"/>
  <c r="O410" i="11" s="1"/>
  <c r="H408" i="11"/>
  <c r="N407" i="11"/>
  <c r="M407" i="11"/>
  <c r="L407" i="11"/>
  <c r="K407" i="11"/>
  <c r="J407" i="11"/>
  <c r="I407" i="11"/>
  <c r="H406" i="11"/>
  <c r="P406" i="11" s="1"/>
  <c r="O405" i="11"/>
  <c r="O407" i="11" s="1"/>
  <c r="H405" i="11"/>
  <c r="H407" i="11" s="1"/>
  <c r="N404" i="11"/>
  <c r="M404" i="11"/>
  <c r="L404" i="11"/>
  <c r="K404" i="11"/>
  <c r="J404" i="11"/>
  <c r="I404" i="11"/>
  <c r="H403" i="11"/>
  <c r="O402" i="11"/>
  <c r="O404" i="11" s="1"/>
  <c r="H402" i="11"/>
  <c r="N401" i="11"/>
  <c r="M401" i="11"/>
  <c r="L401" i="11"/>
  <c r="K401" i="11"/>
  <c r="J401" i="11"/>
  <c r="I401" i="11"/>
  <c r="H400" i="11"/>
  <c r="O399" i="11"/>
  <c r="O401" i="11" s="1"/>
  <c r="H399" i="11"/>
  <c r="P399" i="11" s="1"/>
  <c r="O398" i="11"/>
  <c r="N398" i="11"/>
  <c r="M398" i="11"/>
  <c r="L398" i="11"/>
  <c r="K398" i="11"/>
  <c r="J398" i="11"/>
  <c r="I398" i="11"/>
  <c r="P397" i="11"/>
  <c r="H397" i="11"/>
  <c r="O396" i="11"/>
  <c r="H396" i="11"/>
  <c r="P396" i="11" s="1"/>
  <c r="N395" i="11"/>
  <c r="M395" i="11"/>
  <c r="L395" i="11"/>
  <c r="K395" i="11"/>
  <c r="J395" i="11"/>
  <c r="I395" i="11"/>
  <c r="H394" i="11"/>
  <c r="O393" i="11"/>
  <c r="H393" i="11"/>
  <c r="N392" i="11"/>
  <c r="M392" i="11"/>
  <c r="L392" i="11"/>
  <c r="K392" i="11"/>
  <c r="J392" i="11"/>
  <c r="I392" i="11"/>
  <c r="P391" i="11"/>
  <c r="H391" i="11"/>
  <c r="O390" i="11"/>
  <c r="H390" i="11"/>
  <c r="H392" i="11" s="1"/>
  <c r="N389" i="11"/>
  <c r="M389" i="11"/>
  <c r="L389" i="11"/>
  <c r="K389" i="11"/>
  <c r="J389" i="11"/>
  <c r="I389" i="11"/>
  <c r="H388" i="11"/>
  <c r="P388" i="11" s="1"/>
  <c r="O387" i="11"/>
  <c r="O389" i="11" s="1"/>
  <c r="H387" i="11"/>
  <c r="N386" i="11"/>
  <c r="M386" i="11"/>
  <c r="L386" i="11"/>
  <c r="K386" i="11"/>
  <c r="J386" i="11"/>
  <c r="I386" i="11"/>
  <c r="H385" i="11"/>
  <c r="P385" i="11" s="1"/>
  <c r="O384" i="11"/>
  <c r="O386" i="11" s="1"/>
  <c r="H384" i="11"/>
  <c r="H382" i="11"/>
  <c r="P382" i="11" s="1"/>
  <c r="O381" i="11"/>
  <c r="O383" i="11" s="1"/>
  <c r="N381" i="11"/>
  <c r="N383" i="11" s="1"/>
  <c r="M381" i="11"/>
  <c r="M383" i="11" s="1"/>
  <c r="L381" i="11"/>
  <c r="L383" i="11" s="1"/>
  <c r="K381" i="11"/>
  <c r="K383" i="11" s="1"/>
  <c r="J381" i="11"/>
  <c r="J383" i="11" s="1"/>
  <c r="I381" i="11"/>
  <c r="I383" i="11" s="1"/>
  <c r="H381" i="11"/>
  <c r="H383" i="11" s="1"/>
  <c r="N380" i="11"/>
  <c r="M380" i="11"/>
  <c r="L380" i="11"/>
  <c r="K380" i="11"/>
  <c r="J380" i="11"/>
  <c r="I380" i="11"/>
  <c r="O379" i="11"/>
  <c r="H379" i="11"/>
  <c r="P379" i="11" s="1"/>
  <c r="O378" i="11"/>
  <c r="H378" i="11"/>
  <c r="O377" i="11"/>
  <c r="N377" i="11"/>
  <c r="M377" i="11"/>
  <c r="L377" i="11"/>
  <c r="K377" i="11"/>
  <c r="J377" i="11"/>
  <c r="I377" i="11"/>
  <c r="H376" i="11"/>
  <c r="P376" i="11" s="1"/>
  <c r="O375" i="11"/>
  <c r="H375" i="11"/>
  <c r="N374" i="11"/>
  <c r="M374" i="11"/>
  <c r="L374" i="11"/>
  <c r="K374" i="11"/>
  <c r="J374" i="11"/>
  <c r="I374" i="11"/>
  <c r="O373" i="11"/>
  <c r="H373" i="11"/>
  <c r="P373" i="11" s="1"/>
  <c r="O372" i="11"/>
  <c r="H372" i="11"/>
  <c r="P372" i="11" s="1"/>
  <c r="P374" i="11" s="1"/>
  <c r="L371" i="11"/>
  <c r="O370" i="11"/>
  <c r="N370" i="11"/>
  <c r="N371" i="11" s="1"/>
  <c r="M370" i="11"/>
  <c r="M371" i="11" s="1"/>
  <c r="L370" i="11"/>
  <c r="K370" i="11"/>
  <c r="K371" i="11" s="1"/>
  <c r="J370" i="11"/>
  <c r="J371" i="11" s="1"/>
  <c r="I370" i="11"/>
  <c r="I371" i="11" s="1"/>
  <c r="H370" i="11"/>
  <c r="O369" i="11"/>
  <c r="H369" i="11"/>
  <c r="N368" i="11"/>
  <c r="M368" i="11"/>
  <c r="L368" i="11"/>
  <c r="K368" i="11"/>
  <c r="J368" i="11"/>
  <c r="I368" i="11"/>
  <c r="O367" i="11"/>
  <c r="H367" i="11"/>
  <c r="O366" i="11"/>
  <c r="H366" i="11"/>
  <c r="H368" i="11" s="1"/>
  <c r="O365" i="11"/>
  <c r="N365" i="11"/>
  <c r="M365" i="11"/>
  <c r="L365" i="11"/>
  <c r="K365" i="11"/>
  <c r="J365" i="11"/>
  <c r="I365" i="11"/>
  <c r="H365" i="11"/>
  <c r="P364" i="11"/>
  <c r="P363" i="11"/>
  <c r="O362" i="11"/>
  <c r="N362" i="11"/>
  <c r="M362" i="11"/>
  <c r="L362" i="11"/>
  <c r="K362" i="11"/>
  <c r="J362" i="11"/>
  <c r="I362" i="11"/>
  <c r="H361" i="11"/>
  <c r="P361" i="11" s="1"/>
  <c r="H360" i="11"/>
  <c r="P360" i="11" s="1"/>
  <c r="O359" i="11"/>
  <c r="N359" i="11"/>
  <c r="M359" i="11"/>
  <c r="L359" i="11"/>
  <c r="K359" i="11"/>
  <c r="J359" i="11"/>
  <c r="I359" i="11"/>
  <c r="H358" i="11"/>
  <c r="H357" i="11"/>
  <c r="P357" i="11" s="1"/>
  <c r="O356" i="11"/>
  <c r="N356" i="11"/>
  <c r="M356" i="11"/>
  <c r="L356" i="11"/>
  <c r="K356" i="11"/>
  <c r="J356" i="11"/>
  <c r="I356" i="11"/>
  <c r="H355" i="11"/>
  <c r="P355" i="11" s="1"/>
  <c r="H354" i="11"/>
  <c r="N353" i="11"/>
  <c r="M353" i="11"/>
  <c r="L353" i="11"/>
  <c r="K353" i="11"/>
  <c r="J353" i="11"/>
  <c r="I353" i="11"/>
  <c r="H352" i="11"/>
  <c r="O351" i="11"/>
  <c r="O353" i="11" s="1"/>
  <c r="H351" i="11"/>
  <c r="O350" i="11"/>
  <c r="N350" i="11"/>
  <c r="M350" i="11"/>
  <c r="L350" i="11"/>
  <c r="K350" i="11"/>
  <c r="J350" i="11"/>
  <c r="I350" i="11"/>
  <c r="H349" i="11"/>
  <c r="O348" i="11"/>
  <c r="H348" i="11"/>
  <c r="P348" i="11" s="1"/>
  <c r="N347" i="11"/>
  <c r="M347" i="11"/>
  <c r="L347" i="11"/>
  <c r="K347" i="11"/>
  <c r="J347" i="11"/>
  <c r="I347" i="11"/>
  <c r="H346" i="11"/>
  <c r="P346" i="11" s="1"/>
  <c r="O345" i="11"/>
  <c r="O347" i="11" s="1"/>
  <c r="H345" i="11"/>
  <c r="N344" i="11"/>
  <c r="M344" i="11"/>
  <c r="L344" i="11"/>
  <c r="K344" i="11"/>
  <c r="J344" i="11"/>
  <c r="I344" i="11"/>
  <c r="P343" i="11"/>
  <c r="H343" i="11"/>
  <c r="O342" i="11"/>
  <c r="O344" i="11" s="1"/>
  <c r="H342" i="11"/>
  <c r="N341" i="11"/>
  <c r="M341" i="11"/>
  <c r="L341" i="11"/>
  <c r="K341" i="11"/>
  <c r="J341" i="11"/>
  <c r="I341" i="11"/>
  <c r="H340" i="11"/>
  <c r="O339" i="11"/>
  <c r="H339" i="11"/>
  <c r="O338" i="11"/>
  <c r="N338" i="11"/>
  <c r="M338" i="11"/>
  <c r="L338" i="11"/>
  <c r="K337" i="11"/>
  <c r="J337" i="11"/>
  <c r="J338" i="11" s="1"/>
  <c r="I337" i="11"/>
  <c r="I338" i="11" s="1"/>
  <c r="H337" i="11"/>
  <c r="K336" i="11"/>
  <c r="H336" i="11"/>
  <c r="N335" i="11"/>
  <c r="M335" i="11"/>
  <c r="L335" i="11"/>
  <c r="K335" i="11"/>
  <c r="J335" i="11"/>
  <c r="I335" i="11"/>
  <c r="H334" i="11"/>
  <c r="P334" i="11" s="1"/>
  <c r="O333" i="11"/>
  <c r="O335" i="11" s="1"/>
  <c r="H333" i="11"/>
  <c r="N332" i="11"/>
  <c r="M332" i="11"/>
  <c r="L332" i="11"/>
  <c r="K332" i="11"/>
  <c r="J332" i="11"/>
  <c r="I332" i="11"/>
  <c r="H331" i="11"/>
  <c r="O330" i="11"/>
  <c r="O332" i="11" s="1"/>
  <c r="H330" i="11"/>
  <c r="O329" i="11"/>
  <c r="N329" i="11"/>
  <c r="M329" i="11"/>
  <c r="L329" i="11"/>
  <c r="K329" i="11"/>
  <c r="J329" i="11"/>
  <c r="I329" i="11"/>
  <c r="H329" i="11"/>
  <c r="P328" i="11"/>
  <c r="H328" i="11"/>
  <c r="O327" i="11"/>
  <c r="H327" i="11"/>
  <c r="P327" i="11" s="1"/>
  <c r="L326" i="11"/>
  <c r="H326" i="11"/>
  <c r="H325" i="11"/>
  <c r="P325" i="11" s="1"/>
  <c r="O324" i="11"/>
  <c r="O326" i="11" s="1"/>
  <c r="N324" i="11"/>
  <c r="N326" i="11" s="1"/>
  <c r="M324" i="11"/>
  <c r="M326" i="11" s="1"/>
  <c r="L324" i="11"/>
  <c r="K324" i="11"/>
  <c r="K326" i="11" s="1"/>
  <c r="J324" i="11"/>
  <c r="J326" i="11" s="1"/>
  <c r="I324" i="11"/>
  <c r="I326" i="11" s="1"/>
  <c r="H324" i="11"/>
  <c r="P322" i="11"/>
  <c r="H322" i="11"/>
  <c r="O321" i="11"/>
  <c r="O323" i="11" s="1"/>
  <c r="N321" i="11"/>
  <c r="N323" i="11" s="1"/>
  <c r="M321" i="11"/>
  <c r="M323" i="11" s="1"/>
  <c r="L321" i="11"/>
  <c r="L323" i="11" s="1"/>
  <c r="K321" i="11"/>
  <c r="K323" i="11" s="1"/>
  <c r="J321" i="11"/>
  <c r="J323" i="11" s="1"/>
  <c r="I321" i="11"/>
  <c r="I323" i="11" s="1"/>
  <c r="H321" i="11"/>
  <c r="H323" i="11" s="1"/>
  <c r="P320" i="11"/>
  <c r="O320" i="11"/>
  <c r="N320" i="11"/>
  <c r="M320" i="11"/>
  <c r="L320" i="11"/>
  <c r="K320" i="11"/>
  <c r="J320" i="11"/>
  <c r="I320" i="11"/>
  <c r="H320" i="11"/>
  <c r="P319" i="11"/>
  <c r="P318" i="11"/>
  <c r="O317" i="11"/>
  <c r="N317" i="11"/>
  <c r="M317" i="11"/>
  <c r="L317" i="11"/>
  <c r="K317" i="11"/>
  <c r="J317" i="11"/>
  <c r="I317" i="11"/>
  <c r="H317" i="11"/>
  <c r="P316" i="11"/>
  <c r="P315" i="11"/>
  <c r="P317" i="11" s="1"/>
  <c r="N314" i="11"/>
  <c r="M314" i="11"/>
  <c r="L314" i="11"/>
  <c r="K314" i="11"/>
  <c r="J314" i="11"/>
  <c r="I314" i="11"/>
  <c r="H313" i="11"/>
  <c r="O312" i="11"/>
  <c r="O314" i="11" s="1"/>
  <c r="H312" i="11"/>
  <c r="P312" i="11" s="1"/>
  <c r="O311" i="11"/>
  <c r="N311" i="11"/>
  <c r="M311" i="11"/>
  <c r="L311" i="11"/>
  <c r="K311" i="11"/>
  <c r="J311" i="11"/>
  <c r="I311" i="11"/>
  <c r="H310" i="11"/>
  <c r="P310" i="11" s="1"/>
  <c r="P309" i="11"/>
  <c r="O309" i="11"/>
  <c r="H309" i="11"/>
  <c r="N308" i="11"/>
  <c r="M308" i="11"/>
  <c r="L308" i="11"/>
  <c r="K308" i="11"/>
  <c r="J308" i="11"/>
  <c r="I308" i="11"/>
  <c r="H307" i="11"/>
  <c r="P307" i="11" s="1"/>
  <c r="O306" i="11"/>
  <c r="O308" i="11" s="1"/>
  <c r="H306" i="11"/>
  <c r="O305" i="11"/>
  <c r="M305" i="11"/>
  <c r="L305" i="11"/>
  <c r="K305" i="11"/>
  <c r="J305" i="11"/>
  <c r="I305" i="11"/>
  <c r="P304" i="11"/>
  <c r="H304" i="11"/>
  <c r="N303" i="11"/>
  <c r="N305" i="11" s="1"/>
  <c r="H303" i="11"/>
  <c r="N302" i="11"/>
  <c r="M302" i="11"/>
  <c r="L302" i="11"/>
  <c r="K302" i="11"/>
  <c r="J302" i="11"/>
  <c r="I302" i="11"/>
  <c r="H301" i="11"/>
  <c r="O300" i="11"/>
  <c r="H300" i="11"/>
  <c r="N299" i="11"/>
  <c r="M299" i="11"/>
  <c r="L299" i="11"/>
  <c r="K299" i="11"/>
  <c r="J299" i="11"/>
  <c r="I299" i="11"/>
  <c r="P298" i="11"/>
  <c r="H298" i="11"/>
  <c r="O297" i="11"/>
  <c r="O299" i="11" s="1"/>
  <c r="H297" i="11"/>
  <c r="O296" i="11"/>
  <c r="N296" i="11"/>
  <c r="M296" i="11"/>
  <c r="L296" i="11"/>
  <c r="K296" i="11"/>
  <c r="J296" i="11"/>
  <c r="I296" i="11"/>
  <c r="H295" i="11"/>
  <c r="O294" i="11"/>
  <c r="H294" i="11"/>
  <c r="O293" i="11"/>
  <c r="N293" i="11"/>
  <c r="M293" i="11"/>
  <c r="L293" i="11"/>
  <c r="K293" i="11"/>
  <c r="J293" i="11"/>
  <c r="I293" i="11"/>
  <c r="H292" i="11"/>
  <c r="P292" i="11" s="1"/>
  <c r="O291" i="11"/>
  <c r="H291" i="11"/>
  <c r="O290" i="11"/>
  <c r="N290" i="11"/>
  <c r="M290" i="11"/>
  <c r="L290" i="11"/>
  <c r="K290" i="11"/>
  <c r="J290" i="11"/>
  <c r="P289" i="11"/>
  <c r="I288" i="11"/>
  <c r="I290" i="11" s="1"/>
  <c r="H288" i="11"/>
  <c r="H290" i="11" s="1"/>
  <c r="N287" i="11"/>
  <c r="M287" i="11"/>
  <c r="L287" i="11"/>
  <c r="K287" i="11"/>
  <c r="J287" i="11"/>
  <c r="I287" i="11"/>
  <c r="O286" i="11"/>
  <c r="P286" i="11" s="1"/>
  <c r="H286" i="11"/>
  <c r="O285" i="11"/>
  <c r="H285" i="11"/>
  <c r="N284" i="11"/>
  <c r="M284" i="11"/>
  <c r="L284" i="11"/>
  <c r="K284" i="11"/>
  <c r="J284" i="11"/>
  <c r="I284" i="11"/>
  <c r="H284" i="11"/>
  <c r="O283" i="11"/>
  <c r="O284" i="11" s="1"/>
  <c r="H283" i="11"/>
  <c r="O282" i="11"/>
  <c r="H282" i="11"/>
  <c r="P282" i="11" s="1"/>
  <c r="O281" i="11"/>
  <c r="N281" i="11"/>
  <c r="L281" i="11"/>
  <c r="M280" i="11"/>
  <c r="L280" i="11"/>
  <c r="K280" i="11"/>
  <c r="K281" i="11" s="1"/>
  <c r="J280" i="11"/>
  <c r="J281" i="11" s="1"/>
  <c r="I280" i="11"/>
  <c r="I281" i="11" s="1"/>
  <c r="H280" i="11"/>
  <c r="P280" i="11" s="1"/>
  <c r="M279" i="11"/>
  <c r="M281" i="11" s="1"/>
  <c r="H279" i="11"/>
  <c r="N277" i="11"/>
  <c r="N278" i="11" s="1"/>
  <c r="M277" i="11"/>
  <c r="M278" i="11" s="1"/>
  <c r="L277" i="11"/>
  <c r="L278" i="11" s="1"/>
  <c r="K277" i="11"/>
  <c r="K278" i="11" s="1"/>
  <c r="J277" i="11"/>
  <c r="J278" i="11" s="1"/>
  <c r="I277" i="11"/>
  <c r="I278" i="11" s="1"/>
  <c r="H277" i="11"/>
  <c r="H278" i="11" s="1"/>
  <c r="O276" i="11"/>
  <c r="H276" i="11"/>
  <c r="O275" i="11"/>
  <c r="N275" i="11"/>
  <c r="M275" i="11"/>
  <c r="L275" i="11"/>
  <c r="K275" i="11"/>
  <c r="I275" i="11"/>
  <c r="J274" i="11"/>
  <c r="J275" i="11" s="1"/>
  <c r="I274" i="11"/>
  <c r="H274" i="11"/>
  <c r="M273" i="11"/>
  <c r="H273" i="11"/>
  <c r="P273" i="11" s="1"/>
  <c r="P272" i="11"/>
  <c r="O272" i="11"/>
  <c r="N272" i="11"/>
  <c r="M272" i="11"/>
  <c r="L272" i="11"/>
  <c r="K272" i="11"/>
  <c r="J272" i="11"/>
  <c r="I272" i="11"/>
  <c r="H272" i="11"/>
  <c r="P271" i="11"/>
  <c r="P270" i="11"/>
  <c r="O269" i="11"/>
  <c r="N269" i="11"/>
  <c r="M269" i="11"/>
  <c r="L269" i="11"/>
  <c r="K269" i="11"/>
  <c r="J269" i="11"/>
  <c r="I269" i="11"/>
  <c r="H269" i="11"/>
  <c r="P268" i="11"/>
  <c r="P267" i="11"/>
  <c r="I266" i="11"/>
  <c r="N265" i="11"/>
  <c r="N266" i="11" s="1"/>
  <c r="M265" i="11"/>
  <c r="M266" i="11" s="1"/>
  <c r="L265" i="11"/>
  <c r="L266" i="11" s="1"/>
  <c r="K265" i="11"/>
  <c r="K266" i="11" s="1"/>
  <c r="J265" i="11"/>
  <c r="J266" i="11" s="1"/>
  <c r="I265" i="11"/>
  <c r="H265" i="11"/>
  <c r="O264" i="11"/>
  <c r="O266" i="11" s="1"/>
  <c r="H264" i="11"/>
  <c r="H266" i="11" s="1"/>
  <c r="N263" i="11"/>
  <c r="L263" i="11"/>
  <c r="N262" i="11"/>
  <c r="M262" i="11"/>
  <c r="M263" i="11" s="1"/>
  <c r="L262" i="11"/>
  <c r="K262" i="11"/>
  <c r="K263" i="11" s="1"/>
  <c r="J262" i="11"/>
  <c r="J263" i="11" s="1"/>
  <c r="I262" i="11"/>
  <c r="I263" i="11" s="1"/>
  <c r="H262" i="11"/>
  <c r="O261" i="11"/>
  <c r="O263" i="11" s="1"/>
  <c r="H261" i="11"/>
  <c r="O260" i="11"/>
  <c r="N260" i="11"/>
  <c r="M260" i="11"/>
  <c r="L260" i="11"/>
  <c r="K260" i="11"/>
  <c r="J260" i="11"/>
  <c r="I260" i="11"/>
  <c r="H260" i="11"/>
  <c r="P259" i="11"/>
  <c r="P258" i="11"/>
  <c r="P260" i="11" s="1"/>
  <c r="N257" i="11"/>
  <c r="L257" i="11"/>
  <c r="J257" i="11"/>
  <c r="I257" i="11"/>
  <c r="O256" i="11"/>
  <c r="O257" i="11" s="1"/>
  <c r="N256" i="11"/>
  <c r="M256" i="11"/>
  <c r="M257" i="11" s="1"/>
  <c r="L256" i="11"/>
  <c r="K256" i="11"/>
  <c r="K257" i="11" s="1"/>
  <c r="J256" i="11"/>
  <c r="I256" i="11"/>
  <c r="H256" i="11"/>
  <c r="H257" i="11" s="1"/>
  <c r="P255" i="11"/>
  <c r="H255" i="11"/>
  <c r="O254" i="11"/>
  <c r="N254" i="11"/>
  <c r="K254" i="11"/>
  <c r="I254" i="11"/>
  <c r="M253" i="11"/>
  <c r="L253" i="11"/>
  <c r="L254" i="11" s="1"/>
  <c r="K253" i="11"/>
  <c r="J253" i="11"/>
  <c r="J254" i="11" s="1"/>
  <c r="I253" i="11"/>
  <c r="H253" i="11"/>
  <c r="M252" i="11"/>
  <c r="M254" i="11" s="1"/>
  <c r="H252" i="11"/>
  <c r="N251" i="11"/>
  <c r="M251" i="11"/>
  <c r="L251" i="11"/>
  <c r="K251" i="11"/>
  <c r="J251" i="11"/>
  <c r="I251" i="11"/>
  <c r="O250" i="11"/>
  <c r="O251" i="11" s="1"/>
  <c r="H250" i="11"/>
  <c r="H251" i="11" s="1"/>
  <c r="O249" i="11"/>
  <c r="P249" i="11" s="1"/>
  <c r="O248" i="11"/>
  <c r="N248" i="11"/>
  <c r="M248" i="11"/>
  <c r="L248" i="11"/>
  <c r="K248" i="11"/>
  <c r="J248" i="11"/>
  <c r="I248" i="11"/>
  <c r="H248" i="11"/>
  <c r="P247" i="11"/>
  <c r="P246" i="11"/>
  <c r="P248" i="11" s="1"/>
  <c r="O245" i="11"/>
  <c r="N245" i="11"/>
  <c r="J245" i="11"/>
  <c r="L244" i="11"/>
  <c r="L245" i="11" s="1"/>
  <c r="K244" i="11"/>
  <c r="K245" i="11" s="1"/>
  <c r="J244" i="11"/>
  <c r="I244" i="11"/>
  <c r="I245" i="11" s="1"/>
  <c r="H244" i="11"/>
  <c r="M243" i="11"/>
  <c r="M245" i="11" s="1"/>
  <c r="H243" i="11"/>
  <c r="P243" i="11" s="1"/>
  <c r="O242" i="11"/>
  <c r="N242" i="11"/>
  <c r="M242" i="11"/>
  <c r="K242" i="11"/>
  <c r="L241" i="11"/>
  <c r="L242" i="11" s="1"/>
  <c r="K241" i="11"/>
  <c r="J241" i="11"/>
  <c r="J242" i="11" s="1"/>
  <c r="I241" i="11"/>
  <c r="I242" i="11" s="1"/>
  <c r="H241" i="11"/>
  <c r="H240" i="11"/>
  <c r="H242" i="11" s="1"/>
  <c r="O239" i="11"/>
  <c r="N239" i="11"/>
  <c r="M239" i="11"/>
  <c r="L239" i="11"/>
  <c r="K239" i="11"/>
  <c r="K238" i="11"/>
  <c r="J238" i="11"/>
  <c r="J239" i="11" s="1"/>
  <c r="I238" i="11"/>
  <c r="I239" i="11" s="1"/>
  <c r="H238" i="11"/>
  <c r="H237" i="11"/>
  <c r="P237" i="11" s="1"/>
  <c r="N235" i="11"/>
  <c r="N236" i="11" s="1"/>
  <c r="M235" i="11"/>
  <c r="M236" i="11" s="1"/>
  <c r="L235" i="11"/>
  <c r="L236" i="11" s="1"/>
  <c r="K235" i="11"/>
  <c r="K236" i="11" s="1"/>
  <c r="J235" i="11"/>
  <c r="J236" i="11" s="1"/>
  <c r="I235" i="11"/>
  <c r="I236" i="11" s="1"/>
  <c r="H235" i="11"/>
  <c r="O234" i="11"/>
  <c r="H234" i="11"/>
  <c r="O233" i="11"/>
  <c r="N233" i="11"/>
  <c r="M233" i="11"/>
  <c r="I233" i="11"/>
  <c r="L232" i="11"/>
  <c r="K232" i="11"/>
  <c r="K233" i="11" s="1"/>
  <c r="J232" i="11"/>
  <c r="J233" i="11" s="1"/>
  <c r="I232" i="11"/>
  <c r="H232" i="11"/>
  <c r="P231" i="11"/>
  <c r="L231" i="11"/>
  <c r="L233" i="11" s="1"/>
  <c r="H231" i="11"/>
  <c r="H233" i="11" s="1"/>
  <c r="O230" i="11"/>
  <c r="N230" i="11"/>
  <c r="M230" i="11"/>
  <c r="H230" i="11"/>
  <c r="L229" i="11"/>
  <c r="K229" i="11"/>
  <c r="K230" i="11" s="1"/>
  <c r="J229" i="11"/>
  <c r="J230" i="11" s="1"/>
  <c r="I229" i="11"/>
  <c r="I230" i="11" s="1"/>
  <c r="H229" i="11"/>
  <c r="L228" i="11"/>
  <c r="H228" i="11"/>
  <c r="K227" i="11"/>
  <c r="I227" i="11"/>
  <c r="O226" i="11"/>
  <c r="O227" i="11" s="1"/>
  <c r="N226" i="11"/>
  <c r="N227" i="11" s="1"/>
  <c r="M226" i="11"/>
  <c r="M227" i="11" s="1"/>
  <c r="L226" i="11"/>
  <c r="L227" i="11" s="1"/>
  <c r="K226" i="11"/>
  <c r="J226" i="11"/>
  <c r="J227" i="11" s="1"/>
  <c r="I226" i="11"/>
  <c r="H226" i="11"/>
  <c r="P225" i="11"/>
  <c r="O225" i="11"/>
  <c r="H225" i="11"/>
  <c r="O223" i="11"/>
  <c r="N223" i="11"/>
  <c r="N224" i="11" s="1"/>
  <c r="M223" i="11"/>
  <c r="M224" i="11" s="1"/>
  <c r="L223" i="11"/>
  <c r="L224" i="11" s="1"/>
  <c r="K223" i="11"/>
  <c r="K224" i="11" s="1"/>
  <c r="J223" i="11"/>
  <c r="J224" i="11" s="1"/>
  <c r="I223" i="11"/>
  <c r="I224" i="11" s="1"/>
  <c r="H223" i="11"/>
  <c r="O222" i="11"/>
  <c r="O224" i="11" s="1"/>
  <c r="H222" i="11"/>
  <c r="P222" i="11" s="1"/>
  <c r="N220" i="11"/>
  <c r="N221" i="11" s="1"/>
  <c r="M220" i="11"/>
  <c r="M221" i="11" s="1"/>
  <c r="L220" i="11"/>
  <c r="L221" i="11" s="1"/>
  <c r="K220" i="11"/>
  <c r="K221" i="11" s="1"/>
  <c r="J220" i="11"/>
  <c r="J221" i="11" s="1"/>
  <c r="I220" i="11"/>
  <c r="I221" i="11" s="1"/>
  <c r="H220" i="11"/>
  <c r="O219" i="11"/>
  <c r="O221" i="11" s="1"/>
  <c r="H219" i="11"/>
  <c r="N217" i="11"/>
  <c r="N218" i="11" s="1"/>
  <c r="M217" i="11"/>
  <c r="M218" i="11" s="1"/>
  <c r="L217" i="11"/>
  <c r="L218" i="11" s="1"/>
  <c r="K217" i="11"/>
  <c r="K218" i="11" s="1"/>
  <c r="J217" i="11"/>
  <c r="J218" i="11" s="1"/>
  <c r="I217" i="11"/>
  <c r="I218" i="11" s="1"/>
  <c r="H217" i="11"/>
  <c r="O216" i="11"/>
  <c r="O218" i="11" s="1"/>
  <c r="H216" i="11"/>
  <c r="P216" i="11" s="1"/>
  <c r="O215" i="11"/>
  <c r="N214" i="11"/>
  <c r="N215" i="11" s="1"/>
  <c r="M214" i="11"/>
  <c r="M215" i="11" s="1"/>
  <c r="L214" i="11"/>
  <c r="L215" i="11" s="1"/>
  <c r="K214" i="11"/>
  <c r="K215" i="11" s="1"/>
  <c r="J214" i="11"/>
  <c r="J215" i="11" s="1"/>
  <c r="I214" i="11"/>
  <c r="H214" i="11"/>
  <c r="O213" i="11"/>
  <c r="H213" i="11"/>
  <c r="H215" i="11" s="1"/>
  <c r="J212" i="11"/>
  <c r="N211" i="11"/>
  <c r="N212" i="11" s="1"/>
  <c r="M211" i="11"/>
  <c r="M212" i="11" s="1"/>
  <c r="L211" i="11"/>
  <c r="L212" i="11" s="1"/>
  <c r="K211" i="11"/>
  <c r="K212" i="11" s="1"/>
  <c r="J211" i="11"/>
  <c r="I211" i="11"/>
  <c r="I212" i="11" s="1"/>
  <c r="H211" i="11"/>
  <c r="O210" i="11"/>
  <c r="H210" i="11"/>
  <c r="I209" i="11"/>
  <c r="N208" i="11"/>
  <c r="N209" i="11" s="1"/>
  <c r="M208" i="11"/>
  <c r="M209" i="11" s="1"/>
  <c r="L208" i="11"/>
  <c r="L209" i="11" s="1"/>
  <c r="K208" i="11"/>
  <c r="K209" i="11" s="1"/>
  <c r="J208" i="11"/>
  <c r="J209" i="11" s="1"/>
  <c r="I208" i="11"/>
  <c r="H208" i="11"/>
  <c r="O207" i="11"/>
  <c r="O209" i="11" s="1"/>
  <c r="H207" i="11"/>
  <c r="N206" i="11"/>
  <c r="K206" i="11"/>
  <c r="N205" i="11"/>
  <c r="M205" i="11"/>
  <c r="M206" i="11" s="1"/>
  <c r="L205" i="11"/>
  <c r="L206" i="11" s="1"/>
  <c r="J205" i="11"/>
  <c r="J206" i="11" s="1"/>
  <c r="I205" i="11"/>
  <c r="I206" i="11" s="1"/>
  <c r="H205" i="11"/>
  <c r="O204" i="11"/>
  <c r="O206" i="11" s="1"/>
  <c r="H204" i="11"/>
  <c r="P204" i="11" s="1"/>
  <c r="K203" i="11"/>
  <c r="N202" i="11"/>
  <c r="N203" i="11" s="1"/>
  <c r="M202" i="11"/>
  <c r="M203" i="11" s="1"/>
  <c r="L202" i="11"/>
  <c r="L203" i="11" s="1"/>
  <c r="J202" i="11"/>
  <c r="J203" i="11" s="1"/>
  <c r="I202" i="11"/>
  <c r="I203" i="11" s="1"/>
  <c r="H202" i="11"/>
  <c r="O201" i="11"/>
  <c r="O203" i="11" s="1"/>
  <c r="H201" i="11"/>
  <c r="O200" i="11"/>
  <c r="N200" i="11"/>
  <c r="M200" i="11"/>
  <c r="L200" i="11"/>
  <c r="J199" i="11"/>
  <c r="J200" i="11" s="1"/>
  <c r="I199" i="11"/>
  <c r="I200" i="11" s="1"/>
  <c r="H199" i="11"/>
  <c r="K198" i="11"/>
  <c r="K200" i="11" s="1"/>
  <c r="H198" i="11"/>
  <c r="H200" i="11" s="1"/>
  <c r="O197" i="11"/>
  <c r="N197" i="11"/>
  <c r="M197" i="11"/>
  <c r="L197" i="11"/>
  <c r="J197" i="11"/>
  <c r="I196" i="11"/>
  <c r="I197" i="11" s="1"/>
  <c r="H196" i="11"/>
  <c r="P196" i="11" s="1"/>
  <c r="K195" i="11"/>
  <c r="K197" i="11" s="1"/>
  <c r="H195" i="11"/>
  <c r="O194" i="11"/>
  <c r="N194" i="11"/>
  <c r="M194" i="11"/>
  <c r="L194" i="11"/>
  <c r="I194" i="11"/>
  <c r="J193" i="11"/>
  <c r="P193" i="11" s="1"/>
  <c r="I193" i="11"/>
  <c r="H193" i="11"/>
  <c r="K192" i="11"/>
  <c r="K194" i="11" s="1"/>
  <c r="J192" i="11"/>
  <c r="I192" i="11"/>
  <c r="H192" i="11"/>
  <c r="N190" i="11"/>
  <c r="M190" i="11"/>
  <c r="L190" i="11"/>
  <c r="K190" i="11"/>
  <c r="J190" i="11"/>
  <c r="I190" i="11"/>
  <c r="H190" i="11"/>
  <c r="O189" i="11"/>
  <c r="O191" i="11" s="1"/>
  <c r="N189" i="11"/>
  <c r="N191" i="11" s="1"/>
  <c r="M189" i="11"/>
  <c r="M191" i="11" s="1"/>
  <c r="L189" i="11"/>
  <c r="K189" i="11"/>
  <c r="K191" i="11" s="1"/>
  <c r="J189" i="11"/>
  <c r="I189" i="11"/>
  <c r="I191" i="11" s="1"/>
  <c r="H189" i="11"/>
  <c r="H191" i="11" s="1"/>
  <c r="M188" i="11"/>
  <c r="K188" i="11"/>
  <c r="O187" i="11"/>
  <c r="N187" i="11"/>
  <c r="M187" i="11"/>
  <c r="L187" i="11"/>
  <c r="K187" i="11"/>
  <c r="J187" i="11"/>
  <c r="I187" i="11"/>
  <c r="H187" i="11"/>
  <c r="O186" i="11"/>
  <c r="O188" i="11" s="1"/>
  <c r="N186" i="11"/>
  <c r="N188" i="11" s="1"/>
  <c r="M186" i="11"/>
  <c r="L186" i="11"/>
  <c r="L188" i="11" s="1"/>
  <c r="K186" i="11"/>
  <c r="J186" i="11"/>
  <c r="J188" i="11" s="1"/>
  <c r="I186" i="11"/>
  <c r="I188" i="11" s="1"/>
  <c r="H186" i="11"/>
  <c r="I185" i="11"/>
  <c r="O184" i="11"/>
  <c r="N184" i="11"/>
  <c r="N185" i="11" s="1"/>
  <c r="M184" i="11"/>
  <c r="M185" i="11" s="1"/>
  <c r="L184" i="11"/>
  <c r="L185" i="11" s="1"/>
  <c r="K184" i="11"/>
  <c r="K185" i="11" s="1"/>
  <c r="J184" i="11"/>
  <c r="J185" i="11" s="1"/>
  <c r="I184" i="11"/>
  <c r="H184" i="11"/>
  <c r="O183" i="11"/>
  <c r="O185" i="11" s="1"/>
  <c r="H183" i="11"/>
  <c r="O182" i="11"/>
  <c r="M182" i="11"/>
  <c r="O181" i="11"/>
  <c r="N181" i="11"/>
  <c r="N182" i="11" s="1"/>
  <c r="M181" i="11"/>
  <c r="L181" i="11"/>
  <c r="L182" i="11" s="1"/>
  <c r="K181" i="11"/>
  <c r="K182" i="11" s="1"/>
  <c r="J181" i="11"/>
  <c r="J182" i="11" s="1"/>
  <c r="I181" i="11"/>
  <c r="I182" i="11" s="1"/>
  <c r="H181" i="11"/>
  <c r="O180" i="11"/>
  <c r="H180" i="11"/>
  <c r="P180" i="11" s="1"/>
  <c r="O179" i="11"/>
  <c r="M179" i="11"/>
  <c r="O178" i="11"/>
  <c r="N178" i="11"/>
  <c r="N179" i="11" s="1"/>
  <c r="M178" i="11"/>
  <c r="L178" i="11"/>
  <c r="L179" i="11" s="1"/>
  <c r="K178" i="11"/>
  <c r="K179" i="11" s="1"/>
  <c r="J178" i="11"/>
  <c r="J179" i="11" s="1"/>
  <c r="I178" i="11"/>
  <c r="I179" i="11" s="1"/>
  <c r="H178" i="11"/>
  <c r="O177" i="11"/>
  <c r="H177" i="11"/>
  <c r="H179" i="11" s="1"/>
  <c r="O176" i="11"/>
  <c r="N176" i="11"/>
  <c r="M176" i="11"/>
  <c r="L176" i="11"/>
  <c r="K176" i="11"/>
  <c r="J176" i="11"/>
  <c r="I176" i="11"/>
  <c r="H175" i="11"/>
  <c r="H176" i="11" s="1"/>
  <c r="P174" i="11"/>
  <c r="O173" i="11"/>
  <c r="N173" i="11"/>
  <c r="M173" i="11"/>
  <c r="L173" i="11"/>
  <c r="K172" i="11"/>
  <c r="K173" i="11" s="1"/>
  <c r="J172" i="11"/>
  <c r="J173" i="11" s="1"/>
  <c r="I172" i="11"/>
  <c r="I173" i="11" s="1"/>
  <c r="H172" i="11"/>
  <c r="H171" i="11"/>
  <c r="P171" i="11" s="1"/>
  <c r="N170" i="11"/>
  <c r="L170" i="11"/>
  <c r="O169" i="11"/>
  <c r="O170" i="11" s="1"/>
  <c r="N169" i="11"/>
  <c r="M169" i="11"/>
  <c r="M170" i="11" s="1"/>
  <c r="L169" i="11"/>
  <c r="K169" i="11"/>
  <c r="K170" i="11" s="1"/>
  <c r="J169" i="11"/>
  <c r="J170" i="11" s="1"/>
  <c r="I169" i="11"/>
  <c r="I170" i="11" s="1"/>
  <c r="H169" i="11"/>
  <c r="O168" i="11"/>
  <c r="H168" i="11"/>
  <c r="H170" i="11" s="1"/>
  <c r="O167" i="11"/>
  <c r="N166" i="11"/>
  <c r="M166" i="11"/>
  <c r="M167" i="11" s="1"/>
  <c r="L166" i="11"/>
  <c r="L167" i="11" s="1"/>
  <c r="K166" i="11"/>
  <c r="K167" i="11" s="1"/>
  <c r="J166" i="11"/>
  <c r="I166" i="11"/>
  <c r="I167" i="11" s="1"/>
  <c r="H166" i="11"/>
  <c r="N165" i="11"/>
  <c r="H165" i="11"/>
  <c r="H167" i="11" s="1"/>
  <c r="O164" i="11"/>
  <c r="I164" i="11"/>
  <c r="O163" i="11"/>
  <c r="N163" i="11"/>
  <c r="M163" i="11"/>
  <c r="L163" i="11"/>
  <c r="K163" i="11"/>
  <c r="J163" i="11"/>
  <c r="I163" i="11"/>
  <c r="H163" i="11"/>
  <c r="H164" i="11" s="1"/>
  <c r="O162" i="11"/>
  <c r="N162" i="11"/>
  <c r="N164" i="11" s="1"/>
  <c r="M162" i="11"/>
  <c r="L162" i="11"/>
  <c r="L164" i="11" s="1"/>
  <c r="K162" i="11"/>
  <c r="K164" i="11" s="1"/>
  <c r="J162" i="11"/>
  <c r="I162" i="11"/>
  <c r="H162" i="11"/>
  <c r="O161" i="11"/>
  <c r="N161" i="11"/>
  <c r="H161" i="11"/>
  <c r="M160" i="11"/>
  <c r="L160" i="11"/>
  <c r="K160" i="11"/>
  <c r="J160" i="11"/>
  <c r="I160" i="11"/>
  <c r="H160" i="11"/>
  <c r="N159" i="11"/>
  <c r="M159" i="11"/>
  <c r="L159" i="11"/>
  <c r="K159" i="11"/>
  <c r="J159" i="11"/>
  <c r="I159" i="11"/>
  <c r="I161" i="11" s="1"/>
  <c r="H159" i="11"/>
  <c r="O157" i="11"/>
  <c r="N157" i="11"/>
  <c r="M157" i="11"/>
  <c r="M158" i="11" s="1"/>
  <c r="L157" i="11"/>
  <c r="K157" i="11"/>
  <c r="J157" i="11"/>
  <c r="I157" i="11"/>
  <c r="H157" i="11"/>
  <c r="O156" i="11"/>
  <c r="N156" i="11"/>
  <c r="M156" i="11"/>
  <c r="L156" i="11"/>
  <c r="L158" i="11" s="1"/>
  <c r="K156" i="11"/>
  <c r="K158" i="11" s="1"/>
  <c r="J156" i="11"/>
  <c r="I156" i="11"/>
  <c r="I158" i="11" s="1"/>
  <c r="H156" i="11"/>
  <c r="H158" i="11" s="1"/>
  <c r="O155" i="11"/>
  <c r="N155" i="11"/>
  <c r="M155" i="11"/>
  <c r="K155" i="11"/>
  <c r="J155" i="11"/>
  <c r="L154" i="11"/>
  <c r="L155" i="11" s="1"/>
  <c r="K154" i="11"/>
  <c r="J154" i="11"/>
  <c r="I154" i="11"/>
  <c r="I155" i="11" s="1"/>
  <c r="H154" i="11"/>
  <c r="H153" i="11"/>
  <c r="P153" i="11" s="1"/>
  <c r="L152" i="11"/>
  <c r="J152" i="11"/>
  <c r="O151" i="11"/>
  <c r="N151" i="11"/>
  <c r="N152" i="11" s="1"/>
  <c r="M151" i="11"/>
  <c r="M152" i="11" s="1"/>
  <c r="L151" i="11"/>
  <c r="K151" i="11"/>
  <c r="K152" i="11" s="1"/>
  <c r="J151" i="11"/>
  <c r="I151" i="11"/>
  <c r="I152" i="11" s="1"/>
  <c r="H151" i="11"/>
  <c r="O150" i="11"/>
  <c r="O152" i="11" s="1"/>
  <c r="H150" i="11"/>
  <c r="O149" i="11"/>
  <c r="N149" i="11"/>
  <c r="M149" i="11"/>
  <c r="J149" i="11"/>
  <c r="L148" i="11"/>
  <c r="L149" i="11" s="1"/>
  <c r="K148" i="11"/>
  <c r="K149" i="11" s="1"/>
  <c r="J148" i="11"/>
  <c r="I148" i="11"/>
  <c r="I149" i="11" s="1"/>
  <c r="H148" i="11"/>
  <c r="H147" i="11"/>
  <c r="P147" i="11" s="1"/>
  <c r="O146" i="11"/>
  <c r="N146" i="11"/>
  <c r="M146" i="11"/>
  <c r="L146" i="11"/>
  <c r="K146" i="11"/>
  <c r="J146" i="11"/>
  <c r="I146" i="11"/>
  <c r="H146" i="11"/>
  <c r="P145" i="11"/>
  <c r="P144" i="11"/>
  <c r="N143" i="11"/>
  <c r="K143" i="11"/>
  <c r="O142" i="11"/>
  <c r="N142" i="11"/>
  <c r="M142" i="11"/>
  <c r="M143" i="11" s="1"/>
  <c r="L142" i="11"/>
  <c r="L143" i="11" s="1"/>
  <c r="K142" i="11"/>
  <c r="J142" i="11"/>
  <c r="J143" i="11" s="1"/>
  <c r="I142" i="11"/>
  <c r="I143" i="11" s="1"/>
  <c r="H142" i="11"/>
  <c r="O141" i="11"/>
  <c r="H141" i="11"/>
  <c r="N140" i="11"/>
  <c r="N139" i="11"/>
  <c r="M139" i="11"/>
  <c r="M140" i="11" s="1"/>
  <c r="L139" i="11"/>
  <c r="L140" i="11" s="1"/>
  <c r="K139" i="11"/>
  <c r="K140" i="11" s="1"/>
  <c r="J139" i="11"/>
  <c r="J140" i="11" s="1"/>
  <c r="I139" i="11"/>
  <c r="I140" i="11" s="1"/>
  <c r="H139" i="11"/>
  <c r="O138" i="11"/>
  <c r="H138" i="11"/>
  <c r="L137" i="11"/>
  <c r="N136" i="11"/>
  <c r="N137" i="11" s="1"/>
  <c r="M136" i="11"/>
  <c r="M137" i="11" s="1"/>
  <c r="L136" i="11"/>
  <c r="K136" i="11"/>
  <c r="K137" i="11" s="1"/>
  <c r="J136" i="11"/>
  <c r="J137" i="11" s="1"/>
  <c r="I136" i="11"/>
  <c r="H136" i="11"/>
  <c r="O135" i="11"/>
  <c r="O137" i="11" s="1"/>
  <c r="H135" i="11"/>
  <c r="H137" i="11" s="1"/>
  <c r="O134" i="11"/>
  <c r="N134" i="11"/>
  <c r="M134" i="11"/>
  <c r="I134" i="11"/>
  <c r="L133" i="11"/>
  <c r="L134" i="11" s="1"/>
  <c r="K133" i="11"/>
  <c r="K134" i="11" s="1"/>
  <c r="J133" i="11"/>
  <c r="J134" i="11" s="1"/>
  <c r="I133" i="11"/>
  <c r="H133" i="11"/>
  <c r="H132" i="11"/>
  <c r="H134" i="11" s="1"/>
  <c r="O131" i="11"/>
  <c r="N131" i="11"/>
  <c r="M131" i="11"/>
  <c r="K131" i="11"/>
  <c r="L130" i="11"/>
  <c r="L131" i="11" s="1"/>
  <c r="K130" i="11"/>
  <c r="J130" i="11"/>
  <c r="J131" i="11" s="1"/>
  <c r="I130" i="11"/>
  <c r="I131" i="11" s="1"/>
  <c r="H130" i="11"/>
  <c r="H129" i="11"/>
  <c r="P129" i="11" s="1"/>
  <c r="O128" i="11"/>
  <c r="N128" i="11"/>
  <c r="M128" i="11"/>
  <c r="L128" i="11"/>
  <c r="K128" i="11"/>
  <c r="J128" i="11"/>
  <c r="I128" i="11"/>
  <c r="H128" i="11"/>
  <c r="P127" i="11"/>
  <c r="P126" i="11"/>
  <c r="O124" i="11"/>
  <c r="N124" i="11"/>
  <c r="N125" i="11" s="1"/>
  <c r="M124" i="11"/>
  <c r="M125" i="11" s="1"/>
  <c r="L124" i="11"/>
  <c r="L125" i="11" s="1"/>
  <c r="K124" i="11"/>
  <c r="K125" i="11" s="1"/>
  <c r="J124" i="11"/>
  <c r="J125" i="11" s="1"/>
  <c r="I124" i="11"/>
  <c r="I125" i="11" s="1"/>
  <c r="H124" i="11"/>
  <c r="H125" i="11" s="1"/>
  <c r="O123" i="11"/>
  <c r="P123" i="11" s="1"/>
  <c r="H123" i="11"/>
  <c r="O122" i="11"/>
  <c r="N122" i="11"/>
  <c r="M122" i="11"/>
  <c r="K121" i="11"/>
  <c r="K122" i="11" s="1"/>
  <c r="J121" i="11"/>
  <c r="J122" i="11" s="1"/>
  <c r="I121" i="11"/>
  <c r="I122" i="11" s="1"/>
  <c r="H121" i="11"/>
  <c r="L120" i="11"/>
  <c r="H120" i="11"/>
  <c r="O119" i="11"/>
  <c r="N119" i="11"/>
  <c r="M119" i="11"/>
  <c r="L119" i="11"/>
  <c r="K119" i="11"/>
  <c r="I119" i="11"/>
  <c r="J118" i="11"/>
  <c r="J119" i="11" s="1"/>
  <c r="I118" i="11"/>
  <c r="H118" i="11"/>
  <c r="H117" i="11"/>
  <c r="O116" i="11"/>
  <c r="N116" i="11"/>
  <c r="M116" i="11"/>
  <c r="L116" i="11"/>
  <c r="K116" i="11"/>
  <c r="I116" i="11"/>
  <c r="H116" i="11"/>
  <c r="J115" i="11"/>
  <c r="J116" i="11" s="1"/>
  <c r="I115" i="11"/>
  <c r="H115" i="11"/>
  <c r="P114" i="11"/>
  <c r="H114" i="11"/>
  <c r="O113" i="11"/>
  <c r="N113" i="11"/>
  <c r="M113" i="11"/>
  <c r="L113" i="11"/>
  <c r="K113" i="11"/>
  <c r="I113" i="11"/>
  <c r="J112" i="11"/>
  <c r="J113" i="11" s="1"/>
  <c r="I112" i="11"/>
  <c r="H112" i="11"/>
  <c r="P111" i="11"/>
  <c r="H111" i="11"/>
  <c r="N110" i="11"/>
  <c r="O109" i="11"/>
  <c r="O110" i="11" s="1"/>
  <c r="N109" i="11"/>
  <c r="M109" i="11"/>
  <c r="M110" i="11" s="1"/>
  <c r="L109" i="11"/>
  <c r="L110" i="11" s="1"/>
  <c r="K109" i="11"/>
  <c r="K110" i="11" s="1"/>
  <c r="J109" i="11"/>
  <c r="J110" i="11" s="1"/>
  <c r="I109" i="11"/>
  <c r="I110" i="11" s="1"/>
  <c r="H109" i="11"/>
  <c r="O108" i="11"/>
  <c r="H108" i="11"/>
  <c r="P108" i="11" s="1"/>
  <c r="N106" i="11"/>
  <c r="N107" i="11" s="1"/>
  <c r="M106" i="11"/>
  <c r="M107" i="11" s="1"/>
  <c r="L106" i="11"/>
  <c r="L107" i="11" s="1"/>
  <c r="K106" i="11"/>
  <c r="K107" i="11" s="1"/>
  <c r="J106" i="11"/>
  <c r="J107" i="11" s="1"/>
  <c r="I106" i="11"/>
  <c r="I107" i="11" s="1"/>
  <c r="H106" i="11"/>
  <c r="O105" i="11"/>
  <c r="O107" i="11" s="1"/>
  <c r="H105" i="11"/>
  <c r="H107" i="11" s="1"/>
  <c r="N104" i="11"/>
  <c r="K104" i="11"/>
  <c r="I104" i="11"/>
  <c r="O103" i="11"/>
  <c r="N103" i="11"/>
  <c r="M103" i="11"/>
  <c r="M104" i="11" s="1"/>
  <c r="L103" i="11"/>
  <c r="L104" i="11" s="1"/>
  <c r="K103" i="11"/>
  <c r="J103" i="11"/>
  <c r="J104" i="11" s="1"/>
  <c r="I103" i="11"/>
  <c r="H103" i="11"/>
  <c r="O102" i="11"/>
  <c r="O104" i="11" s="1"/>
  <c r="H102" i="11"/>
  <c r="L101" i="11"/>
  <c r="I101" i="11"/>
  <c r="O100" i="11"/>
  <c r="N100" i="11"/>
  <c r="N101" i="11" s="1"/>
  <c r="M100" i="11"/>
  <c r="M101" i="11" s="1"/>
  <c r="L100" i="11"/>
  <c r="K100" i="11"/>
  <c r="K101" i="11" s="1"/>
  <c r="J100" i="11"/>
  <c r="J101" i="11" s="1"/>
  <c r="I100" i="11"/>
  <c r="H100" i="11"/>
  <c r="O99" i="11"/>
  <c r="O101" i="11" s="1"/>
  <c r="H99" i="11"/>
  <c r="P99" i="11" s="1"/>
  <c r="O98" i="11"/>
  <c r="N98" i="11"/>
  <c r="M98" i="11"/>
  <c r="L98" i="11"/>
  <c r="H98" i="11"/>
  <c r="K97" i="11"/>
  <c r="K98" i="11" s="1"/>
  <c r="J97" i="11"/>
  <c r="J98" i="11" s="1"/>
  <c r="I97" i="11"/>
  <c r="I98" i="11" s="1"/>
  <c r="H97" i="11"/>
  <c r="H96" i="11"/>
  <c r="P96" i="11" s="1"/>
  <c r="N95" i="11"/>
  <c r="M95" i="11"/>
  <c r="K95" i="11"/>
  <c r="O94" i="11"/>
  <c r="N94" i="11"/>
  <c r="M94" i="11"/>
  <c r="L94" i="11"/>
  <c r="L95" i="11" s="1"/>
  <c r="K94" i="11"/>
  <c r="J94" i="11"/>
  <c r="J95" i="11" s="1"/>
  <c r="I94" i="11"/>
  <c r="I95" i="11" s="1"/>
  <c r="H94" i="11"/>
  <c r="H95" i="11" s="1"/>
  <c r="P93" i="11"/>
  <c r="O93" i="11"/>
  <c r="H93" i="11"/>
  <c r="O92" i="11"/>
  <c r="N92" i="11"/>
  <c r="M92" i="11"/>
  <c r="L92" i="11"/>
  <c r="K92" i="11"/>
  <c r="J92" i="11"/>
  <c r="I92" i="11"/>
  <c r="H91" i="11"/>
  <c r="P91" i="11" s="1"/>
  <c r="H90" i="11"/>
  <c r="O89" i="11"/>
  <c r="N89" i="11"/>
  <c r="M89" i="11"/>
  <c r="L89" i="11"/>
  <c r="K89" i="11"/>
  <c r="J89" i="11"/>
  <c r="I89" i="11"/>
  <c r="H89" i="11"/>
  <c r="P88" i="11"/>
  <c r="P87" i="11"/>
  <c r="P89" i="11" s="1"/>
  <c r="O86" i="11"/>
  <c r="N86" i="11"/>
  <c r="M86" i="11"/>
  <c r="L86" i="11"/>
  <c r="K86" i="11"/>
  <c r="J86" i="11"/>
  <c r="I86" i="11"/>
  <c r="H85" i="11"/>
  <c r="P85" i="11" s="1"/>
  <c r="H84" i="11"/>
  <c r="P84" i="11" s="1"/>
  <c r="O83" i="11"/>
  <c r="K83" i="11"/>
  <c r="J83" i="11"/>
  <c r="O82" i="11"/>
  <c r="N82" i="11"/>
  <c r="N83" i="11" s="1"/>
  <c r="M82" i="11"/>
  <c r="M83" i="11" s="1"/>
  <c r="L82" i="11"/>
  <c r="L83" i="11" s="1"/>
  <c r="K82" i="11"/>
  <c r="I82" i="11"/>
  <c r="H82" i="11"/>
  <c r="O81" i="11"/>
  <c r="H81" i="11"/>
  <c r="H83" i="11" s="1"/>
  <c r="O80" i="11"/>
  <c r="N79" i="11"/>
  <c r="N80" i="11" s="1"/>
  <c r="M79" i="11"/>
  <c r="M80" i="11" s="1"/>
  <c r="L79" i="11"/>
  <c r="L80" i="11" s="1"/>
  <c r="K79" i="11"/>
  <c r="K80" i="11" s="1"/>
  <c r="J79" i="11"/>
  <c r="J80" i="11" s="1"/>
  <c r="I79" i="11"/>
  <c r="I80" i="11" s="1"/>
  <c r="H79" i="11"/>
  <c r="H80" i="11" s="1"/>
  <c r="H78" i="11"/>
  <c r="P78" i="11" s="1"/>
  <c r="O77" i="11"/>
  <c r="N77" i="11"/>
  <c r="M77" i="11"/>
  <c r="L77" i="11"/>
  <c r="K77" i="11"/>
  <c r="J77" i="11"/>
  <c r="I77" i="11"/>
  <c r="H76" i="11"/>
  <c r="H77" i="11" s="1"/>
  <c r="P75" i="11"/>
  <c r="L74" i="11"/>
  <c r="I74" i="11"/>
  <c r="O73" i="11"/>
  <c r="N73" i="11"/>
  <c r="N74" i="11" s="1"/>
  <c r="M73" i="11"/>
  <c r="M74" i="11" s="1"/>
  <c r="L73" i="11"/>
  <c r="K73" i="11"/>
  <c r="K74" i="11" s="1"/>
  <c r="J73" i="11"/>
  <c r="J74" i="11" s="1"/>
  <c r="I73" i="11"/>
  <c r="H73" i="11"/>
  <c r="O72" i="11"/>
  <c r="O74" i="11" s="1"/>
  <c r="H72" i="11"/>
  <c r="O71" i="11"/>
  <c r="N71" i="11"/>
  <c r="M71" i="11"/>
  <c r="L71" i="11"/>
  <c r="K71" i="11"/>
  <c r="J71" i="11"/>
  <c r="I71" i="11"/>
  <c r="H70" i="11"/>
  <c r="H71" i="11" s="1"/>
  <c r="P69" i="11"/>
  <c r="O68" i="11"/>
  <c r="N68" i="11"/>
  <c r="M68" i="11"/>
  <c r="L68" i="11"/>
  <c r="H68" i="11"/>
  <c r="K67" i="11"/>
  <c r="K68" i="11" s="1"/>
  <c r="J67" i="11"/>
  <c r="J68" i="11" s="1"/>
  <c r="I67" i="11"/>
  <c r="I68" i="11" s="1"/>
  <c r="H67" i="11"/>
  <c r="H66" i="11"/>
  <c r="P66" i="11" s="1"/>
  <c r="O65" i="11"/>
  <c r="N65" i="11"/>
  <c r="K65" i="11"/>
  <c r="I65" i="11"/>
  <c r="M64" i="11"/>
  <c r="M65" i="11" s="1"/>
  <c r="L64" i="11"/>
  <c r="L65" i="11" s="1"/>
  <c r="K64" i="11"/>
  <c r="J64" i="11"/>
  <c r="J65" i="11" s="1"/>
  <c r="I64" i="11"/>
  <c r="H64" i="11"/>
  <c r="H63" i="11"/>
  <c r="P63" i="11" s="1"/>
  <c r="O62" i="11"/>
  <c r="N62" i="11"/>
  <c r="M62" i="11"/>
  <c r="L62" i="11"/>
  <c r="K62" i="11"/>
  <c r="J62" i="11"/>
  <c r="I62" i="11"/>
  <c r="H62" i="11"/>
  <c r="P61" i="11"/>
  <c r="P60" i="11"/>
  <c r="O59" i="11"/>
  <c r="N59" i="11"/>
  <c r="M59" i="11"/>
  <c r="L59" i="11"/>
  <c r="K59" i="11"/>
  <c r="J59" i="11"/>
  <c r="I59" i="11"/>
  <c r="H59" i="11"/>
  <c r="P58" i="11"/>
  <c r="H58" i="11"/>
  <c r="P57" i="11"/>
  <c r="P59" i="11" s="1"/>
  <c r="M56" i="11"/>
  <c r="J56" i="11"/>
  <c r="N55" i="11"/>
  <c r="N56" i="11" s="1"/>
  <c r="M55" i="11"/>
  <c r="L55" i="11"/>
  <c r="L56" i="11" s="1"/>
  <c r="K55" i="11"/>
  <c r="K56" i="11" s="1"/>
  <c r="J55" i="11"/>
  <c r="I55" i="11"/>
  <c r="I56" i="11" s="1"/>
  <c r="H55" i="11"/>
  <c r="H56" i="11" s="1"/>
  <c r="O54" i="11"/>
  <c r="O56" i="11" s="1"/>
  <c r="O53" i="11"/>
  <c r="N53" i="11"/>
  <c r="M53" i="11"/>
  <c r="I53" i="11"/>
  <c r="L52" i="11"/>
  <c r="L53" i="11" s="1"/>
  <c r="K52" i="11"/>
  <c r="K53" i="11" s="1"/>
  <c r="J52" i="11"/>
  <c r="J53" i="11" s="1"/>
  <c r="I52" i="11"/>
  <c r="H52" i="11"/>
  <c r="H51" i="11"/>
  <c r="P51" i="11" s="1"/>
  <c r="M50" i="11"/>
  <c r="K50" i="11"/>
  <c r="O49" i="11"/>
  <c r="N49" i="11"/>
  <c r="N50" i="11" s="1"/>
  <c r="M49" i="11"/>
  <c r="L49" i="11"/>
  <c r="L50" i="11" s="1"/>
  <c r="K49" i="11"/>
  <c r="J49" i="11"/>
  <c r="J50" i="11" s="1"/>
  <c r="I49" i="11"/>
  <c r="I50" i="11" s="1"/>
  <c r="H49" i="11"/>
  <c r="H50" i="11" s="1"/>
  <c r="O48" i="11"/>
  <c r="O50" i="11" s="1"/>
  <c r="H48" i="11"/>
  <c r="O47" i="11"/>
  <c r="N47" i="11"/>
  <c r="M46" i="11"/>
  <c r="M47" i="11" s="1"/>
  <c r="L46" i="11"/>
  <c r="K46" i="11"/>
  <c r="J46" i="11"/>
  <c r="I46" i="11"/>
  <c r="H46" i="11"/>
  <c r="L45" i="11"/>
  <c r="K45" i="11"/>
  <c r="J45" i="11"/>
  <c r="J47" i="11" s="1"/>
  <c r="I45" i="11"/>
  <c r="I47" i="11" s="1"/>
  <c r="H45" i="11"/>
  <c r="O44" i="11"/>
  <c r="I44" i="11"/>
  <c r="O43" i="11"/>
  <c r="N43" i="11"/>
  <c r="N44" i="11" s="1"/>
  <c r="M43" i="11"/>
  <c r="M44" i="11" s="1"/>
  <c r="L43" i="11"/>
  <c r="L44" i="11" s="1"/>
  <c r="K43" i="11"/>
  <c r="K44" i="11" s="1"/>
  <c r="J43" i="11"/>
  <c r="J44" i="11" s="1"/>
  <c r="H43" i="11"/>
  <c r="O42" i="11"/>
  <c r="H42" i="11"/>
  <c r="M41" i="11"/>
  <c r="L41" i="11"/>
  <c r="I41" i="11"/>
  <c r="N40" i="11"/>
  <c r="M40" i="11"/>
  <c r="L40" i="11"/>
  <c r="K40" i="11"/>
  <c r="K41" i="11" s="1"/>
  <c r="J40" i="11"/>
  <c r="H40" i="11"/>
  <c r="H41" i="11" s="1"/>
  <c r="O39" i="11"/>
  <c r="P39" i="11" s="1"/>
  <c r="O38" i="11"/>
  <c r="M38" i="11"/>
  <c r="I38" i="11"/>
  <c r="L37" i="11"/>
  <c r="K37" i="11"/>
  <c r="K38" i="11" s="1"/>
  <c r="J37" i="11"/>
  <c r="P37" i="11" s="1"/>
  <c r="I37" i="11"/>
  <c r="H37" i="11"/>
  <c r="L36" i="11"/>
  <c r="H36" i="11"/>
  <c r="O35" i="11"/>
  <c r="N35" i="11"/>
  <c r="M35" i="11"/>
  <c r="L35" i="11"/>
  <c r="K35" i="11"/>
  <c r="J35" i="11"/>
  <c r="I35" i="11"/>
  <c r="P34" i="11"/>
  <c r="H34" i="11"/>
  <c r="H33" i="11"/>
  <c r="P33" i="11" s="1"/>
  <c r="P35" i="11" s="1"/>
  <c r="O32" i="11"/>
  <c r="M32" i="11"/>
  <c r="L32" i="11"/>
  <c r="K32" i="11"/>
  <c r="J32" i="11"/>
  <c r="I32" i="11"/>
  <c r="H31" i="11"/>
  <c r="P31" i="11" s="1"/>
  <c r="H30" i="11"/>
  <c r="O29" i="11"/>
  <c r="N29" i="11"/>
  <c r="M29" i="11"/>
  <c r="L29" i="11"/>
  <c r="K29" i="11"/>
  <c r="J29" i="11"/>
  <c r="I29" i="11"/>
  <c r="H28" i="11"/>
  <c r="P28" i="11" s="1"/>
  <c r="H27" i="11"/>
  <c r="H29" i="11" s="1"/>
  <c r="O26" i="11"/>
  <c r="N26" i="11"/>
  <c r="M26" i="11"/>
  <c r="L26" i="11"/>
  <c r="K26" i="11"/>
  <c r="J26" i="11"/>
  <c r="I26" i="11"/>
  <c r="H25" i="11"/>
  <c r="P24" i="11"/>
  <c r="P23" i="11"/>
  <c r="O23" i="11"/>
  <c r="N23" i="11"/>
  <c r="M23" i="11"/>
  <c r="L23" i="11"/>
  <c r="K23" i="11"/>
  <c r="J23" i="11"/>
  <c r="I23" i="11"/>
  <c r="H23" i="11"/>
  <c r="P22" i="11"/>
  <c r="H21" i="11"/>
  <c r="P21" i="11" s="1"/>
  <c r="O20" i="11"/>
  <c r="N20" i="11"/>
  <c r="M20" i="11"/>
  <c r="L20" i="11"/>
  <c r="K20" i="11"/>
  <c r="J20" i="11"/>
  <c r="I19" i="11"/>
  <c r="I20" i="11" s="1"/>
  <c r="H19" i="11"/>
  <c r="P18" i="11"/>
  <c r="H18" i="11"/>
  <c r="O17" i="11"/>
  <c r="N17" i="11"/>
  <c r="M17" i="11"/>
  <c r="L17" i="11"/>
  <c r="K17" i="11"/>
  <c r="J17" i="11"/>
  <c r="I17" i="11"/>
  <c r="H16" i="11"/>
  <c r="P16" i="11" s="1"/>
  <c r="H15" i="11"/>
  <c r="A15" i="11"/>
  <c r="A18" i="11" s="1"/>
  <c r="A21" i="11" s="1"/>
  <c r="A24" i="11" s="1"/>
  <c r="A27" i="11" s="1"/>
  <c r="A30" i="11" s="1"/>
  <c r="A33" i="11" s="1"/>
  <c r="A36" i="11" s="1"/>
  <c r="A39" i="11" s="1"/>
  <c r="A42" i="11" s="1"/>
  <c r="A45" i="11" s="1"/>
  <c r="A48" i="11" s="1"/>
  <c r="A51" i="11" s="1"/>
  <c r="A54" i="11" s="1"/>
  <c r="A57" i="11" s="1"/>
  <c r="A60" i="11" s="1"/>
  <c r="A63" i="11" s="1"/>
  <c r="A66" i="11" s="1"/>
  <c r="A69" i="11" s="1"/>
  <c r="A72" i="11" s="1"/>
  <c r="A75" i="11" s="1"/>
  <c r="A78" i="11" s="1"/>
  <c r="A81" i="11" s="1"/>
  <c r="A84" i="11" s="1"/>
  <c r="A87" i="11" s="1"/>
  <c r="A90" i="11" s="1"/>
  <c r="A93" i="11" s="1"/>
  <c r="A96" i="11" s="1"/>
  <c r="A99" i="11" s="1"/>
  <c r="A102" i="11" s="1"/>
  <c r="A105" i="11" s="1"/>
  <c r="A108" i="11" s="1"/>
  <c r="A111" i="11" s="1"/>
  <c r="A114" i="11" s="1"/>
  <c r="A117" i="11" s="1"/>
  <c r="A120" i="11" s="1"/>
  <c r="A123" i="11" s="1"/>
  <c r="A126" i="11" s="1"/>
  <c r="A129" i="11" s="1"/>
  <c r="A132" i="11" s="1"/>
  <c r="A135" i="11" s="1"/>
  <c r="A138" i="11" s="1"/>
  <c r="A141" i="11" s="1"/>
  <c r="A144" i="11" s="1"/>
  <c r="A147" i="11" s="1"/>
  <c r="A150" i="11" s="1"/>
  <c r="A153" i="11" s="1"/>
  <c r="A156" i="11" s="1"/>
  <c r="A159" i="11" s="1"/>
  <c r="A162" i="11" s="1"/>
  <c r="A165" i="11" s="1"/>
  <c r="A168" i="11" s="1"/>
  <c r="A171" i="11" s="1"/>
  <c r="A174" i="11" s="1"/>
  <c r="A177" i="11" s="1"/>
  <c r="A180" i="11" s="1"/>
  <c r="A183" i="11" s="1"/>
  <c r="A186" i="11" s="1"/>
  <c r="A189" i="11" s="1"/>
  <c r="A192" i="11" s="1"/>
  <c r="A195" i="11" s="1"/>
  <c r="A198" i="11" s="1"/>
  <c r="A201" i="11" s="1"/>
  <c r="A204" i="11" s="1"/>
  <c r="A207" i="11" s="1"/>
  <c r="A210" i="11" s="1"/>
  <c r="A213" i="11" s="1"/>
  <c r="A216" i="11" s="1"/>
  <c r="A219" i="11" s="1"/>
  <c r="A222" i="11" s="1"/>
  <c r="A225" i="11" s="1"/>
  <c r="A228" i="11" s="1"/>
  <c r="A231" i="11" s="1"/>
  <c r="A234" i="11" s="1"/>
  <c r="A237" i="11" s="1"/>
  <c r="A240" i="11" s="1"/>
  <c r="A243" i="11" s="1"/>
  <c r="A246" i="11" s="1"/>
  <c r="A249" i="11" s="1"/>
  <c r="A252" i="11" s="1"/>
  <c r="A255" i="11" s="1"/>
  <c r="A258" i="11" s="1"/>
  <c r="A261" i="11" s="1"/>
  <c r="A264" i="11" s="1"/>
  <c r="A267" i="11" s="1"/>
  <c r="A270" i="11" s="1"/>
  <c r="A273" i="11" s="1"/>
  <c r="A276" i="11" s="1"/>
  <c r="A279" i="11" s="1"/>
  <c r="A282" i="11" s="1"/>
  <c r="A285" i="11" s="1"/>
  <c r="A288" i="11" s="1"/>
  <c r="A291" i="11" s="1"/>
  <c r="A294" i="11" s="1"/>
  <c r="A297" i="11" s="1"/>
  <c r="A300" i="11" s="1"/>
  <c r="A303" i="11" s="1"/>
  <c r="A306" i="11" s="1"/>
  <c r="A309" i="11" s="1"/>
  <c r="A312" i="11" s="1"/>
  <c r="A315" i="11" s="1"/>
  <c r="A318" i="11" s="1"/>
  <c r="A321" i="11" s="1"/>
  <c r="A324" i="11" s="1"/>
  <c r="A327" i="11" s="1"/>
  <c r="A330" i="11" s="1"/>
  <c r="A333" i="11" s="1"/>
  <c r="A336" i="11" s="1"/>
  <c r="A339" i="11" s="1"/>
  <c r="A342" i="11" s="1"/>
  <c r="A345" i="11" s="1"/>
  <c r="A348" i="11" s="1"/>
  <c r="A351" i="11" s="1"/>
  <c r="A354" i="11" s="1"/>
  <c r="A357" i="11" s="1"/>
  <c r="A360" i="11" s="1"/>
  <c r="A363" i="11" s="1"/>
  <c r="A366" i="11" s="1"/>
  <c r="A369" i="11" s="1"/>
  <c r="A372" i="11" s="1"/>
  <c r="A375" i="11" s="1"/>
  <c r="A378" i="11" s="1"/>
  <c r="A381" i="11" s="1"/>
  <c r="A384" i="11" s="1"/>
  <c r="A387" i="11" s="1"/>
  <c r="A390" i="11" s="1"/>
  <c r="A393" i="11" s="1"/>
  <c r="A396" i="11" s="1"/>
  <c r="A399" i="11" s="1"/>
  <c r="A402" i="11" s="1"/>
  <c r="A405" i="11" s="1"/>
  <c r="A408" i="11" s="1"/>
  <c r="A411" i="11" s="1"/>
  <c r="A414" i="11" s="1"/>
  <c r="A417" i="11" s="1"/>
  <c r="A420" i="11" s="1"/>
  <c r="A423" i="11" s="1"/>
  <c r="A426" i="11" s="1"/>
  <c r="A429" i="11" s="1"/>
  <c r="A432" i="11" s="1"/>
  <c r="A435" i="11" s="1"/>
  <c r="A438" i="11" s="1"/>
  <c r="A441" i="11" s="1"/>
  <c r="A444" i="11" s="1"/>
  <c r="A447" i="11" s="1"/>
  <c r="A450" i="11" s="1"/>
  <c r="A453" i="11" s="1"/>
  <c r="A456" i="11" s="1"/>
  <c r="A459" i="11" s="1"/>
  <c r="A462" i="11" s="1"/>
  <c r="A465" i="11" s="1"/>
  <c r="A468" i="11" s="1"/>
  <c r="A471" i="11" s="1"/>
  <c r="A474" i="11" s="1"/>
  <c r="A477" i="11" s="1"/>
  <c r="A480" i="11" s="1"/>
  <c r="A483" i="11" s="1"/>
  <c r="A486" i="11" s="1"/>
  <c r="A489" i="11" s="1"/>
  <c r="A492" i="11" s="1"/>
  <c r="A495" i="11" s="1"/>
  <c r="A498" i="11" s="1"/>
  <c r="A501" i="11" s="1"/>
  <c r="O14" i="11"/>
  <c r="N14" i="11"/>
  <c r="M14" i="11"/>
  <c r="L14" i="11"/>
  <c r="K14" i="11"/>
  <c r="J14" i="11"/>
  <c r="I14" i="11"/>
  <c r="H13" i="11"/>
  <c r="H14" i="11" s="1"/>
  <c r="P12" i="11"/>
  <c r="A12" i="11"/>
  <c r="O11" i="11"/>
  <c r="N11" i="11"/>
  <c r="M11" i="11"/>
  <c r="L11" i="11"/>
  <c r="K11" i="11"/>
  <c r="J11" i="11"/>
  <c r="I11" i="11"/>
  <c r="H11" i="11"/>
  <c r="P10" i="11"/>
  <c r="O9" i="11"/>
  <c r="P9" i="11" s="1"/>
  <c r="D2646" i="10"/>
  <c r="D2643" i="10"/>
  <c r="D2642" i="10"/>
  <c r="D2641" i="10"/>
  <c r="D2640" i="10" s="1"/>
  <c r="D2601" i="10"/>
  <c r="D2597" i="10"/>
  <c r="D2595" i="10"/>
  <c r="D2593" i="10"/>
  <c r="D2592" i="10" s="1"/>
  <c r="D2590" i="10"/>
  <c r="D2588" i="10" s="1"/>
  <c r="D2585" i="10"/>
  <c r="D2582" i="10"/>
  <c r="D2581" i="10"/>
  <c r="D2579" i="10"/>
  <c r="D2578" i="10"/>
  <c r="D2577" i="10"/>
  <c r="D2576" i="10" s="1"/>
  <c r="D2575" i="10"/>
  <c r="D2574" i="10"/>
  <c r="D2567" i="10"/>
  <c r="D2396" i="10" s="1"/>
  <c r="D2563" i="10"/>
  <c r="D2559" i="10"/>
  <c r="D2558" i="10" s="1"/>
  <c r="D2554" i="10"/>
  <c r="D2551" i="10"/>
  <c r="D2548" i="10"/>
  <c r="D2542" i="10"/>
  <c r="D2539" i="10"/>
  <c r="D2533" i="10"/>
  <c r="D2529" i="10"/>
  <c r="D2526" i="10"/>
  <c r="D2524" i="10" s="1"/>
  <c r="D2525" i="10"/>
  <c r="D2520" i="10"/>
  <c r="D2517" i="10"/>
  <c r="D2514" i="10"/>
  <c r="D2508" i="10"/>
  <c r="D2505" i="10"/>
  <c r="D2499" i="10"/>
  <c r="D2495" i="10"/>
  <c r="D2493" i="10"/>
  <c r="D2492" i="10"/>
  <c r="D2390" i="10" s="1"/>
  <c r="D2491" i="10"/>
  <c r="D2490" i="10" s="1"/>
  <c r="D2486" i="10"/>
  <c r="D2483" i="10"/>
  <c r="D2480" i="10"/>
  <c r="D2479" i="10"/>
  <c r="D2477" i="10"/>
  <c r="D2476" i="10"/>
  <c r="D2475" i="10"/>
  <c r="D2474" i="10" s="1"/>
  <c r="D2473" i="10"/>
  <c r="D2471" i="10" s="1"/>
  <c r="D2472" i="10"/>
  <c r="D2465" i="10"/>
  <c r="D2461" i="10"/>
  <c r="D2459" i="10"/>
  <c r="D2456" i="10"/>
  <c r="D2454" i="10"/>
  <c r="D2452" i="10"/>
  <c r="D2449" i="10"/>
  <c r="D2446" i="10"/>
  <c r="D2445" i="10"/>
  <c r="D2444" i="10"/>
  <c r="D2376" i="10" s="1"/>
  <c r="D2443" i="10"/>
  <c r="D2442" i="10"/>
  <c r="D2439" i="10"/>
  <c r="D2438" i="10"/>
  <c r="D2437" i="10" s="1"/>
  <c r="D2431" i="10"/>
  <c r="D2427" i="10"/>
  <c r="D2393" i="10" s="1"/>
  <c r="D2422" i="10"/>
  <c r="D2418" i="10"/>
  <c r="D2415" i="10"/>
  <c r="D2412" i="10"/>
  <c r="D2406" i="10"/>
  <c r="D2403" i="10"/>
  <c r="D2400" i="10"/>
  <c r="D2399" i="10"/>
  <c r="D2398" i="10"/>
  <c r="D2395" i="10"/>
  <c r="D2394" i="10"/>
  <c r="D2392" i="10"/>
  <c r="D2389" i="10"/>
  <c r="D2387" i="10"/>
  <c r="D2385" i="10"/>
  <c r="D2383" i="10"/>
  <c r="D2382" i="10"/>
  <c r="D2380" i="10"/>
  <c r="D2379" i="10"/>
  <c r="D2377" i="10"/>
  <c r="D2373" i="10"/>
  <c r="D2363" i="10"/>
  <c r="D2360" i="10"/>
  <c r="D2357" i="10"/>
  <c r="D2352" i="10"/>
  <c r="D2350" i="10" s="1"/>
  <c r="D2347" i="10"/>
  <c r="D2279" i="10" s="1"/>
  <c r="D2345" i="10"/>
  <c r="D2344" i="10"/>
  <c r="D2341" i="10"/>
  <c r="D2340" i="10"/>
  <c r="D2339" i="10"/>
  <c r="D2337" i="10"/>
  <c r="D2336" i="10"/>
  <c r="D2268" i="10" s="1"/>
  <c r="D2329" i="10"/>
  <c r="D2295" i="10" s="1"/>
  <c r="D2325" i="10"/>
  <c r="D2320" i="10"/>
  <c r="D2318" i="10"/>
  <c r="D2313" i="10"/>
  <c r="D2310" i="10"/>
  <c r="D2309" i="10"/>
  <c r="D2307" i="10"/>
  <c r="D2306" i="10"/>
  <c r="D2305" i="10"/>
  <c r="D2303" i="10"/>
  <c r="D2269" i="10" s="1"/>
  <c r="D2302" i="10"/>
  <c r="D2301" i="10" s="1"/>
  <c r="D2298" i="10"/>
  <c r="D2297" i="10"/>
  <c r="D2296" i="10"/>
  <c r="D2294" i="10"/>
  <c r="D2293" i="10"/>
  <c r="D2290" i="10"/>
  <c r="D2288" i="10"/>
  <c r="D2287" i="10"/>
  <c r="D2285" i="10"/>
  <c r="D2283" i="10"/>
  <c r="D2281" i="10"/>
  <c r="D2280" i="10"/>
  <c r="D2278" i="10"/>
  <c r="D2277" i="10"/>
  <c r="D2275" i="10"/>
  <c r="D2274" i="10"/>
  <c r="D2262" i="10"/>
  <c r="D2261" i="10"/>
  <c r="D2260" i="10"/>
  <c r="D2124" i="10" s="1"/>
  <c r="D2258" i="10"/>
  <c r="D2257" i="10" s="1"/>
  <c r="D2252" i="10"/>
  <c r="D2116" i="10" s="1"/>
  <c r="D2250" i="10"/>
  <c r="D2114" i="10" s="1"/>
  <c r="D2248" i="10"/>
  <c r="D2245" i="10"/>
  <c r="D2243" i="10"/>
  <c r="D2107" i="10" s="1"/>
  <c r="D2239" i="10"/>
  <c r="D2238" i="10"/>
  <c r="D2237" i="10"/>
  <c r="D2235" i="10"/>
  <c r="D2233" i="10" s="1"/>
  <c r="D2234" i="10"/>
  <c r="D2227" i="10"/>
  <c r="D2223" i="10"/>
  <c r="D2218" i="10"/>
  <c r="D2214" i="10"/>
  <c r="D2211" i="10"/>
  <c r="D2208" i="10"/>
  <c r="D2205" i="10"/>
  <c r="D2204" i="10"/>
  <c r="D2201" i="10"/>
  <c r="D2200" i="10"/>
  <c r="D2193" i="10"/>
  <c r="D2190" i="10"/>
  <c r="D2184" i="10"/>
  <c r="D2180" i="10"/>
  <c r="D2177" i="10"/>
  <c r="D2174" i="10"/>
  <c r="D2171" i="10"/>
  <c r="D2167" i="10"/>
  <c r="D2166" i="10"/>
  <c r="D2165" i="10" s="1"/>
  <c r="D2159" i="10"/>
  <c r="D2125" i="10" s="1"/>
  <c r="D2155" i="10"/>
  <c r="D2150" i="10"/>
  <c r="D2130" i="10" s="1"/>
  <c r="D2146" i="10"/>
  <c r="D2143" i="10"/>
  <c r="D2140" i="10"/>
  <c r="D2136" i="10"/>
  <c r="D2134" i="10"/>
  <c r="D2131" i="10"/>
  <c r="D2128" i="10"/>
  <c r="D1856" i="10" s="1"/>
  <c r="D2127" i="10"/>
  <c r="D2126" i="10"/>
  <c r="D2123" i="10"/>
  <c r="D2120" i="10"/>
  <c r="D2119" i="10"/>
  <c r="D2118" i="10"/>
  <c r="D2117" i="10"/>
  <c r="D2115" i="10"/>
  <c r="D2113" i="10"/>
  <c r="D2111" i="10"/>
  <c r="D2110" i="10"/>
  <c r="D2108" i="10"/>
  <c r="D2105" i="10"/>
  <c r="D2104" i="10"/>
  <c r="D2098" i="10"/>
  <c r="D2091" i="10"/>
  <c r="D2087" i="10"/>
  <c r="D2082" i="10"/>
  <c r="D2080" i="10"/>
  <c r="D2078" i="10"/>
  <c r="D2075" i="10"/>
  <c r="D2072" i="10"/>
  <c r="D2071" i="10"/>
  <c r="D2069" i="10"/>
  <c r="D2068" i="10"/>
  <c r="D2067" i="10"/>
  <c r="D2065" i="10"/>
  <c r="D2064" i="10"/>
  <c r="D2063" i="10"/>
  <c r="D2057" i="10"/>
  <c r="D2053" i="10"/>
  <c r="D2048" i="10"/>
  <c r="D2044" i="10"/>
  <c r="D2041" i="10"/>
  <c r="D2038" i="10"/>
  <c r="D2032" i="10"/>
  <c r="D2029" i="10"/>
  <c r="D2023" i="10"/>
  <c r="D2019" i="10"/>
  <c r="D2014" i="10"/>
  <c r="D2012" i="10"/>
  <c r="D2010" i="10" s="1"/>
  <c r="D2007" i="10"/>
  <c r="D2004" i="10"/>
  <c r="D2001" i="10"/>
  <c r="D2000" i="10"/>
  <c r="D1999" i="10"/>
  <c r="D1998" i="10" s="1"/>
  <c r="D1997" i="10"/>
  <c r="D1995" i="10" s="1"/>
  <c r="D1994" i="10" s="1"/>
  <c r="D1993" i="10" s="1"/>
  <c r="D1996" i="10"/>
  <c r="D1989" i="10"/>
  <c r="D1985" i="10"/>
  <c r="D1918" i="10" s="1"/>
  <c r="D1980" i="10"/>
  <c r="D1978" i="10"/>
  <c r="D1977" i="10"/>
  <c r="D1909" i="10" s="1"/>
  <c r="D1841" i="10" s="1"/>
  <c r="D1973" i="10"/>
  <c r="D1970" i="10"/>
  <c r="D1969" i="10"/>
  <c r="D1968" i="10"/>
  <c r="D1900" i="10" s="1"/>
  <c r="D1967" i="10"/>
  <c r="D1966" i="10"/>
  <c r="D1965" i="10"/>
  <c r="D1897" i="10" s="1"/>
  <c r="D1963" i="10"/>
  <c r="D1962" i="10"/>
  <c r="D1961" i="10" s="1"/>
  <c r="D1955" i="10"/>
  <c r="D1920" i="10" s="1"/>
  <c r="D1852" i="10" s="1"/>
  <c r="D1951" i="10"/>
  <c r="D1946" i="10"/>
  <c r="D1944" i="10"/>
  <c r="D1942" i="10"/>
  <c r="D1939" i="10"/>
  <c r="D1936" i="10"/>
  <c r="D1935" i="10"/>
  <c r="D1901" i="10" s="1"/>
  <c r="D1933" i="10"/>
  <c r="D1899" i="10" s="1"/>
  <c r="D1932" i="10"/>
  <c r="D1931" i="10"/>
  <c r="D1929" i="10"/>
  <c r="D1928" i="10"/>
  <c r="D1927" i="10"/>
  <c r="D1924" i="10"/>
  <c r="D1923" i="10"/>
  <c r="D1855" i="10" s="1"/>
  <c r="D1922" i="10"/>
  <c r="D1854" i="10" s="1"/>
  <c r="D1921" i="10"/>
  <c r="D1919" i="10"/>
  <c r="D1917" i="10"/>
  <c r="D1916" i="10"/>
  <c r="D1915" i="10"/>
  <c r="D1914" i="10"/>
  <c r="D1913" i="10"/>
  <c r="D1912" i="10"/>
  <c r="D1911" i="10"/>
  <c r="D1907" i="10"/>
  <c r="D1906" i="10"/>
  <c r="D1904" i="10"/>
  <c r="D1836" i="10" s="1"/>
  <c r="D1903" i="10"/>
  <c r="D1893" i="10"/>
  <c r="D1887" i="10"/>
  <c r="D1883" i="10"/>
  <c r="D1878" i="10"/>
  <c r="D1876" i="10"/>
  <c r="D1871" i="10"/>
  <c r="D1868" i="10"/>
  <c r="D1867" i="10"/>
  <c r="D1865" i="10"/>
  <c r="D1864" i="10"/>
  <c r="D1863" i="10"/>
  <c r="D1862" i="10" s="1"/>
  <c r="D1861" i="10"/>
  <c r="D1860" i="10"/>
  <c r="D1846" i="10"/>
  <c r="D1838" i="10"/>
  <c r="D1819" i="10"/>
  <c r="D1815" i="10"/>
  <c r="D1810" i="10"/>
  <c r="D1808" i="10"/>
  <c r="D1806" i="10"/>
  <c r="D1803" i="10"/>
  <c r="D1800" i="10"/>
  <c r="D1797" i="10"/>
  <c r="D1796" i="10"/>
  <c r="D1794" i="10" s="1"/>
  <c r="D1793" i="10"/>
  <c r="D1791" i="10" s="1"/>
  <c r="D1792" i="10"/>
  <c r="D1785" i="10"/>
  <c r="D1781" i="10"/>
  <c r="D1776" i="10"/>
  <c r="D1772" i="10"/>
  <c r="D1769" i="10"/>
  <c r="D1767" i="10"/>
  <c r="D1766" i="10" s="1"/>
  <c r="D1760" i="10"/>
  <c r="D1757" i="10"/>
  <c r="D1751" i="10"/>
  <c r="D1747" i="10"/>
  <c r="D1742" i="10"/>
  <c r="D1740" i="10"/>
  <c r="D1738" i="10" s="1"/>
  <c r="D1735" i="10"/>
  <c r="D1733" i="10"/>
  <c r="D1732" i="10" s="1"/>
  <c r="D1729" i="10"/>
  <c r="D1728" i="10"/>
  <c r="D1725" i="10"/>
  <c r="D1724" i="10"/>
  <c r="D1723" i="10" s="1"/>
  <c r="D1717" i="10"/>
  <c r="D1713" i="10"/>
  <c r="D1708" i="10"/>
  <c r="D1704" i="10"/>
  <c r="D1701" i="10"/>
  <c r="D1699" i="10"/>
  <c r="D1563" i="10" s="1"/>
  <c r="D1698" i="10"/>
  <c r="D1692" i="10"/>
  <c r="D1689" i="10"/>
  <c r="D1688" i="10" s="1"/>
  <c r="D1687" i="10" s="1"/>
  <c r="D1683" i="10"/>
  <c r="D1680" i="10"/>
  <c r="D1679" i="10" s="1"/>
  <c r="D1674" i="10"/>
  <c r="D1672" i="10"/>
  <c r="D1670" i="10"/>
  <c r="D1667" i="10"/>
  <c r="D1664" i="10"/>
  <c r="D1663" i="10"/>
  <c r="D1661" i="10"/>
  <c r="D1660" i="10"/>
  <c r="D1659" i="10"/>
  <c r="D1657" i="10"/>
  <c r="D1656" i="10"/>
  <c r="D1649" i="10"/>
  <c r="D1645" i="10"/>
  <c r="D1640" i="10"/>
  <c r="D1638" i="10"/>
  <c r="D1637" i="10"/>
  <c r="D1633" i="10"/>
  <c r="D1630" i="10"/>
  <c r="D1629" i="10"/>
  <c r="D1627" i="10"/>
  <c r="D1626" i="10"/>
  <c r="D1625" i="10"/>
  <c r="D1623" i="10"/>
  <c r="D1622" i="10"/>
  <c r="D1615" i="10"/>
  <c r="D1612" i="10"/>
  <c r="D1611" i="10" s="1"/>
  <c r="D1606" i="10"/>
  <c r="D1604" i="10"/>
  <c r="D1602" i="10"/>
  <c r="D1599" i="10"/>
  <c r="D1596" i="10"/>
  <c r="D1595" i="10"/>
  <c r="D1594" i="10"/>
  <c r="D1560" i="10" s="1"/>
  <c r="D1492" i="10" s="1"/>
  <c r="D1593" i="10"/>
  <c r="D1592" i="10"/>
  <c r="D1591" i="10"/>
  <c r="D1589" i="10"/>
  <c r="D1588" i="10"/>
  <c r="D1584" i="10"/>
  <c r="D1516" i="10" s="1"/>
  <c r="D1583" i="10"/>
  <c r="D1582" i="10"/>
  <c r="D1514" i="10" s="1"/>
  <c r="D1580" i="10"/>
  <c r="D1579" i="10"/>
  <c r="D1511" i="10" s="1"/>
  <c r="D1576" i="10"/>
  <c r="D1508" i="10" s="1"/>
  <c r="D1575" i="10"/>
  <c r="D1507" i="10" s="1"/>
  <c r="D1574" i="10"/>
  <c r="D1506" i="10" s="1"/>
  <c r="D1573" i="10"/>
  <c r="D1571" i="10"/>
  <c r="D1569" i="10"/>
  <c r="D1501" i="10" s="1"/>
  <c r="D1567" i="10"/>
  <c r="D1499" i="10" s="1"/>
  <c r="D1566" i="10"/>
  <c r="D1498" i="10" s="1"/>
  <c r="D1564" i="10"/>
  <c r="D1496" i="10" s="1"/>
  <c r="D1562" i="10"/>
  <c r="D1547" i="10"/>
  <c r="D1543" i="10"/>
  <c r="D1538" i="10"/>
  <c r="D1534" i="10"/>
  <c r="D1531" i="10"/>
  <c r="D1528" i="10"/>
  <c r="D1527" i="10"/>
  <c r="D1523" i="10"/>
  <c r="D1519" i="10"/>
  <c r="D1515" i="10"/>
  <c r="D1512" i="10"/>
  <c r="D1505" i="10"/>
  <c r="D1503" i="10"/>
  <c r="D1495" i="10"/>
  <c r="D1479" i="10"/>
  <c r="D1475" i="10"/>
  <c r="D1470" i="10"/>
  <c r="D1466" i="10"/>
  <c r="D1463" i="10"/>
  <c r="D1460" i="10"/>
  <c r="D1457" i="10"/>
  <c r="D1456" i="10"/>
  <c r="D1454" i="10" s="1"/>
  <c r="D1452" i="10"/>
  <c r="D1451" i="10" s="1"/>
  <c r="D1450" i="10" s="1"/>
  <c r="D1449" i="10" s="1"/>
  <c r="D1445" i="10"/>
  <c r="D1441" i="10"/>
  <c r="D1436" i="10"/>
  <c r="D1432" i="10"/>
  <c r="D1429" i="10"/>
  <c r="D1426" i="10"/>
  <c r="D1358" i="10" s="1"/>
  <c r="D1420" i="10"/>
  <c r="D1417" i="10"/>
  <c r="D1411" i="10"/>
  <c r="D1407" i="10"/>
  <c r="D1402" i="10"/>
  <c r="D1398" i="10"/>
  <c r="D1395" i="10"/>
  <c r="D1361" i="10" s="1"/>
  <c r="D1392" i="10"/>
  <c r="D1389" i="10"/>
  <c r="D1355" i="10" s="1"/>
  <c r="D1388" i="10"/>
  <c r="D1354" i="10" s="1"/>
  <c r="D1385" i="10"/>
  <c r="D1384" i="10"/>
  <c r="D1380" i="10"/>
  <c r="D1379" i="10"/>
  <c r="D1378" i="10"/>
  <c r="D1376" i="10"/>
  <c r="D1375" i="10"/>
  <c r="D1374" i="10"/>
  <c r="D1372" i="10"/>
  <c r="D1371" i="10"/>
  <c r="D1370" i="10"/>
  <c r="D1369" i="10"/>
  <c r="D1367" i="10"/>
  <c r="D1366" i="10"/>
  <c r="D1365" i="10"/>
  <c r="D1364" i="10"/>
  <c r="D1363" i="10"/>
  <c r="D1362" i="10"/>
  <c r="D1360" i="10"/>
  <c r="D1359" i="10"/>
  <c r="D1357" i="10"/>
  <c r="D1356" i="10"/>
  <c r="D1353" i="10"/>
  <c r="D1351" i="10"/>
  <c r="D1343" i="10"/>
  <c r="D1340" i="10"/>
  <c r="D1339" i="10"/>
  <c r="D1334" i="10"/>
  <c r="D1332" i="10"/>
  <c r="D1330" i="10" s="1"/>
  <c r="D1331" i="10"/>
  <c r="D1327" i="10"/>
  <c r="D1325" i="10"/>
  <c r="D1324" i="10" s="1"/>
  <c r="D1323" i="10"/>
  <c r="D1321" i="10"/>
  <c r="D1320" i="10"/>
  <c r="D1319" i="10"/>
  <c r="D1318" i="10"/>
  <c r="D1314" i="10" s="1"/>
  <c r="D1313" i="10" s="1"/>
  <c r="D1317" i="10"/>
  <c r="D1147" i="10" s="1"/>
  <c r="D1316" i="10"/>
  <c r="D1315" i="10" s="1"/>
  <c r="D1309" i="10"/>
  <c r="D1305" i="10"/>
  <c r="D1300" i="10"/>
  <c r="D1298" i="10"/>
  <c r="D1296" i="10"/>
  <c r="D1293" i="10"/>
  <c r="D1290" i="10"/>
  <c r="D1287" i="10"/>
  <c r="D1286" i="10"/>
  <c r="D1281" i="10"/>
  <c r="D1275" i="10"/>
  <c r="D1271" i="10"/>
  <c r="D1266" i="10"/>
  <c r="D1264" i="10"/>
  <c r="D1262" i="10" s="1"/>
  <c r="D1259" i="10"/>
  <c r="D1256" i="10"/>
  <c r="D1255" i="10"/>
  <c r="D1253" i="10"/>
  <c r="D1252" i="10"/>
  <c r="D1247" i="10"/>
  <c r="D1241" i="10"/>
  <c r="D1237" i="10"/>
  <c r="D1169" i="10" s="1"/>
  <c r="D1232" i="10"/>
  <c r="D1230" i="10"/>
  <c r="D1229" i="10"/>
  <c r="D1225" i="10"/>
  <c r="D1223" i="10"/>
  <c r="D1222" i="10" s="1"/>
  <c r="D1221" i="10"/>
  <c r="D1153" i="10" s="1"/>
  <c r="D1219" i="10"/>
  <c r="D1218" i="10"/>
  <c r="D1216" i="10" s="1"/>
  <c r="D1217" i="10"/>
  <c r="D1215" i="10"/>
  <c r="D1214" i="10"/>
  <c r="D1207" i="10"/>
  <c r="D1203" i="10"/>
  <c r="D1198" i="10"/>
  <c r="D1196" i="10"/>
  <c r="D1194" i="10" s="1"/>
  <c r="D1191" i="10"/>
  <c r="D1189" i="10"/>
  <c r="D1188" i="10" s="1"/>
  <c r="D1187" i="10"/>
  <c r="D1185" i="10"/>
  <c r="D1184" i="10"/>
  <c r="D1179" i="10"/>
  <c r="D1176" i="10"/>
  <c r="D1175" i="10"/>
  <c r="D1174" i="10"/>
  <c r="D1172" i="10"/>
  <c r="D1171" i="10"/>
  <c r="D1170" i="10"/>
  <c r="D1168" i="10"/>
  <c r="D1167" i="10"/>
  <c r="D1166" i="10"/>
  <c r="D1165" i="10"/>
  <c r="D1163" i="10"/>
  <c r="D1159" i="10"/>
  <c r="D1158" i="10"/>
  <c r="D1156" i="10"/>
  <c r="D1155" i="10"/>
  <c r="D1152" i="10"/>
  <c r="D1149" i="10"/>
  <c r="D1139" i="10"/>
  <c r="D1135" i="10"/>
  <c r="D1130" i="10"/>
  <c r="D1126" i="10"/>
  <c r="D1123" i="10"/>
  <c r="D1120" i="10"/>
  <c r="D1114" i="10"/>
  <c r="D1111" i="10"/>
  <c r="D1105" i="10"/>
  <c r="D1101" i="10"/>
  <c r="D1096" i="10"/>
  <c r="D1092" i="10"/>
  <c r="D1089" i="10"/>
  <c r="D1086" i="10"/>
  <c r="D1080" i="10"/>
  <c r="D1077" i="10"/>
  <c r="D1071" i="10"/>
  <c r="D1070" i="10"/>
  <c r="D1067" i="10" s="1"/>
  <c r="D1062" i="10"/>
  <c r="D1060" i="10"/>
  <c r="D1058" i="10"/>
  <c r="D1055" i="10"/>
  <c r="D1053" i="10"/>
  <c r="D1052" i="10" s="1"/>
  <c r="D1049" i="10"/>
  <c r="D1048" i="10"/>
  <c r="D1047" i="10"/>
  <c r="D1046" i="10"/>
  <c r="D1045" i="10"/>
  <c r="D1044" i="10"/>
  <c r="D1043" i="10"/>
  <c r="D1037" i="10"/>
  <c r="D934" i="10" s="1"/>
  <c r="D1033" i="10"/>
  <c r="D1028" i="10"/>
  <c r="D1024" i="10"/>
  <c r="D1021" i="10"/>
  <c r="D1018" i="10"/>
  <c r="D1014" i="10"/>
  <c r="D1013" i="10"/>
  <c r="D1012" i="10" s="1"/>
  <c r="D1011" i="10"/>
  <c r="D1009" i="10" s="1"/>
  <c r="D1008" i="10" s="1"/>
  <c r="D1010" i="10"/>
  <c r="D1003" i="10"/>
  <c r="D999" i="10"/>
  <c r="D994" i="10"/>
  <c r="D992" i="10"/>
  <c r="D923" i="10" s="1"/>
  <c r="D987" i="10"/>
  <c r="D984" i="10"/>
  <c r="D983" i="10"/>
  <c r="D914" i="10" s="1"/>
  <c r="D981" i="10"/>
  <c r="D980" i="10"/>
  <c r="D975" i="10"/>
  <c r="D969" i="10"/>
  <c r="D965" i="10"/>
  <c r="D930" i="10" s="1"/>
  <c r="D960" i="10"/>
  <c r="D956" i="10"/>
  <c r="D953" i="10"/>
  <c r="D950" i="10"/>
  <c r="D944" i="10"/>
  <c r="D941" i="10"/>
  <c r="D937" i="10"/>
  <c r="D936" i="10"/>
  <c r="D932" i="10"/>
  <c r="D931" i="10"/>
  <c r="D929" i="10"/>
  <c r="D928" i="10"/>
  <c r="D927" i="10"/>
  <c r="D926" i="10"/>
  <c r="D924" i="10"/>
  <c r="D922" i="10"/>
  <c r="D920" i="10"/>
  <c r="D919" i="10"/>
  <c r="D917" i="10"/>
  <c r="D913" i="10"/>
  <c r="D912" i="10"/>
  <c r="D900" i="10"/>
  <c r="D896" i="10"/>
  <c r="D891" i="10"/>
  <c r="D889" i="10"/>
  <c r="D887" i="10" s="1"/>
  <c r="D884" i="10"/>
  <c r="D882" i="10"/>
  <c r="D881" i="10"/>
  <c r="D878" i="10"/>
  <c r="D877" i="10"/>
  <c r="D875" i="10" s="1"/>
  <c r="D876" i="10"/>
  <c r="D874" i="10"/>
  <c r="D873" i="10"/>
  <c r="D872" i="10" s="1"/>
  <c r="D866" i="10"/>
  <c r="D862" i="10"/>
  <c r="D857" i="10"/>
  <c r="D855" i="10"/>
  <c r="D853" i="10" s="1"/>
  <c r="D850" i="10"/>
  <c r="D847" i="10"/>
  <c r="D841" i="10"/>
  <c r="D838" i="10"/>
  <c r="D837" i="10" s="1"/>
  <c r="D836" i="10" s="1"/>
  <c r="D832" i="10"/>
  <c r="D828" i="10"/>
  <c r="D794" i="10" s="1"/>
  <c r="D823" i="10"/>
  <c r="D821" i="10"/>
  <c r="D820" i="10"/>
  <c r="D786" i="10" s="1"/>
  <c r="D819" i="10"/>
  <c r="D816" i="10"/>
  <c r="D782" i="10" s="1"/>
  <c r="D813" i="10"/>
  <c r="D779" i="10" s="1"/>
  <c r="D810" i="10"/>
  <c r="D776" i="10" s="1"/>
  <c r="D809" i="10"/>
  <c r="D775" i="10" s="1"/>
  <c r="D808" i="10"/>
  <c r="D806" i="10"/>
  <c r="D805" i="10"/>
  <c r="D804" i="10" s="1"/>
  <c r="D801" i="10"/>
  <c r="D800" i="10"/>
  <c r="D799" i="10"/>
  <c r="D797" i="10"/>
  <c r="D796" i="10"/>
  <c r="D524" i="10" s="1"/>
  <c r="D795" i="10"/>
  <c r="D793" i="10"/>
  <c r="D792" i="10"/>
  <c r="D791" i="10"/>
  <c r="D790" i="10"/>
  <c r="D789" i="10"/>
  <c r="D788" i="10"/>
  <c r="D784" i="10"/>
  <c r="D783" i="10"/>
  <c r="D781" i="10"/>
  <c r="D780" i="10"/>
  <c r="D778" i="10"/>
  <c r="D777" i="10"/>
  <c r="D505" i="10" s="1"/>
  <c r="D772" i="10"/>
  <c r="D764" i="10"/>
  <c r="D760" i="10"/>
  <c r="D755" i="10"/>
  <c r="D753" i="10"/>
  <c r="D751" i="10"/>
  <c r="D748" i="10"/>
  <c r="D747" i="10"/>
  <c r="D742" i="10"/>
  <c r="D741" i="10"/>
  <c r="D739" i="10"/>
  <c r="D736" i="10"/>
  <c r="D730" i="10"/>
  <c r="D726" i="10"/>
  <c r="D721" i="10"/>
  <c r="D717" i="10"/>
  <c r="D714" i="10"/>
  <c r="D711" i="10"/>
  <c r="D708" i="10"/>
  <c r="D707" i="10"/>
  <c r="D706" i="10"/>
  <c r="D703" i="10"/>
  <c r="D696" i="10"/>
  <c r="D692" i="10"/>
  <c r="D687" i="10"/>
  <c r="D685" i="10"/>
  <c r="D683" i="10"/>
  <c r="D680" i="10"/>
  <c r="D677" i="10"/>
  <c r="D676" i="10"/>
  <c r="D674" i="10"/>
  <c r="D671" i="10" s="1"/>
  <c r="D667" i="10" s="1"/>
  <c r="D666" i="10" s="1"/>
  <c r="D673" i="10"/>
  <c r="D668" i="10"/>
  <c r="D662" i="10"/>
  <c r="D658" i="10"/>
  <c r="D653" i="10"/>
  <c r="D649" i="10"/>
  <c r="D646" i="10"/>
  <c r="D643" i="10"/>
  <c r="D637" i="10"/>
  <c r="D634" i="10"/>
  <c r="D628" i="10"/>
  <c r="D594" i="10" s="1"/>
  <c r="D624" i="10"/>
  <c r="D590" i="10" s="1"/>
  <c r="D619" i="10"/>
  <c r="D585" i="10" s="1"/>
  <c r="D615" i="10"/>
  <c r="D581" i="10" s="1"/>
  <c r="D612" i="10"/>
  <c r="D609" i="10"/>
  <c r="D575" i="10" s="1"/>
  <c r="D608" i="10"/>
  <c r="D606" i="10"/>
  <c r="D605" i="10"/>
  <c r="D603" i="10" s="1"/>
  <c r="D569" i="10" s="1"/>
  <c r="D600" i="10"/>
  <c r="D597" i="10"/>
  <c r="D596" i="10"/>
  <c r="D595" i="10"/>
  <c r="D593" i="10"/>
  <c r="D592" i="10"/>
  <c r="D591" i="10"/>
  <c r="D589" i="10"/>
  <c r="D588" i="10"/>
  <c r="D520" i="10" s="1"/>
  <c r="D587" i="10"/>
  <c r="D519" i="10" s="1"/>
  <c r="D586" i="10"/>
  <c r="D584" i="10"/>
  <c r="D583" i="10"/>
  <c r="D582" i="10"/>
  <c r="D580" i="10"/>
  <c r="D512" i="10" s="1"/>
  <c r="D579" i="10"/>
  <c r="D577" i="10"/>
  <c r="D576" i="10"/>
  <c r="D508" i="10" s="1"/>
  <c r="D574" i="10"/>
  <c r="D573" i="10"/>
  <c r="D572" i="10"/>
  <c r="D570" i="10"/>
  <c r="D568" i="10"/>
  <c r="D567" i="10"/>
  <c r="D560" i="10"/>
  <c r="D557" i="10"/>
  <c r="D551" i="10"/>
  <c r="D547" i="10"/>
  <c r="D544" i="10"/>
  <c r="D542" i="10"/>
  <c r="D541" i="10"/>
  <c r="D535" i="10"/>
  <c r="D534" i="10"/>
  <c r="D533" i="10"/>
  <c r="D528" i="10"/>
  <c r="D511" i="10"/>
  <c r="D492" i="10"/>
  <c r="D488" i="10"/>
  <c r="D463" i="10" s="1"/>
  <c r="D462" i="10" s="1"/>
  <c r="D483" i="10"/>
  <c r="D479" i="10"/>
  <c r="D476" i="10"/>
  <c r="D473" i="10"/>
  <c r="D467" i="10"/>
  <c r="D464" i="10"/>
  <c r="D458" i="10"/>
  <c r="D454" i="10"/>
  <c r="D449" i="10"/>
  <c r="D445" i="10"/>
  <c r="D442" i="10"/>
  <c r="D439" i="10"/>
  <c r="D433" i="10"/>
  <c r="D430" i="10"/>
  <c r="D424" i="10"/>
  <c r="D420" i="10"/>
  <c r="D415" i="10"/>
  <c r="D411" i="10"/>
  <c r="D408" i="10"/>
  <c r="D405" i="10"/>
  <c r="D399" i="10"/>
  <c r="D396" i="10"/>
  <c r="D390" i="10"/>
  <c r="D356" i="10" s="1"/>
  <c r="D386" i="10"/>
  <c r="D381" i="10"/>
  <c r="D347" i="10" s="1"/>
  <c r="D379" i="10"/>
  <c r="D377" i="10" s="1"/>
  <c r="D343" i="10" s="1"/>
  <c r="D374" i="10"/>
  <c r="D340" i="10" s="1"/>
  <c r="D371" i="10"/>
  <c r="D368" i="10"/>
  <c r="D334" i="10" s="1"/>
  <c r="D367" i="10"/>
  <c r="D333" i="10" s="1"/>
  <c r="D365" i="10"/>
  <c r="D331" i="10" s="1"/>
  <c r="D364" i="10"/>
  <c r="D330" i="10" s="1"/>
  <c r="D363" i="10"/>
  <c r="D362" i="10" s="1"/>
  <c r="D359" i="10"/>
  <c r="D358" i="10"/>
  <c r="D357" i="10"/>
  <c r="D355" i="10"/>
  <c r="D354" i="10"/>
  <c r="D353" i="10"/>
  <c r="D351" i="10"/>
  <c r="D350" i="10"/>
  <c r="D349" i="10"/>
  <c r="D348" i="10"/>
  <c r="D346" i="10"/>
  <c r="D344" i="10"/>
  <c r="D342" i="10"/>
  <c r="D341" i="10"/>
  <c r="D339" i="10"/>
  <c r="D338" i="10"/>
  <c r="D336" i="10"/>
  <c r="D335" i="10"/>
  <c r="D332" i="10"/>
  <c r="D322" i="10"/>
  <c r="D318" i="10"/>
  <c r="D313" i="10"/>
  <c r="D309" i="10"/>
  <c r="D306" i="10"/>
  <c r="D303" i="10"/>
  <c r="D299" i="10"/>
  <c r="D294" i="10"/>
  <c r="D288" i="10"/>
  <c r="D254" i="10" s="1"/>
  <c r="D285" i="10"/>
  <c r="D284" i="10" s="1"/>
  <c r="D250" i="10" s="1"/>
  <c r="D279" i="10"/>
  <c r="D275" i="10"/>
  <c r="D272" i="10"/>
  <c r="D238" i="10" s="1"/>
  <c r="D269" i="10"/>
  <c r="D235" i="10" s="1"/>
  <c r="D268" i="10"/>
  <c r="D262" i="10"/>
  <c r="D261" i="10"/>
  <c r="D241" i="10"/>
  <c r="D228" i="10"/>
  <c r="D220" i="10"/>
  <c r="D216" i="10"/>
  <c r="D211" i="10"/>
  <c r="D207" i="10"/>
  <c r="D206" i="10"/>
  <c r="D204" i="10"/>
  <c r="D201" i="10"/>
  <c r="D197" i="10"/>
  <c r="D195" i="10" s="1"/>
  <c r="D192" i="10"/>
  <c r="D186" i="10"/>
  <c r="D182" i="10"/>
  <c r="D177" i="10"/>
  <c r="D173" i="10"/>
  <c r="D170" i="10"/>
  <c r="D167" i="10"/>
  <c r="D164" i="10"/>
  <c r="D163" i="10"/>
  <c r="D160" i="10"/>
  <c r="D58" i="10" s="1"/>
  <c r="D159" i="10"/>
  <c r="D152" i="10"/>
  <c r="D148" i="10"/>
  <c r="D143" i="10"/>
  <c r="D141" i="10"/>
  <c r="D139" i="10" s="1"/>
  <c r="D136" i="10"/>
  <c r="D133" i="10"/>
  <c r="D130" i="10"/>
  <c r="D62" i="10" s="1"/>
  <c r="D129" i="10"/>
  <c r="D126" i="10"/>
  <c r="D125" i="10"/>
  <c r="D124" i="10" s="1"/>
  <c r="D118" i="10"/>
  <c r="D114" i="10"/>
  <c r="D112" i="10"/>
  <c r="D109" i="10" s="1"/>
  <c r="D107" i="10"/>
  <c r="D73" i="10" s="1"/>
  <c r="D106" i="10"/>
  <c r="D105" i="10" s="1"/>
  <c r="D71" i="10" s="1"/>
  <c r="D102" i="10"/>
  <c r="D99" i="10"/>
  <c r="D98" i="10"/>
  <c r="D96" i="10"/>
  <c r="D95" i="10"/>
  <c r="D94" i="10"/>
  <c r="D92" i="10"/>
  <c r="D91" i="10"/>
  <c r="D90" i="10" s="1"/>
  <c r="D87" i="10"/>
  <c r="D86" i="10"/>
  <c r="D85" i="10"/>
  <c r="D83" i="10"/>
  <c r="D82" i="10"/>
  <c r="D81" i="10"/>
  <c r="D79" i="10"/>
  <c r="D77" i="10"/>
  <c r="D76" i="10"/>
  <c r="D74" i="10"/>
  <c r="D70" i="10"/>
  <c r="D69" i="10"/>
  <c r="D2620" i="10" s="1"/>
  <c r="D67" i="10"/>
  <c r="D66" i="10"/>
  <c r="D63" i="10"/>
  <c r="D51" i="10"/>
  <c r="D49" i="10"/>
  <c r="D48" i="10"/>
  <c r="D47" i="10"/>
  <c r="D46" i="10"/>
  <c r="D44" i="10"/>
  <c r="D43" i="10" s="1"/>
  <c r="D42" i="10"/>
  <c r="D41" i="10"/>
  <c r="D40" i="10" s="1"/>
  <c r="D38" i="10"/>
  <c r="D36" i="10"/>
  <c r="D35" i="10"/>
  <c r="D33" i="10"/>
  <c r="D28" i="10"/>
  <c r="D15" i="10"/>
  <c r="D13" i="10"/>
  <c r="H106" i="9"/>
  <c r="H101" i="9"/>
  <c r="H96" i="9"/>
  <c r="H91" i="9"/>
  <c r="H86" i="9"/>
  <c r="H81" i="9"/>
  <c r="H76" i="9"/>
  <c r="H71" i="9"/>
  <c r="H66" i="9"/>
  <c r="H61" i="9"/>
  <c r="H56" i="9"/>
  <c r="H51" i="9"/>
  <c r="H46" i="9"/>
  <c r="H41" i="9"/>
  <c r="H36" i="9"/>
  <c r="H31" i="9"/>
  <c r="H26" i="9"/>
  <c r="H21" i="9"/>
  <c r="H16" i="9"/>
  <c r="D2316" i="10" l="1"/>
  <c r="D2284" i="10"/>
  <c r="P432" i="11"/>
  <c r="P434" i="11" s="1"/>
  <c r="H434" i="11"/>
  <c r="D1165" i="13"/>
  <c r="D527" i="10"/>
  <c r="P226" i="11"/>
  <c r="O416" i="11"/>
  <c r="D1170" i="13"/>
  <c r="D1869" i="13"/>
  <c r="D1868" i="13" s="1"/>
  <c r="D93" i="10"/>
  <c r="D89" i="10" s="1"/>
  <c r="D88" i="10" s="1"/>
  <c r="D60" i="10"/>
  <c r="D518" i="10"/>
  <c r="D1565" i="10"/>
  <c r="D1885" i="13"/>
  <c r="D506" i="10"/>
  <c r="P416" i="11"/>
  <c r="D1834" i="13"/>
  <c r="I83" i="11"/>
  <c r="P82" i="11"/>
  <c r="H305" i="11"/>
  <c r="P303" i="11"/>
  <c r="H419" i="11"/>
  <c r="P417" i="11"/>
  <c r="D1805" i="13"/>
  <c r="D1803" i="13"/>
  <c r="D2379" i="13"/>
  <c r="D2378" i="13" s="1"/>
  <c r="D918" i="10"/>
  <c r="D1558" i="10"/>
  <c r="D1490" i="10" s="1"/>
  <c r="J158" i="11"/>
  <c r="J164" i="11"/>
  <c r="H209" i="11"/>
  <c r="P207" i="11"/>
  <c r="P330" i="11"/>
  <c r="D90" i="13"/>
  <c r="D89" i="13" s="1"/>
  <c r="D1807" i="13"/>
  <c r="D2589" i="13" s="1"/>
  <c r="D2247" i="13"/>
  <c r="D2349" i="13"/>
  <c r="D227" i="10"/>
  <c r="D57" i="10" s="1"/>
  <c r="D260" i="10"/>
  <c r="D226" i="10" s="1"/>
  <c r="D56" i="10" s="1"/>
  <c r="D906" i="10"/>
  <c r="P40" i="11"/>
  <c r="J41" i="11"/>
  <c r="K161" i="11"/>
  <c r="P54" i="11"/>
  <c r="O125" i="11"/>
  <c r="D1587" i="10"/>
  <c r="D1554" i="10"/>
  <c r="D2338" i="10"/>
  <c r="D2273" i="10"/>
  <c r="D1831" i="10" s="1"/>
  <c r="D2370" i="13"/>
  <c r="D633" i="10"/>
  <c r="D632" i="10" s="1"/>
  <c r="D1722" i="10"/>
  <c r="D1721" i="10" s="1"/>
  <c r="D2304" i="10"/>
  <c r="D2270" i="10" s="1"/>
  <c r="D2271" i="10"/>
  <c r="D532" i="10"/>
  <c r="D1494" i="10"/>
  <c r="D1572" i="10"/>
  <c r="D1504" i="10" s="1"/>
  <c r="D1568" i="10"/>
  <c r="D1500" i="10" s="1"/>
  <c r="J161" i="11"/>
  <c r="D251" i="13"/>
  <c r="D81" i="13" s="1"/>
  <c r="D2608" i="13" s="1"/>
  <c r="D1497" i="10"/>
  <c r="H44" i="11"/>
  <c r="P42" i="11"/>
  <c r="P44" i="11" s="1"/>
  <c r="H350" i="11"/>
  <c r="P349" i="11"/>
  <c r="P350" i="11" s="1"/>
  <c r="I515" i="11"/>
  <c r="I536" i="11" s="1"/>
  <c r="I535" i="11"/>
  <c r="D1549" i="13"/>
  <c r="D1481" i="13" s="1"/>
  <c r="D72" i="10"/>
  <c r="D774" i="10"/>
  <c r="D502" i="10" s="1"/>
  <c r="D807" i="10"/>
  <c r="D773" i="10" s="1"/>
  <c r="D871" i="10"/>
  <c r="D870" i="10" s="1"/>
  <c r="D908" i="10"/>
  <c r="D1845" i="10"/>
  <c r="D2627" i="10" s="1"/>
  <c r="P13" i="11"/>
  <c r="H26" i="11"/>
  <c r="P25" i="11"/>
  <c r="P26" i="11" s="1"/>
  <c r="P184" i="11"/>
  <c r="P403" i="11"/>
  <c r="H404" i="11"/>
  <c r="P451" i="11"/>
  <c r="P530" i="11"/>
  <c r="D1490" i="13"/>
  <c r="D1554" i="13"/>
  <c r="D1486" i="13" s="1"/>
  <c r="D297" i="10"/>
  <c r="D231" i="10"/>
  <c r="D61" i="10" s="1"/>
  <c r="D787" i="10"/>
  <c r="D1157" i="10"/>
  <c r="D1162" i="10"/>
  <c r="D1561" i="10"/>
  <c r="D1493" i="10" s="1"/>
  <c r="D1902" i="10"/>
  <c r="D2397" i="10"/>
  <c r="D2504" i="10"/>
  <c r="D2503" i="10" s="1"/>
  <c r="P43" i="11"/>
  <c r="P67" i="11"/>
  <c r="P68" i="11" s="1"/>
  <c r="P70" i="11"/>
  <c r="P71" i="11" s="1"/>
  <c r="P76" i="11"/>
  <c r="P77" i="11" s="1"/>
  <c r="H119" i="11"/>
  <c r="M161" i="11"/>
  <c r="M509" i="11" s="1"/>
  <c r="P187" i="11"/>
  <c r="P240" i="11"/>
  <c r="D532" i="13"/>
  <c r="D531" i="13" s="1"/>
  <c r="D2615" i="13"/>
  <c r="D595" i="13"/>
  <c r="D1495" i="13"/>
  <c r="D1494" i="13" s="1"/>
  <c r="D158" i="10"/>
  <c r="D65" i="10"/>
  <c r="D337" i="10"/>
  <c r="D516" i="10"/>
  <c r="D525" i="10"/>
  <c r="D798" i="10"/>
  <c r="D526" i="10" s="1"/>
  <c r="D1416" i="10"/>
  <c r="D1415" i="10" s="1"/>
  <c r="D1847" i="10"/>
  <c r="D1905" i="10"/>
  <c r="D1837" i="10" s="1"/>
  <c r="D2402" i="10"/>
  <c r="D2401" i="10" s="1"/>
  <c r="D2381" i="10"/>
  <c r="D2370" i="10"/>
  <c r="D2573" i="10"/>
  <c r="D2572" i="10" s="1"/>
  <c r="D2571" i="10" s="1"/>
  <c r="H65" i="11"/>
  <c r="H113" i="11"/>
  <c r="P117" i="11"/>
  <c r="P121" i="11"/>
  <c r="P195" i="11"/>
  <c r="P250" i="11"/>
  <c r="P427" i="11"/>
  <c r="P428" i="11" s="1"/>
  <c r="H467" i="11"/>
  <c r="P466" i="11"/>
  <c r="P467" i="11" s="1"/>
  <c r="D511" i="13"/>
  <c r="D2596" i="13" s="1"/>
  <c r="D2605" i="13"/>
  <c r="D600" i="13"/>
  <c r="D599" i="13" s="1"/>
  <c r="D567" i="13"/>
  <c r="D668" i="13"/>
  <c r="D667" i="13" s="1"/>
  <c r="D702" i="13"/>
  <c r="D701" i="13" s="1"/>
  <c r="D736" i="13"/>
  <c r="D735" i="13" s="1"/>
  <c r="D510" i="13"/>
  <c r="D2595" i="13" s="1"/>
  <c r="D293" i="10"/>
  <c r="D292" i="10" s="1"/>
  <c r="D529" i="10"/>
  <c r="D2638" i="10" s="1"/>
  <c r="D1577" i="10"/>
  <c r="D1509" i="10" s="1"/>
  <c r="D1964" i="10"/>
  <c r="D1848" i="10"/>
  <c r="D2378" i="10"/>
  <c r="D2386" i="10"/>
  <c r="L508" i="11"/>
  <c r="P86" i="11"/>
  <c r="P128" i="11"/>
  <c r="P146" i="11"/>
  <c r="D361" i="13"/>
  <c r="D463" i="13"/>
  <c r="D2597" i="13"/>
  <c r="D940" i="13"/>
  <c r="D1110" i="13"/>
  <c r="D1826" i="13"/>
  <c r="D1902" i="13"/>
  <c r="D2038" i="13"/>
  <c r="D1250" i="10"/>
  <c r="D1368" i="10"/>
  <c r="D1522" i="10"/>
  <c r="D1658" i="10"/>
  <c r="D1895" i="10"/>
  <c r="D1827" i="10" s="1"/>
  <c r="D2066" i="10"/>
  <c r="D2062" i="10" s="1"/>
  <c r="D2061" i="10" s="1"/>
  <c r="P19" i="11"/>
  <c r="H140" i="11"/>
  <c r="P139" i="11"/>
  <c r="P154" i="11"/>
  <c r="P155" i="11" s="1"/>
  <c r="N507" i="11"/>
  <c r="N158" i="11"/>
  <c r="M164" i="11"/>
  <c r="H185" i="11"/>
  <c r="J191" i="11"/>
  <c r="J194" i="11"/>
  <c r="P223" i="11"/>
  <c r="H287" i="11"/>
  <c r="H455" i="11"/>
  <c r="P454" i="11"/>
  <c r="O488" i="11"/>
  <c r="P506" i="11"/>
  <c r="N536" i="11"/>
  <c r="D1009" i="13"/>
  <c r="D1213" i="13"/>
  <c r="D1212" i="13" s="1"/>
  <c r="D1247" i="13"/>
  <c r="D1246" i="13" s="1"/>
  <c r="D1818" i="13"/>
  <c r="D2600" i="13" s="1"/>
  <c r="D1827" i="13"/>
  <c r="D84" i="10"/>
  <c r="D1559" i="10"/>
  <c r="D1491" i="10" s="1"/>
  <c r="D1655" i="10"/>
  <c r="D1894" i="10"/>
  <c r="D2371" i="10"/>
  <c r="P201" i="11"/>
  <c r="P203" i="11" s="1"/>
  <c r="H203" i="11"/>
  <c r="O380" i="11"/>
  <c r="D429" i="13"/>
  <c r="D838" i="13"/>
  <c r="D837" i="13" s="1"/>
  <c r="D974" i="13"/>
  <c r="D1076" i="13"/>
  <c r="D1816" i="13"/>
  <c r="D2598" i="13" s="1"/>
  <c r="D1936" i="13"/>
  <c r="D2004" i="13"/>
  <c r="D935" i="10"/>
  <c r="D1007" i="10"/>
  <c r="D1151" i="10"/>
  <c r="D24" i="10"/>
  <c r="D12" i="10" s="1"/>
  <c r="D504" i="10"/>
  <c r="D925" i="10"/>
  <c r="D1350" i="10"/>
  <c r="D2109" i="10"/>
  <c r="H110" i="11"/>
  <c r="P120" i="11"/>
  <c r="P122" i="11" s="1"/>
  <c r="L122" i="11"/>
  <c r="P130" i="11"/>
  <c r="P148" i="11"/>
  <c r="P149" i="11" s="1"/>
  <c r="O158" i="11"/>
  <c r="P166" i="11"/>
  <c r="P168" i="11"/>
  <c r="P170" i="11" s="1"/>
  <c r="P178" i="11"/>
  <c r="P213" i="11"/>
  <c r="P277" i="11"/>
  <c r="H281" i="11"/>
  <c r="P284" i="11"/>
  <c r="O287" i="11"/>
  <c r="H296" i="11"/>
  <c r="P405" i="11"/>
  <c r="P407" i="11" s="1"/>
  <c r="H410" i="11"/>
  <c r="P408" i="11"/>
  <c r="P410" i="11" s="1"/>
  <c r="O473" i="11"/>
  <c r="D338" i="13"/>
  <c r="D528" i="13"/>
  <c r="D518" i="13"/>
  <c r="D1043" i="13"/>
  <c r="D1042" i="13" s="1"/>
  <c r="D1149" i="13"/>
  <c r="D1357" i="13"/>
  <c r="D1563" i="13"/>
  <c r="D1562" i="13" s="1"/>
  <c r="D1699" i="13"/>
  <c r="D1698" i="13" s="1"/>
  <c r="D1828" i="13"/>
  <c r="D1971" i="13"/>
  <c r="D1970" i="13" s="1"/>
  <c r="D2098" i="13"/>
  <c r="D68" i="10"/>
  <c r="D785" i="10"/>
  <c r="D1173" i="10"/>
  <c r="D514" i="10"/>
  <c r="D521" i="10"/>
  <c r="D2630" i="10" s="1"/>
  <c r="D1756" i="10"/>
  <c r="D1755" i="10" s="1"/>
  <c r="D1839" i="10"/>
  <c r="D2621" i="10" s="1"/>
  <c r="D2354" i="10"/>
  <c r="D2286" i="10" s="1"/>
  <c r="D1844" i="10" s="1"/>
  <c r="D2289" i="10"/>
  <c r="D2538" i="10"/>
  <c r="D2537" i="10" s="1"/>
  <c r="P81" i="11"/>
  <c r="P83" i="11" s="1"/>
  <c r="D127" i="10"/>
  <c r="D80" i="10"/>
  <c r="D907" i="10"/>
  <c r="D1110" i="10"/>
  <c r="D1109" i="10" s="1"/>
  <c r="D1228" i="10"/>
  <c r="D1621" i="10"/>
  <c r="D1636" i="10"/>
  <c r="D2112" i="10"/>
  <c r="P48" i="11"/>
  <c r="P52" i="11"/>
  <c r="P53" i="11" s="1"/>
  <c r="P62" i="11"/>
  <c r="H143" i="11"/>
  <c r="P141" i="11"/>
  <c r="P183" i="11"/>
  <c r="P251" i="11"/>
  <c r="P295" i="11"/>
  <c r="H299" i="11"/>
  <c r="P297" i="11"/>
  <c r="P299" i="11" s="1"/>
  <c r="P351" i="11"/>
  <c r="O428" i="11"/>
  <c r="O449" i="11"/>
  <c r="H476" i="11"/>
  <c r="H535" i="11"/>
  <c r="D124" i="13"/>
  <c r="D123" i="13" s="1"/>
  <c r="D192" i="13"/>
  <c r="D191" i="13" s="1"/>
  <c r="D501" i="13"/>
  <c r="D2586" i="13" s="1"/>
  <c r="D529" i="13"/>
  <c r="D2614" i="13" s="1"/>
  <c r="D523" i="13"/>
  <c r="D872" i="13"/>
  <c r="D871" i="13" s="1"/>
  <c r="D919" i="13"/>
  <c r="D1814" i="13"/>
  <c r="L230" i="11"/>
  <c r="P253" i="11"/>
  <c r="H293" i="11"/>
  <c r="H371" i="11"/>
  <c r="H377" i="11"/>
  <c r="J536" i="11"/>
  <c r="D2601" i="13"/>
  <c r="D634" i="13"/>
  <c r="D633" i="13" s="1"/>
  <c r="D799" i="13"/>
  <c r="D1008" i="13"/>
  <c r="D1179" i="13"/>
  <c r="D1178" i="13" s="1"/>
  <c r="D1315" i="13"/>
  <c r="D1314" i="13" s="1"/>
  <c r="D1359" i="13"/>
  <c r="D1358" i="13" s="1"/>
  <c r="D1804" i="13"/>
  <c r="D2481" i="13"/>
  <c r="D2480" i="13" s="1"/>
  <c r="D1833" i="10"/>
  <c r="D1832" i="10"/>
  <c r="D2099" i="10"/>
  <c r="D2440" i="10"/>
  <c r="D2436" i="10" s="1"/>
  <c r="D2435" i="10" s="1"/>
  <c r="D2391" i="10"/>
  <c r="H20" i="11"/>
  <c r="L47" i="11"/>
  <c r="O143" i="11"/>
  <c r="N167" i="11"/>
  <c r="L191" i="11"/>
  <c r="H218" i="11"/>
  <c r="H236" i="11"/>
  <c r="P265" i="11"/>
  <c r="H311" i="11"/>
  <c r="H338" i="11"/>
  <c r="P367" i="11"/>
  <c r="H401" i="11"/>
  <c r="P419" i="11"/>
  <c r="D72" i="13"/>
  <c r="D260" i="13"/>
  <c r="D259" i="13" s="1"/>
  <c r="D804" i="13"/>
  <c r="D803" i="13" s="1"/>
  <c r="D1393" i="13"/>
  <c r="D1392" i="13" s="1"/>
  <c r="D1597" i="13"/>
  <c r="D1596" i="13" s="1"/>
  <c r="D1631" i="13"/>
  <c r="D1630" i="13" s="1"/>
  <c r="D1665" i="13"/>
  <c r="D1664" i="13" s="1"/>
  <c r="D1733" i="13"/>
  <c r="D1732" i="13" s="1"/>
  <c r="D1767" i="13"/>
  <c r="D1766" i="13" s="1"/>
  <c r="D1825" i="13"/>
  <c r="D2607" i="13" s="1"/>
  <c r="D2268" i="13"/>
  <c r="D1726" i="10"/>
  <c r="D1843" i="10"/>
  <c r="D1853" i="10"/>
  <c r="D2103" i="10"/>
  <c r="D2199" i="10"/>
  <c r="D2097" i="10" s="1"/>
  <c r="D2272" i="10"/>
  <c r="D2384" i="10"/>
  <c r="D2375" i="10"/>
  <c r="P41" i="11"/>
  <c r="H47" i="11"/>
  <c r="O95" i="11"/>
  <c r="H122" i="11"/>
  <c r="P142" i="11"/>
  <c r="P160" i="11"/>
  <c r="P181" i="11"/>
  <c r="P182" i="11" s="1"/>
  <c r="P202" i="11"/>
  <c r="H212" i="11"/>
  <c r="P269" i="11"/>
  <c r="P291" i="11"/>
  <c r="P293" i="11" s="1"/>
  <c r="K338" i="11"/>
  <c r="P362" i="11"/>
  <c r="P369" i="11"/>
  <c r="P375" i="11"/>
  <c r="P377" i="11" s="1"/>
  <c r="P411" i="11"/>
  <c r="P413" i="11" s="1"/>
  <c r="O452" i="11"/>
  <c r="P519" i="11"/>
  <c r="D2594" i="13"/>
  <c r="D2604" i="13"/>
  <c r="D76" i="13"/>
  <c r="D60" i="13"/>
  <c r="D357" i="13"/>
  <c r="D526" i="13"/>
  <c r="D780" i="13"/>
  <c r="D932" i="13"/>
  <c r="D1352" i="13"/>
  <c r="D1474" i="13"/>
  <c r="D1533" i="13"/>
  <c r="D1465" i="13" s="1"/>
  <c r="D1817" i="13"/>
  <c r="D2365" i="13"/>
  <c r="D2447" i="13"/>
  <c r="D2446" i="13" s="1"/>
  <c r="D2639" i="10"/>
  <c r="D2606" i="13"/>
  <c r="D2588" i="13"/>
  <c r="D527" i="13"/>
  <c r="D2612" i="13" s="1"/>
  <c r="D2413" i="13"/>
  <c r="D2412" i="13" s="1"/>
  <c r="D2609" i="13"/>
  <c r="D514" i="13"/>
  <c r="D2590" i="13"/>
  <c r="D2610" i="13"/>
  <c r="D502" i="13"/>
  <c r="D2106" i="13"/>
  <c r="D2073" i="13"/>
  <c r="D2072" i="13" s="1"/>
  <c r="D2611" i="13"/>
  <c r="D1811" i="13"/>
  <c r="D2592" i="13"/>
  <c r="D2602" i="13"/>
  <c r="D158" i="13"/>
  <c r="D157" i="13" s="1"/>
  <c r="D294" i="13"/>
  <c r="D293" i="13" s="1"/>
  <c r="D1351" i="13"/>
  <c r="D1281" i="13"/>
  <c r="D1280" i="13" s="1"/>
  <c r="D329" i="13"/>
  <c r="D922" i="13"/>
  <c r="D1146" i="13"/>
  <c r="D1530" i="13"/>
  <c r="D2074" i="13"/>
  <c r="D1802" i="13" s="1"/>
  <c r="D1801" i="13" s="1"/>
  <c r="D1800" i="13" s="1"/>
  <c r="D2346" i="13"/>
  <c r="D66" i="13"/>
  <c r="D396" i="13"/>
  <c r="D395" i="13" s="1"/>
  <c r="D576" i="13"/>
  <c r="D566" i="13" s="1"/>
  <c r="D907" i="13"/>
  <c r="D906" i="13" s="1"/>
  <c r="D905" i="13" s="1"/>
  <c r="D1155" i="13"/>
  <c r="D1427" i="13"/>
  <c r="D1426" i="13" s="1"/>
  <c r="D1539" i="13"/>
  <c r="D1471" i="13" s="1"/>
  <c r="D227" i="13"/>
  <c r="D771" i="13"/>
  <c r="D770" i="13" s="1"/>
  <c r="D2244" i="13"/>
  <c r="D2515" i="13"/>
  <c r="D2514" i="13" s="1"/>
  <c r="K507" i="11"/>
  <c r="K47" i="11"/>
  <c r="K509" i="11" s="1"/>
  <c r="P516" i="11"/>
  <c r="P534" i="11" s="1"/>
  <c r="O534" i="11"/>
  <c r="O518" i="11"/>
  <c r="P20" i="11"/>
  <c r="P49" i="11"/>
  <c r="P55" i="11"/>
  <c r="H74" i="11"/>
  <c r="P72" i="11"/>
  <c r="P97" i="11"/>
  <c r="P98" i="11" s="1"/>
  <c r="H104" i="11"/>
  <c r="P102" i="11"/>
  <c r="P105" i="11"/>
  <c r="P106" i="11"/>
  <c r="P132" i="11"/>
  <c r="P134" i="11" s="1"/>
  <c r="P136" i="11"/>
  <c r="P151" i="11"/>
  <c r="P46" i="11"/>
  <c r="P73" i="11"/>
  <c r="P45" i="11"/>
  <c r="O395" i="11"/>
  <c r="P393" i="11"/>
  <c r="P453" i="11"/>
  <c r="K455" i="11"/>
  <c r="P27" i="11"/>
  <c r="P29" i="11" s="1"/>
  <c r="P64" i="11"/>
  <c r="P65" i="11" s="1"/>
  <c r="H86" i="11"/>
  <c r="H101" i="11"/>
  <c r="P100" i="11"/>
  <c r="P101" i="11" s="1"/>
  <c r="P103" i="11"/>
  <c r="H188" i="11"/>
  <c r="P14" i="11"/>
  <c r="L38" i="11"/>
  <c r="L509" i="11" s="1"/>
  <c r="P94" i="11"/>
  <c r="P95" i="11" s="1"/>
  <c r="P162" i="11"/>
  <c r="H221" i="11"/>
  <c r="P219" i="11"/>
  <c r="H53" i="11"/>
  <c r="P124" i="11"/>
  <c r="P125" i="11" s="1"/>
  <c r="P131" i="11"/>
  <c r="L161" i="11"/>
  <c r="P169" i="11"/>
  <c r="O368" i="11"/>
  <c r="P366" i="11"/>
  <c r="P36" i="11"/>
  <c r="P38" i="11" s="1"/>
  <c r="H38" i="11"/>
  <c r="O140" i="11"/>
  <c r="P138" i="11"/>
  <c r="P140" i="11" s="1"/>
  <c r="I215" i="11"/>
  <c r="P214" i="11"/>
  <c r="P215" i="11" s="1"/>
  <c r="H32" i="11"/>
  <c r="P32" i="11" s="1"/>
  <c r="P30" i="11"/>
  <c r="M508" i="11"/>
  <c r="H507" i="11"/>
  <c r="H17" i="11"/>
  <c r="P17" i="11" s="1"/>
  <c r="P15" i="11"/>
  <c r="J508" i="11"/>
  <c r="J38" i="11"/>
  <c r="P156" i="11"/>
  <c r="P244" i="11"/>
  <c r="P245" i="11" s="1"/>
  <c r="H245" i="11"/>
  <c r="P489" i="11"/>
  <c r="P491" i="11" s="1"/>
  <c r="O491" i="11"/>
  <c r="H92" i="11"/>
  <c r="P90" i="11"/>
  <c r="P92" i="11" s="1"/>
  <c r="P109" i="11"/>
  <c r="P110" i="11" s="1"/>
  <c r="H152" i="11"/>
  <c r="P150" i="11"/>
  <c r="P157" i="11"/>
  <c r="H131" i="11"/>
  <c r="I137" i="11"/>
  <c r="I509" i="11" s="1"/>
  <c r="I539" i="11" s="1"/>
  <c r="I541" i="11" s="1"/>
  <c r="H149" i="11"/>
  <c r="H155" i="11"/>
  <c r="P163" i="11"/>
  <c r="J167" i="11"/>
  <c r="P172" i="11"/>
  <c r="P173" i="11" s="1"/>
  <c r="P205" i="11"/>
  <c r="P206" i="11" s="1"/>
  <c r="P224" i="11"/>
  <c r="P232" i="11"/>
  <c r="P233" i="11" s="1"/>
  <c r="O278" i="11"/>
  <c r="P276" i="11"/>
  <c r="P278" i="11" s="1"/>
  <c r="P321" i="11"/>
  <c r="P323" i="11" s="1"/>
  <c r="O392" i="11"/>
  <c r="P390" i="11"/>
  <c r="P392" i="11" s="1"/>
  <c r="P401" i="11"/>
  <c r="P456" i="11"/>
  <c r="P458" i="11" s="1"/>
  <c r="J458" i="11"/>
  <c r="H473" i="11"/>
  <c r="P472" i="11"/>
  <c r="O507" i="11"/>
  <c r="H35" i="11"/>
  <c r="K508" i="11"/>
  <c r="O508" i="11"/>
  <c r="P112" i="11"/>
  <c r="P113" i="11" s="1"/>
  <c r="P115" i="11"/>
  <c r="P116" i="11" s="1"/>
  <c r="P118" i="11"/>
  <c r="P133" i="11"/>
  <c r="P192" i="11"/>
  <c r="P194" i="11" s="1"/>
  <c r="H194" i="11"/>
  <c r="P197" i="11"/>
  <c r="P227" i="11"/>
  <c r="P229" i="11"/>
  <c r="H254" i="11"/>
  <c r="P262" i="11"/>
  <c r="P337" i="11"/>
  <c r="P352" i="11"/>
  <c r="H353" i="11"/>
  <c r="P354" i="11"/>
  <c r="P356" i="11" s="1"/>
  <c r="H356" i="11"/>
  <c r="O535" i="11"/>
  <c r="O524" i="11"/>
  <c r="O536" i="11" s="1"/>
  <c r="P522" i="11"/>
  <c r="O212" i="11"/>
  <c r="P210" i="11"/>
  <c r="P313" i="11"/>
  <c r="P314" i="11" s="1"/>
  <c r="H314" i="11"/>
  <c r="O341" i="11"/>
  <c r="P339" i="11"/>
  <c r="P381" i="11"/>
  <c r="P383" i="11" s="1"/>
  <c r="H386" i="11"/>
  <c r="P384" i="11"/>
  <c r="P386" i="11" s="1"/>
  <c r="P394" i="11"/>
  <c r="H395" i="11"/>
  <c r="P523" i="11"/>
  <c r="P11" i="11"/>
  <c r="I508" i="11"/>
  <c r="L507" i="11"/>
  <c r="N508" i="11"/>
  <c r="N41" i="11"/>
  <c r="H173" i="11"/>
  <c r="P185" i="11"/>
  <c r="P211" i="11"/>
  <c r="P220" i="11"/>
  <c r="O236" i="11"/>
  <c r="P234" i="11"/>
  <c r="P275" i="11"/>
  <c r="O302" i="11"/>
  <c r="P300" i="11"/>
  <c r="P340" i="11"/>
  <c r="H341" i="11"/>
  <c r="P358" i="11"/>
  <c r="P359" i="11" s="1"/>
  <c r="H359" i="11"/>
  <c r="O431" i="11"/>
  <c r="P430" i="11"/>
  <c r="P431" i="11" s="1"/>
  <c r="H461" i="11"/>
  <c r="P460" i="11"/>
  <c r="K515" i="11"/>
  <c r="K536" i="11" s="1"/>
  <c r="K535" i="11"/>
  <c r="P514" i="11"/>
  <c r="P159" i="11"/>
  <c r="P165" i="11"/>
  <c r="P208" i="11"/>
  <c r="P209" i="11" s="1"/>
  <c r="P235" i="11"/>
  <c r="P238" i="11"/>
  <c r="P239" i="11" s="1"/>
  <c r="P241" i="11"/>
  <c r="P242" i="11" s="1"/>
  <c r="P301" i="11"/>
  <c r="H302" i="11"/>
  <c r="P331" i="11"/>
  <c r="P332" i="11" s="1"/>
  <c r="H332" i="11"/>
  <c r="H335" i="11"/>
  <c r="P333" i="11"/>
  <c r="P335" i="11" s="1"/>
  <c r="O479" i="11"/>
  <c r="P478" i="11"/>
  <c r="P479" i="11" s="1"/>
  <c r="O41" i="11"/>
  <c r="I507" i="11"/>
  <c r="P79" i="11"/>
  <c r="P80" i="11" s="1"/>
  <c r="P135" i="11"/>
  <c r="P189" i="11"/>
  <c r="P190" i="11"/>
  <c r="P199" i="11"/>
  <c r="H206" i="11"/>
  <c r="H275" i="11"/>
  <c r="P274" i="11"/>
  <c r="P311" i="11"/>
  <c r="P420" i="11"/>
  <c r="O422" i="11"/>
  <c r="P425" i="11"/>
  <c r="P450" i="11"/>
  <c r="P452" i="11" s="1"/>
  <c r="K452" i="11"/>
  <c r="P485" i="11"/>
  <c r="P532" i="11"/>
  <c r="H508" i="11"/>
  <c r="J507" i="11"/>
  <c r="M507" i="11"/>
  <c r="H197" i="11"/>
  <c r="P217" i="11"/>
  <c r="P218" i="11" s="1"/>
  <c r="H227" i="11"/>
  <c r="P228" i="11"/>
  <c r="P257" i="11"/>
  <c r="H263" i="11"/>
  <c r="P261" i="11"/>
  <c r="P263" i="11" s="1"/>
  <c r="P288" i="11"/>
  <c r="P290" i="11" s="1"/>
  <c r="P329" i="11"/>
  <c r="O497" i="11"/>
  <c r="P496" i="11"/>
  <c r="P497" i="11" s="1"/>
  <c r="L535" i="11"/>
  <c r="L518" i="11"/>
  <c r="L536" i="11" s="1"/>
  <c r="P521" i="11"/>
  <c r="M535" i="11"/>
  <c r="P533" i="11"/>
  <c r="P177" i="11"/>
  <c r="P179" i="11" s="1"/>
  <c r="H182" i="11"/>
  <c r="P186" i="11"/>
  <c r="P188" i="11" s="1"/>
  <c r="H224" i="11"/>
  <c r="P306" i="11"/>
  <c r="P308" i="11" s="1"/>
  <c r="P345" i="11"/>
  <c r="P347" i="11" s="1"/>
  <c r="P370" i="11"/>
  <c r="O374" i="11"/>
  <c r="H425" i="11"/>
  <c r="P435" i="11"/>
  <c r="P437" i="11" s="1"/>
  <c r="O461" i="11"/>
  <c r="P459" i="11"/>
  <c r="P473" i="11"/>
  <c r="O503" i="11"/>
  <c r="P527" i="11"/>
  <c r="H239" i="11"/>
  <c r="P256" i="11"/>
  <c r="P279" i="11"/>
  <c r="P281" i="11" s="1"/>
  <c r="P285" i="11"/>
  <c r="P287" i="11" s="1"/>
  <c r="P294" i="11"/>
  <c r="P296" i="11" s="1"/>
  <c r="P378" i="11"/>
  <c r="P380" i="11" s="1"/>
  <c r="H380" i="11"/>
  <c r="O446" i="11"/>
  <c r="P445" i="11"/>
  <c r="P446" i="11" s="1"/>
  <c r="H464" i="11"/>
  <c r="P462" i="11"/>
  <c r="P464" i="11" s="1"/>
  <c r="P517" i="11"/>
  <c r="P520" i="11"/>
  <c r="J535" i="11"/>
  <c r="P175" i="11"/>
  <c r="P176" i="11" s="1"/>
  <c r="H344" i="11"/>
  <c r="H398" i="11"/>
  <c r="P400" i="11"/>
  <c r="P421" i="11"/>
  <c r="H440" i="11"/>
  <c r="P447" i="11"/>
  <c r="P449" i="11" s="1"/>
  <c r="O470" i="11"/>
  <c r="P492" i="11"/>
  <c r="P494" i="11" s="1"/>
  <c r="P498" i="11"/>
  <c r="P500" i="11" s="1"/>
  <c r="M524" i="11"/>
  <c r="M536" i="11" s="1"/>
  <c r="P198" i="11"/>
  <c r="H308" i="11"/>
  <c r="P324" i="11"/>
  <c r="P326" i="11" s="1"/>
  <c r="H347" i="11"/>
  <c r="H374" i="11"/>
  <c r="P480" i="11"/>
  <c r="P482" i="11" s="1"/>
  <c r="P486" i="11"/>
  <c r="P488" i="11" s="1"/>
  <c r="P305" i="11"/>
  <c r="P342" i="11"/>
  <c r="P344" i="11" s="1"/>
  <c r="H362" i="11"/>
  <c r="H389" i="11"/>
  <c r="P387" i="11"/>
  <c r="P389" i="11" s="1"/>
  <c r="P398" i="11"/>
  <c r="P402" i="11"/>
  <c r="P404" i="11" s="1"/>
  <c r="H428" i="11"/>
  <c r="P469" i="11"/>
  <c r="P470" i="11" s="1"/>
  <c r="P252" i="11"/>
  <c r="P264" i="11"/>
  <c r="P266" i="11" s="1"/>
  <c r="P283" i="11"/>
  <c r="P336" i="11"/>
  <c r="P365" i="11"/>
  <c r="O371" i="11"/>
  <c r="P503" i="11"/>
  <c r="H515" i="11"/>
  <c r="D123" i="10"/>
  <c r="D122" i="10" s="1"/>
  <c r="D770" i="10"/>
  <c r="D769" i="10" s="1"/>
  <c r="D803" i="10"/>
  <c r="D802" i="10" s="1"/>
  <c r="D531" i="10"/>
  <c r="D530" i="10" s="1"/>
  <c r="D361" i="10"/>
  <c r="D360" i="10" s="1"/>
  <c r="D599" i="10"/>
  <c r="D598" i="10" s="1"/>
  <c r="D1851" i="10"/>
  <c r="D2129" i="10"/>
  <c r="D2633" i="10"/>
  <c r="D161" i="10"/>
  <c r="D263" i="10"/>
  <c r="D229" i="10" s="1"/>
  <c r="D234" i="10"/>
  <c r="D64" i="10" s="1"/>
  <c r="D345" i="10"/>
  <c r="D352" i="10"/>
  <c r="D500" i="10"/>
  <c r="D566" i="10"/>
  <c r="D509" i="10"/>
  <c r="D2618" i="10" s="1"/>
  <c r="D745" i="10"/>
  <c r="D507" i="10" s="1"/>
  <c r="D771" i="10"/>
  <c r="D499" i="10" s="1"/>
  <c r="D910" i="10"/>
  <c r="D940" i="10"/>
  <c r="D939" i="10" s="1"/>
  <c r="D990" i="10"/>
  <c r="D1161" i="10"/>
  <c r="D1182" i="10"/>
  <c r="D1284" i="10"/>
  <c r="D1280" i="10" s="1"/>
  <c r="D1279" i="10" s="1"/>
  <c r="D1383" i="10"/>
  <c r="D1553" i="10"/>
  <c r="D1485" i="10" s="1"/>
  <c r="D1790" i="10"/>
  <c r="D1789" i="10" s="1"/>
  <c r="D1930" i="10"/>
  <c r="D1896" i="10" s="1"/>
  <c r="D2189" i="10"/>
  <c r="D2121" i="10" s="1"/>
  <c r="D2122" i="10"/>
  <c r="D2236" i="10"/>
  <c r="D2232" i="10" s="1"/>
  <c r="D2231" i="10" s="1"/>
  <c r="D2470" i="10"/>
  <c r="D2469" i="10" s="1"/>
  <c r="D1160" i="10"/>
  <c r="D328" i="10"/>
  <c r="D1150" i="10"/>
  <c r="D702" i="10"/>
  <c r="D1620" i="10"/>
  <c r="D1619" i="10" s="1"/>
  <c r="D1859" i="10"/>
  <c r="D1826" i="10"/>
  <c r="D1898" i="10"/>
  <c r="D1976" i="10"/>
  <c r="D1908" i="10" s="1"/>
  <c r="D1910" i="10"/>
  <c r="D2623" i="10"/>
  <c r="D1164" i="10"/>
  <c r="D191" i="10"/>
  <c r="D190" i="10" s="1"/>
  <c r="D1076" i="10"/>
  <c r="D1075" i="10" s="1"/>
  <c r="D45" i="10"/>
  <c r="D329" i="10"/>
  <c r="D705" i="10"/>
  <c r="D501" i="10" s="1"/>
  <c r="D915" i="10"/>
  <c r="D1042" i="10"/>
  <c r="D1041" i="10" s="1"/>
  <c r="D1486" i="10"/>
  <c r="D1578" i="10"/>
  <c r="D1510" i="10" s="1"/>
  <c r="D1555" i="10"/>
  <c r="D1487" i="10" s="1"/>
  <c r="D1624" i="10"/>
  <c r="D1557" i="10"/>
  <c r="D1489" i="10" s="1"/>
  <c r="D1581" i="10"/>
  <c r="D1513" i="10" s="1"/>
  <c r="D1842" i="10"/>
  <c r="D1835" i="10"/>
  <c r="D2276" i="10"/>
  <c r="D2388" i="10"/>
  <c r="D556" i="10"/>
  <c r="D522" i="10" s="1"/>
  <c r="D523" i="10"/>
  <c r="D1518" i="10"/>
  <c r="D1517" i="10" s="1"/>
  <c r="D2628" i="10"/>
  <c r="D2636" i="10"/>
  <c r="D395" i="10"/>
  <c r="D394" i="10" s="1"/>
  <c r="D513" i="10"/>
  <c r="D578" i="10"/>
  <c r="D510" i="10" s="1"/>
  <c r="D515" i="10"/>
  <c r="D933" i="10"/>
  <c r="D2634" i="10" s="1"/>
  <c r="D978" i="10"/>
  <c r="D911" i="10"/>
  <c r="D1154" i="10"/>
  <c r="D1213" i="10"/>
  <c r="D1212" i="10" s="1"/>
  <c r="D1146" i="10"/>
  <c r="D1246" i="10"/>
  <c r="D1245" i="10" s="1"/>
  <c r="D1386" i="10"/>
  <c r="D1352" i="10" s="1"/>
  <c r="D1377" i="10"/>
  <c r="D1373" i="10"/>
  <c r="D1570" i="10"/>
  <c r="D1502" i="10" s="1"/>
  <c r="D1960" i="10"/>
  <c r="D1959" i="10" s="1"/>
  <c r="D1926" i="10"/>
  <c r="D1925" i="10" s="1"/>
  <c r="D2614" i="10"/>
  <c r="D2625" i="10"/>
  <c r="D78" i="10"/>
  <c r="D2637" i="10"/>
  <c r="D245" i="10"/>
  <c r="D75" i="10" s="1"/>
  <c r="D429" i="10"/>
  <c r="D428" i="10" s="1"/>
  <c r="D517" i="10"/>
  <c r="D571" i="10"/>
  <c r="D503" i="10" s="1"/>
  <c r="D916" i="10"/>
  <c r="D2617" i="10" s="1"/>
  <c r="D921" i="10"/>
  <c r="D2028" i="10"/>
  <c r="D2027" i="10" s="1"/>
  <c r="D2202" i="10"/>
  <c r="D2102" i="10"/>
  <c r="D2282" i="10"/>
  <c r="D2359" i="10"/>
  <c r="D2291" i="10" s="1"/>
  <c r="D1849" i="10" s="1"/>
  <c r="D2631" i="10" s="1"/>
  <c r="D2292" i="10"/>
  <c r="D1850" i="10" s="1"/>
  <c r="D2632" i="10" s="1"/>
  <c r="D1874" i="10"/>
  <c r="D2168" i="10"/>
  <c r="D2242" i="10"/>
  <c r="D2106" i="10" s="1"/>
  <c r="D2335" i="10"/>
  <c r="D2374" i="10"/>
  <c r="D1590" i="10"/>
  <c r="D1556" i="10" s="1"/>
  <c r="D1488" i="10" s="1"/>
  <c r="D2101" i="10"/>
  <c r="D1829" i="10" s="1"/>
  <c r="F16" i="9"/>
  <c r="F22" i="9"/>
  <c r="F25" i="9"/>
  <c r="F26" i="9"/>
  <c r="F31" i="9"/>
  <c r="F36" i="9"/>
  <c r="F44" i="9"/>
  <c r="F41" i="9" s="1"/>
  <c r="F46" i="9"/>
  <c r="F51" i="9"/>
  <c r="F56" i="9"/>
  <c r="F61" i="9"/>
  <c r="F66" i="9"/>
  <c r="F71" i="9"/>
  <c r="F77" i="9"/>
  <c r="F79" i="9"/>
  <c r="F80" i="9"/>
  <c r="F81" i="9"/>
  <c r="F86" i="9"/>
  <c r="F91" i="9"/>
  <c r="F99" i="9"/>
  <c r="F100" i="9"/>
  <c r="F101" i="9"/>
  <c r="F106" i="9"/>
  <c r="H15" i="9"/>
  <c r="G15" i="9"/>
  <c r="D2613" i="10" l="1"/>
  <c r="D2611" i="10"/>
  <c r="D59" i="10"/>
  <c r="P371" i="11"/>
  <c r="P74" i="11"/>
  <c r="P507" i="11"/>
  <c r="D2619" i="10"/>
  <c r="D2300" i="10"/>
  <c r="D2299" i="10" s="1"/>
  <c r="D768" i="10"/>
  <c r="D2626" i="10"/>
  <c r="D701" i="10"/>
  <c r="D700" i="10" s="1"/>
  <c r="D2609" i="10"/>
  <c r="P455" i="11"/>
  <c r="P56" i="11"/>
  <c r="D328" i="13"/>
  <c r="D327" i="13" s="1"/>
  <c r="D1654" i="10"/>
  <c r="D1653" i="10" s="1"/>
  <c r="P461" i="11"/>
  <c r="N509" i="11"/>
  <c r="N539" i="11" s="1"/>
  <c r="N541" i="11" s="1"/>
  <c r="P212" i="11"/>
  <c r="P353" i="11"/>
  <c r="J509" i="11"/>
  <c r="J539" i="11" s="1"/>
  <c r="J541" i="11" s="1"/>
  <c r="P221" i="11"/>
  <c r="P50" i="11"/>
  <c r="D2243" i="13"/>
  <c r="D2242" i="13" s="1"/>
  <c r="D2635" i="10"/>
  <c r="F76" i="9"/>
  <c r="K539" i="11"/>
  <c r="K541" i="11" s="1"/>
  <c r="D1145" i="13"/>
  <c r="D1144" i="13" s="1"/>
  <c r="D2603" i="13"/>
  <c r="P143" i="11"/>
  <c r="D2334" i="10"/>
  <c r="D2333" i="10" s="1"/>
  <c r="D2599" i="13"/>
  <c r="D1211" i="10"/>
  <c r="D565" i="13"/>
  <c r="D2624" i="10"/>
  <c r="D157" i="10"/>
  <c r="D156" i="10" s="1"/>
  <c r="F21" i="9"/>
  <c r="F15" i="9" s="1"/>
  <c r="D1840" i="10"/>
  <c r="D2622" i="10" s="1"/>
  <c r="D2369" i="10"/>
  <c r="D1586" i="10"/>
  <c r="D1585" i="10" s="1"/>
  <c r="P230" i="11"/>
  <c r="P167" i="11"/>
  <c r="P158" i="11"/>
  <c r="P368" i="11"/>
  <c r="P107" i="11"/>
  <c r="D769" i="13"/>
  <c r="D2585" i="13"/>
  <c r="P524" i="11"/>
  <c r="D2198" i="10"/>
  <c r="D2197" i="10" s="1"/>
  <c r="D2372" i="10"/>
  <c r="D2629" i="10"/>
  <c r="D1834" i="10"/>
  <c r="D2616" i="10" s="1"/>
  <c r="D327" i="10"/>
  <c r="D326" i="10" s="1"/>
  <c r="D2615" i="10"/>
  <c r="P254" i="11"/>
  <c r="O509" i="11"/>
  <c r="O539" i="11" s="1"/>
  <c r="P161" i="11"/>
  <c r="P236" i="11"/>
  <c r="P119" i="11"/>
  <c r="P47" i="11"/>
  <c r="D226" i="13"/>
  <c r="D225" i="13" s="1"/>
  <c r="D2345" i="13"/>
  <c r="D2344" i="13" s="1"/>
  <c r="D2587" i="13"/>
  <c r="D2613" i="13"/>
  <c r="D2608" i="10"/>
  <c r="D57" i="13"/>
  <c r="D508" i="13"/>
  <c r="D2593" i="13" s="1"/>
  <c r="D1529" i="13"/>
  <c r="D1528" i="13" s="1"/>
  <c r="D1462" i="13"/>
  <c r="D1461" i="13" s="1"/>
  <c r="D1460" i="13" s="1"/>
  <c r="D499" i="13"/>
  <c r="D498" i="13" s="1"/>
  <c r="D497" i="13" s="1"/>
  <c r="D1349" i="13"/>
  <c r="D1348" i="13" s="1"/>
  <c r="P164" i="11"/>
  <c r="L539" i="11"/>
  <c r="L541" i="11" s="1"/>
  <c r="P395" i="11"/>
  <c r="P104" i="11"/>
  <c r="M539" i="11"/>
  <c r="M541" i="11" s="1"/>
  <c r="P535" i="11"/>
  <c r="P137" i="11"/>
  <c r="P302" i="11"/>
  <c r="P341" i="11"/>
  <c r="P508" i="11"/>
  <c r="P515" i="11"/>
  <c r="P536" i="11" s="1"/>
  <c r="H536" i="11"/>
  <c r="P200" i="11"/>
  <c r="P191" i="11"/>
  <c r="P422" i="11"/>
  <c r="P152" i="11"/>
  <c r="P518" i="11"/>
  <c r="P338" i="11"/>
  <c r="H509" i="11"/>
  <c r="F96" i="9"/>
  <c r="D55" i="10"/>
  <c r="D54" i="10" s="1"/>
  <c r="D565" i="10"/>
  <c r="D564" i="10" s="1"/>
  <c r="D735" i="10"/>
  <c r="D734" i="10" s="1"/>
  <c r="D1349" i="10"/>
  <c r="D1348" i="10" s="1"/>
  <c r="D1347" i="10" s="1"/>
  <c r="D1382" i="10"/>
  <c r="D1381" i="10" s="1"/>
  <c r="D2100" i="10"/>
  <c r="D1828" i="10" s="1"/>
  <c r="D2164" i="10"/>
  <c r="D259" i="10"/>
  <c r="D258" i="10" s="1"/>
  <c r="D1148" i="10"/>
  <c r="D974" i="10"/>
  <c r="D973" i="10" s="1"/>
  <c r="D909" i="10"/>
  <c r="D905" i="10" s="1"/>
  <c r="D904" i="10" s="1"/>
  <c r="D1830" i="10"/>
  <c r="D2612" i="10" s="1"/>
  <c r="D225" i="10"/>
  <c r="D224" i="10" s="1"/>
  <c r="D1484" i="10"/>
  <c r="D1483" i="10" s="1"/>
  <c r="D1892" i="10"/>
  <c r="D1891" i="10" s="1"/>
  <c r="D1178" i="10"/>
  <c r="D1177" i="10" s="1"/>
  <c r="D1145" i="10"/>
  <c r="D1144" i="10" s="1"/>
  <c r="D1143" i="10" s="1"/>
  <c r="D2267" i="10"/>
  <c r="D2266" i="10" s="1"/>
  <c r="D2265" i="10" s="1"/>
  <c r="D1858" i="10"/>
  <c r="D1857" i="10" s="1"/>
  <c r="D1552" i="10"/>
  <c r="D1551" i="10" s="1"/>
  <c r="D498" i="10"/>
  <c r="D497" i="10" s="1"/>
  <c r="D496" i="10" s="1"/>
  <c r="E15" i="9"/>
  <c r="D1825" i="10" l="1"/>
  <c r="P509" i="11"/>
  <c r="P539" i="11" s="1"/>
  <c r="H539" i="11"/>
  <c r="H541" i="11" s="1"/>
  <c r="D2610" i="10"/>
  <c r="D2368" i="10"/>
  <c r="D2367" i="10" s="1"/>
  <c r="D2584" i="13"/>
  <c r="D2583" i="13" s="1"/>
  <c r="D2582" i="13" s="1"/>
  <c r="D56" i="13"/>
  <c r="D55" i="13" s="1"/>
  <c r="D54" i="13" s="1"/>
  <c r="D2627" i="13" s="1"/>
  <c r="D2629" i="13" s="1"/>
  <c r="D1824" i="10"/>
  <c r="D1823" i="10" s="1"/>
  <c r="D53" i="10" s="1"/>
  <c r="D2650" i="10" s="1"/>
  <c r="D2652" i="10" s="1"/>
  <c r="D2163" i="10"/>
  <c r="D2096" i="10"/>
  <c r="D2095" i="10" s="1"/>
  <c r="D2607" i="10"/>
  <c r="D2606" i="10" s="1"/>
  <c r="D2605" i="10" s="1"/>
  <c r="D15" i="9"/>
  <c r="C15" i="9"/>
  <c r="F38" i="8" l="1"/>
  <c r="I38" i="8" s="1"/>
  <c r="F37" i="8"/>
  <c r="I37" i="8" s="1"/>
  <c r="F36" i="8"/>
  <c r="I36" i="8" s="1"/>
  <c r="F35" i="8"/>
  <c r="I35" i="8" s="1"/>
  <c r="F34" i="8"/>
  <c r="I34" i="8" s="1"/>
  <c r="F33" i="8"/>
  <c r="I33" i="8" s="1"/>
  <c r="F32" i="8"/>
  <c r="I32" i="8" s="1"/>
  <c r="F31" i="8"/>
  <c r="I31" i="8" s="1"/>
  <c r="F30" i="8"/>
  <c r="I30" i="8" s="1"/>
  <c r="F29" i="8"/>
  <c r="I29" i="8" s="1"/>
  <c r="F28" i="8"/>
  <c r="I28" i="8" s="1"/>
  <c r="D27" i="8"/>
  <c r="F27" i="8" s="1"/>
  <c r="I27" i="8" s="1"/>
  <c r="F26" i="8"/>
  <c r="I26" i="8" s="1"/>
  <c r="F25" i="8"/>
  <c r="I25" i="8" s="1"/>
  <c r="F24" i="8"/>
  <c r="I24" i="8" s="1"/>
  <c r="F23" i="8"/>
  <c r="I23" i="8" s="1"/>
  <c r="F22" i="8"/>
  <c r="I22" i="8" s="1"/>
  <c r="F21" i="8"/>
  <c r="I21" i="8" s="1"/>
  <c r="F20" i="8"/>
  <c r="I20" i="8" s="1"/>
  <c r="F19" i="8"/>
  <c r="I19" i="8" s="1"/>
  <c r="D18" i="8"/>
  <c r="F18" i="8" s="1"/>
  <c r="I18" i="8" s="1"/>
  <c r="D17" i="8"/>
  <c r="F17" i="8" s="1"/>
  <c r="H16" i="8"/>
  <c r="G16" i="8"/>
  <c r="E16" i="8"/>
  <c r="C16" i="8"/>
  <c r="F16" i="8" l="1"/>
  <c r="I17" i="8"/>
  <c r="I16" i="8" s="1"/>
  <c r="D16" i="8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18" i="7"/>
  <c r="D39" i="7"/>
  <c r="F39" i="7" s="1"/>
  <c r="J38" i="7"/>
  <c r="F38" i="7"/>
  <c r="J37" i="7"/>
  <c r="F37" i="7"/>
  <c r="J36" i="7"/>
  <c r="F36" i="7"/>
  <c r="J35" i="7"/>
  <c r="F35" i="7"/>
  <c r="J34" i="7"/>
  <c r="K34" i="7" s="1"/>
  <c r="F34" i="7"/>
  <c r="J33" i="7"/>
  <c r="F33" i="7"/>
  <c r="J32" i="7"/>
  <c r="F32" i="7"/>
  <c r="J31" i="7"/>
  <c r="F31" i="7"/>
  <c r="J30" i="7"/>
  <c r="K30" i="7" s="1"/>
  <c r="F30" i="7"/>
  <c r="J29" i="7"/>
  <c r="F29" i="7"/>
  <c r="J28" i="7"/>
  <c r="F28" i="7"/>
  <c r="J27" i="7"/>
  <c r="F27" i="7"/>
  <c r="J26" i="7"/>
  <c r="F26" i="7"/>
  <c r="J25" i="7"/>
  <c r="F25" i="7"/>
  <c r="J24" i="7"/>
  <c r="F24" i="7"/>
  <c r="F23" i="7"/>
  <c r="J22" i="7"/>
  <c r="F22" i="7"/>
  <c r="J21" i="7"/>
  <c r="F21" i="7"/>
  <c r="J20" i="7"/>
  <c r="F20" i="7"/>
  <c r="J19" i="7"/>
  <c r="F19" i="7"/>
  <c r="F18" i="7"/>
  <c r="K18" i="7" s="1"/>
  <c r="I17" i="7"/>
  <c r="G17" i="7"/>
  <c r="E17" i="7"/>
  <c r="C17" i="7"/>
  <c r="K22" i="7" l="1"/>
  <c r="K24" i="7"/>
  <c r="K32" i="7"/>
  <c r="K27" i="7"/>
  <c r="K31" i="7"/>
  <c r="K35" i="7"/>
  <c r="K28" i="7"/>
  <c r="D17" i="7"/>
  <c r="K36" i="7"/>
  <c r="K38" i="7"/>
  <c r="J17" i="5"/>
  <c r="K25" i="7"/>
  <c r="K29" i="7"/>
  <c r="K33" i="7"/>
  <c r="K37" i="7"/>
  <c r="K21" i="7"/>
  <c r="K26" i="7"/>
  <c r="K20" i="7"/>
  <c r="K19" i="7"/>
  <c r="J39" i="7"/>
  <c r="K39" i="7" s="1"/>
  <c r="F17" i="7"/>
  <c r="J23" i="7"/>
  <c r="K23" i="7" s="1"/>
  <c r="H17" i="7" l="1"/>
  <c r="H17" i="5" l="1"/>
  <c r="K22" i="6" l="1"/>
  <c r="K24" i="6"/>
  <c r="K23" i="6"/>
  <c r="I19" i="6"/>
  <c r="I17" i="6" s="1"/>
  <c r="J19" i="6" l="1"/>
  <c r="G19" i="6"/>
  <c r="G17" i="6" s="1"/>
  <c r="I17" i="5"/>
  <c r="K27" i="6"/>
  <c r="F27" i="6"/>
  <c r="F24" i="6"/>
  <c r="L24" i="6" s="1"/>
  <c r="F23" i="6"/>
  <c r="L23" i="6" s="1"/>
  <c r="E22" i="6"/>
  <c r="E19" i="6" s="1"/>
  <c r="D22" i="6"/>
  <c r="H19" i="6"/>
  <c r="C19" i="6"/>
  <c r="C17" i="6" s="1"/>
  <c r="F36" i="5"/>
  <c r="K36" i="5" s="1"/>
  <c r="F35" i="5"/>
  <c r="K35" i="5" s="1"/>
  <c r="F34" i="5"/>
  <c r="K34" i="5" s="1"/>
  <c r="F33" i="5"/>
  <c r="K33" i="5" s="1"/>
  <c r="F32" i="5"/>
  <c r="K32" i="5" s="1"/>
  <c r="F31" i="5"/>
  <c r="K31" i="5" s="1"/>
  <c r="F30" i="5"/>
  <c r="K30" i="5" s="1"/>
  <c r="F29" i="5"/>
  <c r="K29" i="5" s="1"/>
  <c r="F28" i="5"/>
  <c r="K28" i="5" s="1"/>
  <c r="F27" i="5"/>
  <c r="K27" i="5" s="1"/>
  <c r="F26" i="5"/>
  <c r="K26" i="5" s="1"/>
  <c r="F25" i="5"/>
  <c r="K25" i="5" s="1"/>
  <c r="F24" i="5"/>
  <c r="K24" i="5" s="1"/>
  <c r="F23" i="5"/>
  <c r="K23" i="5" s="1"/>
  <c r="F22" i="5"/>
  <c r="K22" i="5" s="1"/>
  <c r="F21" i="5"/>
  <c r="K21" i="5" s="1"/>
  <c r="F20" i="5"/>
  <c r="K20" i="5" s="1"/>
  <c r="F19" i="5"/>
  <c r="K19" i="5" s="1"/>
  <c r="F18" i="5"/>
  <c r="K18" i="5" s="1"/>
  <c r="G17" i="5"/>
  <c r="E17" i="5"/>
  <c r="D17" i="5"/>
  <c r="C17" i="5"/>
  <c r="L27" i="6" l="1"/>
  <c r="H17" i="6"/>
  <c r="K19" i="6"/>
  <c r="D19" i="6"/>
  <c r="D17" i="6" s="1"/>
  <c r="J17" i="6"/>
  <c r="K17" i="5"/>
  <c r="F17" i="5"/>
  <c r="E17" i="6"/>
  <c r="F22" i="6"/>
  <c r="F19" i="6" l="1"/>
  <c r="F17" i="6" s="1"/>
  <c r="L22" i="6"/>
  <c r="K17" i="6"/>
  <c r="K17" i="7"/>
  <c r="J17" i="7"/>
  <c r="L19" i="6" l="1"/>
  <c r="L17" i="6"/>
</calcChain>
</file>

<file path=xl/sharedStrings.xml><?xml version="1.0" encoding="utf-8"?>
<sst xmlns="http://schemas.openxmlformats.org/spreadsheetml/2006/main" count="10061" uniqueCount="1090">
  <si>
    <t xml:space="preserve"> interešu izglītības programmu pedagogu</t>
  </si>
  <si>
    <t xml:space="preserve"> darba samaksai un valsts sociālās apdrošināšanas obligātām iemaksām</t>
  </si>
  <si>
    <t>Nr. p.k.</t>
  </si>
  <si>
    <t>Mācību iestādes nosaukums</t>
  </si>
  <si>
    <t>Pedagogu</t>
  </si>
  <si>
    <t>Finansējums</t>
  </si>
  <si>
    <t>Plāns</t>
  </si>
  <si>
    <t>Izglītojamo</t>
  </si>
  <si>
    <t>darba</t>
  </si>
  <si>
    <t xml:space="preserve">programmai </t>
  </si>
  <si>
    <t xml:space="preserve">2024.gadā </t>
  </si>
  <si>
    <t>2024.gadā</t>
  </si>
  <si>
    <t>skaits</t>
  </si>
  <si>
    <t xml:space="preserve">samaksai un </t>
  </si>
  <si>
    <t xml:space="preserve">mazākumtautību </t>
  </si>
  <si>
    <t xml:space="preserve"> 4 mēn.</t>
  </si>
  <si>
    <t xml:space="preserve"> 12 mēn.</t>
  </si>
  <si>
    <t>01.09.2023.</t>
  </si>
  <si>
    <t>VSAOI</t>
  </si>
  <si>
    <t>izglītojamiem</t>
  </si>
  <si>
    <t>EUR</t>
  </si>
  <si>
    <t>01.09.2024.</t>
  </si>
  <si>
    <t>6=(4+5)</t>
  </si>
  <si>
    <t>Kopā</t>
  </si>
  <si>
    <t>Valmieras Pārgaujas sākumskola</t>
  </si>
  <si>
    <t>Valmieras sākumskola</t>
  </si>
  <si>
    <t>J. Endzelīna Kauguru pamatskola</t>
  </si>
  <si>
    <t>Trikātas pamatskola</t>
  </si>
  <si>
    <t>Burtnieku Ausekļa pamatskola</t>
  </si>
  <si>
    <t>Matīšu pamatskola</t>
  </si>
  <si>
    <t>Rencēnu pamatskola</t>
  </si>
  <si>
    <t>J. Neikena Dikļu pamatskola</t>
  </si>
  <si>
    <t>Kocēnu pamatskola</t>
  </si>
  <si>
    <t>Rubenes pamatskola</t>
  </si>
  <si>
    <t>Strenču pamatskola</t>
  </si>
  <si>
    <t>Valmieras Viestura vidusskola</t>
  </si>
  <si>
    <t>Valmieras 2. vidusskola</t>
  </si>
  <si>
    <t>Valmieras 5. vidusskola</t>
  </si>
  <si>
    <t>Mazsalacas vidusskola</t>
  </si>
  <si>
    <t>Naukšēnu vidusskola</t>
  </si>
  <si>
    <t>Rūjienas vidusskola</t>
  </si>
  <si>
    <t>Valmieras Valsts ģimnāzija</t>
  </si>
  <si>
    <t>Valmieras Pārgaujas Valsts ģimnāzija</t>
  </si>
  <si>
    <t>Valmieras Gaujas krasta vidusskola - AC</t>
  </si>
  <si>
    <t>Valmieras jaunatnes centrs Vinda</t>
  </si>
  <si>
    <t>Privāto Izglītības iestāžu kopējie izdevumi Valmieras novadā</t>
  </si>
  <si>
    <t xml:space="preserve">   pamata un vispārējās vidējās izglītības iestāžu pedagogu darba samaksai </t>
  </si>
  <si>
    <t xml:space="preserve">   un valsts sociālās apdrošināšanas obligātām iemaksām</t>
  </si>
  <si>
    <t>Jura Neikena Dikļu pamatskola</t>
  </si>
  <si>
    <t>Izglītības iestāžu reģistrā reģistrētajiem attīstības un rehabilitācijas centriem,</t>
  </si>
  <si>
    <t>speciālajām internātskolām bērniem ar fiziskās un garīgās attīistības traucējumiem</t>
  </si>
  <si>
    <t>Nr.</t>
  </si>
  <si>
    <t>Iestāde</t>
  </si>
  <si>
    <t>Iestādes</t>
  </si>
  <si>
    <t xml:space="preserve">uzturēšanas </t>
  </si>
  <si>
    <t>p.k.</t>
  </si>
  <si>
    <t>izdevumiem</t>
  </si>
  <si>
    <t>4 mēnešiem</t>
  </si>
  <si>
    <t>12 mēnešiem</t>
  </si>
  <si>
    <t>kopā</t>
  </si>
  <si>
    <t>MD</t>
  </si>
  <si>
    <t xml:space="preserve">VSAOI </t>
  </si>
  <si>
    <t>KOPĀ</t>
  </si>
  <si>
    <t>Kopā Valmieras Gaujas krasta vidusskola - attīstības centrs</t>
  </si>
  <si>
    <t>t.sk.</t>
  </si>
  <si>
    <t>Valmieras Gaujas krasta vidusskola - attīstības centrs</t>
  </si>
  <si>
    <t>Valmieras Gaujas krasta vidusskola - attīstības centrs struktūrvienība Vaidava</t>
  </si>
  <si>
    <t>Rūjienas pirmsskolas izglītības iestāde "Vārpiņa"</t>
  </si>
  <si>
    <t>8 mēn.</t>
  </si>
  <si>
    <t xml:space="preserve">izglītojamiem </t>
  </si>
  <si>
    <t>atlīdzībai</t>
  </si>
  <si>
    <t xml:space="preserve">Pedagogu </t>
  </si>
  <si>
    <t>4 mēn.</t>
  </si>
  <si>
    <t>Naukšēnu pamatskola</t>
  </si>
  <si>
    <t>Valmieras Gaujas krasta vidusskola - attīstības centrs  pirmsskolas izglītība</t>
  </si>
  <si>
    <t>10=6+8+9</t>
  </si>
  <si>
    <t>12 mēn.</t>
  </si>
  <si>
    <t>11=(8+9+10)</t>
  </si>
  <si>
    <t>12=(6+11)</t>
  </si>
  <si>
    <t>10=(6+8+9)</t>
  </si>
  <si>
    <t>10=8+9</t>
  </si>
  <si>
    <t>10=(8+9)</t>
  </si>
  <si>
    <t>izglītības iestādēs bērnu no piecu gadu vecuma izglītošanā nodarbināto</t>
  </si>
  <si>
    <t>pedagogu darba samaksai un valsts sociālās apdrošināšanas obligātām iemaksām</t>
  </si>
  <si>
    <t xml:space="preserve">Izglītojamo </t>
  </si>
  <si>
    <t>no 5 gadu vec.</t>
  </si>
  <si>
    <t xml:space="preserve"> 8 mēnešiem</t>
  </si>
  <si>
    <t xml:space="preserve"> 4 mēnešiem</t>
  </si>
  <si>
    <t>9=6+8</t>
  </si>
  <si>
    <t>Valmieras pirmsskolas izglītības iestāde "Varavīksne"</t>
  </si>
  <si>
    <t>Valmieras pirmsskolas izglītības iestāde "Ābelīte"</t>
  </si>
  <si>
    <t>Valmieras pirmsskolas izglītības iestāde "Ezītis"</t>
  </si>
  <si>
    <t>Valmieras pirmsskolas izglītības iestāde "Sprīdītis"</t>
  </si>
  <si>
    <t>Valmieras pirmsskolas izglītības iestāde "Vālodzīte"</t>
  </si>
  <si>
    <t>Valmieras pirmsskolas izglītības iestāde "Krācītes"</t>
  </si>
  <si>
    <t>Valmieras pirmsskolas izglītības iestāde "Kārliena"</t>
  </si>
  <si>
    <t>Valmieras  pirmsskolas izglītības iestāde "Pienenīte"</t>
  </si>
  <si>
    <t>Valmieras pirmsskolas izglītības iestāde "Buratino"</t>
  </si>
  <si>
    <t>Mūrmuižas pirmsskolas izglītības iestāde "Pasaciņa"</t>
  </si>
  <si>
    <t>Valmiermuižas pirmsskolas izglītības iestāde "Burtiņš"</t>
  </si>
  <si>
    <t>Burtnieku pirmsskolas izglītības iestāde "Sienāzītis"</t>
  </si>
  <si>
    <t>Kocēnu pirmsskolas izglītības iestāde "Auseklītis"</t>
  </si>
  <si>
    <r>
      <t xml:space="preserve">Mazsalacas pirmsskolas izglītības iestāde </t>
    </r>
    <r>
      <rPr>
        <sz val="10"/>
        <color rgb="FF000000"/>
        <rFont val="Times New Roman"/>
        <family val="1"/>
        <charset val="186"/>
      </rPr>
      <t>"Dārziņš"</t>
    </r>
  </si>
  <si>
    <t>Strenču pirmsskolas izglītības iestāde "Minkāns"</t>
  </si>
  <si>
    <t>ieņēmumiem</t>
  </si>
  <si>
    <t>1.-4.kl.</t>
  </si>
  <si>
    <t>2023./2024.m.g.</t>
  </si>
  <si>
    <t>2. semestris</t>
  </si>
  <si>
    <t>Jāņa Endzelīna Kauguru pamatskola</t>
  </si>
  <si>
    <t>1.klase</t>
  </si>
  <si>
    <t>2.klase</t>
  </si>
  <si>
    <t>3.klase</t>
  </si>
  <si>
    <t>4.klase</t>
  </si>
  <si>
    <t>Naukšēnu novada vidusskola</t>
  </si>
  <si>
    <t>Valmieras 2.vidusskola</t>
  </si>
  <si>
    <t>Valmieras 5.vidusskola</t>
  </si>
  <si>
    <t>Pamatskola "UNIVERSUM"</t>
  </si>
  <si>
    <t>Privātā pamatskola "ZAĻĀ SKOLA"</t>
  </si>
  <si>
    <t>Mērķdotācijas</t>
  </si>
  <si>
    <t xml:space="preserve">atlikums </t>
  </si>
  <si>
    <t>uz 01.01.2024.</t>
  </si>
  <si>
    <t>2024/2025.m.g.</t>
  </si>
  <si>
    <t>2024. gadā</t>
  </si>
  <si>
    <t>1. semestris</t>
  </si>
  <si>
    <t xml:space="preserve">ieņēmumiem </t>
  </si>
  <si>
    <t>VALMIERAS NOVADA PAŠVALDĪBAS KONSOLIDĒTĀ PAMATBUDŽETA</t>
  </si>
  <si>
    <t>ar grozījumiem 30.05.2024.; 27.06.2024.; 26.09.2024.; 28.12.2024.</t>
  </si>
  <si>
    <t>Valdības funkciju klasifikācija</t>
  </si>
  <si>
    <t>Ekonomiskās klasifikācijas kods</t>
  </si>
  <si>
    <t>Rādītāji</t>
  </si>
  <si>
    <t>Plāns'2024</t>
  </si>
  <si>
    <t>Ieņēmumi kopā</t>
  </si>
  <si>
    <t>1.0.</t>
  </si>
  <si>
    <t>Nodokļu ieņēmumi</t>
  </si>
  <si>
    <t>01.111</t>
  </si>
  <si>
    <t>Iedzīvotāju ienākuma nod. iepr.gada nesadalītais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</si>
  <si>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</si>
  <si>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</si>
  <si>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</si>
  <si>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</si>
  <si>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</si>
  <si>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</si>
  <si>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</si>
  <si>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</si>
  <si>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</si>
  <si>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</si>
  <si>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</si>
  <si>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</si>
  <si>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</si>
  <si>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</si>
  <si>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</si>
  <si>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</si>
  <si>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</si>
  <si>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</si>
  <si>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</si>
  <si>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</si>
  <si>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</si>
  <si>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</si>
  <si>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</si>
  <si>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</si>
  <si>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</si>
  <si>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</si>
  <si>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</si>
  <si>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</si>
  <si>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</si>
  <si>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</si>
  <si>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</si>
  <si>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</si>
  <si>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</si>
  <si>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</si>
  <si>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</si>
  <si>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</si>
  <si>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</si>
  <si>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</si>
  <si>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</si>
  <si>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</si>
  <si>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</si>
  <si>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</si>
  <si>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</si>
  <si>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</si>
  <si>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</si>
  <si>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</si>
  <si>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</si>
  <si>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</si>
  <si>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</si>
  <si>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</si>
  <si>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</si>
  <si>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</si>
  <si>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</si>
  <si>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</si>
  <si>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</si>
  <si>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Iemaksas no pāsvaldību finanšu izlīdzināšanas fonda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</si>
  <si>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</si>
  <si>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</si>
  <si>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</si>
  <si>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</si>
  <si>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</si>
  <si>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</si>
  <si>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</si>
  <si>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</si>
  <si>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</si>
  <si>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</si>
  <si>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</si>
  <si>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</si>
  <si>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</si>
  <si>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</si>
  <si>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</si>
  <si>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</si>
  <si>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</si>
  <si>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</si>
  <si>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</si>
  <si>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</si>
  <si>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</si>
  <si>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</si>
  <si>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</si>
  <si>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</si>
  <si>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</si>
  <si>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</si>
  <si>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</si>
  <si>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</si>
  <si>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</si>
  <si>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</si>
  <si>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</si>
  <si>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</si>
  <si>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</si>
  <si>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</si>
  <si>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</si>
  <si>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</si>
  <si>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</si>
  <si>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</si>
  <si>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</si>
  <si>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</si>
  <si>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</si>
  <si>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</si>
  <si>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Vispārējās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</si>
  <si>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</si>
  <si>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</si>
  <si>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</si>
  <si>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</si>
  <si>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</si>
  <si>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</si>
  <si>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</si>
  <si>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</si>
  <si>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</si>
  <si>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</si>
  <si>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</si>
  <si>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</si>
  <si>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</si>
  <si>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</si>
  <si>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</si>
  <si>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</si>
  <si>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</si>
  <si>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</si>
  <si>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</si>
  <si>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</si>
  <si>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</si>
  <si>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</si>
  <si>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</si>
  <si>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</si>
  <si>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</si>
  <si>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</si>
  <si>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</si>
  <si>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</si>
  <si>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</si>
  <si>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</si>
  <si>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</si>
  <si>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</si>
  <si>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</si>
  <si>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</si>
  <si>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</si>
  <si>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</si>
  <si>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</si>
  <si>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</si>
  <si>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</si>
  <si>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</si>
  <si>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</si>
  <si>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</si>
  <si>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</si>
  <si>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</si>
  <si>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</si>
  <si>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</si>
  <si>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</si>
  <si>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</si>
  <si>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</si>
  <si>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</si>
  <si>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</si>
  <si>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</si>
  <si>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</si>
  <si>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</si>
  <si>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</si>
  <si>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</si>
  <si>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</si>
  <si>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</si>
  <si>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</si>
  <si>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</si>
  <si>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</si>
  <si>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</si>
  <si>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</si>
  <si>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</si>
  <si>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</si>
  <si>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</si>
  <si>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</si>
  <si>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</si>
  <si>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</si>
  <si>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</si>
  <si>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</si>
  <si>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</si>
  <si>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</si>
  <si>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</si>
  <si>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</si>
  <si>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</si>
  <si>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</si>
  <si>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</si>
  <si>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</si>
  <si>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</si>
  <si>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</si>
  <si>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</si>
  <si>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</si>
  <si>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</si>
  <si>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</si>
  <si>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</si>
  <si>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</si>
  <si>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</si>
  <si>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</si>
  <si>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</si>
  <si>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</si>
  <si>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</si>
  <si>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</si>
  <si>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</si>
  <si>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</si>
  <si>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</si>
  <si>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</si>
  <si>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</si>
  <si>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</si>
  <si>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</si>
  <si>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</si>
  <si>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</si>
  <si>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</si>
  <si>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</si>
  <si>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</si>
  <si>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</si>
  <si>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</si>
  <si>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</si>
  <si>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</si>
  <si>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</si>
  <si>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</si>
  <si>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</si>
  <si>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</si>
  <si>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</si>
  <si>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</si>
  <si>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</si>
  <si>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</si>
  <si>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</si>
  <si>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</si>
  <si>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</si>
  <si>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</si>
  <si>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</si>
  <si>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</si>
  <si>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</si>
  <si>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</si>
  <si>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</si>
  <si>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</si>
  <si>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</si>
  <si>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</si>
  <si>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</si>
  <si>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</si>
  <si>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</si>
  <si>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</si>
  <si>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</si>
  <si>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</si>
  <si>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</si>
  <si>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</si>
  <si>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</si>
  <si>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</si>
  <si>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</si>
  <si>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</si>
  <si>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</si>
  <si>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</si>
  <si>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</si>
  <si>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</si>
  <si>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</si>
  <si>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</si>
  <si>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</si>
  <si>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</si>
  <si>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</si>
  <si>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</si>
  <si>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</si>
  <si>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</si>
  <si>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</si>
  <si>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</si>
  <si>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Aizdevējs</t>
  </si>
  <si>
    <t>Mērķis</t>
  </si>
  <si>
    <t>Līguma noslēgšanas datums</t>
  </si>
  <si>
    <t>Aizņēmuma beigu termiņš</t>
  </si>
  <si>
    <t>Līguma Nr.; Trančes Nr.</t>
  </si>
  <si>
    <t>turpmākajos gados</t>
  </si>
  <si>
    <t xml:space="preserve">Pavisam </t>
  </si>
  <si>
    <t>5</t>
  </si>
  <si>
    <t>Valsts kase</t>
  </si>
  <si>
    <t>Dānijas Unibankas bezprocentu kredīta atmaksa</t>
  </si>
  <si>
    <t>20.12.2035.</t>
  </si>
  <si>
    <t>0001/A666</t>
  </si>
  <si>
    <t>pamatsumma</t>
  </si>
  <si>
    <t>%; apkalpošana</t>
  </si>
  <si>
    <t xml:space="preserve">Kopā </t>
  </si>
  <si>
    <t>Ūdenssaimniecības attīstība Ipiķu ciemā</t>
  </si>
  <si>
    <t>20.04.2025.</t>
  </si>
  <si>
    <t>A2/1/05/382</t>
  </si>
  <si>
    <t>P-144/2005</t>
  </si>
  <si>
    <t>Ūdenssaimniecības attīstība Strenču pilsētā</t>
  </si>
  <si>
    <t>22.03.2027.</t>
  </si>
  <si>
    <t>A2/1/07/130</t>
  </si>
  <si>
    <t>FS-1/2007</t>
  </si>
  <si>
    <t>Ēkas Pasta ielā 3 piemērošana Mazsalacas mūzikas un mākslas skolas vajadzībām</t>
  </si>
  <si>
    <t>20.04.2027.</t>
  </si>
  <si>
    <t>A2/1/07/275</t>
  </si>
  <si>
    <t>P-177/2007</t>
  </si>
  <si>
    <t>Mazsalacas pilsētas kultūras centra skatuves un aktieru telpas renovācija P-178/2017</t>
  </si>
  <si>
    <t>A2/1/07/276</t>
  </si>
  <si>
    <t>P-178/2007</t>
  </si>
  <si>
    <t>J.Endzelīna Kauguru pamatskolas ēku renovācijai</t>
  </si>
  <si>
    <t>21.06.2027.</t>
  </si>
  <si>
    <t>A2/1/07/431</t>
  </si>
  <si>
    <t>P-280/2007</t>
  </si>
  <si>
    <t>Kultūras centra rekonstrukcija, Burtnieku nov.</t>
  </si>
  <si>
    <t>20.05.2027.</t>
  </si>
  <si>
    <t>A2/1/07/430</t>
  </si>
  <si>
    <t>P-278/2007</t>
  </si>
  <si>
    <t>20.09.2027.</t>
  </si>
  <si>
    <t>A2/1/07/490</t>
  </si>
  <si>
    <t>FS-11/2007</t>
  </si>
  <si>
    <t>Finanšu stabilizācija Strenči</t>
  </si>
  <si>
    <t>20.12.2027.</t>
  </si>
  <si>
    <t>A2/1/07/662</t>
  </si>
  <si>
    <t>FS-15/2007</t>
  </si>
  <si>
    <t>PII būvniecībai Burtnieku nov.</t>
  </si>
  <si>
    <t>20.04.2028.</t>
  </si>
  <si>
    <t>A2/1/08/385</t>
  </si>
  <si>
    <t>P-90/2008</t>
  </si>
  <si>
    <t>20.04.2033.</t>
  </si>
  <si>
    <t>A2/1/08/462</t>
  </si>
  <si>
    <t>P-137/2008</t>
  </si>
  <si>
    <t>SIA Banga KPU pamatkapitāla pelielināšanai P-162/2008</t>
  </si>
  <si>
    <t>A2/1/08/520</t>
  </si>
  <si>
    <t>P-162/2008</t>
  </si>
  <si>
    <t>20.11.2028.</t>
  </si>
  <si>
    <t>A2/1/08/530</t>
  </si>
  <si>
    <t>FS-3/2008</t>
  </si>
  <si>
    <t>Ēkas iegāde, Burtnieku novads</t>
  </si>
  <si>
    <t>20.06.2033.</t>
  </si>
  <si>
    <t>A2/1/08/623</t>
  </si>
  <si>
    <t>P-223/2008</t>
  </si>
  <si>
    <t>Ieguldījums SIA Rūjienas Siltums pamatkapitālā</t>
  </si>
  <si>
    <t>20.12.2028.</t>
  </si>
  <si>
    <t>A2/1/08/876</t>
  </si>
  <si>
    <t>P-379/2008</t>
  </si>
  <si>
    <t>20.12.2038.</t>
  </si>
  <si>
    <t>A2/1/08/967</t>
  </si>
  <si>
    <t>P-418/2008</t>
  </si>
  <si>
    <t>Zilākalna pagasta kultūras ielas un gājēju ietves rekonstrukcija</t>
  </si>
  <si>
    <t>20.03.2029.</t>
  </si>
  <si>
    <t>A2/1/09/94</t>
  </si>
  <si>
    <t>P-21/2009</t>
  </si>
  <si>
    <t>ELFLA projekts Vanagu ielas rekonstrukcija</t>
  </si>
  <si>
    <t>20.05.2024.</t>
  </si>
  <si>
    <t>A2/1/09/179</t>
  </si>
  <si>
    <t>P-71/2009</t>
  </si>
  <si>
    <t>ELFLA projekts "Autoceļa "Pagasts-Birzītes" rekonstrukcija Vilpulkas pagastā, Valmieras rajonā"</t>
  </si>
  <si>
    <t>20.05.2029.</t>
  </si>
  <si>
    <t>A2/1/09/250</t>
  </si>
  <si>
    <t>P-126./2009</t>
  </si>
  <si>
    <t>Strenču kultūras nama rekonstrukcija</t>
  </si>
  <si>
    <t>20.12.2030.</t>
  </si>
  <si>
    <t>A2/1/10/223</t>
  </si>
  <si>
    <t>P-41/2010</t>
  </si>
  <si>
    <t>Energoefektivitātes paaugstināšana pašv. ēkās</t>
  </si>
  <si>
    <t>A2/1/10/329</t>
  </si>
  <si>
    <t>P-111/2010</t>
  </si>
  <si>
    <t>Ūdenssaimniecības attīstība Strenču pilsētā 2 . etaps</t>
  </si>
  <si>
    <t>20.03.2040.</t>
  </si>
  <si>
    <t>A2/1/10/507</t>
  </si>
  <si>
    <t>P-197/2010</t>
  </si>
  <si>
    <t>ELFLA projekts Matīšu pamatskolas āra sporta laukuma vienkāršotā rekonstrukcija</t>
  </si>
  <si>
    <t>20.07.2025.</t>
  </si>
  <si>
    <t>A2/1/10/595</t>
  </si>
  <si>
    <t>P-246/2010</t>
  </si>
  <si>
    <t>SIA Banga KPU pamatkapitāla palielināšanai Kohēzijas fonda projekta īstenošanai (trančes Nr.P-392/2010)</t>
  </si>
  <si>
    <t>20.09.2030.</t>
  </si>
  <si>
    <t>A2/1/10/791</t>
  </si>
  <si>
    <t>P-392/2010</t>
  </si>
  <si>
    <t>Strenču kultūras nama rekonstrukcija II kārta</t>
  </si>
  <si>
    <t>22.10.2040.</t>
  </si>
  <si>
    <t>A2/1/10/947</t>
  </si>
  <si>
    <t>P-495/2010</t>
  </si>
  <si>
    <t>ERAF Burtnieku novada Rencēnu sociālās dzīvojamās mājas vienkāršotā renovācija</t>
  </si>
  <si>
    <t>20.04.2026.</t>
  </si>
  <si>
    <t>A2/1/11/128</t>
  </si>
  <si>
    <t>P-52/2011</t>
  </si>
  <si>
    <t>KPFI Matīšu bērnudārza vienkāršotā rekonstrukcija</t>
  </si>
  <si>
    <t>A2/1/11/127</t>
  </si>
  <si>
    <t>P-53/2011</t>
  </si>
  <si>
    <t>20.11.2026.</t>
  </si>
  <si>
    <t>A2/1/11/722</t>
  </si>
  <si>
    <t>P-437/2011</t>
  </si>
  <si>
    <t>Rūjienas vidusskolas sporta zāles projektēšana un būvniecība</t>
  </si>
  <si>
    <t>20.01.2032.</t>
  </si>
  <si>
    <t>A2/1/12/21</t>
  </si>
  <si>
    <t>P-5/2012</t>
  </si>
  <si>
    <t>Sedas kultūras nama rekonstrukcija I kārta</t>
  </si>
  <si>
    <t>A2/1/12/100</t>
  </si>
  <si>
    <t>P-64/2012</t>
  </si>
  <si>
    <t>Ūdenssaimniecības attīstība-rekonstrukcija Sedas pilsētā</t>
  </si>
  <si>
    <t>20.04.2042.</t>
  </si>
  <si>
    <t>A2/1/12/101</t>
  </si>
  <si>
    <t>P-65/2012</t>
  </si>
  <si>
    <t>Ūdenssaimniecības infrastruktūras attīstība Jērcēnu pagastā</t>
  </si>
  <si>
    <t>A2/1/12/102</t>
  </si>
  <si>
    <t>P-66/2012</t>
  </si>
  <si>
    <t>Ūdenssaimniecības attīstība Strenču novada Plāņu pagasta Plāņu ciemā</t>
  </si>
  <si>
    <t>20.07.2042.</t>
  </si>
  <si>
    <t>A2/1/12/99</t>
  </si>
  <si>
    <t>P-221/2012</t>
  </si>
  <si>
    <t>Ūdenssaimniecības attīstība Strenču pilsētā, 3.etaps</t>
  </si>
  <si>
    <t>20.08.2042.</t>
  </si>
  <si>
    <t>A2/1/12/413</t>
  </si>
  <si>
    <t>P-287/2012</t>
  </si>
  <si>
    <t>Burtnieku novada Burtnieku PII rekonstrukcija</t>
  </si>
  <si>
    <t>20.08.2027.</t>
  </si>
  <si>
    <t>A2/1/12/475</t>
  </si>
  <si>
    <t>P-318/2012</t>
  </si>
  <si>
    <t>Matīšu pagasts pirmsskolas izglītības iestādes vienkāršotā rekonstrukcija</t>
  </si>
  <si>
    <t>20.10.2027.</t>
  </si>
  <si>
    <t>A2/1/12/652</t>
  </si>
  <si>
    <t>P-419/2012.</t>
  </si>
  <si>
    <t>Dzirnavu un Ozolu ielu posmu rekonstrukcija Valmiermuižā</t>
  </si>
  <si>
    <t>22.11.2027.</t>
  </si>
  <si>
    <t>A2/1/12/691</t>
  </si>
  <si>
    <t>P-430/2012</t>
  </si>
  <si>
    <t>20.01.2028.</t>
  </si>
  <si>
    <t>A2/1/13/29</t>
  </si>
  <si>
    <t>P-13/2013</t>
  </si>
  <si>
    <t>Tranzītielas posma Valkas ielā rekonstrukcija Strenču pilsētā</t>
  </si>
  <si>
    <t>20.07.2043.</t>
  </si>
  <si>
    <t>A2/1/13/365</t>
  </si>
  <si>
    <t>P248/2013</t>
  </si>
  <si>
    <t>Ūdenssaimniecības attīstība Strenču novada Plāņu pagasta Jaunklidža ciemā"</t>
  </si>
  <si>
    <t>20.12.2023.</t>
  </si>
  <si>
    <t>A2/1/13/1204</t>
  </si>
  <si>
    <t>P-477/2013</t>
  </si>
  <si>
    <t>Strenču novada vidusskolas ēkas logu,ārdurvju un pādējā stāva pārseguma siltināšana</t>
  </si>
  <si>
    <t>A2/1/14/659</t>
  </si>
  <si>
    <t>P-423/2014</t>
  </si>
  <si>
    <t>Pirmsskolas izglītības iestādes būvniecība ar ārējām komunikācijām Ozolu iela 2A, Valmiermuižā</t>
  </si>
  <si>
    <t>20.02.2029.</t>
  </si>
  <si>
    <t>A2/1/14/97</t>
  </si>
  <si>
    <t>P-54/2014</t>
  </si>
  <si>
    <t>KPFI projekts (Nr.KPFI-15.2/131) oglekļa dioksīda emisiju samazināšana,uzlabojot Naukšēnu novada Naukšēnu vidusskolas ēkas enorgoefektivitāti"  īstenošanai</t>
  </si>
  <si>
    <t>20.04.2034.</t>
  </si>
  <si>
    <t>A2/1/14/252</t>
  </si>
  <si>
    <t>P-154/2014</t>
  </si>
  <si>
    <t>Tranzītielas posma Rīgas-Valkas ielā rekonstrukcija Strenču pilsētā</t>
  </si>
  <si>
    <t>20.07.2044.</t>
  </si>
  <si>
    <t>A2/1/14/491</t>
  </si>
  <si>
    <t>P-327/2014</t>
  </si>
  <si>
    <t>Ūdenssaimnicības attīstība Strenču pilsētā 4.etaps</t>
  </si>
  <si>
    <t>A2/1/14/492</t>
  </si>
  <si>
    <t>P-328/2014</t>
  </si>
  <si>
    <t>Kompleksi risinājumi siltumnīcefekta gāzu emisiju samazināšanai Rūjienas kultūras nama ēkā</t>
  </si>
  <si>
    <t>20.12.2024.</t>
  </si>
  <si>
    <t>A2/1/14/835</t>
  </si>
  <si>
    <t>P-545/2014</t>
  </si>
  <si>
    <t>KPFI projekts Burtnieku Ausekļa vidusskolā</t>
  </si>
  <si>
    <t>A2/1/14/871</t>
  </si>
  <si>
    <t>P-562/2014</t>
  </si>
  <si>
    <t>Ozolu ielas, Valmiermuižā rekonstrukcija</t>
  </si>
  <si>
    <t>20.11.2034.</t>
  </si>
  <si>
    <t>A2/1/14/870</t>
  </si>
  <si>
    <t>P-561/2014</t>
  </si>
  <si>
    <t>KPFI projekts Rencēnu pagasta 2.bibliotēkas ēka</t>
  </si>
  <si>
    <t>20.11.2029.</t>
  </si>
  <si>
    <t>A2/1/14/964</t>
  </si>
  <si>
    <t>P-612/2014</t>
  </si>
  <si>
    <t>Ūdenssaimniecības attīstība-rekonstrukcija Sedas pilsētā,2.etaps</t>
  </si>
  <si>
    <t>20.03.2045.</t>
  </si>
  <si>
    <t>A2/1/15/137</t>
  </si>
  <si>
    <t>P-85/2015</t>
  </si>
  <si>
    <t>Burtnieku novada pašvaldības PII "Burtiņš" III kārtas būvniecība</t>
  </si>
  <si>
    <t>22.07.2030.</t>
  </si>
  <si>
    <t>A2/1/15/412</t>
  </si>
  <si>
    <t>P-276/2015</t>
  </si>
  <si>
    <t>Rencēnu internāta ēkas atjaunošana Valmieras ielā 23, Rencēnos</t>
  </si>
  <si>
    <t>20.07.2035.</t>
  </si>
  <si>
    <t>A2/1/15/413</t>
  </si>
  <si>
    <t>P-277/2015</t>
  </si>
  <si>
    <t>Prioritārais investīciju projekts "Rūjienas vidusskolas sporta laukuma rekonstrukcijas un teritorijas labiekārtošanas 1. kārta"</t>
  </si>
  <si>
    <t>A2/1/15/376</t>
  </si>
  <si>
    <t>P-251/2015</t>
  </si>
  <si>
    <t>Naukšēnu novada vidusskolas nepabeigtās piebūves renovācija</t>
  </si>
  <si>
    <t>A2/1/15/434</t>
  </si>
  <si>
    <t>P-295/2015</t>
  </si>
  <si>
    <t>Lauku ielas seguma pārbūves I kārta Valmieras pagastā</t>
  </si>
  <si>
    <t>20.10.2030.</t>
  </si>
  <si>
    <t>A2/1/15/591</t>
  </si>
  <si>
    <t>P-390/2015</t>
  </si>
  <si>
    <t>Pašvaldības autonomo funkciju veikšanai nepieciešamā transporta (vieglās automašīnas un operatīvā transporta) iegādei Valmiera</t>
  </si>
  <si>
    <t>A2/1/16/204</t>
  </si>
  <si>
    <t>P-110/2016</t>
  </si>
  <si>
    <t>Nekustamā īpašuma "Ēveles klubs" rekonstrukcija</t>
  </si>
  <si>
    <t>20.08.2036.</t>
  </si>
  <si>
    <t>A2/1/16/345</t>
  </si>
  <si>
    <t>P-241/2016</t>
  </si>
  <si>
    <t>Prioritārā investīciju projekta "Nekustamā īpašuma "Matīšu kultūras nams" rekonstrukcija" īstenošanai</t>
  </si>
  <si>
    <t>20.05.2042.</t>
  </si>
  <si>
    <t>A2/1/17/333</t>
  </si>
  <si>
    <t>P-228/2017</t>
  </si>
  <si>
    <t>Projekta "Burtnieku novada pašvaldības pirmsskolas izglītības iestādes "Sienāzītis" pārbūve" īstenošanai</t>
  </si>
  <si>
    <t>20.07.2032.</t>
  </si>
  <si>
    <t>A2/1/17/498</t>
  </si>
  <si>
    <t>P-365/2017</t>
  </si>
  <si>
    <t>Projekta "Viestura ciema ielu seguma pārbūve Valmieras pagastā, Burtnieku novadā"īstenošanai</t>
  </si>
  <si>
    <t>A2/1/17/587</t>
  </si>
  <si>
    <t>P442/2017</t>
  </si>
  <si>
    <t>EFLA projekts Autoceļa Ķire-Jaunlambikas un tilta pār Rūju pārbūve / Naukšēni</t>
  </si>
  <si>
    <t>20.08.2037.</t>
  </si>
  <si>
    <t>A2/1/17/661</t>
  </si>
  <si>
    <t>P-506/2017</t>
  </si>
  <si>
    <t>ERAF projekts Uzņēmējdarbības attīstībai nepieciešamās infrastruktūras attīstība Naukšēnu pagastā</t>
  </si>
  <si>
    <t>A2/1/17/672</t>
  </si>
  <si>
    <t>P-520/2017</t>
  </si>
  <si>
    <t>Pansionāta "Valmiera" investīciju projektu īstenošanai</t>
  </si>
  <si>
    <t>A2/1/17/715</t>
  </si>
  <si>
    <t>P-554/2017</t>
  </si>
  <si>
    <t>Projekta "Mazsalacā Parka ielas pārbūve posmā no Lazdu ielas līdz Muižas ielai (pārvads)" īstenošanai (tranče Nr.P-587/2017)</t>
  </si>
  <si>
    <t>A2/1/17/758</t>
  </si>
  <si>
    <t>P-587/2017</t>
  </si>
  <si>
    <t>Projekta "Dzirnavu ielas pārbūve un gājēju ietves izbūve (Alejas iela) Valmieras pagastā, Burtnieku novadā, īstenošanai</t>
  </si>
  <si>
    <t>20.10.2032.</t>
  </si>
  <si>
    <t>A2/1/17/765</t>
  </si>
  <si>
    <t>P-595/2017</t>
  </si>
  <si>
    <t>Prioritārais investīciju projekts "Rūjienas estrādes rekonstrukcija"</t>
  </si>
  <si>
    <t>A2/1/17/805</t>
  </si>
  <si>
    <t>P-625/2017</t>
  </si>
  <si>
    <t>Projekta "Nekustamā īpašuma "Matīšu kultūras nams" rekonstrukcija" īstenošanai</t>
  </si>
  <si>
    <t>22.12.2042.</t>
  </si>
  <si>
    <t>A2/1/17/917</t>
  </si>
  <si>
    <t>P-687/2017</t>
  </si>
  <si>
    <t>ERAF projektu Nr.8.1.2.0/18/I/004; Nr.4.2.2.0/18/I/ 002 Dienesta viesnīcas Ausekļa ielā 25 C, Valmierā pārbūves uzsākšanai</t>
  </si>
  <si>
    <t>20.02.2043.</t>
  </si>
  <si>
    <t>A2/1/18/94</t>
  </si>
  <si>
    <t>P-76/2018</t>
  </si>
  <si>
    <t>ERAF projekta Nr.8.1.2.0/18/I/004 daļas Valmieras Pārgaujas ģimnāzija Zvaigžņu ielā 4, Valmierā pārbūve, mācību vides uzlabošana</t>
  </si>
  <si>
    <t>20.05.2043.</t>
  </si>
  <si>
    <t>A2/1/18/311</t>
  </si>
  <si>
    <t>P-253/2018</t>
  </si>
  <si>
    <t>22.06.2043.</t>
  </si>
  <si>
    <t>A2/1/18/402</t>
  </si>
  <si>
    <t>P-336/2018</t>
  </si>
  <si>
    <t>Projekta "Rencēnu pamatskolas stadiona pārbūve Rencēnos, Rencēnu pagastā Burtnieku novadā" īstenošanai</t>
  </si>
  <si>
    <t>20.06.2038.</t>
  </si>
  <si>
    <t>A2/1/18/404</t>
  </si>
  <si>
    <t>P-334/2018</t>
  </si>
  <si>
    <t>Projekta "Lauku ielas seguma pārbūves 2.kārta Valmiermuižā, Valmieras pagastā, Burtnieku novadā" īstenošanai</t>
  </si>
  <si>
    <t>20.07.2033.</t>
  </si>
  <si>
    <t>A2/1/18/470</t>
  </si>
  <si>
    <t>P-389/2018</t>
  </si>
  <si>
    <t>ERAF projekta Nr.8.1.2.0/18/I/004 daļas- Valmieras Viestura vidusskolas pārbūve, mācību vides uzlabošana īstenošanai</t>
  </si>
  <si>
    <t>A2/1/18/525</t>
  </si>
  <si>
    <t>P-442/2018</t>
  </si>
  <si>
    <t>Igaunijas-Latvijas pārrobežu sadarbības programmas projekta "Zaļais dzelzceļš-bijušo dzelzceļa līniju pielāgošana videi draudzīgā tūrisma maršrutā(investīciju daļas) īstenošanai"</t>
  </si>
  <si>
    <t>20.08.2028.</t>
  </si>
  <si>
    <t>A2/1/18/584</t>
  </si>
  <si>
    <t>P-496/2018</t>
  </si>
  <si>
    <t>Projekta "Burtnieku novada pašvaldības autoceļu remontdarbi 2018.gada vasaras periodā" īstenošanai</t>
  </si>
  <si>
    <t>20.09.2028.</t>
  </si>
  <si>
    <t>A2/1/18/686</t>
  </si>
  <si>
    <t>P-592/2018</t>
  </si>
  <si>
    <t>Projekta "Dzirnavu ielas seguma pārbūve Valmieras pagastā, Burtnieku novadā" īstenošanai</t>
  </si>
  <si>
    <t>20.10.2033.</t>
  </si>
  <si>
    <t>A2/1/18/733</t>
  </si>
  <si>
    <t>P-615/2018</t>
  </si>
  <si>
    <t>20.10.2028.</t>
  </si>
  <si>
    <t>A2/1/18/766</t>
  </si>
  <si>
    <t>P-631/2018</t>
  </si>
  <si>
    <t>A2/1/18/837</t>
  </si>
  <si>
    <t>P-684/2018</t>
  </si>
  <si>
    <t>20.04.2029.</t>
  </si>
  <si>
    <t>A2/1/18/836</t>
  </si>
  <si>
    <t>P-685/2018</t>
  </si>
  <si>
    <t>ELFLA projekta "Pašvaldības nozīmes koplietošanas meliorācijas sistēmas atjaunošana Burtnieku novadā</t>
  </si>
  <si>
    <t>22.12.2025.</t>
  </si>
  <si>
    <t>A2/1/18/857</t>
  </si>
  <si>
    <t>P-711/2018</t>
  </si>
  <si>
    <t>Valsts nozīmes sporta infrasruktūras attīstības projekta Vidzemes Olimpiskā centra Valmierā attīstības projekta daļas BMX trases būvniecības daļēja finansēšana</t>
  </si>
  <si>
    <t>21.03.2044.</t>
  </si>
  <si>
    <t>A2/1/19/53</t>
  </si>
  <si>
    <t>P-22/2019</t>
  </si>
  <si>
    <t>apkalpošana</t>
  </si>
  <si>
    <t>ERAF projekta (Nr.4.2.2.0/17/I/096)"Energoefektivitātes paaugstināšana izglītības iestādē, Nākotnes ielā 1, Vaidava" īstenošanai</t>
  </si>
  <si>
    <t>A2/1/19/119</t>
  </si>
  <si>
    <t>P-60/2019</t>
  </si>
  <si>
    <t>Valsts nozīmes sporta infrastruktūras attīstības projekta "J.Daliņa stadiona rekonstrukcija un vieglatlētikas manēžas būvniecība" īstenošanai"</t>
  </si>
  <si>
    <t>20.04.2049.</t>
  </si>
  <si>
    <t>A2/1/19/155</t>
  </si>
  <si>
    <t>P-109/2019</t>
  </si>
  <si>
    <t>ELFLA projekts Autoceļa Mūļas-Ķipi-Naukšēni pārbūve</t>
  </si>
  <si>
    <t>A2/1/19/217</t>
  </si>
  <si>
    <t>P-129/2019</t>
  </si>
  <si>
    <t>ERAF projekts Naukšēnu novada pašvaldības administratīvās ēkas energoefektivitātes paaugstināšana</t>
  </si>
  <si>
    <t>20.05.2039.</t>
  </si>
  <si>
    <t>A2/1/19/218</t>
  </si>
  <si>
    <t>P-128/2019</t>
  </si>
  <si>
    <t>KF projekta (Nr.6.1.4.2/17/I/007)"Valmieras pilsētas Rietumu industriālās maģistrāles attīstība-L.Paegles ielas savienojums ar TNT-T tīklu" īstenošanai</t>
  </si>
  <si>
    <t>20.06.2034.</t>
  </si>
  <si>
    <t>A2/1/19/240</t>
  </si>
  <si>
    <t>P-163/2019</t>
  </si>
  <si>
    <t>ELFLA projekta (Nr.18-09-A00702-000108) "Grants ceļa Graudiņi - Pučurga - Matīši pārbūve 3.078 km garumā" īstenošanai</t>
  </si>
  <si>
    <t>A2/1/19/242</t>
  </si>
  <si>
    <t>P-152/2019</t>
  </si>
  <si>
    <t>ELFLA projekta (Nr.18-09-A00702-000085) "Grants ceļa Sauļi - Melluplūķi pārbūve 3.51 km garumā" īstenošanai</t>
  </si>
  <si>
    <t>A2/1/19/260</t>
  </si>
  <si>
    <t>P-172/2019</t>
  </si>
  <si>
    <t>20.09.2029.</t>
  </si>
  <si>
    <t>A2/1/19/350</t>
  </si>
  <si>
    <t>P-230/2019</t>
  </si>
  <si>
    <t>ERAF projekta (Nr.3.3.1.0/19/I/001) "Atbalsts komercdarbībai - Kauguru ielas pārbūve" īstenošanai</t>
  </si>
  <si>
    <t>20.10.2034.</t>
  </si>
  <si>
    <t>A2/1/19/382</t>
  </si>
  <si>
    <t>P-250/2019</t>
  </si>
  <si>
    <t>ERAF projekta (Nr.4.2.2.0/17/I/095)"Energoefektivitātes paaugstināšana Kocēnu inovada domes ēkā Alejas iela 8,Kocēni" īstenošanai</t>
  </si>
  <si>
    <t>A2/1/19/464</t>
  </si>
  <si>
    <t>P-294/2019</t>
  </si>
  <si>
    <t>ERAF projekta (Nr.8.1.2.0/18/I/004) "Valmieras Pārgaujas ģimnāzijas un Valmieras Viestura vidusskolas mācību vides uzlabošana un Dienesta viesīcas Ausekļa ielā pārbūve" īstenošanai</t>
  </si>
  <si>
    <t>20.04.2045.</t>
  </si>
  <si>
    <t>A2/1/20/362</t>
  </si>
  <si>
    <t>P-149/2020</t>
  </si>
  <si>
    <t>ERAF projekta (Nr.4.2.2.0/18/I/002) "Dienesta viesnīcas Ausekļa ielā energoefektivitātes paaugstināšana un pārbūve  īstenošanai</t>
  </si>
  <si>
    <t>20.07.2045.</t>
  </si>
  <si>
    <t>A2/1/20/439</t>
  </si>
  <si>
    <t>P-184/2020</t>
  </si>
  <si>
    <t>03.08.2020.</t>
  </si>
  <si>
    <t>A2/1/20/484</t>
  </si>
  <si>
    <t>P-220/2020</t>
  </si>
  <si>
    <t>Projekta"Mālu ielas Valmierā (posmā no Beātes ielas līdz Matīšu šosejai)pārbūve" īstenošanai</t>
  </si>
  <si>
    <t>A2/1/20/535</t>
  </si>
  <si>
    <t>P-233/2020</t>
  </si>
  <si>
    <t>Projekta"Teodora Ūdera un Tālavas ielas Valmierā pārbūve" īstenošanai</t>
  </si>
  <si>
    <t>A2/1/20/534</t>
  </si>
  <si>
    <t>P-234/2020</t>
  </si>
  <si>
    <t>Projekta "Valmieras pilsētas pašvaldības transporta infrastruktūras attīstība - kopējo gājēju un velosipēdistu ceļu izbūve Valkas ielā un Rubenes ielā, Valmierā" īstenošanai</t>
  </si>
  <si>
    <t>20.08.2035.</t>
  </si>
  <si>
    <t>A2/1/20/619</t>
  </si>
  <si>
    <t>P-288/2020</t>
  </si>
  <si>
    <t>Projekta "Valdemāra ielas pārbūve posmā no Rīgas iela līdz Aldara ielai Rūjienā, Rūjienas novadā" īstenošanai</t>
  </si>
  <si>
    <t>20.09.2045.</t>
  </si>
  <si>
    <t>A2/1/20/728</t>
  </si>
  <si>
    <t>P-379/2020</t>
  </si>
  <si>
    <t>projekta "Vaidavas ciema centra laukuma un tam piegulošās teritorijas labiekārtošanas 1.kārta - Skolas iela Vaidavā, Vaidavas pagastā" īstenošanai</t>
  </si>
  <si>
    <t>A2/1/20/749</t>
  </si>
  <si>
    <t>P-388/2020</t>
  </si>
  <si>
    <t>EKII projekta (Nr.EKII-3/30) "Viedo tehnoloģiju ieviešana Valmieras pilsētas apgaismojuma sistēmā" īstenošanai</t>
  </si>
  <si>
    <t>20.11.2035.</t>
  </si>
  <si>
    <t>A2/1/20/855</t>
  </si>
  <si>
    <t>P-475/2020</t>
  </si>
  <si>
    <t>ERAF projekta (Nr.5.5.1.0/17/I/004) "Kultūra,vēsture,arhitektūra Gaujas un laika lokos" īstenošanai</t>
  </si>
  <si>
    <t>20.11.2040.</t>
  </si>
  <si>
    <t>A2/1/20/856</t>
  </si>
  <si>
    <t>P-474/2020</t>
  </si>
  <si>
    <t>Autoceļa Breidas - Zemgaļi, Naukšēnu ter. pārbūves 2.kārta</t>
  </si>
  <si>
    <t>A2/1/20/884</t>
  </si>
  <si>
    <t>P-486/2020</t>
  </si>
  <si>
    <t>projekta "Liepu ielas pārbūve Kocēnos" īstenošanai</t>
  </si>
  <si>
    <t>20.11.2030.</t>
  </si>
  <si>
    <t>A2/1/20/893</t>
  </si>
  <si>
    <t>P-496/2020</t>
  </si>
  <si>
    <t>projekta "Vidus ielas pārbūve Kocēnos, 2.kārta" īstenošanai</t>
  </si>
  <si>
    <t>A2/1/20/892</t>
  </si>
  <si>
    <t>P-497/2020</t>
  </si>
  <si>
    <t>ERAF projekta (Nr.5.5.1.0/20/I/001) "Valmieras Vēsturiskā centra attīstība" īstenošanai</t>
  </si>
  <si>
    <t>21.01.2041.</t>
  </si>
  <si>
    <t>A2/1/21/15</t>
  </si>
  <si>
    <t>P-6/2021</t>
  </si>
  <si>
    <t>Investīciju projektu īstenošanai (saistību pārjaunojums)</t>
  </si>
  <si>
    <t>20.11.2043.</t>
  </si>
  <si>
    <t>A2/1/21/25</t>
  </si>
  <si>
    <t>PP-2/2021</t>
  </si>
  <si>
    <t xml:space="preserve">ERAF projekta (Nr.9.3.1.1/18/I/027)"Sabiedrības balstītu sociālo pakalpojumu infrastruktūras izveide Mazsalacas novadā" īstenošanai </t>
  </si>
  <si>
    <t>20.02.2041.</t>
  </si>
  <si>
    <t>A2/1/21/40</t>
  </si>
  <si>
    <t>P-13/2021</t>
  </si>
  <si>
    <t>ERAF projekta (Nr.4.2.2.0/19/I/002) "Ēkas Stacijas ielā 26, Valmierā energoefektivitātes paaugstināšana" īstenošanai</t>
  </si>
  <si>
    <t>20.03.2036.</t>
  </si>
  <si>
    <t>A2/1/21/93</t>
  </si>
  <si>
    <t>P-47/2021</t>
  </si>
  <si>
    <t>23.04.2041.</t>
  </si>
  <si>
    <t>A2/1/21/151</t>
  </si>
  <si>
    <t>P-101/2021</t>
  </si>
  <si>
    <t>Investīciju projektu īstenošanai (saistību pārjaunojums- Kocēnu novada aizņēmumiem)</t>
  </si>
  <si>
    <t>A2/1/21/200</t>
  </si>
  <si>
    <t>PP-15/2021</t>
  </si>
  <si>
    <t>ERAF projekta Nr.9.3.1.1/18/I007 "Pakalpojumu infrastruktūras attīstība deinstitucionalizācijas plāna īstenošanai Kocēnu novadā" īstenošanai</t>
  </si>
  <si>
    <t>20.05.2031.</t>
  </si>
  <si>
    <t>A2/1/21/293</t>
  </si>
  <si>
    <t>P-197/2021</t>
  </si>
  <si>
    <t>ERAF projekta (Nr.9.3.1.1/19/I/043) "Sabiedrībā balstītu sociālo pakalpojumu centra izveide Rūjienā" īstenošanai</t>
  </si>
  <si>
    <t>20.05.2041.</t>
  </si>
  <si>
    <t>A2/1/21/292</t>
  </si>
  <si>
    <t>P-199/2021</t>
  </si>
  <si>
    <t>Prioritārā investīciju projekta "Rūjienas pirmsskolas izglītības iestādes "Vārpiņa" teritroijas labiekārtošanas darbu 4,kārtas un 5.kārtas realizēšanas" īstenošanai</t>
  </si>
  <si>
    <t>20.06.2036</t>
  </si>
  <si>
    <t>A2/1/21/341</t>
  </si>
  <si>
    <t>P-229/2021</t>
  </si>
  <si>
    <t>Prioritārā investīciju projekta "Aktīvās atpūtas un sporta parka izbūve Rīgas ielā 43A, Valmierā" īstenošanai</t>
  </si>
  <si>
    <t>20.06.2036.</t>
  </si>
  <si>
    <t>A2/1/21/356</t>
  </si>
  <si>
    <t>P-251/2021</t>
  </si>
  <si>
    <t>Satiksmes drošības uzlabošana Pulkveža Zemitāna ielā Strenčos ( posmā no 0,005 km līdz krustojumam ar Miera ielu)</t>
  </si>
  <si>
    <t>20.07.2051.</t>
  </si>
  <si>
    <t>A2/1/21/458</t>
  </si>
  <si>
    <t>P-332/2021</t>
  </si>
  <si>
    <t>Projekta "Arāju ielas pārbūve Kocēnos" īstenošanai</t>
  </si>
  <si>
    <t>06.10.2021.</t>
  </si>
  <si>
    <t>22.09.2031.</t>
  </si>
  <si>
    <t>A2/1/21/610</t>
  </si>
  <si>
    <t>P-449/2021</t>
  </si>
  <si>
    <t>Projekta "Bērzu  ielas pārbūve Kocēnos" īstenošanai</t>
  </si>
  <si>
    <t>A2/1/21/611</t>
  </si>
  <si>
    <t>P-448/2021</t>
  </si>
  <si>
    <t>"Trīsstūris", Hallartes ielas 1.kārtas izbūve Valmieras pagastā, Burtnieku novadā</t>
  </si>
  <si>
    <t>20.09.2041.</t>
  </si>
  <si>
    <t>A2/1/21/612</t>
  </si>
  <si>
    <t>P-428/2021</t>
  </si>
  <si>
    <t>Ieguldījums pašvaldības SIA "Rūjienas siltums" pamatkapitālā KF projekta (Nr.5.3.1.0/17/I/026) "Ūdenssaimniecības pakalpojumu attīstība Rūjienā, 2.kārta" īstenošanai</t>
  </si>
  <si>
    <t>15.10.2021.</t>
  </si>
  <si>
    <t>20.09.2024.</t>
  </si>
  <si>
    <t>A2/1/21/633</t>
  </si>
  <si>
    <t>P-479/2021</t>
  </si>
  <si>
    <t>Valmieras pirmsskolas izglītības iestādes "Varavīksne" telpu Raiņa ielā 11, Valmiera pārbūve</t>
  </si>
  <si>
    <t>07.12.2021.</t>
  </si>
  <si>
    <t>20.11.2046.</t>
  </si>
  <si>
    <t>A2/1/21/743</t>
  </si>
  <si>
    <t>P-565/2021</t>
  </si>
  <si>
    <t>23.12.2021.</t>
  </si>
  <si>
    <t>20.12.2041.</t>
  </si>
  <si>
    <t>A2/1/21/777</t>
  </si>
  <si>
    <t>P-582/2021</t>
  </si>
  <si>
    <t>ERAF projekta" Industriālo teritoriju attīstība Valmierā - 1.kārta" - SAM 5.6.2.</t>
  </si>
  <si>
    <t>A2/1/21/778</t>
  </si>
  <si>
    <t>P-581/2021</t>
  </si>
  <si>
    <t>28.02.2022.</t>
  </si>
  <si>
    <t>20.02.2047.</t>
  </si>
  <si>
    <t>A2/1/22/32</t>
  </si>
  <si>
    <t>P -10/ 2022</t>
  </si>
  <si>
    <t xml:space="preserve">Dienesta viesnīcas Ausekļa ielā energoefektivitātes paaugstināšana un pārbūve- 2.kārta, SAM 4.2.2.  </t>
  </si>
  <si>
    <t>20.02.2042.</t>
  </si>
  <si>
    <t>A2/1/22/33</t>
  </si>
  <si>
    <t>P - 9 /2022</t>
  </si>
  <si>
    <t>Daudzfunkcionālā sociālo pakalpojumu centra un grupu dzīvokļu izveide Valmieras pilsētā - SAM 9.3.1.1.</t>
  </si>
  <si>
    <t>04.07.2022.</t>
  </si>
  <si>
    <t>20.06.2042.</t>
  </si>
  <si>
    <t>A2/1/22/167</t>
  </si>
  <si>
    <t>P -111/2022</t>
  </si>
  <si>
    <t>Raiņa ielas divkārtu asfalta seguma atjaunošana Rūjienā, Valmieras novadā</t>
  </si>
  <si>
    <t>17.08.2022.</t>
  </si>
  <si>
    <t>20.07.2037.</t>
  </si>
  <si>
    <t>A2/1/22/315</t>
  </si>
  <si>
    <t>P -227/2022</t>
  </si>
  <si>
    <t>Gājēju ietvju atjaunošana Ādama Alkšņa ielā un Raiņa ielā Rūjienā, Valmieras novadā</t>
  </si>
  <si>
    <t>A2/1/22/316</t>
  </si>
  <si>
    <t>P -228/2022</t>
  </si>
  <si>
    <t>Ielu divkārtu virsmu apstrāde Valmierā 1.kārta</t>
  </si>
  <si>
    <t>A2/1/22/317</t>
  </si>
  <si>
    <t>P -229/2022</t>
  </si>
  <si>
    <t>Ielu divkārtu virsmu apstrāde Valmierā 2.kārta</t>
  </si>
  <si>
    <t>A2/1/22/318</t>
  </si>
  <si>
    <t>P -230/2022</t>
  </si>
  <si>
    <t>Ūdens ielas (posmā no Smiltenes līdz Pleskavas ielai) Valmierā pārbūve</t>
  </si>
  <si>
    <t>A2/1/22/319</t>
  </si>
  <si>
    <t>P -231/2022</t>
  </si>
  <si>
    <t>Pašvaldības ēkas Palejas ielā 5, Valmierā energoefektivitātes paaugstināšana - SAM 4.2.2.</t>
  </si>
  <si>
    <t>12.09.2022.</t>
  </si>
  <si>
    <t>A2/1/22/376</t>
  </si>
  <si>
    <t>P -260/2022</t>
  </si>
  <si>
    <t>24.10.2022.</t>
  </si>
  <si>
    <t>20.10.2037.</t>
  </si>
  <si>
    <t>A2/1/22/462</t>
  </si>
  <si>
    <t>P -321/2022</t>
  </si>
  <si>
    <t>ERAF projekta (Nr.5.5.1.0/20/I/001) "Valmieras Vēsturiskā centra attīstība" papildus finansēšanai</t>
  </si>
  <si>
    <t>19.06.2023.</t>
  </si>
  <si>
    <t>A2/1/23/144</t>
  </si>
  <si>
    <t>P -94/2023</t>
  </si>
  <si>
    <t>1.06.2023.</t>
  </si>
  <si>
    <t>20.05.2033.</t>
  </si>
  <si>
    <t>A2/1/23/127</t>
  </si>
  <si>
    <t>P -81/2023</t>
  </si>
  <si>
    <t>A2/1/23/128</t>
  </si>
  <si>
    <t>P -82/2023</t>
  </si>
  <si>
    <t>04.12.2023.</t>
  </si>
  <si>
    <t>22.11.2038.</t>
  </si>
  <si>
    <t>A2/1/23/479</t>
  </si>
  <si>
    <t>P -390/2023</t>
  </si>
  <si>
    <t>31.07.2023.</t>
  </si>
  <si>
    <t>20.07.2038.</t>
  </si>
  <si>
    <t>A2/1/23/222</t>
  </si>
  <si>
    <t>P -160/2023</t>
  </si>
  <si>
    <t>Valmieras 2.vidusskolas investīciju projekts "Mazās sporta zāles pārbūve"</t>
  </si>
  <si>
    <t>26.09.2023.</t>
  </si>
  <si>
    <t>20.09.2043.</t>
  </si>
  <si>
    <t>A2/1/23/402</t>
  </si>
  <si>
    <t>P - 327/2023</t>
  </si>
  <si>
    <t>Ceļa darbu un apgaismojuma pārbūve Ozolu ielā un Iršuparka alejā, Valmiermuiža, Valmieras pag., valmieras novadā</t>
  </si>
  <si>
    <t>13.07.2023.</t>
  </si>
  <si>
    <t>A2/1/23/206</t>
  </si>
  <si>
    <t>P-146/2023</t>
  </si>
  <si>
    <t>11.09.2023.</t>
  </si>
  <si>
    <t>20.08.2038.</t>
  </si>
  <si>
    <t>A2/1/23/352</t>
  </si>
  <si>
    <t>P-274/2023</t>
  </si>
  <si>
    <t xml:space="preserve">Gājēju ietves pārbūve Rubenes ciemā, Kocēnu pagastā </t>
  </si>
  <si>
    <t>20.08.2033.</t>
  </si>
  <si>
    <t>A2/1/23/356</t>
  </si>
  <si>
    <t>P-278/2023</t>
  </si>
  <si>
    <t>Dārza ielas pārbūve, Kocēnu pagastā, Valmieras novadā</t>
  </si>
  <si>
    <t>A2/1/23/355</t>
  </si>
  <si>
    <t>P-277/2023</t>
  </si>
  <si>
    <t xml:space="preserve">Ielas un ietves atjaunošana Rīgas iela, Rūjienā (posmā no Blaumaņa līdz Pērnavas ielai) </t>
  </si>
  <si>
    <t>12.07.2023.</t>
  </si>
  <si>
    <t>21.06.2038.</t>
  </si>
  <si>
    <t>A2/1/23/198</t>
  </si>
  <si>
    <t>P-142/2023</t>
  </si>
  <si>
    <t>A2/1/23/197</t>
  </si>
  <si>
    <t>P-141/2023</t>
  </si>
  <si>
    <t>Grantēto ielu divkārtu virsmas pastrāde Kalna iela un Jāņa Lielā iela, Mazsalacā</t>
  </si>
  <si>
    <t>A2/1/23/354</t>
  </si>
  <si>
    <t>P-276/2023</t>
  </si>
  <si>
    <t xml:space="preserve">Gājēju ietves un lietus ūdens atvades risinājuma būvniecība Trikātas ielā un Pulkveža Brieža ielā, Strenčos </t>
  </si>
  <si>
    <t>A2/1/23/353</t>
  </si>
  <si>
    <t>P-275/2023</t>
  </si>
  <si>
    <t xml:space="preserve">Tērbatas iela posmā no apaļā veikala līdz Viestura alejai, ieskaitot krustojumus, Valmierā asfalta virskārtas nomaiņa </t>
  </si>
  <si>
    <t>A2/1/23/196</t>
  </si>
  <si>
    <t>P-140/2023</t>
  </si>
  <si>
    <t>Rubenes, Raiņa, Valkas ielu rotācijas aplis, Valmierā pārbūve</t>
  </si>
  <si>
    <t>A2/1/23/194</t>
  </si>
  <si>
    <t>P-138/2023</t>
  </si>
  <si>
    <t>Georga Apiņa ielas, Valmierā (posmā no Rīgas ielas līdz Beātes ielai)  remontam</t>
  </si>
  <si>
    <t>A2/1/23/195</t>
  </si>
  <si>
    <t>P-139/2023</t>
  </si>
  <si>
    <t>A2/1/23/192</t>
  </si>
  <si>
    <t>P-137/2023</t>
  </si>
  <si>
    <t xml:space="preserve">Vanšu tilta atjaunošana Valmierā </t>
  </si>
  <si>
    <t>A2/1/23/350</t>
  </si>
  <si>
    <t>P-273/2023</t>
  </si>
  <si>
    <t xml:space="preserve">Lietus ūdens atvades izbūve Uzvaras un Dārza ielās, Sedas pilsētā </t>
  </si>
  <si>
    <t>01.11.2023.</t>
  </si>
  <si>
    <t>A2/1/23/436</t>
  </si>
  <si>
    <t>P-349/2023</t>
  </si>
  <si>
    <t>Gājēju ietves un apgaismojuma izbūve Zilākalnā, Zilākalna pagastā, Valmieras novadā</t>
  </si>
  <si>
    <t>28.06.2024.</t>
  </si>
  <si>
    <t>A2/1/24/105</t>
  </si>
  <si>
    <t>P-100/2024</t>
  </si>
  <si>
    <t>Rietekļa ielas un siltumtrases Rietekļa ielā, Valmierā būvniecība</t>
  </si>
  <si>
    <t>30.07.2024.</t>
  </si>
  <si>
    <t>20.07.2039.</t>
  </si>
  <si>
    <t>A2/1/24/124</t>
  </si>
  <si>
    <t>P-119/2024</t>
  </si>
  <si>
    <t>A2/1/24/125</t>
  </si>
  <si>
    <t>P-120/2024</t>
  </si>
  <si>
    <t>Valmieras novada pašvaldības budžeta un finanšu vadībai</t>
  </si>
  <si>
    <t>20.07.2027.</t>
  </si>
  <si>
    <t>A2/1/24/126</t>
  </si>
  <si>
    <t>P-121/2024</t>
  </si>
  <si>
    <t>Strauta ielas, Valmierā, Valmieras novadā, pārbūve</t>
  </si>
  <si>
    <t>05.09.2024.</t>
  </si>
  <si>
    <t>20.08.2039.</t>
  </si>
  <si>
    <t>A2/1/24/195</t>
  </si>
  <si>
    <t>P-183/2024</t>
  </si>
  <si>
    <t>Parka ielas (posmā no Gustava Ērenpreisa ielas līdz Lazdu ielai), asfalta virskārtas atjaunošana Mazsalacā, Valmieras nov</t>
  </si>
  <si>
    <t>A2/1/24/196</t>
  </si>
  <si>
    <t>P-184/2024</t>
  </si>
  <si>
    <t>Cēsu ielas (posmā no Rīgas ielas līdz Linarda Laicena, Stacijas, Mazās Stacijas ielas rotācijas aplim) asfalta dilumkārtas atjaunošana, Valmierā, Valmieras novadā</t>
  </si>
  <si>
    <t>A2/1/24/197</t>
  </si>
  <si>
    <t>P-185/2024</t>
  </si>
  <si>
    <t>Beātes ielas (posmā no Raiņa ielas līdz Kārļa Baumaņa ielai) asfalta dilumkārtas atjaunošana, Valmierā, Valmieras novadā</t>
  </si>
  <si>
    <t>A2/1/24/198</t>
  </si>
  <si>
    <t>P-186/2024</t>
  </si>
  <si>
    <t>20.08.2034.</t>
  </si>
  <si>
    <t>A2/1/24/199</t>
  </si>
  <si>
    <t>P-187/2024</t>
  </si>
  <si>
    <t>Skolas ielas (posmā no Viestura ielas līdz Dzirnavu ielai) un Skolas ielas gājēju ietves (posmā no Viestura ielas līdz Bērzu ielai) pārbūve Rūjienā, Valmieras novadā</t>
  </si>
  <si>
    <t>10.09.2024.</t>
  </si>
  <si>
    <t>A2/1/24/218</t>
  </si>
  <si>
    <t>P-206/2024</t>
  </si>
  <si>
    <t>EKII projekta (Nr.EKII-7/26) "Publisko teritoriju ielu apgaismojuma inženiertīklu pārbūve Valmierā, Valmieras novadā" īstenošanai</t>
  </si>
  <si>
    <t>29.10.2024.</t>
  </si>
  <si>
    <t>20.10.2039.</t>
  </si>
  <si>
    <t>A2/1/24/279</t>
  </si>
  <si>
    <t>P-258/2024</t>
  </si>
  <si>
    <t>ANMP projekts Industriālās teritorijas attīstība Valmierā</t>
  </si>
  <si>
    <t>22.11.2024.</t>
  </si>
  <si>
    <t>20.11.2054.</t>
  </si>
  <si>
    <t>A2/1/24/296</t>
  </si>
  <si>
    <t>P-274/2024</t>
  </si>
  <si>
    <t>ANMP projekts Industriālās teritorijas attīstība Valmierā / ar riska procenta likmi/</t>
  </si>
  <si>
    <t>A2/1/24/297</t>
  </si>
  <si>
    <t>P-275/2024</t>
  </si>
  <si>
    <t>Projekti</t>
  </si>
  <si>
    <t>x</t>
  </si>
  <si>
    <t xml:space="preserve">Valmieras novada pašvaldības aizņēmumi </t>
  </si>
  <si>
    <t>II. Galvojumi</t>
  </si>
  <si>
    <t xml:space="preserve">20.11.2018. </t>
  </si>
  <si>
    <t>A1/1/18/812</t>
  </si>
  <si>
    <t>Eiropas Savienības Kohēzijas fonda projektu īstenošanai / SIA Kocēnu komunālā saimniecība</t>
  </si>
  <si>
    <t>17.11.2015</t>
  </si>
  <si>
    <t>20.10.2035.</t>
  </si>
  <si>
    <t>A1/1/15/613</t>
  </si>
  <si>
    <t>ERAF projekta Nr.3.3.1.0/16/I/024 "Uzņemējdarbības attīstībai nepieciešamās infrastruktūras attīstība Kocēnu novada Kocēnu pagasta Kocēnos", īstenošanai</t>
  </si>
  <si>
    <t>09.11.2018</t>
  </si>
  <si>
    <t>20.10.2038.</t>
  </si>
  <si>
    <t>A1/1/18/760</t>
  </si>
  <si>
    <t>12.07.2019</t>
  </si>
  <si>
    <t>20.06.2039.</t>
  </si>
  <si>
    <t>A1/1/19/262; A1/1/19/263; A1/1/19/265</t>
  </si>
  <si>
    <t>Katlu mājas Rūjienā, Rīgas ielā 67a tehnoloģisko iekārtu un konstrukciju piegāde un montāža</t>
  </si>
  <si>
    <t>30.08.2016</t>
  </si>
  <si>
    <t>20.08.2026.</t>
  </si>
  <si>
    <t>A1/1/16/317</t>
  </si>
  <si>
    <t>Siltumavota efektivitātes uzlabošana katlu mājā Ausekļa ielā 5, Rūjienā</t>
  </si>
  <si>
    <t>02.07.2019</t>
  </si>
  <si>
    <t>A1/1/19/246</t>
  </si>
  <si>
    <t>SIA "Rūjienas siltums" aizņēmumam KF projekta Nr.5.3.1.0/17/I/026 īstenošanai</t>
  </si>
  <si>
    <t>A2/1/21/749;   K-20/2021</t>
  </si>
  <si>
    <t>Valmieras novada pašvaldības galvojumi</t>
  </si>
  <si>
    <t xml:space="preserve">Valmieras novada pašvaldības saistības  kopā </t>
  </si>
  <si>
    <t xml:space="preserve"> Saistību apjoms % </t>
  </si>
  <si>
    <t>no pamatbudžeta ieņēmumiem (bez mērķdotācijām un iemaksām PFIF) **</t>
  </si>
  <si>
    <t>ZIEDOJUMA UN DĀVINĀJUMA</t>
  </si>
  <si>
    <t>ar grozījumiem 30.05.2024.; 28.12.2024.</t>
  </si>
  <si>
    <t>Iedzīvotāju ienākuma nod. iepr.gada nasadalītais atlikums</t>
  </si>
  <si>
    <t>PFIF</t>
  </si>
  <si>
    <t>Juridisko personu ziedojumi un dāvinājumi</t>
  </si>
  <si>
    <t>Fizisko personu ziedojumi un dāvinājumi</t>
  </si>
  <si>
    <t>Vis[arējās nozīmes dienesti</t>
  </si>
  <si>
    <t>VALMIERAS NOVADA PAŠVALDĪBAS CITU BUDŽETA LĪDZEKĻU</t>
  </si>
  <si>
    <t>ar grozījumiem 28.12.2024.</t>
  </si>
  <si>
    <t>Valmieras novada pašvaldības saistošajiem noteikumiem Nr.145</t>
  </si>
  <si>
    <t>1. pielikums</t>
  </si>
  <si>
    <t>Valmieras novada pašvaldības saistošajiem noteikumiem Nr. 145</t>
  </si>
  <si>
    <t>"Par Valmieras novada pašvaldības 2024. gada budžetu"</t>
  </si>
  <si>
    <t>"Grozījumi Valmieras novada pašvaldības 2024. gada saistošajos noteikumos</t>
  </si>
  <si>
    <t>Nr. 120 "Par Valmieras novada pašvaldības 2024. gada budžetu"</t>
  </si>
  <si>
    <t xml:space="preserve">IEŅĒMUMU UN IZDEVUMU TĀME 2024. GADAM  </t>
  </si>
  <si>
    <t>2. pielikums</t>
  </si>
  <si>
    <t>3. pielikums</t>
  </si>
  <si>
    <t xml:space="preserve"> IEŅĒMUMU UN IZDEVUMU TĀME 2024. GADAM </t>
  </si>
  <si>
    <t>4. pielikums</t>
  </si>
  <si>
    <t>"Grozījumi Valmieras novada pašvaldības saistošajos noteikumos Nr. 120</t>
  </si>
  <si>
    <t>"Par Valmieras novada pašvaldības 2024. gada budžetu""</t>
  </si>
  <si>
    <t>Valmieras novada pašvaldības aizņēmumu, galvojumu un ilgtermiņa saistību apmērs 2024. gadā  un turpmākajos gados</t>
  </si>
  <si>
    <t>Informācijas, izglītības,sporta un sociālās aprūpes dienas centra "Kaimiņi" būvniecībai</t>
  </si>
  <si>
    <t>Informācijas, izglītības,sporta un sociālās aprūpes dienas centra "Kaimiņi" būvniecības pabeigšanai</t>
  </si>
  <si>
    <t>Latvijas-Šveices projekts Multifunkcionālā jaunatnes iniciatīvu centra izveide Burtniekos</t>
  </si>
  <si>
    <t xml:space="preserve">Pašvaldības autoceļa "Rūjienas šoseja - Slaunes - Valkas šoseja" posma pārbūve (0.00 līdz 0.680 km </t>
  </si>
  <si>
    <t>"Divkārtu virsmas apstrāde autoceļu posmos "Mūrmuižas-Bāle-Brieži ceļš" un "Bāles stacija-Cēsu ceļš", Kauguru pagastā, Valmieras novadā</t>
  </si>
  <si>
    <t>ELFLA projekta (Nr.18-09-A00702-000106) "Pašvaldības grantētā ceļa "Jaunmakuļi-Zilaiskalns" pārbūve" īstenošanai</t>
  </si>
  <si>
    <t>PSIA "Banga KPU" pamatkapitāla palielināšanai prioritārā investīciju projekta "Objekta "Ūdensapgādes un kanalizācijas tīkli R.Dārziņa, Lielajā, Dzirnavu, Aurupītes ielās, Mazsalacā, Mazsalacas novadā, 2.līdz 7. kārtas" būvniecība" īstenošanai</t>
  </si>
  <si>
    <t>Ceļa "Apvedceļš - Sapas" divkārtu virsmu apstrāde Kauguru pagastā, Valmieras novadā</t>
  </si>
  <si>
    <t xml:space="preserve">ERAF projekta "Pašvaldības pakalpojuma centra Valmieras ielā 13, Rencēnos energoefektivitātes paaugstināšana" </t>
  </si>
  <si>
    <t>ERAF SAM 4.2.2. projekta "Pašvaldības ēkas Vaidavā, Skolas ielā 1 energoefektivitātes uzlabošana"</t>
  </si>
  <si>
    <t>ERAF SAM 5.4.3. projekta "Antropogēnās slodzes samazināšana un kompleksu apsaimniekošanas pasākumu īstenošana dabas liegumā "Zilaiskalns""</t>
  </si>
  <si>
    <t>SAM 6.1.4. projekta "Dienvidu industriālās maģistrāles attīstība - L.Laicena iela līdz zemes vienībai "Vecais dzelzceļš" pārbūve/izbūve, Cēsu ielas pārbūve no zemes vien. "Vecais dzelzceļš" līdz Valmieras pilsētas robežai</t>
  </si>
  <si>
    <t>Autoceļa "Doktorāts – Silavas" asfaltseguma atjaunošana Naukšēnos, Naukšēnu pagastā, Valmieras novadā</t>
  </si>
  <si>
    <t>Latvijas-Krievijas pārrobežu sadarbības programmas projekta (Nr.LV-RU-016) "Ilgtspējīgas zaļās infrastruktūras un pievilcīgu atpūtas zonu attīstība dabā" (Zaļie torņi)" investīciju daļas īstenošanai</t>
  </si>
  <si>
    <t>ERAF projekta "Industriālo teritoriju attīstība Valmierā - 1.kārta" SAM 5.6.2. ar komercdarbības atbalstu</t>
  </si>
  <si>
    <t>Valmieras valsts ģimnāzijas mācību vides uzlabošana un dienesta viesnīcas Ausekļa ielā pārbūve 2.kārta, SAM 8.1.2.</t>
  </si>
  <si>
    <t xml:space="preserve">Ielu un ietvju atjaunošana Skolas iela (posmā no Dārza līdz Viestura ielai, Viestura iela (posmā no Skolas līdz Lāčplēša ielai), Stacijas iela (posmā no Skolas līdz Viestura ielai), Rūjienā </t>
  </si>
  <si>
    <t>Ķieģeļu ielas, Valmierā, izbūvei posmā no Dzegu ielas līdz Parka ielai</t>
  </si>
  <si>
    <t>Projekta "Cietā kurināmā apkures katla ar granulu degli piegāde un uzstādīšana Burtnieku ciema un Burtnieku skolas katlu mājās / SIA Kocēnu komunālā saimniecība" (no 28.12.2022.)</t>
  </si>
  <si>
    <t>Prioritārā investīciju projekta "Valtenberģu muižas jumta seguma maiņa Mazsalacā" īstenošanai P-631/2018</t>
  </si>
  <si>
    <t>ELFLA projekta (Nr.17-09-AL20-A019.2202-000012) "Tūrisma, izziņas, novadpētniecības veicināšana Kocēnu novada Zilākalna ciemā" īstenošanai"</t>
  </si>
  <si>
    <t>Prioritārais investīciju projekts "Stāvlaukuma pārbūve Alejas ielā 8, Kocēnos, Kocēnu pagastā, Kocēnu novadā" īstenošanai</t>
  </si>
  <si>
    <t>5. pielikums</t>
  </si>
  <si>
    <t>Nr.120 "Par Valmieras novada pašvaldības 2024. gada budžetu"</t>
  </si>
  <si>
    <t>Valsts mērķdotācijas sadalījums 2024. gadam Valmieras novada pašvaldības</t>
  </si>
  <si>
    <t>6. pielikums</t>
  </si>
  <si>
    <t xml:space="preserve">   Valsts mērķdotācijas sadalījums 2024. gadam Valmieras novada pašvaldības</t>
  </si>
  <si>
    <t>7. pielikums</t>
  </si>
  <si>
    <t xml:space="preserve">Valsts mērķdotācijas sadalījums  2024. gadam Valmieras novada pašvaldības </t>
  </si>
  <si>
    <t>8. pielikums</t>
  </si>
  <si>
    <t>9. pielikums</t>
  </si>
  <si>
    <t>Valsts budžeta līdzekļu sadalījums 2024. gadam Valmieras novada pašvaldības</t>
  </si>
  <si>
    <t>izglītības iestāžu  1.–4. klašu audzēkņu ēdināšanai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</si>
</sst>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_-;\-* #,##0_-;_-* &quot;-&quot;??_-;_-@_-"/>
    <numFmt numFmtId="165" formatCode="_-* #,##0\ _€_-;\-* #,##0\ _€_-;_-* &quot;-&quot;??\ _€_-;_-@_-"/>
    <numFmt numFmtId="166" formatCode="_-* #,##0.00\ _€_-;\-* #,##0.00\ _€_-;_-* &quot;-&quot;??\ _€_-;_-@_-"/>
    <numFmt numFmtId="167" formatCode="0.000"/>
  </numFmts>
  <fonts count="4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sz val="9"/>
      <name val="Arial"/>
      <family val="2"/>
      <charset val="186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  <charset val="186"/>
    </font>
    <font>
      <b/>
      <sz val="10"/>
      <color rgb="FFFF0000"/>
      <name val="Arial"/>
      <family val="2"/>
      <charset val="186"/>
    </font>
    <font>
      <b/>
      <sz val="10"/>
      <name val="Arial"/>
      <family val="2"/>
    </font>
    <font>
      <sz val="10"/>
      <color indexed="8"/>
      <name val="Arial"/>
      <family val="2"/>
      <charset val="186"/>
    </font>
    <font>
      <sz val="10"/>
      <name val="Arial"/>
      <family val="2"/>
    </font>
    <font>
      <sz val="11"/>
      <color theme="1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Arial"/>
      <family val="2"/>
      <charset val="186"/>
    </font>
    <font>
      <b/>
      <sz val="9"/>
      <color theme="1"/>
      <name val="Calibri"/>
      <family val="2"/>
      <charset val="186"/>
      <scheme val="minor"/>
    </font>
    <font>
      <i/>
      <sz val="10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8"/>
      <name val="Arial"/>
      <family val="2"/>
    </font>
    <font>
      <sz val="10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b/>
      <sz val="11"/>
      <name val="Arial"/>
      <family val="2"/>
    </font>
    <font>
      <sz val="11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b/>
      <sz val="12"/>
      <name val="Arial"/>
      <family val="2"/>
    </font>
    <font>
      <b/>
      <sz val="10"/>
      <color indexed="8"/>
      <name val="Arial"/>
      <family val="2"/>
      <charset val="186"/>
    </font>
    <font>
      <sz val="8"/>
      <color indexed="8"/>
      <name val="Arial"/>
      <family val="2"/>
      <charset val="186"/>
    </font>
    <font>
      <sz val="9.5"/>
      <name val="Arial"/>
      <family val="2"/>
      <charset val="186"/>
    </font>
    <font>
      <sz val="10"/>
      <color rgb="FFFF0000"/>
      <name val="Arial"/>
      <family val="2"/>
      <charset val="186"/>
    </font>
    <font>
      <sz val="10"/>
      <color indexed="8"/>
      <name val="Tahoma"/>
      <family val="2"/>
      <charset val="186"/>
    </font>
    <font>
      <b/>
      <sz val="11"/>
      <color rgb="FF00B050"/>
      <name val="Arial"/>
      <family val="2"/>
      <charset val="186"/>
    </font>
    <font>
      <sz val="10"/>
      <color rgb="FF00B050"/>
      <name val="Arial"/>
      <family val="2"/>
      <charset val="186"/>
    </font>
    <font>
      <sz val="12"/>
      <name val="Times New Roman Baltic"/>
      <family val="1"/>
      <charset val="186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6FBFC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/>
    <xf numFmtId="166" fontId="1" fillId="0" borderId="0" applyFont="0" applyFill="0" applyBorder="0" applyAlignment="0" applyProtection="0"/>
    <xf numFmtId="0" fontId="3" fillId="0" borderId="0"/>
    <xf numFmtId="0" fontId="3" fillId="0" borderId="0"/>
  </cellStyleXfs>
  <cellXfs count="536">
    <xf numFmtId="0" fontId="0" fillId="0" borderId="0" xfId="0"/>
    <xf numFmtId="3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3" fontId="2" fillId="0" borderId="0" xfId="0" applyNumberFormat="1" applyFont="1"/>
    <xf numFmtId="0" fontId="4" fillId="0" borderId="0" xfId="0" applyFont="1"/>
    <xf numFmtId="0" fontId="6" fillId="0" borderId="0" xfId="0" applyFont="1"/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8" fillId="0" borderId="2" xfId="0" applyFont="1" applyBorder="1"/>
    <xf numFmtId="3" fontId="8" fillId="0" borderId="1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3" fontId="4" fillId="0" borderId="4" xfId="0" applyNumberFormat="1" applyFont="1" applyBorder="1" applyAlignment="1">
      <alignment horizontal="left"/>
    </xf>
    <xf numFmtId="3" fontId="4" fillId="0" borderId="4" xfId="0" applyNumberFormat="1" applyFont="1" applyBorder="1" applyAlignment="1">
      <alignment horizontal="center"/>
    </xf>
    <xf numFmtId="3" fontId="10" fillId="0" borderId="4" xfId="0" applyNumberFormat="1" applyFont="1" applyBorder="1" applyAlignment="1">
      <alignment horizontal="center"/>
    </xf>
    <xf numFmtId="3" fontId="10" fillId="0" borderId="6" xfId="0" applyNumberFormat="1" applyFont="1" applyBorder="1" applyAlignment="1">
      <alignment horizontal="center"/>
    </xf>
    <xf numFmtId="164" fontId="4" fillId="3" borderId="6" xfId="1" applyNumberFormat="1" applyFont="1" applyFill="1" applyBorder="1" applyAlignment="1">
      <alignment horizontal="center"/>
    </xf>
    <xf numFmtId="3" fontId="4" fillId="0" borderId="4" xfId="0" applyNumberFormat="1" applyFont="1" applyBorder="1" applyAlignment="1">
      <alignment horizontal="right"/>
    </xf>
    <xf numFmtId="165" fontId="4" fillId="0" borderId="0" xfId="0" applyNumberFormat="1" applyFont="1"/>
    <xf numFmtId="3" fontId="4" fillId="0" borderId="0" xfId="0" applyNumberFormat="1" applyFont="1"/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4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center"/>
    </xf>
    <xf numFmtId="3" fontId="10" fillId="0" borderId="7" xfId="0" applyNumberFormat="1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164" fontId="4" fillId="3" borderId="7" xfId="1" applyNumberFormat="1" applyFont="1" applyFill="1" applyBorder="1" applyAlignment="1">
      <alignment horizontal="center"/>
    </xf>
    <xf numFmtId="3" fontId="4" fillId="0" borderId="7" xfId="0" applyNumberFormat="1" applyFont="1" applyBorder="1" applyAlignment="1">
      <alignment horizontal="righ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0" fillId="0" borderId="0" xfId="0" applyFont="1"/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/>
    </xf>
    <xf numFmtId="0" fontId="9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/>
    </xf>
    <xf numFmtId="0" fontId="9" fillId="0" borderId="0" xfId="0" applyFont="1"/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1" fillId="0" borderId="8" xfId="0" applyFont="1" applyBorder="1" applyAlignment="1">
      <alignment horizontal="center" wrapText="1"/>
    </xf>
    <xf numFmtId="0" fontId="8" fillId="0" borderId="8" xfId="0" applyFont="1" applyBorder="1" applyAlignment="1">
      <alignment horizontal="center"/>
    </xf>
    <xf numFmtId="0" fontId="12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3" fontId="11" fillId="0" borderId="2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0" xfId="0" applyFont="1"/>
    <xf numFmtId="1" fontId="14" fillId="0" borderId="9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center"/>
    </xf>
    <xf numFmtId="3" fontId="15" fillId="0" borderId="4" xfId="0" applyNumberFormat="1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1" fontId="14" fillId="0" borderId="4" xfId="0" applyNumberFormat="1" applyFont="1" applyBorder="1" applyAlignment="1">
      <alignment horizontal="center"/>
    </xf>
    <xf numFmtId="3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1" fontId="14" fillId="0" borderId="7" xfId="0" applyNumberFormat="1" applyFont="1" applyBorder="1" applyAlignment="1">
      <alignment horizontal="center"/>
    </xf>
    <xf numFmtId="3" fontId="3" fillId="0" borderId="7" xfId="0" applyNumberFormat="1" applyFont="1" applyBorder="1" applyAlignment="1">
      <alignment horizontal="center"/>
    </xf>
    <xf numFmtId="3" fontId="15" fillId="0" borderId="7" xfId="0" applyNumberFormat="1" applyFont="1" applyBorder="1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/>
    <xf numFmtId="0" fontId="1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3" fontId="3" fillId="0" borderId="2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8" xfId="0" applyFont="1" applyBorder="1"/>
    <xf numFmtId="0" fontId="20" fillId="0" borderId="4" xfId="0" applyFont="1" applyBorder="1" applyAlignment="1">
      <alignment horizontal="center" wrapText="1"/>
    </xf>
    <xf numFmtId="3" fontId="20" fillId="0" borderId="4" xfId="0" applyNumberFormat="1" applyFont="1" applyBorder="1" applyAlignment="1">
      <alignment horizontal="right"/>
    </xf>
    <xf numFmtId="164" fontId="20" fillId="0" borderId="4" xfId="1" applyNumberFormat="1" applyFont="1" applyBorder="1" applyAlignment="1">
      <alignment horizontal="right"/>
    </xf>
    <xf numFmtId="3" fontId="20" fillId="3" borderId="4" xfId="0" applyNumberFormat="1" applyFont="1" applyFill="1" applyBorder="1" applyAlignment="1">
      <alignment horizontal="right"/>
    </xf>
    <xf numFmtId="3" fontId="20" fillId="0" borderId="4" xfId="0" applyNumberFormat="1" applyFont="1" applyBorder="1" applyAlignment="1">
      <alignment horizontal="center"/>
    </xf>
    <xf numFmtId="0" fontId="20" fillId="0" borderId="4" xfId="0" applyFont="1" applyBorder="1" applyAlignment="1">
      <alignment horizontal="right"/>
    </xf>
    <xf numFmtId="0" fontId="20" fillId="0" borderId="4" xfId="0" applyFont="1" applyBorder="1" applyAlignment="1">
      <alignment horizontal="left"/>
    </xf>
    <xf numFmtId="164" fontId="20" fillId="0" borderId="8" xfId="1" applyNumberFormat="1" applyFont="1" applyBorder="1" applyAlignment="1">
      <alignment horizontal="center"/>
    </xf>
    <xf numFmtId="164" fontId="20" fillId="0" borderId="4" xfId="1" applyNumberFormat="1" applyFont="1" applyBorder="1" applyAlignment="1">
      <alignment horizontal="left"/>
    </xf>
    <xf numFmtId="164" fontId="20" fillId="0" borderId="4" xfId="1" applyNumberFormat="1" applyFont="1" applyFill="1" applyBorder="1" applyAlignment="1">
      <alignment horizontal="center"/>
    </xf>
    <xf numFmtId="0" fontId="20" fillId="0" borderId="2" xfId="0" applyFont="1" applyBorder="1" applyAlignment="1">
      <alignment horizontal="center"/>
    </xf>
    <xf numFmtId="3" fontId="20" fillId="0" borderId="7" xfId="0" applyNumberFormat="1" applyFont="1" applyBorder="1" applyAlignment="1">
      <alignment horizontal="center"/>
    </xf>
    <xf numFmtId="3" fontId="20" fillId="0" borderId="2" xfId="0" applyNumberFormat="1" applyFont="1" applyBorder="1" applyAlignment="1">
      <alignment horizontal="center"/>
    </xf>
    <xf numFmtId="164" fontId="3" fillId="0" borderId="4" xfId="1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3" fontId="15" fillId="0" borderId="9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3" fontId="8" fillId="3" borderId="1" xfId="0" applyNumberFormat="1" applyFont="1" applyFill="1" applyBorder="1" applyAlignment="1">
      <alignment horizontal="center"/>
    </xf>
    <xf numFmtId="3" fontId="6" fillId="0" borderId="0" xfId="0" applyNumberFormat="1" applyFont="1"/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/>
    </xf>
    <xf numFmtId="0" fontId="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11" fillId="0" borderId="1" xfId="0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left"/>
    </xf>
    <xf numFmtId="0" fontId="23" fillId="0" borderId="0" xfId="0" applyFont="1"/>
    <xf numFmtId="3" fontId="3" fillId="0" borderId="7" xfId="0" applyNumberFormat="1" applyFont="1" applyBorder="1" applyAlignment="1">
      <alignment horizontal="left"/>
    </xf>
    <xf numFmtId="3" fontId="0" fillId="0" borderId="0" xfId="0" applyNumberFormat="1"/>
    <xf numFmtId="0" fontId="11" fillId="0" borderId="0" xfId="0" applyFont="1" applyAlignment="1">
      <alignment wrapText="1"/>
    </xf>
    <xf numFmtId="0" fontId="3" fillId="0" borderId="0" xfId="0" applyFont="1" applyAlignment="1">
      <alignment horizontal="right" wrapText="1"/>
    </xf>
    <xf numFmtId="0" fontId="8" fillId="0" borderId="0" xfId="0" applyFont="1" applyAlignment="1">
      <alignment wrapText="1"/>
    </xf>
    <xf numFmtId="0" fontId="25" fillId="0" borderId="0" xfId="0" applyFont="1"/>
    <xf numFmtId="0" fontId="7" fillId="0" borderId="0" xfId="0" applyFont="1" applyAlignment="1">
      <alignment wrapText="1"/>
    </xf>
    <xf numFmtId="0" fontId="8" fillId="0" borderId="10" xfId="0" applyFont="1" applyBorder="1" applyAlignment="1">
      <alignment horizontal="center" wrapText="1"/>
    </xf>
    <xf numFmtId="165" fontId="8" fillId="0" borderId="10" xfId="3" applyNumberFormat="1" applyFont="1" applyBorder="1" applyAlignment="1">
      <alignment horizontal="center" wrapText="1"/>
    </xf>
    <xf numFmtId="165" fontId="8" fillId="0" borderId="8" xfId="3" applyNumberFormat="1" applyFont="1" applyBorder="1" applyAlignment="1">
      <alignment horizontal="center" vertical="center" wrapText="1"/>
    </xf>
    <xf numFmtId="14" fontId="8" fillId="0" borderId="8" xfId="0" applyNumberFormat="1" applyFont="1" applyBorder="1" applyAlignment="1">
      <alignment horizontal="center" vertical="center" wrapText="1"/>
    </xf>
    <xf numFmtId="165" fontId="8" fillId="0" borderId="8" xfId="3" applyNumberFormat="1" applyFont="1" applyBorder="1" applyAlignment="1">
      <alignment horizontal="center"/>
    </xf>
    <xf numFmtId="165" fontId="8" fillId="0" borderId="2" xfId="3" applyNumberFormat="1" applyFont="1" applyBorder="1" applyAlignment="1">
      <alignment horizontal="center"/>
    </xf>
    <xf numFmtId="0" fontId="5" fillId="0" borderId="2" xfId="0" applyFont="1" applyBorder="1"/>
    <xf numFmtId="0" fontId="5" fillId="0" borderId="11" xfId="0" applyFont="1" applyBorder="1" applyAlignment="1">
      <alignment wrapText="1"/>
    </xf>
    <xf numFmtId="3" fontId="11" fillId="0" borderId="11" xfId="0" applyNumberFormat="1" applyFont="1" applyBorder="1" applyAlignment="1">
      <alignment horizontal="center"/>
    </xf>
    <xf numFmtId="0" fontId="26" fillId="0" borderId="0" xfId="0" applyFont="1"/>
    <xf numFmtId="0" fontId="7" fillId="4" borderId="1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left" wrapText="1"/>
    </xf>
    <xf numFmtId="3" fontId="11" fillId="4" borderId="12" xfId="0" applyNumberFormat="1" applyFont="1" applyFill="1" applyBorder="1" applyAlignment="1">
      <alignment horizontal="center"/>
    </xf>
    <xf numFmtId="3" fontId="11" fillId="4" borderId="1" xfId="0" applyNumberFormat="1" applyFont="1" applyFill="1" applyBorder="1" applyAlignment="1">
      <alignment horizontal="center"/>
    </xf>
    <xf numFmtId="0" fontId="8" fillId="0" borderId="0" xfId="0" applyFont="1"/>
    <xf numFmtId="0" fontId="3" fillId="0" borderId="13" xfId="0" applyFont="1" applyBorder="1" applyAlignment="1">
      <alignment horizontal="right" wrapText="1"/>
    </xf>
    <xf numFmtId="3" fontId="3" fillId="0" borderId="13" xfId="0" applyNumberFormat="1" applyFont="1" applyBorder="1" applyAlignment="1">
      <alignment horizontal="right"/>
    </xf>
    <xf numFmtId="3" fontId="3" fillId="0" borderId="9" xfId="0" applyNumberFormat="1" applyFont="1" applyBorder="1" applyAlignment="1">
      <alignment horizontal="right"/>
    </xf>
    <xf numFmtId="0" fontId="3" fillId="0" borderId="14" xfId="0" applyFont="1" applyBorder="1" applyAlignment="1">
      <alignment horizontal="right" wrapText="1"/>
    </xf>
    <xf numFmtId="3" fontId="3" fillId="0" borderId="14" xfId="0" applyNumberFormat="1" applyFont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 wrapText="1"/>
    </xf>
    <xf numFmtId="3" fontId="3" fillId="0" borderId="13" xfId="0" applyNumberFormat="1" applyFont="1" applyBorder="1"/>
    <xf numFmtId="3" fontId="3" fillId="0" borderId="9" xfId="0" applyNumberFormat="1" applyFont="1" applyBorder="1"/>
    <xf numFmtId="3" fontId="3" fillId="0" borderId="14" xfId="0" applyNumberFormat="1" applyFont="1" applyBorder="1"/>
    <xf numFmtId="3" fontId="3" fillId="0" borderId="4" xfId="0" applyNumberFormat="1" applyFont="1" applyBorder="1"/>
    <xf numFmtId="3" fontId="3" fillId="0" borderId="15" xfId="0" applyNumberFormat="1" applyFont="1" applyBorder="1" applyAlignment="1">
      <alignment horizontal="right"/>
    </xf>
    <xf numFmtId="3" fontId="3" fillId="0" borderId="7" xfId="0" applyNumberFormat="1" applyFont="1" applyBorder="1" applyAlignment="1">
      <alignment horizontal="right"/>
    </xf>
    <xf numFmtId="0" fontId="27" fillId="0" borderId="0" xfId="2" applyFont="1" applyAlignment="1">
      <alignment horizontal="center" vertical="center"/>
    </xf>
    <xf numFmtId="0" fontId="28" fillId="0" borderId="0" xfId="2" applyFont="1" applyAlignment="1">
      <alignment horizontal="center"/>
    </xf>
    <xf numFmtId="3" fontId="28" fillId="0" borderId="0" xfId="2" applyNumberFormat="1" applyFont="1" applyAlignment="1">
      <alignment horizontal="center"/>
    </xf>
    <xf numFmtId="0" fontId="29" fillId="0" borderId="1" xfId="2" applyFont="1" applyBorder="1" applyAlignment="1">
      <alignment horizontal="center" vertical="center" wrapText="1"/>
    </xf>
    <xf numFmtId="0" fontId="30" fillId="0" borderId="1" xfId="2" applyFont="1" applyBorder="1" applyAlignment="1">
      <alignment horizontal="center" vertical="center" wrapText="1"/>
    </xf>
    <xf numFmtId="3" fontId="30" fillId="0" borderId="1" xfId="2" applyNumberFormat="1" applyFont="1" applyBorder="1" applyAlignment="1">
      <alignment horizontal="center" vertical="center" wrapText="1"/>
    </xf>
    <xf numFmtId="0" fontId="29" fillId="0" borderId="11" xfId="2" applyFont="1" applyBorder="1" applyAlignment="1">
      <alignment horizontal="center" vertical="center" wrapText="1"/>
    </xf>
    <xf numFmtId="0" fontId="29" fillId="0" borderId="2" xfId="2" applyFont="1" applyBorder="1" applyAlignment="1">
      <alignment horizontal="center" vertical="center" wrapText="1"/>
    </xf>
    <xf numFmtId="0" fontId="29" fillId="0" borderId="16" xfId="2" applyFont="1" applyBorder="1" applyAlignment="1">
      <alignment horizontal="center" vertical="center" wrapText="1"/>
    </xf>
    <xf numFmtId="3" fontId="29" fillId="0" borderId="10" xfId="2" applyNumberFormat="1" applyFont="1" applyBorder="1" applyAlignment="1">
      <alignment horizontal="center"/>
    </xf>
    <xf numFmtId="0" fontId="30" fillId="5" borderId="4" xfId="2" applyFont="1" applyFill="1" applyBorder="1" applyAlignment="1">
      <alignment horizontal="center"/>
    </xf>
    <xf numFmtId="0" fontId="30" fillId="5" borderId="17" xfId="2" applyFont="1" applyFill="1" applyBorder="1"/>
    <xf numFmtId="3" fontId="30" fillId="5" borderId="5" xfId="2" applyNumberFormat="1" applyFont="1" applyFill="1" applyBorder="1" applyAlignment="1">
      <alignment horizontal="center"/>
    </xf>
    <xf numFmtId="0" fontId="30" fillId="0" borderId="4" xfId="2" applyFont="1" applyBorder="1" applyAlignment="1">
      <alignment horizontal="center"/>
    </xf>
    <xf numFmtId="0" fontId="30" fillId="0" borderId="17" xfId="2" applyFont="1" applyBorder="1"/>
    <xf numFmtId="3" fontId="30" fillId="0" borderId="4" xfId="2" applyNumberFormat="1" applyFont="1" applyBorder="1" applyAlignment="1">
      <alignment horizontal="center"/>
    </xf>
    <xf numFmtId="0" fontId="29" fillId="0" borderId="14" xfId="2" applyFont="1" applyBorder="1"/>
    <xf numFmtId="0" fontId="29" fillId="0" borderId="4" xfId="2" quotePrefix="1" applyFont="1" applyBorder="1" applyAlignment="1">
      <alignment horizontal="right"/>
    </xf>
    <xf numFmtId="0" fontId="29" fillId="0" borderId="17" xfId="2" applyFont="1" applyBorder="1"/>
    <xf numFmtId="3" fontId="29" fillId="0" borderId="4" xfId="2" applyNumberFormat="1" applyFont="1" applyBorder="1"/>
    <xf numFmtId="0" fontId="29" fillId="0" borderId="4" xfId="2" quotePrefix="1" applyFont="1" applyBorder="1" applyAlignment="1" applyProtection="1">
      <alignment horizontal="right"/>
      <protection locked="0"/>
    </xf>
    <xf numFmtId="0" fontId="29" fillId="0" borderId="4" xfId="2" applyFont="1" applyBorder="1" applyProtection="1">
      <protection locked="0"/>
    </xf>
    <xf numFmtId="0" fontId="30" fillId="0" borderId="14" xfId="2" applyFont="1" applyBorder="1" applyAlignment="1">
      <alignment horizontal="center"/>
    </xf>
    <xf numFmtId="0" fontId="29" fillId="0" borderId="4" xfId="2" applyFont="1" applyBorder="1"/>
    <xf numFmtId="167" fontId="29" fillId="0" borderId="4" xfId="2" applyNumberFormat="1" applyFont="1" applyBorder="1"/>
    <xf numFmtId="167" fontId="29" fillId="0" borderId="4" xfId="2" applyNumberFormat="1" applyFont="1" applyBorder="1" applyProtection="1">
      <protection locked="0"/>
    </xf>
    <xf numFmtId="167" fontId="29" fillId="0" borderId="4" xfId="2" quotePrefix="1" applyNumberFormat="1" applyFont="1" applyBorder="1" applyAlignment="1">
      <alignment horizontal="right"/>
    </xf>
    <xf numFmtId="167" fontId="29" fillId="0" borderId="4" xfId="2" quotePrefix="1" applyNumberFormat="1" applyFont="1" applyBorder="1" applyAlignment="1" applyProtection="1">
      <alignment horizontal="right"/>
      <protection locked="0"/>
    </xf>
    <xf numFmtId="0" fontId="29" fillId="0" borderId="17" xfId="2" applyFont="1" applyBorder="1" applyProtection="1">
      <protection locked="0"/>
    </xf>
    <xf numFmtId="167" fontId="30" fillId="0" borderId="4" xfId="2" applyNumberFormat="1" applyFont="1" applyBorder="1" applyAlignment="1">
      <alignment horizontal="center"/>
    </xf>
    <xf numFmtId="0" fontId="29" fillId="0" borderId="4" xfId="2" applyFont="1" applyBorder="1" applyAlignment="1" applyProtection="1">
      <alignment wrapText="1"/>
      <protection locked="0"/>
    </xf>
    <xf numFmtId="167" fontId="29" fillId="0" borderId="4" xfId="0" quotePrefix="1" applyNumberFormat="1" applyFont="1" applyBorder="1" applyAlignment="1" applyProtection="1">
      <alignment horizontal="right"/>
      <protection locked="0"/>
    </xf>
    <xf numFmtId="0" fontId="29" fillId="0" borderId="4" xfId="0" applyFont="1" applyBorder="1" applyAlignment="1" applyProtection="1">
      <alignment wrapText="1"/>
      <protection locked="0"/>
    </xf>
    <xf numFmtId="0" fontId="29" fillId="0" borderId="17" xfId="2" applyFont="1" applyBorder="1" applyAlignment="1">
      <alignment wrapText="1"/>
    </xf>
    <xf numFmtId="0" fontId="29" fillId="5" borderId="14" xfId="2" applyFont="1" applyFill="1" applyBorder="1"/>
    <xf numFmtId="0" fontId="30" fillId="5" borderId="17" xfId="2" applyFont="1" applyFill="1" applyBorder="1" applyAlignment="1">
      <alignment horizontal="center" wrapText="1"/>
    </xf>
    <xf numFmtId="3" fontId="30" fillId="5" borderId="4" xfId="2" applyNumberFormat="1" applyFont="1" applyFill="1" applyBorder="1" applyAlignment="1">
      <alignment horizontal="center"/>
    </xf>
    <xf numFmtId="0" fontId="30" fillId="6" borderId="14" xfId="2" quotePrefix="1" applyFont="1" applyFill="1" applyBorder="1" applyAlignment="1">
      <alignment horizontal="left"/>
    </xf>
    <xf numFmtId="0" fontId="30" fillId="6" borderId="4" xfId="2" applyFont="1" applyFill="1" applyBorder="1" applyAlignment="1">
      <alignment horizontal="center"/>
    </xf>
    <xf numFmtId="0" fontId="30" fillId="6" borderId="17" xfId="2" applyFont="1" applyFill="1" applyBorder="1"/>
    <xf numFmtId="3" fontId="30" fillId="6" borderId="17" xfId="2" applyNumberFormat="1" applyFont="1" applyFill="1" applyBorder="1" applyAlignment="1">
      <alignment horizontal="center"/>
    </xf>
    <xf numFmtId="0" fontId="29" fillId="2" borderId="14" xfId="2" applyFont="1" applyFill="1" applyBorder="1" applyAlignment="1">
      <alignment horizontal="center"/>
    </xf>
    <xf numFmtId="0" fontId="29" fillId="2" borderId="4" xfId="2" applyFont="1" applyFill="1" applyBorder="1" applyAlignment="1">
      <alignment horizontal="center"/>
    </xf>
    <xf numFmtId="0" fontId="30" fillId="2" borderId="17" xfId="2" applyFont="1" applyFill="1" applyBorder="1" applyAlignment="1">
      <alignment horizontal="center"/>
    </xf>
    <xf numFmtId="3" fontId="28" fillId="2" borderId="4" xfId="2" applyNumberFormat="1" applyFont="1" applyFill="1" applyBorder="1" applyAlignment="1">
      <alignment horizontal="center"/>
    </xf>
    <xf numFmtId="0" fontId="30" fillId="2" borderId="4" xfId="2" applyFont="1" applyFill="1" applyBorder="1" applyAlignment="1">
      <alignment horizontal="center"/>
    </xf>
    <xf numFmtId="0" fontId="30" fillId="2" borderId="17" xfId="2" applyFont="1" applyFill="1" applyBorder="1" applyAlignment="1">
      <alignment horizontal="left"/>
    </xf>
    <xf numFmtId="3" fontId="31" fillId="2" borderId="4" xfId="2" applyNumberFormat="1" applyFont="1" applyFill="1" applyBorder="1" applyAlignment="1">
      <alignment horizontal="center"/>
    </xf>
    <xf numFmtId="0" fontId="28" fillId="2" borderId="4" xfId="2" applyFont="1" applyFill="1" applyBorder="1" applyAlignment="1">
      <alignment horizontal="right"/>
    </xf>
    <xf numFmtId="0" fontId="28" fillId="2" borderId="17" xfId="2" applyFont="1" applyFill="1" applyBorder="1" applyAlignment="1">
      <alignment horizontal="left"/>
    </xf>
    <xf numFmtId="3" fontId="28" fillId="2" borderId="4" xfId="2" applyNumberFormat="1" applyFont="1" applyFill="1" applyBorder="1" applyAlignment="1">
      <alignment horizontal="right"/>
    </xf>
    <xf numFmtId="0" fontId="28" fillId="2" borderId="17" xfId="2" applyFont="1" applyFill="1" applyBorder="1" applyAlignment="1">
      <alignment horizontal="left" wrapText="1"/>
    </xf>
    <xf numFmtId="0" fontId="29" fillId="0" borderId="14" xfId="2" applyFont="1" applyBorder="1" applyAlignment="1">
      <alignment horizontal="center"/>
    </xf>
    <xf numFmtId="0" fontId="31" fillId="0" borderId="4" xfId="2" applyFont="1" applyBorder="1" applyAlignment="1">
      <alignment horizontal="center"/>
    </xf>
    <xf numFmtId="0" fontId="31" fillId="0" borderId="17" xfId="2" applyFont="1" applyBorder="1" applyAlignment="1">
      <alignment wrapText="1"/>
    </xf>
    <xf numFmtId="3" fontId="31" fillId="0" borderId="4" xfId="2" applyNumberFormat="1" applyFont="1" applyBorder="1" applyAlignment="1">
      <alignment horizontal="center"/>
    </xf>
    <xf numFmtId="0" fontId="28" fillId="0" borderId="4" xfId="2" applyFont="1" applyBorder="1" applyAlignment="1">
      <alignment horizontal="right"/>
    </xf>
    <xf numFmtId="0" fontId="28" fillId="0" borderId="18" xfId="2" applyFont="1" applyBorder="1" applyAlignment="1">
      <alignment wrapText="1"/>
    </xf>
    <xf numFmtId="3" fontId="28" fillId="0" borderId="4" xfId="2" applyNumberFormat="1" applyFont="1" applyBorder="1" applyAlignment="1">
      <alignment horizontal="right"/>
    </xf>
    <xf numFmtId="0" fontId="30" fillId="0" borderId="18" xfId="2" applyFont="1" applyBorder="1"/>
    <xf numFmtId="1" fontId="30" fillId="0" borderId="4" xfId="2" applyNumberFormat="1" applyFont="1" applyBorder="1"/>
    <xf numFmtId="1" fontId="28" fillId="0" borderId="17" xfId="2" applyNumberFormat="1" applyFont="1" applyBorder="1"/>
    <xf numFmtId="0" fontId="28" fillId="0" borderId="17" xfId="2" applyFont="1" applyBorder="1"/>
    <xf numFmtId="0" fontId="28" fillId="0" borderId="17" xfId="2" applyFont="1" applyBorder="1" applyAlignment="1">
      <alignment wrapText="1"/>
    </xf>
    <xf numFmtId="0" fontId="28" fillId="0" borderId="6" xfId="2" applyFont="1" applyBorder="1" applyAlignment="1">
      <alignment horizontal="right"/>
    </xf>
    <xf numFmtId="0" fontId="28" fillId="0" borderId="18" xfId="2" applyFont="1" applyBorder="1"/>
    <xf numFmtId="0" fontId="30" fillId="0" borderId="6" xfId="2" applyFont="1" applyBorder="1" applyAlignment="1" applyProtection="1">
      <alignment horizontal="center"/>
      <protection locked="0"/>
    </xf>
    <xf numFmtId="0" fontId="30" fillId="0" borderId="19" xfId="2" applyFont="1" applyBorder="1" applyAlignment="1" applyProtection="1">
      <alignment horizontal="left" wrapText="1"/>
      <protection locked="0"/>
    </xf>
    <xf numFmtId="0" fontId="28" fillId="0" borderId="6" xfId="2" applyFont="1" applyBorder="1" applyAlignment="1" applyProtection="1">
      <alignment horizontal="right"/>
      <protection locked="0"/>
    </xf>
    <xf numFmtId="0" fontId="28" fillId="0" borderId="18" xfId="2" applyFont="1" applyBorder="1" applyAlignment="1" applyProtection="1">
      <alignment horizontal="left" wrapText="1"/>
      <protection locked="0"/>
    </xf>
    <xf numFmtId="0" fontId="32" fillId="7" borderId="14" xfId="2" quotePrefix="1" applyFont="1" applyFill="1" applyBorder="1" applyAlignment="1">
      <alignment horizontal="right"/>
    </xf>
    <xf numFmtId="0" fontId="32" fillId="7" borderId="4" xfId="2" applyFont="1" applyFill="1" applyBorder="1" applyAlignment="1">
      <alignment horizontal="center"/>
    </xf>
    <xf numFmtId="0" fontId="32" fillId="7" borderId="17" xfId="2" applyFont="1" applyFill="1" applyBorder="1"/>
    <xf numFmtId="3" fontId="31" fillId="7" borderId="17" xfId="2" applyNumberFormat="1" applyFont="1" applyFill="1" applyBorder="1" applyAlignment="1">
      <alignment horizontal="center"/>
    </xf>
    <xf numFmtId="3" fontId="28" fillId="0" borderId="4" xfId="2" applyNumberFormat="1" applyFont="1" applyBorder="1" applyAlignment="1">
      <alignment horizontal="center"/>
    </xf>
    <xf numFmtId="3" fontId="28" fillId="0" borderId="17" xfId="2" applyNumberFormat="1" applyFont="1" applyBorder="1" applyAlignment="1">
      <alignment horizontal="center"/>
    </xf>
    <xf numFmtId="0" fontId="32" fillId="8" borderId="14" xfId="2" quotePrefix="1" applyFont="1" applyFill="1" applyBorder="1" applyAlignment="1">
      <alignment horizontal="right"/>
    </xf>
    <xf numFmtId="0" fontId="32" fillId="8" borderId="4" xfId="2" applyFont="1" applyFill="1" applyBorder="1" applyAlignment="1">
      <alignment horizontal="center"/>
    </xf>
    <xf numFmtId="0" fontId="32" fillId="8" borderId="17" xfId="2" applyFont="1" applyFill="1" applyBorder="1"/>
    <xf numFmtId="3" fontId="31" fillId="8" borderId="17" xfId="2" applyNumberFormat="1" applyFont="1" applyFill="1" applyBorder="1" applyAlignment="1">
      <alignment horizontal="center"/>
    </xf>
    <xf numFmtId="0" fontId="32" fillId="0" borderId="14" xfId="2" quotePrefix="1" applyFont="1" applyBorder="1" applyAlignment="1">
      <alignment horizontal="right"/>
    </xf>
    <xf numFmtId="0" fontId="32" fillId="0" borderId="4" xfId="2" applyFont="1" applyBorder="1" applyAlignment="1">
      <alignment horizontal="center"/>
    </xf>
    <xf numFmtId="0" fontId="30" fillId="0" borderId="17" xfId="2" applyFont="1" applyBorder="1" applyAlignment="1">
      <alignment horizontal="center"/>
    </xf>
    <xf numFmtId="0" fontId="32" fillId="8" borderId="17" xfId="2" applyFont="1" applyFill="1" applyBorder="1" applyAlignment="1">
      <alignment wrapText="1"/>
    </xf>
    <xf numFmtId="0" fontId="30" fillId="6" borderId="14" xfId="2" applyFont="1" applyFill="1" applyBorder="1" applyAlignment="1">
      <alignment horizontal="left"/>
    </xf>
    <xf numFmtId="3" fontId="28" fillId="9" borderId="4" xfId="2" applyNumberFormat="1" applyFont="1" applyFill="1" applyBorder="1" applyAlignment="1">
      <alignment horizontal="right"/>
    </xf>
    <xf numFmtId="0" fontId="32" fillId="10" borderId="14" xfId="2" quotePrefix="1" applyFont="1" applyFill="1" applyBorder="1" applyAlignment="1">
      <alignment horizontal="right"/>
    </xf>
    <xf numFmtId="0" fontId="32" fillId="10" borderId="4" xfId="2" applyFont="1" applyFill="1" applyBorder="1" applyAlignment="1">
      <alignment horizontal="center"/>
    </xf>
    <xf numFmtId="0" fontId="32" fillId="10" borderId="17" xfId="2" applyFont="1" applyFill="1" applyBorder="1"/>
    <xf numFmtId="3" fontId="31" fillId="10" borderId="17" xfId="2" applyNumberFormat="1" applyFont="1" applyFill="1" applyBorder="1" applyAlignment="1">
      <alignment horizontal="center"/>
    </xf>
    <xf numFmtId="0" fontId="29" fillId="6" borderId="4" xfId="2" applyFont="1" applyFill="1" applyBorder="1" applyAlignment="1">
      <alignment horizontal="center"/>
    </xf>
    <xf numFmtId="0" fontId="30" fillId="0" borderId="18" xfId="2" applyFont="1" applyBorder="1" applyAlignment="1" applyProtection="1">
      <alignment horizontal="left" wrapText="1"/>
      <protection locked="0"/>
    </xf>
    <xf numFmtId="0" fontId="31" fillId="6" borderId="14" xfId="2" quotePrefix="1" applyFont="1" applyFill="1" applyBorder="1" applyAlignment="1">
      <alignment horizontal="left"/>
    </xf>
    <xf numFmtId="0" fontId="31" fillId="6" borderId="4" xfId="2" applyFont="1" applyFill="1" applyBorder="1" applyAlignment="1">
      <alignment horizontal="center"/>
    </xf>
    <xf numFmtId="0" fontId="31" fillId="6" borderId="17" xfId="2" applyFont="1" applyFill="1" applyBorder="1"/>
    <xf numFmtId="0" fontId="32" fillId="7" borderId="17" xfId="2" applyFont="1" applyFill="1" applyBorder="1" applyAlignment="1">
      <alignment wrapText="1"/>
    </xf>
    <xf numFmtId="0" fontId="32" fillId="10" borderId="17" xfId="2" applyFont="1" applyFill="1" applyBorder="1" applyAlignment="1">
      <alignment wrapText="1"/>
    </xf>
    <xf numFmtId="167" fontId="32" fillId="7" borderId="14" xfId="2" quotePrefix="1" applyNumberFormat="1" applyFont="1" applyFill="1" applyBorder="1" applyAlignment="1">
      <alignment horizontal="right"/>
    </xf>
    <xf numFmtId="0" fontId="29" fillId="5" borderId="14" xfId="2" applyFont="1" applyFill="1" applyBorder="1" applyAlignment="1">
      <alignment horizontal="center"/>
    </xf>
    <xf numFmtId="0" fontId="30" fillId="5" borderId="17" xfId="2" applyFont="1" applyFill="1" applyBorder="1" applyAlignment="1">
      <alignment horizontal="left"/>
    </xf>
    <xf numFmtId="0" fontId="30" fillId="5" borderId="17" xfId="2" applyFont="1" applyFill="1" applyBorder="1" applyAlignment="1">
      <alignment horizontal="center"/>
    </xf>
    <xf numFmtId="3" fontId="30" fillId="2" borderId="4" xfId="2" applyNumberFormat="1" applyFont="1" applyFill="1" applyBorder="1" applyAlignment="1">
      <alignment horizontal="right"/>
    </xf>
    <xf numFmtId="3" fontId="30" fillId="2" borderId="4" xfId="2" applyNumberFormat="1" applyFont="1" applyFill="1" applyBorder="1" applyAlignment="1">
      <alignment horizontal="center"/>
    </xf>
    <xf numFmtId="0" fontId="29" fillId="5" borderId="4" xfId="2" applyFont="1" applyFill="1" applyBorder="1" applyAlignment="1">
      <alignment horizontal="center"/>
    </xf>
    <xf numFmtId="3" fontId="30" fillId="5" borderId="4" xfId="2" applyNumberFormat="1" applyFont="1" applyFill="1" applyBorder="1" applyAlignment="1">
      <alignment horizontal="right"/>
    </xf>
    <xf numFmtId="0" fontId="28" fillId="0" borderId="14" xfId="2" applyFont="1" applyBorder="1" applyAlignment="1">
      <alignment horizontal="right"/>
    </xf>
    <xf numFmtId="0" fontId="28" fillId="0" borderId="4" xfId="2" applyFont="1" applyBorder="1" applyAlignment="1">
      <alignment wrapText="1"/>
    </xf>
    <xf numFmtId="3" fontId="29" fillId="0" borderId="4" xfId="2" applyNumberFormat="1" applyFont="1" applyBorder="1" applyAlignment="1">
      <alignment horizontal="right"/>
    </xf>
    <xf numFmtId="0" fontId="29" fillId="0" borderId="19" xfId="2" applyFont="1" applyBorder="1" applyAlignment="1">
      <alignment horizontal="center"/>
    </xf>
    <xf numFmtId="0" fontId="29" fillId="0" borderId="4" xfId="2" applyFont="1" applyBorder="1" applyAlignment="1">
      <alignment horizontal="right"/>
    </xf>
    <xf numFmtId="0" fontId="29" fillId="0" borderId="6" xfId="2" applyFont="1" applyBorder="1" applyAlignment="1">
      <alignment horizontal="right"/>
    </xf>
    <xf numFmtId="0" fontId="29" fillId="5" borderId="19" xfId="2" applyFont="1" applyFill="1" applyBorder="1"/>
    <xf numFmtId="0" fontId="33" fillId="5" borderId="6" xfId="2" applyFont="1" applyFill="1" applyBorder="1" applyAlignment="1">
      <alignment horizontal="left"/>
    </xf>
    <xf numFmtId="0" fontId="34" fillId="5" borderId="18" xfId="2" applyFont="1" applyFill="1" applyBorder="1" applyAlignment="1">
      <alignment horizontal="center"/>
    </xf>
    <xf numFmtId="3" fontId="34" fillId="5" borderId="6" xfId="2" applyNumberFormat="1" applyFont="1" applyFill="1" applyBorder="1" applyAlignment="1">
      <alignment horizontal="right"/>
    </xf>
    <xf numFmtId="0" fontId="29" fillId="5" borderId="1" xfId="2" applyFont="1" applyFill="1" applyBorder="1"/>
    <xf numFmtId="0" fontId="29" fillId="5" borderId="1" xfId="2" applyFont="1" applyFill="1" applyBorder="1" applyAlignment="1">
      <alignment horizontal="center"/>
    </xf>
    <xf numFmtId="0" fontId="30" fillId="5" borderId="1" xfId="2" applyFont="1" applyFill="1" applyBorder="1"/>
    <xf numFmtId="3" fontId="30" fillId="5" borderId="1" xfId="2" applyNumberFormat="1" applyFont="1" applyFill="1" applyBorder="1" applyAlignment="1">
      <alignment horizontal="center"/>
    </xf>
    <xf numFmtId="0" fontId="29" fillId="5" borderId="15" xfId="2" applyFont="1" applyFill="1" applyBorder="1"/>
    <xf numFmtId="0" fontId="29" fillId="5" borderId="7" xfId="2" applyFont="1" applyFill="1" applyBorder="1" applyAlignment="1">
      <alignment horizontal="center"/>
    </xf>
    <xf numFmtId="0" fontId="30" fillId="5" borderId="20" xfId="2" applyFont="1" applyFill="1" applyBorder="1"/>
    <xf numFmtId="3" fontId="30" fillId="5" borderId="7" xfId="2" applyNumberFormat="1" applyFont="1" applyFill="1" applyBorder="1" applyAlignment="1">
      <alignment horizontal="center"/>
    </xf>
    <xf numFmtId="0" fontId="3" fillId="0" borderId="0" xfId="2"/>
    <xf numFmtId="0" fontId="29" fillId="0" borderId="0" xfId="2" applyFont="1"/>
    <xf numFmtId="3" fontId="29" fillId="0" borderId="0" xfId="2" applyNumberFormat="1" applyFont="1"/>
    <xf numFmtId="0" fontId="35" fillId="0" borderId="0" xfId="0" applyFont="1"/>
    <xf numFmtId="0" fontId="0" fillId="0" borderId="1" xfId="0" applyBorder="1"/>
    <xf numFmtId="0" fontId="11" fillId="0" borderId="1" xfId="0" applyFont="1" applyBorder="1" applyAlignment="1">
      <alignment vertical="center" wrapText="1"/>
    </xf>
    <xf numFmtId="49" fontId="36" fillId="11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37" fillId="11" borderId="1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0" xfId="0" applyFont="1" applyBorder="1"/>
    <xf numFmtId="3" fontId="0" fillId="0" borderId="10" xfId="0" applyNumberFormat="1" applyBorder="1" applyAlignment="1">
      <alignment vertical="center" wrapText="1"/>
    </xf>
    <xf numFmtId="0" fontId="3" fillId="0" borderId="4" xfId="0" applyFont="1" applyBorder="1"/>
    <xf numFmtId="3" fontId="0" fillId="0" borderId="4" xfId="0" applyNumberFormat="1" applyBorder="1" applyAlignment="1">
      <alignment vertical="center" wrapText="1"/>
    </xf>
    <xf numFmtId="14" fontId="3" fillId="0" borderId="2" xfId="0" applyNumberFormat="1" applyFont="1" applyBorder="1" applyAlignment="1">
      <alignment vertical="center" wrapText="1"/>
    </xf>
    <xf numFmtId="3" fontId="0" fillId="0" borderId="2" xfId="0" applyNumberForma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4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14" fillId="12" borderId="10" xfId="0" applyNumberFormat="1" applyFont="1" applyFill="1" applyBorder="1" applyAlignment="1">
      <alignment horizontal="left" vertical="top" wrapText="1"/>
    </xf>
    <xf numFmtId="14" fontId="3" fillId="0" borderId="8" xfId="0" applyNumberFormat="1" applyFont="1" applyBorder="1" applyAlignment="1">
      <alignment vertical="center" wrapText="1"/>
    </xf>
    <xf numFmtId="3" fontId="0" fillId="3" borderId="4" xfId="0" applyNumberFormat="1" applyFill="1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3" fontId="0" fillId="3" borderId="10" xfId="0" applyNumberFormat="1" applyFill="1" applyBorder="1" applyAlignment="1">
      <alignment vertical="center" wrapText="1"/>
    </xf>
    <xf numFmtId="49" fontId="14" fillId="12" borderId="4" xfId="0" applyNumberFormat="1" applyFont="1" applyFill="1" applyBorder="1" applyAlignment="1">
      <alignment horizontal="left" vertical="top" wrapText="1"/>
    </xf>
    <xf numFmtId="3" fontId="3" fillId="0" borderId="4" xfId="0" applyNumberFormat="1" applyFont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3" fontId="20" fillId="0" borderId="4" xfId="0" applyNumberFormat="1" applyFont="1" applyBorder="1" applyAlignment="1">
      <alignment vertical="center" wrapText="1"/>
    </xf>
    <xf numFmtId="3" fontId="3" fillId="0" borderId="2" xfId="0" applyNumberFormat="1" applyFont="1" applyBorder="1" applyAlignment="1">
      <alignment vertical="center" wrapText="1"/>
    </xf>
    <xf numFmtId="3" fontId="0" fillId="13" borderId="10" xfId="0" applyNumberFormat="1" applyFill="1" applyBorder="1" applyAlignment="1">
      <alignment vertical="center" wrapText="1"/>
    </xf>
    <xf numFmtId="0" fontId="39" fillId="0" borderId="0" xfId="0" applyFont="1"/>
    <xf numFmtId="3" fontId="3" fillId="3" borderId="4" xfId="0" applyNumberFormat="1" applyFont="1" applyFill="1" applyBorder="1" applyAlignment="1">
      <alignment vertical="center" wrapText="1"/>
    </xf>
    <xf numFmtId="3" fontId="0" fillId="0" borderId="10" xfId="0" applyNumberFormat="1" applyBorder="1"/>
    <xf numFmtId="3" fontId="0" fillId="0" borderId="4" xfId="0" applyNumberFormat="1" applyBorder="1"/>
    <xf numFmtId="0" fontId="20" fillId="0" borderId="10" xfId="0" applyFont="1" applyBorder="1"/>
    <xf numFmtId="3" fontId="3" fillId="0" borderId="10" xfId="0" applyNumberFormat="1" applyFont="1" applyBorder="1"/>
    <xf numFmtId="3" fontId="3" fillId="0" borderId="10" xfId="0" applyNumberFormat="1" applyFont="1" applyBorder="1" applyAlignment="1">
      <alignment vertical="center" wrapText="1"/>
    </xf>
    <xf numFmtId="0" fontId="20" fillId="0" borderId="4" xfId="0" applyFont="1" applyBorder="1"/>
    <xf numFmtId="14" fontId="20" fillId="0" borderId="2" xfId="0" applyNumberFormat="1" applyFont="1" applyBorder="1" applyAlignment="1">
      <alignment vertical="center" wrapText="1"/>
    </xf>
    <xf numFmtId="3" fontId="3" fillId="3" borderId="4" xfId="0" applyNumberFormat="1" applyFont="1" applyFill="1" applyBorder="1"/>
    <xf numFmtId="3" fontId="3" fillId="3" borderId="10" xfId="0" applyNumberFormat="1" applyFont="1" applyFill="1" applyBorder="1"/>
    <xf numFmtId="3" fontId="3" fillId="0" borderId="5" xfId="0" applyNumberFormat="1" applyFont="1" applyBorder="1"/>
    <xf numFmtId="3" fontId="3" fillId="0" borderId="8" xfId="0" applyNumberFormat="1" applyFont="1" applyBorder="1"/>
    <xf numFmtId="3" fontId="3" fillId="3" borderId="10" xfId="0" applyNumberFormat="1" applyFont="1" applyFill="1" applyBorder="1" applyAlignment="1">
      <alignment vertical="center" wrapText="1"/>
    </xf>
    <xf numFmtId="3" fontId="20" fillId="3" borderId="10" xfId="0" applyNumberFormat="1" applyFont="1" applyFill="1" applyBorder="1"/>
    <xf numFmtId="3" fontId="20" fillId="0" borderId="10" xfId="0" applyNumberFormat="1" applyFont="1" applyBorder="1"/>
    <xf numFmtId="3" fontId="20" fillId="0" borderId="10" xfId="0" applyNumberFormat="1" applyFont="1" applyBorder="1" applyAlignment="1">
      <alignment vertical="center" wrapText="1"/>
    </xf>
    <xf numFmtId="3" fontId="20" fillId="0" borderId="4" xfId="0" applyNumberFormat="1" applyFont="1" applyBorder="1"/>
    <xf numFmtId="3" fontId="20" fillId="0" borderId="2" xfId="0" applyNumberFormat="1" applyFont="1" applyBorder="1" applyAlignment="1">
      <alignment vertical="center" wrapText="1"/>
    </xf>
    <xf numFmtId="0" fontId="11" fillId="0" borderId="10" xfId="0" applyFont="1" applyBorder="1"/>
    <xf numFmtId="3" fontId="11" fillId="0" borderId="10" xfId="0" applyNumberFormat="1" applyFont="1" applyBorder="1"/>
    <xf numFmtId="0" fontId="11" fillId="0" borderId="4" xfId="0" applyFont="1" applyBorder="1"/>
    <xf numFmtId="14" fontId="11" fillId="0" borderId="2" xfId="0" applyNumberFormat="1" applyFont="1" applyBorder="1" applyAlignment="1">
      <alignment vertical="center" wrapText="1"/>
    </xf>
    <xf numFmtId="3" fontId="11" fillId="0" borderId="1" xfId="0" applyNumberFormat="1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1" fillId="0" borderId="0" xfId="0" applyFont="1" applyAlignment="1">
      <alignment horizontal="right" vertical="center" wrapText="1"/>
    </xf>
    <xf numFmtId="0" fontId="42" fillId="0" borderId="0" xfId="0" applyFont="1" applyAlignment="1">
      <alignment horizontal="center" vertical="center" wrapText="1"/>
    </xf>
    <xf numFmtId="3" fontId="42" fillId="0" borderId="0" xfId="0" applyNumberFormat="1" applyFont="1" applyAlignment="1">
      <alignment vertical="center" wrapText="1"/>
    </xf>
    <xf numFmtId="3" fontId="42" fillId="0" borderId="0" xfId="0" applyNumberFormat="1" applyFont="1"/>
    <xf numFmtId="0" fontId="4" fillId="0" borderId="1" xfId="0" applyFont="1" applyBorder="1" applyAlignment="1">
      <alignment horizontal="center" vertical="center" wrapText="1"/>
    </xf>
    <xf numFmtId="3" fontId="3" fillId="0" borderId="23" xfId="5" applyNumberFormat="1" applyBorder="1" applyAlignment="1" applyProtection="1">
      <alignment horizontal="right" vertical="center"/>
      <protection locked="0"/>
    </xf>
    <xf numFmtId="3" fontId="3" fillId="3" borderId="23" xfId="5" applyNumberFormat="1" applyFill="1" applyBorder="1" applyAlignment="1" applyProtection="1">
      <alignment horizontal="right" vertical="center"/>
      <protection locked="0"/>
    </xf>
    <xf numFmtId="3" fontId="3" fillId="0" borderId="0" xfId="5" applyNumberFormat="1" applyAlignment="1" applyProtection="1">
      <alignment vertical="center"/>
      <protection locked="0"/>
    </xf>
    <xf numFmtId="0" fontId="0" fillId="0" borderId="8" xfId="0" applyBorder="1" applyAlignment="1">
      <alignment vertical="center"/>
    </xf>
    <xf numFmtId="3" fontId="3" fillId="0" borderId="8" xfId="5" applyNumberFormat="1" applyBorder="1" applyAlignment="1" applyProtection="1">
      <alignment vertical="center"/>
      <protection locked="0"/>
    </xf>
    <xf numFmtId="3" fontId="11" fillId="0" borderId="9" xfId="0" applyNumberFormat="1" applyFont="1" applyBorder="1" applyAlignment="1">
      <alignment horizontal="center" vertical="center"/>
    </xf>
    <xf numFmtId="3" fontId="3" fillId="0" borderId="4" xfId="5" applyNumberFormat="1" applyBorder="1" applyAlignment="1" applyProtection="1">
      <alignment horizontal="right" vertical="center"/>
      <protection locked="0"/>
    </xf>
    <xf numFmtId="3" fontId="3" fillId="3" borderId="4" xfId="5" applyNumberFormat="1" applyFill="1" applyBorder="1" applyAlignment="1" applyProtection="1">
      <alignment horizontal="right" vertical="center"/>
      <protection locked="0"/>
    </xf>
    <xf numFmtId="3" fontId="3" fillId="0" borderId="4" xfId="5" applyNumberFormat="1" applyBorder="1" applyAlignment="1" applyProtection="1">
      <alignment vertical="center"/>
      <protection locked="0"/>
    </xf>
    <xf numFmtId="0" fontId="0" fillId="0" borderId="4" xfId="0" applyBorder="1" applyAlignment="1">
      <alignment vertical="center"/>
    </xf>
    <xf numFmtId="3" fontId="3" fillId="0" borderId="7" xfId="5" applyNumberFormat="1" applyBorder="1" applyAlignment="1" applyProtection="1">
      <alignment horizontal="right" vertical="center"/>
      <protection locked="0"/>
    </xf>
    <xf numFmtId="3" fontId="11" fillId="0" borderId="7" xfId="0" applyNumberFormat="1" applyFont="1" applyBorder="1" applyAlignment="1">
      <alignment horizontal="center" vertical="center"/>
    </xf>
    <xf numFmtId="3" fontId="3" fillId="0" borderId="10" xfId="5" applyNumberFormat="1" applyBorder="1" applyAlignment="1" applyProtection="1">
      <alignment horizontal="right" vertical="center"/>
      <protection locked="0"/>
    </xf>
    <xf numFmtId="3" fontId="3" fillId="0" borderId="14" xfId="5" applyNumberForma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>
      <alignment horizontal="right" vertical="center"/>
    </xf>
    <xf numFmtId="3" fontId="3" fillId="0" borderId="5" xfId="5" applyNumberFormat="1" applyBorder="1" applyAlignment="1" applyProtection="1">
      <alignment horizontal="right" vertical="center"/>
      <protection locked="0"/>
    </xf>
    <xf numFmtId="3" fontId="3" fillId="0" borderId="24" xfId="5" applyNumberFormat="1" applyBorder="1" applyAlignment="1" applyProtection="1">
      <alignment horizontal="right" vertical="center"/>
      <protection locked="0"/>
    </xf>
    <xf numFmtId="0" fontId="0" fillId="0" borderId="5" xfId="0" applyBorder="1" applyAlignment="1">
      <alignment horizontal="center" vertical="center"/>
    </xf>
    <xf numFmtId="3" fontId="3" fillId="0" borderId="8" xfId="5" applyNumberFormat="1" applyBorder="1" applyAlignment="1" applyProtection="1">
      <alignment horizontal="right" vertical="center"/>
      <protection locked="0"/>
    </xf>
    <xf numFmtId="3" fontId="3" fillId="0" borderId="21" xfId="5" applyNumberFormat="1" applyBorder="1" applyAlignment="1" applyProtection="1">
      <alignment horizontal="right" vertical="center"/>
      <protection locked="0"/>
    </xf>
    <xf numFmtId="3" fontId="3" fillId="0" borderId="7" xfId="5" applyNumberFormat="1" applyBorder="1" applyAlignment="1" applyProtection="1">
      <alignment horizontal="center" vertical="center"/>
      <protection locked="0"/>
    </xf>
    <xf numFmtId="3" fontId="11" fillId="0" borderId="10" xfId="5" applyNumberFormat="1" applyFont="1" applyBorder="1" applyAlignment="1" applyProtection="1">
      <alignment horizontal="right" vertical="center"/>
      <protection locked="0"/>
    </xf>
    <xf numFmtId="3" fontId="11" fillId="0" borderId="4" xfId="5" applyNumberFormat="1" applyFont="1" applyBorder="1" applyAlignment="1" applyProtection="1">
      <alignment horizontal="right" vertical="center"/>
      <protection locked="0"/>
    </xf>
    <xf numFmtId="3" fontId="11" fillId="0" borderId="2" xfId="5" applyNumberFormat="1" applyFont="1" applyBorder="1" applyAlignment="1">
      <alignment horizontal="right" vertical="center" wrapText="1"/>
    </xf>
    <xf numFmtId="0" fontId="3" fillId="0" borderId="1" xfId="0" applyFont="1" applyBorder="1"/>
    <xf numFmtId="3" fontId="11" fillId="0" borderId="1" xfId="5" applyNumberFormat="1" applyFont="1" applyBorder="1" applyAlignment="1">
      <alignment horizontal="right" vertical="center" wrapText="1"/>
    </xf>
    <xf numFmtId="3" fontId="11" fillId="0" borderId="12" xfId="5" applyNumberFormat="1" applyFont="1" applyBorder="1" applyAlignment="1">
      <alignment horizontal="right" vertical="center" wrapText="1"/>
    </xf>
    <xf numFmtId="2" fontId="3" fillId="0" borderId="1" xfId="0" applyNumberFormat="1" applyFont="1" applyBorder="1"/>
    <xf numFmtId="3" fontId="11" fillId="3" borderId="1" xfId="0" applyNumberFormat="1" applyFont="1" applyFill="1" applyBorder="1"/>
    <xf numFmtId="0" fontId="30" fillId="0" borderId="6" xfId="2" applyFont="1" applyBorder="1" applyAlignment="1" applyProtection="1">
      <alignment horizontal="left" wrapText="1"/>
      <protection locked="0"/>
    </xf>
    <xf numFmtId="0" fontId="29" fillId="0" borderId="0" xfId="0" applyFont="1"/>
    <xf numFmtId="0" fontId="43" fillId="0" borderId="0" xfId="0" applyFont="1"/>
    <xf numFmtId="0" fontId="29" fillId="0" borderId="0" xfId="0" applyFont="1" applyAlignment="1">
      <alignment horizontal="right"/>
    </xf>
    <xf numFmtId="0" fontId="27" fillId="0" borderId="0" xfId="2" applyFont="1" applyAlignment="1">
      <alignment horizontal="center" vertical="center"/>
    </xf>
    <xf numFmtId="0" fontId="28" fillId="0" borderId="0" xfId="2" applyFont="1" applyAlignment="1">
      <alignment horizontal="center"/>
    </xf>
    <xf numFmtId="0" fontId="2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14" fontId="3" fillId="0" borderId="1" xfId="0" quotePrefix="1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10" xfId="0" applyNumberFormat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14" fontId="3" fillId="0" borderId="8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4" fontId="0" fillId="3" borderId="10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8" fillId="0" borderId="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38" fillId="0" borderId="1" xfId="0" applyFont="1" applyBorder="1" applyAlignment="1">
      <alignment horizontal="left" vertical="center" wrapText="1"/>
    </xf>
    <xf numFmtId="0" fontId="38" fillId="0" borderId="10" xfId="0" applyFont="1" applyBorder="1" applyAlignment="1">
      <alignment horizontal="left" vertical="center" wrapText="1"/>
    </xf>
    <xf numFmtId="0" fontId="38" fillId="0" borderId="1" xfId="0" applyFont="1" applyBorder="1" applyAlignment="1">
      <alignment horizontal="left" wrapText="1"/>
    </xf>
    <xf numFmtId="49" fontId="40" fillId="12" borderId="1" xfId="0" applyNumberFormat="1" applyFont="1" applyFill="1" applyBorder="1" applyAlignment="1">
      <alignment horizontal="center" vertical="center" wrapText="1"/>
    </xf>
    <xf numFmtId="49" fontId="3" fillId="3" borderId="1" xfId="5" applyNumberForma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>
      <alignment horizontal="left" vertical="center" wrapText="1"/>
    </xf>
    <xf numFmtId="49" fontId="38" fillId="3" borderId="1" xfId="5" applyNumberFormat="1" applyFont="1" applyFill="1" applyBorder="1" applyAlignment="1" applyProtection="1">
      <alignment horizontal="left" vertical="top" wrapText="1"/>
      <protection locked="0"/>
    </xf>
    <xf numFmtId="0" fontId="3" fillId="3" borderId="1" xfId="4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38" fillId="3" borderId="1" xfId="0" applyFont="1" applyFill="1" applyBorder="1" applyAlignment="1">
      <alignment horizontal="left" vertical="center" wrapText="1"/>
    </xf>
    <xf numFmtId="0" fontId="0" fillId="14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15" fillId="0" borderId="10" xfId="4" applyFont="1" applyBorder="1" applyAlignment="1">
      <alignment horizontal="center" vertical="center" wrapText="1"/>
    </xf>
    <xf numFmtId="0" fontId="15" fillId="0" borderId="8" xfId="4" applyFont="1" applyBorder="1" applyAlignment="1">
      <alignment horizontal="center" vertical="center" wrapText="1"/>
    </xf>
    <xf numFmtId="0" fontId="15" fillId="0" borderId="2" xfId="4" applyFont="1" applyBorder="1" applyAlignment="1">
      <alignment horizontal="center" vertical="center" wrapText="1"/>
    </xf>
    <xf numFmtId="49" fontId="4" fillId="0" borderId="22" xfId="5" applyNumberFormat="1" applyFont="1" applyBorder="1" applyAlignment="1" applyProtection="1">
      <alignment horizontal="left" vertical="center" wrapText="1"/>
      <protection locked="0"/>
    </xf>
    <xf numFmtId="49" fontId="4" fillId="0" borderId="21" xfId="5" applyNumberFormat="1" applyFont="1" applyBorder="1" applyAlignment="1" applyProtection="1">
      <alignment horizontal="left" vertical="center" wrapText="1"/>
      <protection locked="0"/>
    </xf>
    <xf numFmtId="49" fontId="4" fillId="0" borderId="11" xfId="5" applyNumberFormat="1" applyFont="1" applyBorder="1" applyAlignment="1" applyProtection="1">
      <alignment horizontal="left" vertical="center" wrapText="1"/>
      <protection locked="0"/>
    </xf>
    <xf numFmtId="49" fontId="3" fillId="0" borderId="10" xfId="5" applyNumberFormat="1" applyBorder="1" applyAlignment="1" applyProtection="1">
      <alignment horizontal="center" vertical="center" wrapText="1"/>
      <protection locked="0"/>
    </xf>
    <xf numFmtId="49" fontId="3" fillId="0" borderId="8" xfId="5" applyNumberFormat="1" applyBorder="1" applyAlignment="1" applyProtection="1">
      <alignment horizontal="center" vertical="center" wrapText="1"/>
      <protection locked="0"/>
    </xf>
    <xf numFmtId="49" fontId="3" fillId="0" borderId="2" xfId="5" applyNumberForma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38" fillId="0" borderId="10" xfId="5" applyNumberFormat="1" applyFont="1" applyBorder="1" applyAlignment="1" applyProtection="1">
      <alignment horizontal="left" vertical="center" wrapText="1"/>
      <protection locked="0"/>
    </xf>
    <xf numFmtId="49" fontId="38" fillId="0" borderId="8" xfId="5" applyNumberFormat="1" applyFont="1" applyBorder="1" applyAlignment="1" applyProtection="1">
      <alignment horizontal="left" vertical="center" wrapText="1"/>
      <protection locked="0"/>
    </xf>
    <xf numFmtId="49" fontId="38" fillId="0" borderId="2" xfId="5" applyNumberFormat="1" applyFont="1" applyBorder="1" applyAlignment="1" applyProtection="1">
      <alignment horizontal="left" vertical="center" wrapText="1"/>
      <protection locked="0"/>
    </xf>
    <xf numFmtId="14" fontId="3" fillId="3" borderId="10" xfId="0" applyNumberFormat="1" applyFont="1" applyFill="1" applyBorder="1" applyAlignment="1">
      <alignment horizontal="center" vertical="center" wrapText="1"/>
    </xf>
    <xf numFmtId="14" fontId="3" fillId="3" borderId="8" xfId="0" applyNumberFormat="1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49" fontId="3" fillId="0" borderId="10" xfId="5" applyNumberFormat="1" applyBorder="1" applyAlignment="1" applyProtection="1">
      <alignment horizontal="left" vertical="center" wrapText="1"/>
      <protection locked="0"/>
    </xf>
    <xf numFmtId="49" fontId="3" fillId="0" borderId="8" xfId="5" applyNumberFormat="1" applyBorder="1" applyAlignment="1" applyProtection="1">
      <alignment horizontal="left" vertical="center" wrapText="1"/>
      <protection locked="0"/>
    </xf>
    <xf numFmtId="49" fontId="3" fillId="0" borderId="2" xfId="5" applyNumberForma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49" fontId="3" fillId="3" borderId="10" xfId="5" applyNumberFormat="1" applyFill="1" applyBorder="1" applyAlignment="1" applyProtection="1">
      <alignment horizontal="left" vertical="center" wrapText="1"/>
      <protection locked="0"/>
    </xf>
    <xf numFmtId="49" fontId="3" fillId="3" borderId="8" xfId="5" applyNumberFormat="1" applyFill="1" applyBorder="1" applyAlignment="1" applyProtection="1">
      <alignment horizontal="left" vertical="center" wrapText="1"/>
      <protection locked="0"/>
    </xf>
    <xf numFmtId="49" fontId="3" fillId="3" borderId="2" xfId="5" applyNumberFormat="1" applyFill="1" applyBorder="1" applyAlignment="1" applyProtection="1">
      <alignment horizontal="left" vertical="center" wrapText="1"/>
      <protection locked="0"/>
    </xf>
    <xf numFmtId="0" fontId="3" fillId="3" borderId="10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15" fillId="0" borderId="12" xfId="0" applyFont="1" applyBorder="1" applyAlignment="1">
      <alignment horizontal="left" wrapText="1"/>
    </xf>
    <xf numFmtId="0" fontId="15" fillId="0" borderId="25" xfId="0" applyFont="1" applyBorder="1" applyAlignment="1">
      <alignment horizontal="left" wrapText="1"/>
    </xf>
    <xf numFmtId="0" fontId="15" fillId="0" borderId="26" xfId="0" applyFont="1" applyBorder="1" applyAlignment="1">
      <alignment horizontal="left" wrapText="1"/>
    </xf>
    <xf numFmtId="0" fontId="10" fillId="15" borderId="1" xfId="0" applyFont="1" applyFill="1" applyBorder="1" applyAlignment="1">
      <alignment wrapText="1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49" fontId="11" fillId="3" borderId="10" xfId="5" applyNumberFormat="1" applyFont="1" applyFill="1" applyBorder="1" applyAlignment="1" applyProtection="1">
      <alignment horizontal="center" vertical="center" wrapText="1"/>
      <protection locked="0"/>
    </xf>
    <xf numFmtId="49" fontId="11" fillId="3" borderId="8" xfId="5" applyNumberFormat="1" applyFont="1" applyFill="1" applyBorder="1" applyAlignment="1" applyProtection="1">
      <alignment horizontal="center" vertical="center" wrapText="1"/>
      <protection locked="0"/>
    </xf>
    <xf numFmtId="49" fontId="11" fillId="3" borderId="2" xfId="5" applyNumberFormat="1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</cellXfs>
  <cellStyles count="6">
    <cellStyle name="Comma" xfId="1" builtinId="3"/>
    <cellStyle name="Comma 2" xfId="3" xr:uid="{75370835-DB53-4B9B-ADAD-C7224732BD0D}"/>
    <cellStyle name="Normal" xfId="0" builtinId="0"/>
    <cellStyle name="Normal 2 2 2 2" xfId="4" xr:uid="{6F0DB139-48B1-40EF-85E2-4F3834BB2078}"/>
    <cellStyle name="Normal 4" xfId="2" xr:uid="{EF7E4E8C-96A8-4E6A-8DD2-7C649EDC77FA}"/>
    <cellStyle name="Normal_Pamatformas" xfId="5" xr:uid="{E4E67889-9666-40F9-B77B-D4158BF5E9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F156D-70C7-4DB5-8292-63D0E7A28FAD}">
  <dimension ref="A1:D2668"/>
  <sheetViews>
    <sheetView topLeftCell="A2661" workbookViewId="0">
      <selection activeCell="A8" sqref="A8:D8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152" customWidth="1"/>
  </cols>
  <sheetData>
    <row r="1" spans="1:4" x14ac:dyDescent="0.3">
      <c r="D1" s="1" t="s">
        <v>1044</v>
      </c>
    </row>
    <row r="2" spans="1:4" x14ac:dyDescent="0.3">
      <c r="D2" s="1" t="s">
        <v>1045</v>
      </c>
    </row>
    <row r="3" spans="1:4" x14ac:dyDescent="0.3">
      <c r="D3" s="1" t="s">
        <v>1046</v>
      </c>
    </row>
    <row r="4" spans="1:4" x14ac:dyDescent="0.3">
      <c r="D4" s="1" t="s">
        <v>1047</v>
      </c>
    </row>
    <row r="5" spans="1:4" x14ac:dyDescent="0.3">
      <c r="D5" s="1" t="s">
        <v>1048</v>
      </c>
    </row>
    <row r="6" spans="1:4" ht="9.75" customHeight="1" x14ac:dyDescent="0.3"/>
    <row r="7" spans="1:4" ht="12" customHeight="1" x14ac:dyDescent="0.3">
      <c r="A7" s="409" t="s">
        <v>125</v>
      </c>
      <c r="B7" s="409"/>
      <c r="C7" s="409"/>
      <c r="D7" s="409"/>
    </row>
    <row r="8" spans="1:4" ht="12" customHeight="1" x14ac:dyDescent="0.3">
      <c r="A8" s="409" t="s">
        <v>1049</v>
      </c>
      <c r="B8" s="409"/>
      <c r="C8" s="409"/>
      <c r="D8" s="409"/>
    </row>
    <row r="9" spans="1:4" ht="12" customHeight="1" x14ac:dyDescent="0.3">
      <c r="A9" s="187"/>
      <c r="B9" s="187"/>
      <c r="C9" s="187" t="s">
        <v>126</v>
      </c>
      <c r="D9" s="188"/>
    </row>
    <row r="10" spans="1:4" ht="50.1" customHeight="1" x14ac:dyDescent="0.3">
      <c r="A10" s="189" t="s">
        <v>127</v>
      </c>
      <c r="B10" s="190" t="s">
        <v>128</v>
      </c>
      <c r="C10" s="190" t="s">
        <v>129</v>
      </c>
      <c r="D10" s="191" t="s">
        <v>130</v>
      </c>
    </row>
    <row r="11" spans="1:4" ht="15" customHeight="1" x14ac:dyDescent="0.3">
      <c r="A11" s="192">
        <v>1</v>
      </c>
      <c r="B11" s="193">
        <v>2</v>
      </c>
      <c r="C11" s="194">
        <v>3</v>
      </c>
      <c r="D11" s="195">
        <v>4</v>
      </c>
    </row>
    <row r="12" spans="1:4" ht="17.100000000000001" customHeight="1" x14ac:dyDescent="0.3">
      <c r="A12" s="196"/>
      <c r="B12" s="196"/>
      <c r="C12" s="197" t="s">
        <v>131</v>
      </c>
      <c r="D12" s="198">
        <f t="shared" ref="D12" si="0">D13+D24+D40+D43+D45</f>
        <v>108490533</v>
      </c>
    </row>
    <row r="13" spans="1:4" ht="12" customHeight="1" x14ac:dyDescent="0.3">
      <c r="A13" s="199" t="s">
        <v>132</v>
      </c>
      <c r="B13" s="199"/>
      <c r="C13" s="200" t="s">
        <v>133</v>
      </c>
      <c r="D13" s="201">
        <f t="shared" ref="D13" si="1">SUM(D14:D23)</f>
        <v>52801614</v>
      </c>
    </row>
    <row r="14" spans="1:4" ht="12" customHeight="1" x14ac:dyDescent="0.3">
      <c r="A14" s="202"/>
      <c r="B14" s="203" t="s">
        <v>134</v>
      </c>
      <c r="C14" s="204" t="s">
        <v>135</v>
      </c>
      <c r="D14" s="205"/>
    </row>
    <row r="15" spans="1:4" ht="12" customHeight="1" x14ac:dyDescent="0.3">
      <c r="A15" s="202"/>
      <c r="B15" s="203" t="s">
        <v>136</v>
      </c>
      <c r="C15" s="204" t="s">
        <v>137</v>
      </c>
      <c r="D15" s="205">
        <f>45281666+409393+1881842+782831</f>
        <v>48355732</v>
      </c>
    </row>
    <row r="16" spans="1:4" ht="12" customHeight="1" x14ac:dyDescent="0.3">
      <c r="A16" s="202"/>
      <c r="B16" s="203" t="s">
        <v>138</v>
      </c>
      <c r="C16" s="204" t="s">
        <v>139</v>
      </c>
      <c r="D16" s="205">
        <v>2257364</v>
      </c>
    </row>
    <row r="17" spans="1:4" ht="12" customHeight="1" x14ac:dyDescent="0.3">
      <c r="A17" s="202"/>
      <c r="B17" s="203" t="s">
        <v>140</v>
      </c>
      <c r="C17" s="204" t="s">
        <v>141</v>
      </c>
      <c r="D17" s="205">
        <v>184989</v>
      </c>
    </row>
    <row r="18" spans="1:4" ht="12" customHeight="1" x14ac:dyDescent="0.3">
      <c r="A18" s="202"/>
      <c r="B18" s="203" t="s">
        <v>142</v>
      </c>
      <c r="C18" s="204" t="s">
        <v>143</v>
      </c>
      <c r="D18" s="205">
        <v>1118879</v>
      </c>
    </row>
    <row r="19" spans="1:4" ht="12" customHeight="1" x14ac:dyDescent="0.3">
      <c r="A19" s="202"/>
      <c r="B19" s="203" t="s">
        <v>144</v>
      </c>
      <c r="C19" s="204" t="s">
        <v>145</v>
      </c>
      <c r="D19" s="205">
        <v>63206</v>
      </c>
    </row>
    <row r="20" spans="1:4" ht="12" customHeight="1" x14ac:dyDescent="0.3">
      <c r="A20" s="202"/>
      <c r="B20" s="206" t="s">
        <v>146</v>
      </c>
      <c r="C20" s="207" t="s">
        <v>147</v>
      </c>
      <c r="D20" s="205">
        <v>567642</v>
      </c>
    </row>
    <row r="21" spans="1:4" ht="12" customHeight="1" x14ac:dyDescent="0.3">
      <c r="A21" s="202"/>
      <c r="B21" s="206" t="s">
        <v>148</v>
      </c>
      <c r="C21" s="207" t="s">
        <v>149</v>
      </c>
      <c r="D21" s="205">
        <v>39790</v>
      </c>
    </row>
    <row r="22" spans="1:4" ht="12" customHeight="1" x14ac:dyDescent="0.3">
      <c r="A22" s="202"/>
      <c r="B22" s="203" t="s">
        <v>150</v>
      </c>
      <c r="C22" s="204" t="s">
        <v>151</v>
      </c>
      <c r="D22" s="205">
        <v>45012</v>
      </c>
    </row>
    <row r="23" spans="1:4" ht="12" customHeight="1" x14ac:dyDescent="0.3">
      <c r="A23" s="202"/>
      <c r="B23" s="203" t="s">
        <v>152</v>
      </c>
      <c r="C23" s="204" t="s">
        <v>153</v>
      </c>
      <c r="D23" s="205">
        <v>169000</v>
      </c>
    </row>
    <row r="24" spans="1:4" ht="12" customHeight="1" collapsed="1" x14ac:dyDescent="0.3">
      <c r="A24" s="199" t="s">
        <v>154</v>
      </c>
      <c r="B24" s="199"/>
      <c r="C24" s="200" t="s">
        <v>155</v>
      </c>
      <c r="D24" s="201">
        <f>SUM(D25:D39)</f>
        <v>3604551</v>
      </c>
    </row>
    <row r="25" spans="1:4" ht="12" hidden="1" customHeight="1" outlineLevel="1" x14ac:dyDescent="0.3">
      <c r="A25" s="208"/>
      <c r="B25" s="206" t="s">
        <v>156</v>
      </c>
      <c r="C25" s="207" t="s">
        <v>157</v>
      </c>
      <c r="D25" s="205"/>
    </row>
    <row r="26" spans="1:4" ht="12" hidden="1" customHeight="1" outlineLevel="1" x14ac:dyDescent="0.3">
      <c r="A26" s="208"/>
      <c r="B26" s="206" t="s">
        <v>158</v>
      </c>
      <c r="C26" s="207" t="s">
        <v>159</v>
      </c>
      <c r="D26" s="205"/>
    </row>
    <row r="27" spans="1:4" ht="12" hidden="1" customHeight="1" outlineLevel="1" x14ac:dyDescent="0.3">
      <c r="A27" s="202"/>
      <c r="B27" s="203" t="s">
        <v>160</v>
      </c>
      <c r="C27" s="209" t="s">
        <v>161</v>
      </c>
      <c r="D27" s="205"/>
    </row>
    <row r="28" spans="1:4" ht="12" customHeight="1" collapsed="1" x14ac:dyDescent="0.3">
      <c r="A28" s="202"/>
      <c r="B28" s="203" t="s">
        <v>162</v>
      </c>
      <c r="C28" s="209" t="s">
        <v>163</v>
      </c>
      <c r="D28" s="205">
        <f>43000+923+1970+843</f>
        <v>46736</v>
      </c>
    </row>
    <row r="29" spans="1:4" ht="12" hidden="1" customHeight="1" outlineLevel="1" x14ac:dyDescent="0.3">
      <c r="A29" s="202"/>
      <c r="B29" s="203" t="s">
        <v>164</v>
      </c>
      <c r="C29" s="204" t="s">
        <v>165</v>
      </c>
      <c r="D29" s="205"/>
    </row>
    <row r="30" spans="1:4" ht="12" hidden="1" customHeight="1" outlineLevel="1" x14ac:dyDescent="0.3">
      <c r="A30" s="202"/>
      <c r="B30" s="203" t="s">
        <v>166</v>
      </c>
      <c r="C30" s="204" t="s">
        <v>167</v>
      </c>
      <c r="D30" s="205"/>
    </row>
    <row r="31" spans="1:4" ht="12" customHeight="1" collapsed="1" x14ac:dyDescent="0.3">
      <c r="A31" s="202"/>
      <c r="B31" s="203" t="s">
        <v>168</v>
      </c>
      <c r="C31" s="204" t="s">
        <v>169</v>
      </c>
      <c r="D31" s="205">
        <v>23600</v>
      </c>
    </row>
    <row r="32" spans="1:4" ht="12" customHeight="1" x14ac:dyDescent="0.3">
      <c r="A32" s="202"/>
      <c r="B32" s="203" t="s">
        <v>170</v>
      </c>
      <c r="C32" s="204" t="s">
        <v>171</v>
      </c>
      <c r="D32" s="205">
        <v>41500</v>
      </c>
    </row>
    <row r="33" spans="1:4" ht="12" customHeight="1" x14ac:dyDescent="0.3">
      <c r="A33" s="202"/>
      <c r="B33" s="210">
        <v>10.1</v>
      </c>
      <c r="C33" s="204" t="s">
        <v>172</v>
      </c>
      <c r="D33" s="205">
        <f>42000+11913+6338</f>
        <v>60251</v>
      </c>
    </row>
    <row r="34" spans="1:4" ht="12" customHeight="1" x14ac:dyDescent="0.3">
      <c r="A34" s="202"/>
      <c r="B34" s="211">
        <v>12.2</v>
      </c>
      <c r="C34" s="207" t="s">
        <v>173</v>
      </c>
      <c r="D34" s="205">
        <v>1170</v>
      </c>
    </row>
    <row r="35" spans="1:4" ht="12" customHeight="1" x14ac:dyDescent="0.3">
      <c r="A35" s="202"/>
      <c r="B35" s="212">
        <v>12.3</v>
      </c>
      <c r="C35" s="209" t="s">
        <v>174</v>
      </c>
      <c r="D35" s="205">
        <f>6400+12349+1000+2236+193+2581+5777+12997+432</f>
        <v>43965</v>
      </c>
    </row>
    <row r="36" spans="1:4" ht="12" customHeight="1" x14ac:dyDescent="0.3">
      <c r="A36" s="202"/>
      <c r="B36" s="213">
        <v>13.1</v>
      </c>
      <c r="C36" s="207" t="s">
        <v>175</v>
      </c>
      <c r="D36" s="205">
        <f>5980950-13911-3230070-737300-1106500+103271</f>
        <v>996440</v>
      </c>
    </row>
    <row r="37" spans="1:4" ht="12" customHeight="1" x14ac:dyDescent="0.3">
      <c r="A37" s="202"/>
      <c r="B37" s="213">
        <v>13.2</v>
      </c>
      <c r="C37" s="207" t="s">
        <v>176</v>
      </c>
      <c r="D37" s="205">
        <f>1604477+1396278-27206-74844-647212-1157651+270808</f>
        <v>1364650</v>
      </c>
    </row>
    <row r="38" spans="1:4" ht="12" customHeight="1" x14ac:dyDescent="0.3">
      <c r="A38" s="202"/>
      <c r="B38" s="213">
        <v>13.4</v>
      </c>
      <c r="C38" s="207" t="s">
        <v>177</v>
      </c>
      <c r="D38" s="205">
        <f>578966+41117+151398+219758</f>
        <v>991239</v>
      </c>
    </row>
    <row r="39" spans="1:4" ht="12" customHeight="1" x14ac:dyDescent="0.3">
      <c r="A39" s="202"/>
      <c r="B39" s="213">
        <v>13.5</v>
      </c>
      <c r="C39" s="214" t="s">
        <v>178</v>
      </c>
      <c r="D39" s="205">
        <v>35000</v>
      </c>
    </row>
    <row r="40" spans="1:4" ht="12" customHeight="1" x14ac:dyDescent="0.3">
      <c r="A40" s="199" t="s">
        <v>179</v>
      </c>
      <c r="B40" s="215"/>
      <c r="C40" s="200" t="s">
        <v>180</v>
      </c>
      <c r="D40" s="201">
        <f t="shared" ref="D40" si="2">SUM(D41:D42)</f>
        <v>6184662</v>
      </c>
    </row>
    <row r="41" spans="1:4" ht="12" customHeight="1" x14ac:dyDescent="0.3">
      <c r="A41" s="202"/>
      <c r="B41" s="210">
        <v>21.3</v>
      </c>
      <c r="C41" s="209" t="s">
        <v>181</v>
      </c>
      <c r="D41" s="205">
        <f>5592780-46614+485030+150740-133808</f>
        <v>6048128</v>
      </c>
    </row>
    <row r="42" spans="1:4" ht="12" customHeight="1" x14ac:dyDescent="0.3">
      <c r="A42" s="202"/>
      <c r="B42" s="210">
        <v>21.4</v>
      </c>
      <c r="C42" s="209" t="s">
        <v>182</v>
      </c>
      <c r="D42" s="205">
        <f>14190+20750+26595+74999</f>
        <v>136534</v>
      </c>
    </row>
    <row r="43" spans="1:4" ht="12" customHeight="1" x14ac:dyDescent="0.3">
      <c r="A43" s="199" t="s">
        <v>183</v>
      </c>
      <c r="B43" s="215"/>
      <c r="C43" s="200" t="s">
        <v>184</v>
      </c>
      <c r="D43" s="201">
        <f t="shared" ref="D43" si="3">SUM(D44)</f>
        <v>450294</v>
      </c>
    </row>
    <row r="44" spans="1:4" ht="12" customHeight="1" x14ac:dyDescent="0.3">
      <c r="A44" s="202"/>
      <c r="B44" s="212">
        <v>21.1</v>
      </c>
      <c r="C44" s="209" t="s">
        <v>185</v>
      </c>
      <c r="D44" s="205">
        <f>1028363+101882+18484+951431-906801-687073-55992</f>
        <v>450294</v>
      </c>
    </row>
    <row r="45" spans="1:4" ht="16.5" customHeight="1" x14ac:dyDescent="0.3">
      <c r="A45" s="199" t="s">
        <v>186</v>
      </c>
      <c r="B45" s="215"/>
      <c r="C45" s="200" t="s">
        <v>187</v>
      </c>
      <c r="D45" s="201">
        <f>SUM(D46:D52)</f>
        <v>45449412</v>
      </c>
    </row>
    <row r="46" spans="1:4" ht="22.5" customHeight="1" x14ac:dyDescent="0.3">
      <c r="A46" s="202"/>
      <c r="B46" s="212">
        <v>17.2</v>
      </c>
      <c r="C46" s="216" t="s">
        <v>188</v>
      </c>
      <c r="D46" s="205">
        <f>94550+19924+7670-60096</f>
        <v>62048</v>
      </c>
    </row>
    <row r="47" spans="1:4" ht="12" customHeight="1" x14ac:dyDescent="0.3">
      <c r="A47" s="202"/>
      <c r="B47" s="217">
        <v>18.62</v>
      </c>
      <c r="C47" s="218" t="s">
        <v>189</v>
      </c>
      <c r="D47" s="205">
        <f>30434984+730890+29793+216604</f>
        <v>31412271</v>
      </c>
    </row>
    <row r="48" spans="1:4" ht="27" customHeight="1" x14ac:dyDescent="0.3">
      <c r="A48" s="202"/>
      <c r="B48" s="217">
        <v>18.63</v>
      </c>
      <c r="C48" s="218" t="s">
        <v>190</v>
      </c>
      <c r="D48" s="205">
        <f>4738018+14117+316401+330225</f>
        <v>5398761</v>
      </c>
    </row>
    <row r="49" spans="1:4" ht="15" customHeight="1" x14ac:dyDescent="0.3">
      <c r="A49" s="202"/>
      <c r="B49" s="217">
        <v>18.64</v>
      </c>
      <c r="C49" s="218" t="s">
        <v>191</v>
      </c>
      <c r="D49" s="205">
        <f>7410833+258464+121974</f>
        <v>7791271</v>
      </c>
    </row>
    <row r="50" spans="1:4" ht="12" customHeight="1" x14ac:dyDescent="0.3">
      <c r="A50" s="202"/>
      <c r="B50" s="211">
        <v>19.100000000000001</v>
      </c>
      <c r="C50" s="216" t="s">
        <v>192</v>
      </c>
      <c r="D50" s="205"/>
    </row>
    <row r="51" spans="1:4" ht="12" customHeight="1" x14ac:dyDescent="0.3">
      <c r="A51" s="202"/>
      <c r="B51" s="212">
        <v>19.2</v>
      </c>
      <c r="C51" s="209" t="s">
        <v>193</v>
      </c>
      <c r="D51" s="205">
        <f>761461+23600</f>
        <v>785061</v>
      </c>
    </row>
    <row r="52" spans="1:4" ht="23.25" customHeight="1" x14ac:dyDescent="0.3">
      <c r="A52" s="202"/>
      <c r="B52" s="212">
        <v>19.3</v>
      </c>
      <c r="C52" s="219" t="s">
        <v>194</v>
      </c>
      <c r="D52" s="205">
        <v>0</v>
      </c>
    </row>
    <row r="53" spans="1:4" ht="17.100000000000001" customHeight="1" x14ac:dyDescent="0.3">
      <c r="A53" s="220"/>
      <c r="B53" s="196"/>
      <c r="C53" s="221" t="s">
        <v>195</v>
      </c>
      <c r="D53" s="222">
        <f>D54+D306+D326+D496+D904+D1143+D1347+D1483+D1823+D2367</f>
        <v>126507099</v>
      </c>
    </row>
    <row r="54" spans="1:4" ht="17.100000000000001" customHeight="1" x14ac:dyDescent="0.3">
      <c r="A54" s="223" t="s">
        <v>196</v>
      </c>
      <c r="B54" s="224"/>
      <c r="C54" s="225" t="s">
        <v>197</v>
      </c>
      <c r="D54" s="226">
        <f>D55+D71+D84</f>
        <v>8488500</v>
      </c>
    </row>
    <row r="55" spans="1:4" ht="12" customHeight="1" x14ac:dyDescent="0.3">
      <c r="A55" s="227"/>
      <c r="B55" s="228"/>
      <c r="C55" s="229" t="s">
        <v>198</v>
      </c>
      <c r="D55" s="230">
        <f>D56+D65+D68+D75+D80+D59</f>
        <v>8411027</v>
      </c>
    </row>
    <row r="56" spans="1:4" ht="12" customHeight="1" x14ac:dyDescent="0.3">
      <c r="A56" s="227"/>
      <c r="B56" s="231">
        <v>1000</v>
      </c>
      <c r="C56" s="232" t="s">
        <v>199</v>
      </c>
      <c r="D56" s="233">
        <f>D90+D158+D192+D226+D124</f>
        <v>4326958</v>
      </c>
    </row>
    <row r="57" spans="1:4" ht="12" customHeight="1" x14ac:dyDescent="0.3">
      <c r="A57" s="227"/>
      <c r="B57" s="234">
        <v>1100</v>
      </c>
      <c r="C57" s="235" t="s">
        <v>200</v>
      </c>
      <c r="D57" s="236">
        <f>D91+D159+D193+D227+D125</f>
        <v>3300173</v>
      </c>
    </row>
    <row r="58" spans="1:4" ht="12" customHeight="1" x14ac:dyDescent="0.3">
      <c r="A58" s="227"/>
      <c r="B58" s="234">
        <v>1200</v>
      </c>
      <c r="C58" s="237" t="s">
        <v>201</v>
      </c>
      <c r="D58" s="236">
        <f>D92+D160+D194+D228+D126</f>
        <v>1026785</v>
      </c>
    </row>
    <row r="59" spans="1:4" ht="12" customHeight="1" x14ac:dyDescent="0.3">
      <c r="A59" s="238"/>
      <c r="B59" s="239">
        <v>2000</v>
      </c>
      <c r="C59" s="240" t="s">
        <v>202</v>
      </c>
      <c r="D59" s="241">
        <f t="shared" ref="D59:D64" si="4">D93+D161+D195+D229+D127</f>
        <v>1195154</v>
      </c>
    </row>
    <row r="60" spans="1:4" ht="12" customHeight="1" x14ac:dyDescent="0.3">
      <c r="A60" s="238"/>
      <c r="B60" s="242">
        <v>2100</v>
      </c>
      <c r="C60" s="243" t="s">
        <v>203</v>
      </c>
      <c r="D60" s="244">
        <f>D94+D162+D196+D230+D128</f>
        <v>4854</v>
      </c>
    </row>
    <row r="61" spans="1:4" ht="12" customHeight="1" x14ac:dyDescent="0.3">
      <c r="A61" s="238"/>
      <c r="B61" s="242">
        <v>2200</v>
      </c>
      <c r="C61" s="243" t="s">
        <v>204</v>
      </c>
      <c r="D61" s="244">
        <f t="shared" si="4"/>
        <v>952434</v>
      </c>
    </row>
    <row r="62" spans="1:4" ht="12" customHeight="1" x14ac:dyDescent="0.3">
      <c r="A62" s="238"/>
      <c r="B62" s="242">
        <v>2300</v>
      </c>
      <c r="C62" s="243" t="s">
        <v>205</v>
      </c>
      <c r="D62" s="244">
        <f t="shared" si="4"/>
        <v>155151</v>
      </c>
    </row>
    <row r="63" spans="1:4" ht="12" customHeight="1" x14ac:dyDescent="0.3">
      <c r="A63" s="238"/>
      <c r="B63" s="242">
        <v>2400</v>
      </c>
      <c r="C63" s="243" t="s">
        <v>206</v>
      </c>
      <c r="D63" s="244">
        <f t="shared" si="4"/>
        <v>0</v>
      </c>
    </row>
    <row r="64" spans="1:4" ht="12" customHeight="1" x14ac:dyDescent="0.3">
      <c r="A64" s="238"/>
      <c r="B64" s="242">
        <v>2500</v>
      </c>
      <c r="C64" s="243" t="s">
        <v>207</v>
      </c>
      <c r="D64" s="244">
        <f t="shared" si="4"/>
        <v>82711</v>
      </c>
    </row>
    <row r="65" spans="1:4" ht="12" customHeight="1" x14ac:dyDescent="0.3">
      <c r="A65" s="238"/>
      <c r="B65" s="199">
        <v>3000</v>
      </c>
      <c r="C65" s="245" t="s">
        <v>208</v>
      </c>
      <c r="D65" s="241">
        <f>D99+D167+D201+D235+D133</f>
        <v>1</v>
      </c>
    </row>
    <row r="66" spans="1:4" ht="12" customHeight="1" x14ac:dyDescent="0.3">
      <c r="A66" s="238"/>
      <c r="B66" s="242">
        <v>3200</v>
      </c>
      <c r="C66" s="243" t="s">
        <v>209</v>
      </c>
      <c r="D66" s="244">
        <f t="shared" ref="D66:D67" si="5">D100+D168+D202+D236+D134</f>
        <v>0</v>
      </c>
    </row>
    <row r="67" spans="1:4" ht="12" customHeight="1" x14ac:dyDescent="0.3">
      <c r="A67" s="238"/>
      <c r="B67" s="242">
        <v>3300</v>
      </c>
      <c r="C67" s="243" t="s">
        <v>210</v>
      </c>
      <c r="D67" s="244">
        <f t="shared" si="5"/>
        <v>0</v>
      </c>
    </row>
    <row r="68" spans="1:4" ht="12" customHeight="1" x14ac:dyDescent="0.3">
      <c r="A68" s="238"/>
      <c r="B68" s="199">
        <v>4000</v>
      </c>
      <c r="C68" s="246" t="s">
        <v>211</v>
      </c>
      <c r="D68" s="241">
        <f>D102+D170+D204+D238+D136</f>
        <v>2880963</v>
      </c>
    </row>
    <row r="69" spans="1:4" ht="12" customHeight="1" x14ac:dyDescent="0.3">
      <c r="A69" s="238"/>
      <c r="B69" s="242">
        <v>4200</v>
      </c>
      <c r="C69" s="247" t="s">
        <v>212</v>
      </c>
      <c r="D69" s="244">
        <f t="shared" ref="D69:D70" si="6">D103+D171+D205+D239+D137</f>
        <v>0</v>
      </c>
    </row>
    <row r="70" spans="1:4" ht="12" customHeight="1" x14ac:dyDescent="0.3">
      <c r="A70" s="238"/>
      <c r="B70" s="242">
        <v>4300</v>
      </c>
      <c r="C70" s="247" t="s">
        <v>213</v>
      </c>
      <c r="D70" s="244">
        <f t="shared" si="6"/>
        <v>2880963</v>
      </c>
    </row>
    <row r="71" spans="1:4" ht="12" customHeight="1" x14ac:dyDescent="0.3">
      <c r="A71" s="238"/>
      <c r="B71" s="199">
        <v>5000</v>
      </c>
      <c r="C71" s="200" t="s">
        <v>214</v>
      </c>
      <c r="D71" s="241">
        <f>D105+D173+D207+D241+D139</f>
        <v>77473</v>
      </c>
    </row>
    <row r="72" spans="1:4" ht="12" customHeight="1" x14ac:dyDescent="0.3">
      <c r="A72" s="238"/>
      <c r="B72" s="242">
        <v>5100</v>
      </c>
      <c r="C72" s="248" t="s">
        <v>215</v>
      </c>
      <c r="D72" s="244">
        <f t="shared" ref="D72:D74" si="7">D106+D174+D208+D242+D140</f>
        <v>11140</v>
      </c>
    </row>
    <row r="73" spans="1:4" ht="12" customHeight="1" x14ac:dyDescent="0.3">
      <c r="A73" s="238"/>
      <c r="B73" s="242">
        <v>5200</v>
      </c>
      <c r="C73" s="248" t="s">
        <v>216</v>
      </c>
      <c r="D73" s="244">
        <f t="shared" si="7"/>
        <v>66333</v>
      </c>
    </row>
    <row r="74" spans="1:4" ht="12" customHeight="1" x14ac:dyDescent="0.3">
      <c r="A74" s="238"/>
      <c r="B74" s="242">
        <v>5300</v>
      </c>
      <c r="C74" s="249" t="s">
        <v>217</v>
      </c>
      <c r="D74" s="244">
        <f t="shared" si="7"/>
        <v>0</v>
      </c>
    </row>
    <row r="75" spans="1:4" ht="15.75" customHeight="1" x14ac:dyDescent="0.3">
      <c r="A75" s="238"/>
      <c r="B75" s="199">
        <v>6000</v>
      </c>
      <c r="C75" s="200" t="s">
        <v>218</v>
      </c>
      <c r="D75" s="241">
        <f>D109+D177+D211+D245+D143</f>
        <v>6500</v>
      </c>
    </row>
    <row r="76" spans="1:4" ht="15.75" hidden="1" customHeight="1" outlineLevel="1" x14ac:dyDescent="0.3">
      <c r="A76" s="238"/>
      <c r="B76" s="242">
        <v>6200</v>
      </c>
      <c r="C76" s="248" t="s">
        <v>219</v>
      </c>
      <c r="D76" s="244">
        <f t="shared" ref="D76:D79" si="8">D110+D178+D212+D246+D144</f>
        <v>0</v>
      </c>
    </row>
    <row r="77" spans="1:4" ht="15.75" hidden="1" customHeight="1" outlineLevel="1" x14ac:dyDescent="0.3">
      <c r="A77" s="238"/>
      <c r="B77" s="242">
        <v>6300</v>
      </c>
      <c r="C77" s="248" t="s">
        <v>220</v>
      </c>
      <c r="D77" s="244">
        <f t="shared" si="8"/>
        <v>0</v>
      </c>
    </row>
    <row r="78" spans="1:4" ht="15.75" customHeight="1" collapsed="1" x14ac:dyDescent="0.3">
      <c r="A78" s="238"/>
      <c r="B78" s="242">
        <v>6400</v>
      </c>
      <c r="C78" s="248" t="s">
        <v>221</v>
      </c>
      <c r="D78" s="244">
        <f t="shared" si="8"/>
        <v>6500</v>
      </c>
    </row>
    <row r="79" spans="1:4" ht="15.75" hidden="1" customHeight="1" outlineLevel="1" x14ac:dyDescent="0.3">
      <c r="A79" s="238"/>
      <c r="B79" s="242">
        <v>6500</v>
      </c>
      <c r="C79" s="249" t="s">
        <v>222</v>
      </c>
      <c r="D79" s="244">
        <f t="shared" si="8"/>
        <v>0</v>
      </c>
    </row>
    <row r="80" spans="1:4" ht="12" customHeight="1" collapsed="1" x14ac:dyDescent="0.3">
      <c r="A80" s="238"/>
      <c r="B80" s="199">
        <v>7000</v>
      </c>
      <c r="C80" s="200" t="s">
        <v>223</v>
      </c>
      <c r="D80" s="241">
        <f>D114+D182+D216+D250+D148</f>
        <v>1451</v>
      </c>
    </row>
    <row r="81" spans="1:4" ht="12" customHeight="1" x14ac:dyDescent="0.3">
      <c r="A81" s="238"/>
      <c r="B81" s="250">
        <v>7200</v>
      </c>
      <c r="C81" s="251" t="s">
        <v>224</v>
      </c>
      <c r="D81" s="244">
        <f t="shared" ref="D81:D83" si="9">D115+D183+D217+D251+D149</f>
        <v>0</v>
      </c>
    </row>
    <row r="82" spans="1:4" ht="12" hidden="1" customHeight="1" outlineLevel="1" x14ac:dyDescent="0.3">
      <c r="A82" s="238"/>
      <c r="B82" s="250">
        <v>7500</v>
      </c>
      <c r="C82" s="251" t="s">
        <v>225</v>
      </c>
      <c r="D82" s="244">
        <f t="shared" si="9"/>
        <v>0</v>
      </c>
    </row>
    <row r="83" spans="1:4" ht="12" hidden="1" customHeight="1" outlineLevel="1" x14ac:dyDescent="0.3">
      <c r="A83" s="238"/>
      <c r="B83" s="250">
        <v>7700</v>
      </c>
      <c r="C83" s="251" t="s">
        <v>226</v>
      </c>
      <c r="D83" s="244">
        <f t="shared" si="9"/>
        <v>0</v>
      </c>
    </row>
    <row r="84" spans="1:4" ht="12" hidden="1" customHeight="1" outlineLevel="1" x14ac:dyDescent="0.3">
      <c r="A84" s="238"/>
      <c r="B84" s="252">
        <v>8000</v>
      </c>
      <c r="C84" s="253" t="s">
        <v>227</v>
      </c>
      <c r="D84" s="241">
        <f>D118+D186+D220+D254+D152</f>
        <v>0</v>
      </c>
    </row>
    <row r="85" spans="1:4" ht="12" hidden="1" customHeight="1" outlineLevel="1" x14ac:dyDescent="0.3">
      <c r="A85" s="238"/>
      <c r="B85" s="254">
        <v>8100</v>
      </c>
      <c r="C85" s="255" t="s">
        <v>228</v>
      </c>
      <c r="D85" s="244">
        <f t="shared" ref="D85:D87" si="10">D119+D187+D221+D255+D153</f>
        <v>0</v>
      </c>
    </row>
    <row r="86" spans="1:4" ht="12" hidden="1" customHeight="1" outlineLevel="1" x14ac:dyDescent="0.3">
      <c r="A86" s="238"/>
      <c r="B86" s="254">
        <v>8600</v>
      </c>
      <c r="C86" s="255" t="s">
        <v>229</v>
      </c>
      <c r="D86" s="244">
        <f t="shared" si="10"/>
        <v>0</v>
      </c>
    </row>
    <row r="87" spans="1:4" ht="12" hidden="1" customHeight="1" outlineLevel="1" x14ac:dyDescent="0.3">
      <c r="A87" s="238"/>
      <c r="B87" s="254">
        <v>8900</v>
      </c>
      <c r="C87" s="255" t="s">
        <v>230</v>
      </c>
      <c r="D87" s="244">
        <f t="shared" si="10"/>
        <v>0</v>
      </c>
    </row>
    <row r="88" spans="1:4" ht="12" customHeight="1" collapsed="1" x14ac:dyDescent="0.3">
      <c r="A88" s="256" t="s">
        <v>231</v>
      </c>
      <c r="B88" s="257"/>
      <c r="C88" s="258" t="s">
        <v>232</v>
      </c>
      <c r="D88" s="259">
        <f t="shared" ref="D88" si="11">D89+D105+D118</f>
        <v>5080407</v>
      </c>
    </row>
    <row r="89" spans="1:4" ht="12" customHeight="1" x14ac:dyDescent="0.3">
      <c r="A89" s="227"/>
      <c r="B89" s="228"/>
      <c r="C89" s="229" t="s">
        <v>198</v>
      </c>
      <c r="D89" s="230">
        <f>D90+D99+D102+D109+D114+D93</f>
        <v>5006544</v>
      </c>
    </row>
    <row r="90" spans="1:4" ht="12" customHeight="1" x14ac:dyDescent="0.3">
      <c r="A90" s="227"/>
      <c r="B90" s="231">
        <v>1000</v>
      </c>
      <c r="C90" s="232" t="s">
        <v>199</v>
      </c>
      <c r="D90" s="230">
        <f>SUM(D91:D92)</f>
        <v>3969259</v>
      </c>
    </row>
    <row r="91" spans="1:4" ht="12" customHeight="1" x14ac:dyDescent="0.3">
      <c r="A91" s="227"/>
      <c r="B91" s="234">
        <v>1100</v>
      </c>
      <c r="C91" s="235" t="s">
        <v>200</v>
      </c>
      <c r="D91" s="236">
        <f>3147309+2895+2908-133436</f>
        <v>3019676</v>
      </c>
    </row>
    <row r="92" spans="1:4" ht="12" customHeight="1" x14ac:dyDescent="0.3">
      <c r="A92" s="227"/>
      <c r="B92" s="234">
        <v>1200</v>
      </c>
      <c r="C92" s="237" t="s">
        <v>201</v>
      </c>
      <c r="D92" s="236">
        <f>930079+8169+4787+6548</f>
        <v>949583</v>
      </c>
    </row>
    <row r="93" spans="1:4" ht="12" customHeight="1" x14ac:dyDescent="0.3">
      <c r="A93" s="238"/>
      <c r="B93" s="239">
        <v>2000</v>
      </c>
      <c r="C93" s="240" t="s">
        <v>202</v>
      </c>
      <c r="D93" s="260">
        <f>SUM(D94:D98)</f>
        <v>1030785</v>
      </c>
    </row>
    <row r="94" spans="1:4" ht="12" customHeight="1" x14ac:dyDescent="0.3">
      <c r="A94" s="238"/>
      <c r="B94" s="242">
        <v>2100</v>
      </c>
      <c r="C94" s="243" t="s">
        <v>203</v>
      </c>
      <c r="D94" s="244">
        <f>11537+1140-1304-6531</f>
        <v>4842</v>
      </c>
    </row>
    <row r="95" spans="1:4" ht="12" customHeight="1" x14ac:dyDescent="0.3">
      <c r="A95" s="238"/>
      <c r="B95" s="242">
        <v>2200</v>
      </c>
      <c r="C95" s="243" t="s">
        <v>204</v>
      </c>
      <c r="D95" s="244">
        <f>-4509+902000-8029-13553</f>
        <v>875909</v>
      </c>
    </row>
    <row r="96" spans="1:4" ht="12" customHeight="1" x14ac:dyDescent="0.3">
      <c r="A96" s="238"/>
      <c r="B96" s="242">
        <v>2300</v>
      </c>
      <c r="C96" s="243" t="s">
        <v>205</v>
      </c>
      <c r="D96" s="244">
        <f>128209+1416+13581+4719-2902</f>
        <v>145023</v>
      </c>
    </row>
    <row r="97" spans="1:4" ht="12" hidden="1" customHeight="1" outlineLevel="1" x14ac:dyDescent="0.3">
      <c r="A97" s="238"/>
      <c r="B97" s="242">
        <v>2400</v>
      </c>
      <c r="C97" s="243" t="s">
        <v>206</v>
      </c>
      <c r="D97" s="244"/>
    </row>
    <row r="98" spans="1:4" ht="12" customHeight="1" collapsed="1" x14ac:dyDescent="0.3">
      <c r="A98" s="238"/>
      <c r="B98" s="242">
        <v>2500</v>
      </c>
      <c r="C98" s="243" t="s">
        <v>207</v>
      </c>
      <c r="D98" s="244">
        <f>5960+18-967</f>
        <v>5011</v>
      </c>
    </row>
    <row r="99" spans="1:4" ht="12" hidden="1" customHeight="1" outlineLevel="1" x14ac:dyDescent="0.3">
      <c r="A99" s="238"/>
      <c r="B99" s="199">
        <v>3000</v>
      </c>
      <c r="C99" s="245" t="s">
        <v>208</v>
      </c>
      <c r="D99" s="260">
        <f>SUM(D100:D101)</f>
        <v>0</v>
      </c>
    </row>
    <row r="100" spans="1:4" ht="12" hidden="1" customHeight="1" outlineLevel="1" x14ac:dyDescent="0.3">
      <c r="A100" s="238"/>
      <c r="B100" s="242">
        <v>3200</v>
      </c>
      <c r="C100" s="243" t="s">
        <v>209</v>
      </c>
      <c r="D100" s="244"/>
    </row>
    <row r="101" spans="1:4" ht="12" hidden="1" customHeight="1" outlineLevel="1" x14ac:dyDescent="0.3">
      <c r="A101" s="238"/>
      <c r="B101" s="242">
        <v>3300</v>
      </c>
      <c r="C101" s="243" t="s">
        <v>210</v>
      </c>
      <c r="D101" s="244"/>
    </row>
    <row r="102" spans="1:4" ht="12" hidden="1" customHeight="1" outlineLevel="1" x14ac:dyDescent="0.3">
      <c r="A102" s="238"/>
      <c r="B102" s="199">
        <v>4000</v>
      </c>
      <c r="C102" s="246" t="s">
        <v>211</v>
      </c>
      <c r="D102" s="260">
        <f>SUM(D103:D104)</f>
        <v>0</v>
      </c>
    </row>
    <row r="103" spans="1:4" ht="12" hidden="1" customHeight="1" outlineLevel="1" x14ac:dyDescent="0.3">
      <c r="A103" s="238"/>
      <c r="B103" s="242">
        <v>4200</v>
      </c>
      <c r="C103" s="247" t="s">
        <v>212</v>
      </c>
      <c r="D103" s="244"/>
    </row>
    <row r="104" spans="1:4" ht="12" hidden="1" customHeight="1" outlineLevel="1" x14ac:dyDescent="0.3">
      <c r="A104" s="238"/>
      <c r="B104" s="242">
        <v>4300</v>
      </c>
      <c r="C104" s="247" t="s">
        <v>213</v>
      </c>
      <c r="D104" s="244"/>
    </row>
    <row r="105" spans="1:4" ht="12" customHeight="1" collapsed="1" x14ac:dyDescent="0.3">
      <c r="A105" s="238"/>
      <c r="B105" s="199">
        <v>5000</v>
      </c>
      <c r="C105" s="200" t="s">
        <v>214</v>
      </c>
      <c r="D105" s="260">
        <f>SUM(D106:D108)</f>
        <v>73863</v>
      </c>
    </row>
    <row r="106" spans="1:4" ht="12" customHeight="1" x14ac:dyDescent="0.3">
      <c r="A106" s="238"/>
      <c r="B106" s="242">
        <v>5100</v>
      </c>
      <c r="C106" s="248" t="s">
        <v>215</v>
      </c>
      <c r="D106" s="244">
        <f>7420+920+10000-7200</f>
        <v>11140</v>
      </c>
    </row>
    <row r="107" spans="1:4" ht="12" customHeight="1" x14ac:dyDescent="0.3">
      <c r="A107" s="238"/>
      <c r="B107" s="242">
        <v>5200</v>
      </c>
      <c r="C107" s="248" t="s">
        <v>216</v>
      </c>
      <c r="D107" s="244">
        <f>78655-2236-11577-2119</f>
        <v>62723</v>
      </c>
    </row>
    <row r="108" spans="1:4" ht="12" customHeight="1" x14ac:dyDescent="0.3">
      <c r="A108" s="238"/>
      <c r="B108" s="242">
        <v>5300</v>
      </c>
      <c r="C108" s="249" t="s">
        <v>217</v>
      </c>
      <c r="D108" s="244">
        <v>0</v>
      </c>
    </row>
    <row r="109" spans="1:4" ht="12" customHeight="1" x14ac:dyDescent="0.3">
      <c r="A109" s="238"/>
      <c r="B109" s="199">
        <v>6000</v>
      </c>
      <c r="C109" s="200" t="s">
        <v>218</v>
      </c>
      <c r="D109" s="260">
        <f>SUM(D110:D113)</f>
        <v>6500</v>
      </c>
    </row>
    <row r="110" spans="1:4" ht="12" hidden="1" customHeight="1" outlineLevel="1" x14ac:dyDescent="0.3">
      <c r="A110" s="238"/>
      <c r="B110" s="242">
        <v>6200</v>
      </c>
      <c r="C110" s="248" t="s">
        <v>219</v>
      </c>
      <c r="D110" s="244"/>
    </row>
    <row r="111" spans="1:4" ht="12" hidden="1" customHeight="1" outlineLevel="1" x14ac:dyDescent="0.3">
      <c r="A111" s="238"/>
      <c r="B111" s="242">
        <v>6300</v>
      </c>
      <c r="C111" s="248" t="s">
        <v>220</v>
      </c>
      <c r="D111" s="244"/>
    </row>
    <row r="112" spans="1:4" ht="12" customHeight="1" collapsed="1" x14ac:dyDescent="0.3">
      <c r="A112" s="238"/>
      <c r="B112" s="242">
        <v>6400</v>
      </c>
      <c r="C112" s="248" t="s">
        <v>221</v>
      </c>
      <c r="D112" s="244">
        <f>5000+900+600</f>
        <v>6500</v>
      </c>
    </row>
    <row r="113" spans="1:4" ht="12" hidden="1" customHeight="1" outlineLevel="1" x14ac:dyDescent="0.3">
      <c r="A113" s="238"/>
      <c r="B113" s="242">
        <v>6500</v>
      </c>
      <c r="C113" s="249" t="s">
        <v>222</v>
      </c>
      <c r="D113" s="244"/>
    </row>
    <row r="114" spans="1:4" ht="12" hidden="1" customHeight="1" outlineLevel="1" x14ac:dyDescent="0.3">
      <c r="A114" s="238"/>
      <c r="B114" s="199">
        <v>7000</v>
      </c>
      <c r="C114" s="200" t="s">
        <v>223</v>
      </c>
      <c r="D114" s="260">
        <f>SUM(D115:D117)</f>
        <v>0</v>
      </c>
    </row>
    <row r="115" spans="1:4" ht="12" hidden="1" customHeight="1" outlineLevel="1" x14ac:dyDescent="0.3">
      <c r="A115" s="238"/>
      <c r="B115" s="250">
        <v>7200</v>
      </c>
      <c r="C115" s="251" t="s">
        <v>224</v>
      </c>
      <c r="D115" s="244"/>
    </row>
    <row r="116" spans="1:4" ht="12" hidden="1" customHeight="1" outlineLevel="1" x14ac:dyDescent="0.3">
      <c r="A116" s="238"/>
      <c r="B116" s="250">
        <v>7500</v>
      </c>
      <c r="C116" s="251" t="s">
        <v>225</v>
      </c>
      <c r="D116" s="244"/>
    </row>
    <row r="117" spans="1:4" ht="12" hidden="1" customHeight="1" outlineLevel="1" x14ac:dyDescent="0.3">
      <c r="A117" s="238"/>
      <c r="B117" s="250">
        <v>7700</v>
      </c>
      <c r="C117" s="251" t="s">
        <v>226</v>
      </c>
      <c r="D117" s="244"/>
    </row>
    <row r="118" spans="1:4" ht="12" hidden="1" customHeight="1" outlineLevel="1" x14ac:dyDescent="0.3">
      <c r="A118" s="238"/>
      <c r="B118" s="252">
        <v>8000</v>
      </c>
      <c r="C118" s="253" t="s">
        <v>227</v>
      </c>
      <c r="D118" s="260">
        <f>SUM(D119:D121)</f>
        <v>0</v>
      </c>
    </row>
    <row r="119" spans="1:4" ht="12" hidden="1" customHeight="1" outlineLevel="1" x14ac:dyDescent="0.3">
      <c r="A119" s="238"/>
      <c r="B119" s="254">
        <v>8100</v>
      </c>
      <c r="C119" s="255" t="s">
        <v>228</v>
      </c>
      <c r="D119" s="260"/>
    </row>
    <row r="120" spans="1:4" ht="12" hidden="1" customHeight="1" outlineLevel="1" x14ac:dyDescent="0.3">
      <c r="A120" s="238"/>
      <c r="B120" s="254">
        <v>8600</v>
      </c>
      <c r="C120" s="255" t="s">
        <v>229</v>
      </c>
      <c r="D120" s="260"/>
    </row>
    <row r="121" spans="1:4" ht="12" hidden="1" customHeight="1" outlineLevel="1" x14ac:dyDescent="0.3">
      <c r="A121" s="238"/>
      <c r="B121" s="254">
        <v>8900</v>
      </c>
      <c r="C121" s="255" t="s">
        <v>230</v>
      </c>
      <c r="D121" s="260"/>
    </row>
    <row r="122" spans="1:4" ht="15" customHeight="1" collapsed="1" x14ac:dyDescent="0.3">
      <c r="A122" s="256" t="s">
        <v>233</v>
      </c>
      <c r="B122" s="257"/>
      <c r="C122" s="258" t="s">
        <v>234</v>
      </c>
      <c r="D122" s="259">
        <f t="shared" ref="D122" si="12">D123+D139+D152</f>
        <v>168601</v>
      </c>
    </row>
    <row r="123" spans="1:4" ht="12" customHeight="1" x14ac:dyDescent="0.3">
      <c r="A123" s="227"/>
      <c r="B123" s="228"/>
      <c r="C123" s="229" t="s">
        <v>198</v>
      </c>
      <c r="D123" s="230">
        <f t="shared" ref="D123" si="13">D124+D133+D136+D143+D148+D127</f>
        <v>164991</v>
      </c>
    </row>
    <row r="124" spans="1:4" ht="12" customHeight="1" x14ac:dyDescent="0.3">
      <c r="A124" s="227"/>
      <c r="B124" s="231">
        <v>1000</v>
      </c>
      <c r="C124" s="232" t="s">
        <v>199</v>
      </c>
      <c r="D124" s="230">
        <f>SUM(D125:D126)</f>
        <v>160347</v>
      </c>
    </row>
    <row r="125" spans="1:4" ht="12" customHeight="1" x14ac:dyDescent="0.3">
      <c r="A125" s="227"/>
      <c r="B125" s="234">
        <v>1100</v>
      </c>
      <c r="C125" s="235" t="s">
        <v>200</v>
      </c>
      <c r="D125" s="236">
        <f>114431+15367-7165</f>
        <v>122633</v>
      </c>
    </row>
    <row r="126" spans="1:4" ht="12" customHeight="1" x14ac:dyDescent="0.3">
      <c r="A126" s="227"/>
      <c r="B126" s="234">
        <v>1200</v>
      </c>
      <c r="C126" s="237" t="s">
        <v>201</v>
      </c>
      <c r="D126" s="236">
        <f>32979+10143-5408</f>
        <v>37714</v>
      </c>
    </row>
    <row r="127" spans="1:4" ht="12" customHeight="1" x14ac:dyDescent="0.3">
      <c r="A127" s="238"/>
      <c r="B127" s="239">
        <v>2000</v>
      </c>
      <c r="C127" s="240" t="s">
        <v>202</v>
      </c>
      <c r="D127" s="260">
        <f>SUM(D128:D132)</f>
        <v>4644</v>
      </c>
    </row>
    <row r="128" spans="1:4" ht="12" customHeight="1" x14ac:dyDescent="0.3">
      <c r="A128" s="238"/>
      <c r="B128" s="242">
        <v>2100</v>
      </c>
      <c r="C128" s="243" t="s">
        <v>203</v>
      </c>
      <c r="D128" s="244">
        <v>12</v>
      </c>
    </row>
    <row r="129" spans="1:4" ht="12" customHeight="1" x14ac:dyDescent="0.3">
      <c r="A129" s="238"/>
      <c r="B129" s="242">
        <v>2200</v>
      </c>
      <c r="C129" s="243" t="s">
        <v>204</v>
      </c>
      <c r="D129" s="244">
        <f>2174+11-107</f>
        <v>2078</v>
      </c>
    </row>
    <row r="130" spans="1:4" ht="12" customHeight="1" x14ac:dyDescent="0.3">
      <c r="A130" s="238"/>
      <c r="B130" s="242">
        <v>2300</v>
      </c>
      <c r="C130" s="243" t="s">
        <v>205</v>
      </c>
      <c r="D130" s="244">
        <f>6488+420-4354</f>
        <v>2554</v>
      </c>
    </row>
    <row r="131" spans="1:4" ht="12" hidden="1" customHeight="1" outlineLevel="1" x14ac:dyDescent="0.3">
      <c r="A131" s="238"/>
      <c r="B131" s="242">
        <v>2400</v>
      </c>
      <c r="C131" s="243" t="s">
        <v>206</v>
      </c>
      <c r="D131" s="244"/>
    </row>
    <row r="132" spans="1:4" ht="12" hidden="1" customHeight="1" outlineLevel="1" x14ac:dyDescent="0.3">
      <c r="A132" s="238"/>
      <c r="B132" s="242">
        <v>2500</v>
      </c>
      <c r="C132" s="243" t="s">
        <v>207</v>
      </c>
      <c r="D132" s="244"/>
    </row>
    <row r="133" spans="1:4" ht="12" customHeight="1" collapsed="1" x14ac:dyDescent="0.3">
      <c r="A133" s="238"/>
      <c r="B133" s="199">
        <v>3000</v>
      </c>
      <c r="C133" s="245" t="s">
        <v>208</v>
      </c>
      <c r="D133" s="260">
        <f>SUM(D134:D135)</f>
        <v>0</v>
      </c>
    </row>
    <row r="134" spans="1:4" ht="12" customHeight="1" x14ac:dyDescent="0.3">
      <c r="A134" s="238"/>
      <c r="B134" s="242">
        <v>3200</v>
      </c>
      <c r="C134" s="243" t="s">
        <v>209</v>
      </c>
      <c r="D134" s="244"/>
    </row>
    <row r="135" spans="1:4" ht="12" hidden="1" customHeight="1" outlineLevel="1" x14ac:dyDescent="0.3">
      <c r="A135" s="238"/>
      <c r="B135" s="242">
        <v>3300</v>
      </c>
      <c r="C135" s="243" t="s">
        <v>210</v>
      </c>
      <c r="D135" s="244"/>
    </row>
    <row r="136" spans="1:4" ht="12" hidden="1" customHeight="1" outlineLevel="1" x14ac:dyDescent="0.3">
      <c r="A136" s="238"/>
      <c r="B136" s="199">
        <v>4000</v>
      </c>
      <c r="C136" s="246" t="s">
        <v>211</v>
      </c>
      <c r="D136" s="260">
        <f>SUM(D137:D138)</f>
        <v>0</v>
      </c>
    </row>
    <row r="137" spans="1:4" ht="12" hidden="1" customHeight="1" outlineLevel="1" x14ac:dyDescent="0.3">
      <c r="A137" s="238"/>
      <c r="B137" s="242">
        <v>4200</v>
      </c>
      <c r="C137" s="247" t="s">
        <v>212</v>
      </c>
      <c r="D137" s="244"/>
    </row>
    <row r="138" spans="1:4" ht="12" hidden="1" customHeight="1" outlineLevel="1" x14ac:dyDescent="0.3">
      <c r="A138" s="238"/>
      <c r="B138" s="242">
        <v>4300</v>
      </c>
      <c r="C138" s="247" t="s">
        <v>213</v>
      </c>
      <c r="D138" s="244"/>
    </row>
    <row r="139" spans="1:4" ht="12" customHeight="1" collapsed="1" x14ac:dyDescent="0.3">
      <c r="A139" s="238"/>
      <c r="B139" s="199">
        <v>5000</v>
      </c>
      <c r="C139" s="200" t="s">
        <v>214</v>
      </c>
      <c r="D139" s="260">
        <f>SUM(D140:D142)</f>
        <v>3610</v>
      </c>
    </row>
    <row r="140" spans="1:4" ht="12" customHeight="1" x14ac:dyDescent="0.3">
      <c r="A140" s="238"/>
      <c r="B140" s="242">
        <v>5100</v>
      </c>
      <c r="C140" s="248" t="s">
        <v>215</v>
      </c>
      <c r="D140" s="260">
        <v>0</v>
      </c>
    </row>
    <row r="141" spans="1:4" ht="12" customHeight="1" x14ac:dyDescent="0.3">
      <c r="A141" s="238"/>
      <c r="B141" s="242">
        <v>5200</v>
      </c>
      <c r="C141" s="248" t="s">
        <v>216</v>
      </c>
      <c r="D141" s="244">
        <f>4400-790</f>
        <v>3610</v>
      </c>
    </row>
    <row r="142" spans="1:4" ht="12" hidden="1" customHeight="1" outlineLevel="1" x14ac:dyDescent="0.3">
      <c r="A142" s="238"/>
      <c r="B142" s="242">
        <v>5300</v>
      </c>
      <c r="C142" s="249" t="s">
        <v>217</v>
      </c>
      <c r="D142" s="260"/>
    </row>
    <row r="143" spans="1:4" ht="12" hidden="1" customHeight="1" outlineLevel="1" x14ac:dyDescent="0.3">
      <c r="A143" s="238"/>
      <c r="B143" s="199">
        <v>6000</v>
      </c>
      <c r="C143" s="200" t="s">
        <v>218</v>
      </c>
      <c r="D143" s="260">
        <f>SUM(D144:D147)</f>
        <v>0</v>
      </c>
    </row>
    <row r="144" spans="1:4" ht="12" hidden="1" customHeight="1" outlineLevel="1" x14ac:dyDescent="0.3">
      <c r="A144" s="238"/>
      <c r="B144" s="242">
        <v>6200</v>
      </c>
      <c r="C144" s="248" t="s">
        <v>219</v>
      </c>
      <c r="D144" s="244"/>
    </row>
    <row r="145" spans="1:4" ht="12" hidden="1" customHeight="1" outlineLevel="1" x14ac:dyDescent="0.3">
      <c r="A145" s="238"/>
      <c r="B145" s="242">
        <v>6300</v>
      </c>
      <c r="C145" s="248" t="s">
        <v>220</v>
      </c>
      <c r="D145" s="244"/>
    </row>
    <row r="146" spans="1:4" ht="12" hidden="1" customHeight="1" outlineLevel="1" x14ac:dyDescent="0.3">
      <c r="A146" s="238"/>
      <c r="B146" s="242">
        <v>6400</v>
      </c>
      <c r="C146" s="248" t="s">
        <v>221</v>
      </c>
      <c r="D146" s="244"/>
    </row>
    <row r="147" spans="1:4" ht="12" hidden="1" customHeight="1" outlineLevel="1" x14ac:dyDescent="0.3">
      <c r="A147" s="238"/>
      <c r="B147" s="242">
        <v>6500</v>
      </c>
      <c r="C147" s="249" t="s">
        <v>222</v>
      </c>
      <c r="D147" s="244"/>
    </row>
    <row r="148" spans="1:4" ht="12" hidden="1" customHeight="1" outlineLevel="1" x14ac:dyDescent="0.3">
      <c r="A148" s="238"/>
      <c r="B148" s="199">
        <v>7000</v>
      </c>
      <c r="C148" s="200" t="s">
        <v>223</v>
      </c>
      <c r="D148" s="260">
        <f>SUM(D149:D151)</f>
        <v>0</v>
      </c>
    </row>
    <row r="149" spans="1:4" ht="12" hidden="1" customHeight="1" outlineLevel="1" x14ac:dyDescent="0.3">
      <c r="A149" s="238"/>
      <c r="B149" s="250">
        <v>7200</v>
      </c>
      <c r="C149" s="251" t="s">
        <v>224</v>
      </c>
      <c r="D149" s="244"/>
    </row>
    <row r="150" spans="1:4" ht="12" hidden="1" customHeight="1" outlineLevel="1" x14ac:dyDescent="0.3">
      <c r="A150" s="238"/>
      <c r="B150" s="250">
        <v>7500</v>
      </c>
      <c r="C150" s="251" t="s">
        <v>225</v>
      </c>
      <c r="D150" s="244"/>
    </row>
    <row r="151" spans="1:4" ht="12" hidden="1" customHeight="1" outlineLevel="1" x14ac:dyDescent="0.3">
      <c r="A151" s="238"/>
      <c r="B151" s="250">
        <v>7700</v>
      </c>
      <c r="C151" s="251" t="s">
        <v>226</v>
      </c>
      <c r="D151" s="244"/>
    </row>
    <row r="152" spans="1:4" ht="12" hidden="1" customHeight="1" outlineLevel="1" collapsed="1" x14ac:dyDescent="0.3">
      <c r="A152" s="238"/>
      <c r="B152" s="252">
        <v>8000</v>
      </c>
      <c r="C152" s="253" t="s">
        <v>227</v>
      </c>
      <c r="D152" s="260">
        <f>SUM(D153:D155)</f>
        <v>0</v>
      </c>
    </row>
    <row r="153" spans="1:4" ht="12" hidden="1" customHeight="1" outlineLevel="1" x14ac:dyDescent="0.3">
      <c r="A153" s="238"/>
      <c r="B153" s="254">
        <v>8100</v>
      </c>
      <c r="C153" s="255" t="s">
        <v>228</v>
      </c>
      <c r="D153" s="260"/>
    </row>
    <row r="154" spans="1:4" ht="12" hidden="1" customHeight="1" outlineLevel="1" x14ac:dyDescent="0.3">
      <c r="A154" s="238"/>
      <c r="B154" s="254">
        <v>8600</v>
      </c>
      <c r="C154" s="255" t="s">
        <v>229</v>
      </c>
      <c r="D154" s="260"/>
    </row>
    <row r="155" spans="1:4" ht="12" hidden="1" customHeight="1" outlineLevel="1" x14ac:dyDescent="0.3">
      <c r="A155" s="238"/>
      <c r="B155" s="254">
        <v>8900</v>
      </c>
      <c r="C155" s="255" t="s">
        <v>230</v>
      </c>
      <c r="D155" s="260"/>
    </row>
    <row r="156" spans="1:4" ht="15.75" customHeight="1" collapsed="1" x14ac:dyDescent="0.3">
      <c r="A156" s="256" t="s">
        <v>235</v>
      </c>
      <c r="B156" s="257"/>
      <c r="C156" s="258" t="s">
        <v>236</v>
      </c>
      <c r="D156" s="259">
        <f t="shared" ref="D156" si="14">D157+D173+D186</f>
        <v>213377</v>
      </c>
    </row>
    <row r="157" spans="1:4" ht="12" customHeight="1" x14ac:dyDescent="0.3">
      <c r="A157" s="227"/>
      <c r="B157" s="228"/>
      <c r="C157" s="229" t="s">
        <v>198</v>
      </c>
      <c r="D157" s="230">
        <f t="shared" ref="D157" si="15">D158+D167+D170+D177+D182+D161</f>
        <v>213377</v>
      </c>
    </row>
    <row r="158" spans="1:4" ht="12" customHeight="1" x14ac:dyDescent="0.3">
      <c r="A158" s="227"/>
      <c r="B158" s="231">
        <v>1000</v>
      </c>
      <c r="C158" s="232" t="s">
        <v>199</v>
      </c>
      <c r="D158" s="230">
        <f>SUM(D159:D160)</f>
        <v>197352</v>
      </c>
    </row>
    <row r="159" spans="1:4" ht="12" customHeight="1" x14ac:dyDescent="0.3">
      <c r="A159" s="227"/>
      <c r="B159" s="234">
        <v>1100</v>
      </c>
      <c r="C159" s="235" t="s">
        <v>200</v>
      </c>
      <c r="D159" s="236">
        <f>8960+138441+10463</f>
        <v>157864</v>
      </c>
    </row>
    <row r="160" spans="1:4" ht="12" customHeight="1" x14ac:dyDescent="0.3">
      <c r="A160" s="227"/>
      <c r="B160" s="234">
        <v>1200</v>
      </c>
      <c r="C160" s="237" t="s">
        <v>201</v>
      </c>
      <c r="D160" s="236">
        <f>2114+32659+1995+2720</f>
        <v>39488</v>
      </c>
    </row>
    <row r="161" spans="1:4" ht="12" customHeight="1" x14ac:dyDescent="0.3">
      <c r="A161" s="238"/>
      <c r="B161" s="239">
        <v>2000</v>
      </c>
      <c r="C161" s="240" t="s">
        <v>202</v>
      </c>
      <c r="D161" s="260">
        <f>SUM(D162:D166)</f>
        <v>16025</v>
      </c>
    </row>
    <row r="162" spans="1:4" ht="12" customHeight="1" x14ac:dyDescent="0.3">
      <c r="A162" s="238"/>
      <c r="B162" s="242">
        <v>2100</v>
      </c>
      <c r="C162" s="243" t="s">
        <v>203</v>
      </c>
      <c r="D162" s="244">
        <v>0</v>
      </c>
    </row>
    <row r="163" spans="1:4" ht="12" customHeight="1" x14ac:dyDescent="0.3">
      <c r="A163" s="238"/>
      <c r="B163" s="242">
        <v>2200</v>
      </c>
      <c r="C163" s="243" t="s">
        <v>204</v>
      </c>
      <c r="D163" s="244">
        <f>2000+9879-3428</f>
        <v>8451</v>
      </c>
    </row>
    <row r="164" spans="1:4" ht="12" customHeight="1" x14ac:dyDescent="0.3">
      <c r="A164" s="238"/>
      <c r="B164" s="242">
        <v>2300</v>
      </c>
      <c r="C164" s="243" t="s">
        <v>205</v>
      </c>
      <c r="D164" s="244">
        <f>3800+6048-2349+75</f>
        <v>7574</v>
      </c>
    </row>
    <row r="165" spans="1:4" ht="12" hidden="1" customHeight="1" outlineLevel="1" x14ac:dyDescent="0.3">
      <c r="A165" s="238"/>
      <c r="B165" s="242">
        <v>2400</v>
      </c>
      <c r="C165" s="243" t="s">
        <v>206</v>
      </c>
      <c r="D165" s="244"/>
    </row>
    <row r="166" spans="1:4" ht="12" hidden="1" customHeight="1" outlineLevel="1" x14ac:dyDescent="0.3">
      <c r="A166" s="238"/>
      <c r="B166" s="242">
        <v>2500</v>
      </c>
      <c r="C166" s="243" t="s">
        <v>207</v>
      </c>
      <c r="D166" s="244"/>
    </row>
    <row r="167" spans="1:4" ht="12" hidden="1" customHeight="1" outlineLevel="1" x14ac:dyDescent="0.3">
      <c r="A167" s="238"/>
      <c r="B167" s="199">
        <v>3000</v>
      </c>
      <c r="C167" s="245" t="s">
        <v>208</v>
      </c>
      <c r="D167" s="260">
        <f>SUM(D168:D169)</f>
        <v>0</v>
      </c>
    </row>
    <row r="168" spans="1:4" ht="12" hidden="1" customHeight="1" outlineLevel="1" x14ac:dyDescent="0.3">
      <c r="A168" s="238"/>
      <c r="B168" s="242">
        <v>3200</v>
      </c>
      <c r="C168" s="243" t="s">
        <v>209</v>
      </c>
      <c r="D168" s="244"/>
    </row>
    <row r="169" spans="1:4" ht="12" hidden="1" customHeight="1" outlineLevel="1" x14ac:dyDescent="0.3">
      <c r="A169" s="238"/>
      <c r="B169" s="242">
        <v>3300</v>
      </c>
      <c r="C169" s="243" t="s">
        <v>210</v>
      </c>
      <c r="D169" s="244"/>
    </row>
    <row r="170" spans="1:4" ht="12" hidden="1" customHeight="1" outlineLevel="1" x14ac:dyDescent="0.3">
      <c r="A170" s="238"/>
      <c r="B170" s="199">
        <v>4000</v>
      </c>
      <c r="C170" s="246" t="s">
        <v>211</v>
      </c>
      <c r="D170" s="260">
        <f>SUM(D171:D172)</f>
        <v>0</v>
      </c>
    </row>
    <row r="171" spans="1:4" ht="12" hidden="1" customHeight="1" outlineLevel="1" x14ac:dyDescent="0.3">
      <c r="A171" s="238"/>
      <c r="B171" s="242">
        <v>4200</v>
      </c>
      <c r="C171" s="247" t="s">
        <v>212</v>
      </c>
      <c r="D171" s="244"/>
    </row>
    <row r="172" spans="1:4" ht="12" hidden="1" customHeight="1" outlineLevel="1" x14ac:dyDescent="0.3">
      <c r="A172" s="238"/>
      <c r="B172" s="242">
        <v>4300</v>
      </c>
      <c r="C172" s="247" t="s">
        <v>213</v>
      </c>
      <c r="D172" s="244"/>
    </row>
    <row r="173" spans="1:4" ht="12" hidden="1" customHeight="1" outlineLevel="1" x14ac:dyDescent="0.3">
      <c r="A173" s="238"/>
      <c r="B173" s="199">
        <v>5000</v>
      </c>
      <c r="C173" s="200" t="s">
        <v>214</v>
      </c>
      <c r="D173" s="260">
        <f>SUM(D174:D176)</f>
        <v>0</v>
      </c>
    </row>
    <row r="174" spans="1:4" ht="12" hidden="1" customHeight="1" outlineLevel="1" x14ac:dyDescent="0.3">
      <c r="A174" s="238"/>
      <c r="B174" s="242">
        <v>5100</v>
      </c>
      <c r="C174" s="248" t="s">
        <v>215</v>
      </c>
      <c r="D174" s="260"/>
    </row>
    <row r="175" spans="1:4" ht="12" hidden="1" customHeight="1" outlineLevel="1" x14ac:dyDescent="0.3">
      <c r="A175" s="238"/>
      <c r="B175" s="242">
        <v>5200</v>
      </c>
      <c r="C175" s="248" t="s">
        <v>216</v>
      </c>
      <c r="D175" s="260"/>
    </row>
    <row r="176" spans="1:4" ht="12" hidden="1" customHeight="1" outlineLevel="1" x14ac:dyDescent="0.3">
      <c r="A176" s="238"/>
      <c r="B176" s="242">
        <v>5300</v>
      </c>
      <c r="C176" s="249" t="s">
        <v>217</v>
      </c>
      <c r="D176" s="260"/>
    </row>
    <row r="177" spans="1:4" ht="12" hidden="1" customHeight="1" outlineLevel="1" x14ac:dyDescent="0.3">
      <c r="A177" s="238"/>
      <c r="B177" s="199">
        <v>6000</v>
      </c>
      <c r="C177" s="200" t="s">
        <v>218</v>
      </c>
      <c r="D177" s="260">
        <f>SUM(D178:D181)</f>
        <v>0</v>
      </c>
    </row>
    <row r="178" spans="1:4" ht="12" hidden="1" customHeight="1" outlineLevel="1" x14ac:dyDescent="0.3">
      <c r="A178" s="238"/>
      <c r="B178" s="242">
        <v>6200</v>
      </c>
      <c r="C178" s="248" t="s">
        <v>219</v>
      </c>
      <c r="D178" s="244"/>
    </row>
    <row r="179" spans="1:4" ht="12" hidden="1" customHeight="1" outlineLevel="1" x14ac:dyDescent="0.3">
      <c r="A179" s="238"/>
      <c r="B179" s="242">
        <v>6300</v>
      </c>
      <c r="C179" s="248" t="s">
        <v>220</v>
      </c>
      <c r="D179" s="244"/>
    </row>
    <row r="180" spans="1:4" ht="12" hidden="1" customHeight="1" outlineLevel="1" x14ac:dyDescent="0.3">
      <c r="A180" s="238"/>
      <c r="B180" s="242">
        <v>6400</v>
      </c>
      <c r="C180" s="248" t="s">
        <v>221</v>
      </c>
      <c r="D180" s="244"/>
    </row>
    <row r="181" spans="1:4" ht="12" hidden="1" customHeight="1" outlineLevel="1" x14ac:dyDescent="0.3">
      <c r="A181" s="238"/>
      <c r="B181" s="242">
        <v>6500</v>
      </c>
      <c r="C181" s="249" t="s">
        <v>222</v>
      </c>
      <c r="D181" s="244"/>
    </row>
    <row r="182" spans="1:4" ht="12" hidden="1" customHeight="1" outlineLevel="1" x14ac:dyDescent="0.3">
      <c r="A182" s="238"/>
      <c r="B182" s="199">
        <v>7000</v>
      </c>
      <c r="C182" s="200" t="s">
        <v>223</v>
      </c>
      <c r="D182" s="260">
        <f>SUM(D183:D185)</f>
        <v>0</v>
      </c>
    </row>
    <row r="183" spans="1:4" ht="12" hidden="1" customHeight="1" outlineLevel="1" x14ac:dyDescent="0.3">
      <c r="A183" s="238"/>
      <c r="B183" s="250">
        <v>7200</v>
      </c>
      <c r="C183" s="251" t="s">
        <v>224</v>
      </c>
      <c r="D183" s="244"/>
    </row>
    <row r="184" spans="1:4" ht="12" hidden="1" customHeight="1" outlineLevel="1" x14ac:dyDescent="0.3">
      <c r="A184" s="238"/>
      <c r="B184" s="250">
        <v>7500</v>
      </c>
      <c r="C184" s="251" t="s">
        <v>225</v>
      </c>
      <c r="D184" s="244"/>
    </row>
    <row r="185" spans="1:4" ht="12" hidden="1" customHeight="1" outlineLevel="1" x14ac:dyDescent="0.3">
      <c r="A185" s="238"/>
      <c r="B185" s="250">
        <v>7700</v>
      </c>
      <c r="C185" s="251" t="s">
        <v>226</v>
      </c>
      <c r="D185" s="244"/>
    </row>
    <row r="186" spans="1:4" ht="12" hidden="1" customHeight="1" outlineLevel="1" x14ac:dyDescent="0.3">
      <c r="A186" s="238"/>
      <c r="B186" s="252">
        <v>8000</v>
      </c>
      <c r="C186" s="253" t="s">
        <v>227</v>
      </c>
      <c r="D186" s="260">
        <f>SUM(D187:D189)</f>
        <v>0</v>
      </c>
    </row>
    <row r="187" spans="1:4" ht="12" hidden="1" customHeight="1" outlineLevel="1" x14ac:dyDescent="0.3">
      <c r="A187" s="238"/>
      <c r="B187" s="254">
        <v>8100</v>
      </c>
      <c r="C187" s="255" t="s">
        <v>228</v>
      </c>
      <c r="D187" s="260"/>
    </row>
    <row r="188" spans="1:4" ht="12" hidden="1" customHeight="1" outlineLevel="1" x14ac:dyDescent="0.3">
      <c r="A188" s="238"/>
      <c r="B188" s="254">
        <v>8600</v>
      </c>
      <c r="C188" s="255" t="s">
        <v>229</v>
      </c>
      <c r="D188" s="260"/>
    </row>
    <row r="189" spans="1:4" ht="12" hidden="1" customHeight="1" outlineLevel="1" x14ac:dyDescent="0.3">
      <c r="A189" s="238"/>
      <c r="B189" s="254">
        <v>8900</v>
      </c>
      <c r="C189" s="255" t="s">
        <v>230</v>
      </c>
      <c r="D189" s="260"/>
    </row>
    <row r="190" spans="1:4" ht="15" customHeight="1" collapsed="1" x14ac:dyDescent="0.3">
      <c r="A190" s="256" t="s">
        <v>237</v>
      </c>
      <c r="B190" s="257"/>
      <c r="C190" s="258" t="s">
        <v>238</v>
      </c>
      <c r="D190" s="259">
        <f t="shared" ref="D190" si="16">D191+D207+D220</f>
        <v>2946959</v>
      </c>
    </row>
    <row r="191" spans="1:4" ht="12" customHeight="1" x14ac:dyDescent="0.3">
      <c r="A191" s="227"/>
      <c r="B191" s="228"/>
      <c r="C191" s="229" t="s">
        <v>198</v>
      </c>
      <c r="D191" s="230">
        <f t="shared" ref="D191" si="17">D192+D201+D204+D211+D216+D195</f>
        <v>2946959</v>
      </c>
    </row>
    <row r="192" spans="1:4" ht="12" customHeight="1" x14ac:dyDescent="0.3">
      <c r="A192" s="227"/>
      <c r="B192" s="231">
        <v>1000</v>
      </c>
      <c r="C192" s="232" t="s">
        <v>199</v>
      </c>
      <c r="D192" s="230">
        <f>SUM(D193:D194)</f>
        <v>0</v>
      </c>
    </row>
    <row r="193" spans="1:4" ht="12" hidden="1" customHeight="1" outlineLevel="1" x14ac:dyDescent="0.3">
      <c r="A193" s="227"/>
      <c r="B193" s="234">
        <v>1100</v>
      </c>
      <c r="C193" s="235" t="s">
        <v>200</v>
      </c>
      <c r="D193" s="236"/>
    </row>
    <row r="194" spans="1:4" ht="12" hidden="1" customHeight="1" outlineLevel="1" x14ac:dyDescent="0.3">
      <c r="A194" s="227"/>
      <c r="B194" s="234">
        <v>1200</v>
      </c>
      <c r="C194" s="237" t="s">
        <v>201</v>
      </c>
      <c r="D194" s="236"/>
    </row>
    <row r="195" spans="1:4" ht="12" customHeight="1" collapsed="1" x14ac:dyDescent="0.3">
      <c r="A195" s="238"/>
      <c r="B195" s="239">
        <v>2000</v>
      </c>
      <c r="C195" s="240" t="s">
        <v>202</v>
      </c>
      <c r="D195" s="260">
        <f>SUM(D196:D200)</f>
        <v>65996</v>
      </c>
    </row>
    <row r="196" spans="1:4" ht="12" customHeight="1" x14ac:dyDescent="0.3">
      <c r="A196" s="238"/>
      <c r="B196" s="242">
        <v>2100</v>
      </c>
      <c r="C196" s="243" t="s">
        <v>203</v>
      </c>
      <c r="D196" s="244">
        <v>0</v>
      </c>
    </row>
    <row r="197" spans="1:4" ht="12" customHeight="1" x14ac:dyDescent="0.3">
      <c r="A197" s="238"/>
      <c r="B197" s="242">
        <v>2200</v>
      </c>
      <c r="C197" s="243" t="s">
        <v>204</v>
      </c>
      <c r="D197" s="244">
        <f>65743+253</f>
        <v>65996</v>
      </c>
    </row>
    <row r="198" spans="1:4" ht="12" hidden="1" customHeight="1" outlineLevel="1" x14ac:dyDescent="0.3">
      <c r="A198" s="238"/>
      <c r="B198" s="242">
        <v>2300</v>
      </c>
      <c r="C198" s="243" t="s">
        <v>205</v>
      </c>
      <c r="D198" s="244"/>
    </row>
    <row r="199" spans="1:4" ht="12" hidden="1" customHeight="1" outlineLevel="1" x14ac:dyDescent="0.3">
      <c r="A199" s="238"/>
      <c r="B199" s="242">
        <v>2400</v>
      </c>
      <c r="C199" s="243" t="s">
        <v>206</v>
      </c>
      <c r="D199" s="244"/>
    </row>
    <row r="200" spans="1:4" ht="12" customHeight="1" collapsed="1" x14ac:dyDescent="0.3">
      <c r="A200" s="238"/>
      <c r="B200" s="242">
        <v>2500</v>
      </c>
      <c r="C200" s="243" t="s">
        <v>207</v>
      </c>
      <c r="D200" s="244">
        <v>0</v>
      </c>
    </row>
    <row r="201" spans="1:4" ht="12" hidden="1" customHeight="1" outlineLevel="1" x14ac:dyDescent="0.3">
      <c r="A201" s="238"/>
      <c r="B201" s="199">
        <v>3000</v>
      </c>
      <c r="C201" s="245" t="s">
        <v>208</v>
      </c>
      <c r="D201" s="260">
        <f>SUM(D202:D203)</f>
        <v>0</v>
      </c>
    </row>
    <row r="202" spans="1:4" ht="12" hidden="1" customHeight="1" outlineLevel="1" x14ac:dyDescent="0.3">
      <c r="A202" s="238"/>
      <c r="B202" s="242">
        <v>3200</v>
      </c>
      <c r="C202" s="243" t="s">
        <v>209</v>
      </c>
      <c r="D202" s="244"/>
    </row>
    <row r="203" spans="1:4" ht="12" hidden="1" customHeight="1" outlineLevel="1" x14ac:dyDescent="0.3">
      <c r="A203" s="238"/>
      <c r="B203" s="242">
        <v>3300</v>
      </c>
      <c r="C203" s="243" t="s">
        <v>210</v>
      </c>
      <c r="D203" s="244"/>
    </row>
    <row r="204" spans="1:4" ht="12" customHeight="1" collapsed="1" x14ac:dyDescent="0.3">
      <c r="A204" s="238"/>
      <c r="B204" s="199">
        <v>4000</v>
      </c>
      <c r="C204" s="246" t="s">
        <v>211</v>
      </c>
      <c r="D204" s="260">
        <f>SUM(D205:D206)</f>
        <v>2880963</v>
      </c>
    </row>
    <row r="205" spans="1:4" ht="12" customHeight="1" x14ac:dyDescent="0.3">
      <c r="A205" s="238"/>
      <c r="B205" s="242">
        <v>4200</v>
      </c>
      <c r="C205" s="247" t="s">
        <v>212</v>
      </c>
      <c r="D205" s="244">
        <v>0</v>
      </c>
    </row>
    <row r="206" spans="1:4" ht="12" customHeight="1" x14ac:dyDescent="0.3">
      <c r="A206" s="238"/>
      <c r="B206" s="242">
        <v>4300</v>
      </c>
      <c r="C206" s="247" t="s">
        <v>213</v>
      </c>
      <c r="D206" s="244">
        <f>2883740+6537+2495-11809</f>
        <v>2880963</v>
      </c>
    </row>
    <row r="207" spans="1:4" ht="12" hidden="1" customHeight="1" outlineLevel="1" x14ac:dyDescent="0.3">
      <c r="A207" s="238"/>
      <c r="B207" s="199">
        <v>5000</v>
      </c>
      <c r="C207" s="200" t="s">
        <v>214</v>
      </c>
      <c r="D207" s="260">
        <f>SUM(D208:D210)</f>
        <v>0</v>
      </c>
    </row>
    <row r="208" spans="1:4" ht="12" hidden="1" customHeight="1" outlineLevel="1" x14ac:dyDescent="0.3">
      <c r="A208" s="238"/>
      <c r="B208" s="242">
        <v>5100</v>
      </c>
      <c r="C208" s="248" t="s">
        <v>215</v>
      </c>
      <c r="D208" s="260"/>
    </row>
    <row r="209" spans="1:4" ht="12" hidden="1" customHeight="1" outlineLevel="1" x14ac:dyDescent="0.3">
      <c r="A209" s="238"/>
      <c r="B209" s="242">
        <v>5200</v>
      </c>
      <c r="C209" s="248" t="s">
        <v>216</v>
      </c>
      <c r="D209" s="260"/>
    </row>
    <row r="210" spans="1:4" ht="12" hidden="1" customHeight="1" outlineLevel="1" x14ac:dyDescent="0.3">
      <c r="A210" s="238"/>
      <c r="B210" s="242">
        <v>5300</v>
      </c>
      <c r="C210" s="249" t="s">
        <v>217</v>
      </c>
      <c r="D210" s="260"/>
    </row>
    <row r="211" spans="1:4" ht="12" hidden="1" customHeight="1" outlineLevel="1" x14ac:dyDescent="0.3">
      <c r="A211" s="238"/>
      <c r="B211" s="199">
        <v>6000</v>
      </c>
      <c r="C211" s="200" t="s">
        <v>218</v>
      </c>
      <c r="D211" s="260">
        <f>SUM(D212:D215)</f>
        <v>0</v>
      </c>
    </row>
    <row r="212" spans="1:4" ht="12" hidden="1" customHeight="1" outlineLevel="1" x14ac:dyDescent="0.3">
      <c r="A212" s="238"/>
      <c r="B212" s="242">
        <v>6200</v>
      </c>
      <c r="C212" s="248" t="s">
        <v>219</v>
      </c>
      <c r="D212" s="244"/>
    </row>
    <row r="213" spans="1:4" ht="12" hidden="1" customHeight="1" outlineLevel="1" x14ac:dyDescent="0.3">
      <c r="A213" s="238"/>
      <c r="B213" s="242">
        <v>6300</v>
      </c>
      <c r="C213" s="248" t="s">
        <v>220</v>
      </c>
      <c r="D213" s="244"/>
    </row>
    <row r="214" spans="1:4" ht="12" hidden="1" customHeight="1" outlineLevel="1" x14ac:dyDescent="0.3">
      <c r="A214" s="238"/>
      <c r="B214" s="242">
        <v>6400</v>
      </c>
      <c r="C214" s="248" t="s">
        <v>221</v>
      </c>
      <c r="D214" s="244"/>
    </row>
    <row r="215" spans="1:4" ht="12" hidden="1" customHeight="1" outlineLevel="1" x14ac:dyDescent="0.3">
      <c r="A215" s="238"/>
      <c r="B215" s="242">
        <v>6500</v>
      </c>
      <c r="C215" s="249" t="s">
        <v>222</v>
      </c>
      <c r="D215" s="244"/>
    </row>
    <row r="216" spans="1:4" ht="12" hidden="1" customHeight="1" outlineLevel="1" x14ac:dyDescent="0.3">
      <c r="A216" s="238"/>
      <c r="B216" s="199">
        <v>7000</v>
      </c>
      <c r="C216" s="200" t="s">
        <v>223</v>
      </c>
      <c r="D216" s="260">
        <f>SUM(D217:D219)</f>
        <v>0</v>
      </c>
    </row>
    <row r="217" spans="1:4" ht="12" hidden="1" customHeight="1" outlineLevel="1" x14ac:dyDescent="0.3">
      <c r="A217" s="238"/>
      <c r="B217" s="250">
        <v>7200</v>
      </c>
      <c r="C217" s="251" t="s">
        <v>224</v>
      </c>
      <c r="D217" s="244"/>
    </row>
    <row r="218" spans="1:4" ht="12" hidden="1" customHeight="1" outlineLevel="1" x14ac:dyDescent="0.3">
      <c r="A218" s="238"/>
      <c r="B218" s="250">
        <v>7500</v>
      </c>
      <c r="C218" s="251" t="s">
        <v>225</v>
      </c>
      <c r="D218" s="244"/>
    </row>
    <row r="219" spans="1:4" ht="12" hidden="1" customHeight="1" outlineLevel="1" x14ac:dyDescent="0.3">
      <c r="A219" s="238"/>
      <c r="B219" s="250">
        <v>7700</v>
      </c>
      <c r="C219" s="251" t="s">
        <v>226</v>
      </c>
      <c r="D219" s="244"/>
    </row>
    <row r="220" spans="1:4" ht="12" hidden="1" customHeight="1" outlineLevel="1" x14ac:dyDescent="0.3">
      <c r="A220" s="238"/>
      <c r="B220" s="252">
        <v>8000</v>
      </c>
      <c r="C220" s="253" t="s">
        <v>227</v>
      </c>
      <c r="D220" s="260">
        <f>SUM(D221:D223)</f>
        <v>0</v>
      </c>
    </row>
    <row r="221" spans="1:4" ht="12" hidden="1" customHeight="1" outlineLevel="1" x14ac:dyDescent="0.3">
      <c r="A221" s="238"/>
      <c r="B221" s="254">
        <v>8100</v>
      </c>
      <c r="C221" s="255" t="s">
        <v>228</v>
      </c>
      <c r="D221" s="260"/>
    </row>
    <row r="222" spans="1:4" ht="12" hidden="1" customHeight="1" outlineLevel="1" x14ac:dyDescent="0.3">
      <c r="A222" s="238"/>
      <c r="B222" s="254">
        <v>8600</v>
      </c>
      <c r="C222" s="255" t="s">
        <v>229</v>
      </c>
      <c r="D222" s="260"/>
    </row>
    <row r="223" spans="1:4" ht="12" hidden="1" customHeight="1" outlineLevel="1" x14ac:dyDescent="0.3">
      <c r="A223" s="238"/>
      <c r="B223" s="254">
        <v>8900</v>
      </c>
      <c r="C223" s="255" t="s">
        <v>230</v>
      </c>
      <c r="D223" s="260"/>
    </row>
    <row r="224" spans="1:4" ht="17.25" customHeight="1" collapsed="1" x14ac:dyDescent="0.3">
      <c r="A224" s="256" t="s">
        <v>239</v>
      </c>
      <c r="B224" s="257"/>
      <c r="C224" s="258" t="s">
        <v>240</v>
      </c>
      <c r="D224" s="259">
        <f>D225+D241+D254</f>
        <v>79156</v>
      </c>
    </row>
    <row r="225" spans="1:4" ht="12" customHeight="1" x14ac:dyDescent="0.3">
      <c r="A225" s="227"/>
      <c r="B225" s="228"/>
      <c r="C225" s="229" t="s">
        <v>198</v>
      </c>
      <c r="D225" s="230">
        <f>D226+D229+D235+D238+D245+D250</f>
        <v>79156</v>
      </c>
    </row>
    <row r="226" spans="1:4" ht="12" hidden="1" customHeight="1" outlineLevel="1" x14ac:dyDescent="0.3">
      <c r="A226" s="227"/>
      <c r="B226" s="231">
        <v>1000</v>
      </c>
      <c r="C226" s="232" t="s">
        <v>199</v>
      </c>
      <c r="D226" s="236">
        <f>D260+D294</f>
        <v>0</v>
      </c>
    </row>
    <row r="227" spans="1:4" ht="12" hidden="1" customHeight="1" outlineLevel="1" x14ac:dyDescent="0.3">
      <c r="A227" s="227"/>
      <c r="B227" s="234">
        <v>1100</v>
      </c>
      <c r="C227" s="235" t="s">
        <v>200</v>
      </c>
      <c r="D227" s="236">
        <f>D261</f>
        <v>0</v>
      </c>
    </row>
    <row r="228" spans="1:4" ht="12" hidden="1" customHeight="1" outlineLevel="1" x14ac:dyDescent="0.3">
      <c r="A228" s="227"/>
      <c r="B228" s="234">
        <v>1200</v>
      </c>
      <c r="C228" s="237" t="s">
        <v>201</v>
      </c>
      <c r="D228" s="236">
        <f>D262</f>
        <v>0</v>
      </c>
    </row>
    <row r="229" spans="1:4" ht="12" customHeight="1" collapsed="1" x14ac:dyDescent="0.3">
      <c r="A229" s="238"/>
      <c r="B229" s="239">
        <v>2000</v>
      </c>
      <c r="C229" s="240" t="s">
        <v>202</v>
      </c>
      <c r="D229" s="260">
        <f>D263+D297</f>
        <v>77704</v>
      </c>
    </row>
    <row r="230" spans="1:4" ht="12" customHeight="1" x14ac:dyDescent="0.3">
      <c r="A230" s="238"/>
      <c r="B230" s="242">
        <v>2100</v>
      </c>
      <c r="C230" s="243" t="s">
        <v>203</v>
      </c>
      <c r="D230" s="244">
        <v>0</v>
      </c>
    </row>
    <row r="231" spans="1:4" ht="12" customHeight="1" x14ac:dyDescent="0.3">
      <c r="A231" s="238"/>
      <c r="B231" s="242">
        <v>2200</v>
      </c>
      <c r="C231" s="243" t="s">
        <v>204</v>
      </c>
      <c r="D231" s="244">
        <f>D299</f>
        <v>0</v>
      </c>
    </row>
    <row r="232" spans="1:4" ht="12" hidden="1" customHeight="1" outlineLevel="1" x14ac:dyDescent="0.3">
      <c r="A232" s="238"/>
      <c r="B232" s="242">
        <v>2300</v>
      </c>
      <c r="C232" s="243" t="s">
        <v>205</v>
      </c>
      <c r="D232" s="244"/>
    </row>
    <row r="233" spans="1:4" ht="12" hidden="1" customHeight="1" outlineLevel="1" x14ac:dyDescent="0.3">
      <c r="A233" s="238"/>
      <c r="B233" s="242">
        <v>2400</v>
      </c>
      <c r="C233" s="243" t="s">
        <v>206</v>
      </c>
      <c r="D233" s="244"/>
    </row>
    <row r="234" spans="1:4" ht="12" customHeight="1" collapsed="1" x14ac:dyDescent="0.3">
      <c r="A234" s="238"/>
      <c r="B234" s="242">
        <v>2500</v>
      </c>
      <c r="C234" s="243" t="s">
        <v>207</v>
      </c>
      <c r="D234" s="244">
        <f>D268</f>
        <v>77700</v>
      </c>
    </row>
    <row r="235" spans="1:4" ht="12" hidden="1" customHeight="1" outlineLevel="1" x14ac:dyDescent="0.3">
      <c r="A235" s="238"/>
      <c r="B235" s="199">
        <v>3000</v>
      </c>
      <c r="C235" s="245" t="s">
        <v>208</v>
      </c>
      <c r="D235" s="244">
        <f>D269+D303</f>
        <v>1</v>
      </c>
    </row>
    <row r="236" spans="1:4" ht="12" hidden="1" customHeight="1" outlineLevel="1" x14ac:dyDescent="0.3">
      <c r="A236" s="238"/>
      <c r="B236" s="242">
        <v>3200</v>
      </c>
      <c r="C236" s="243" t="s">
        <v>209</v>
      </c>
      <c r="D236" s="244"/>
    </row>
    <row r="237" spans="1:4" ht="12" hidden="1" customHeight="1" outlineLevel="1" x14ac:dyDescent="0.3">
      <c r="A237" s="238"/>
      <c r="B237" s="242">
        <v>3300</v>
      </c>
      <c r="C237" s="243" t="s">
        <v>210</v>
      </c>
      <c r="D237" s="244"/>
    </row>
    <row r="238" spans="1:4" ht="12" hidden="1" customHeight="1" outlineLevel="1" x14ac:dyDescent="0.3">
      <c r="A238" s="238"/>
      <c r="B238" s="199">
        <v>4000</v>
      </c>
      <c r="C238" s="246" t="s">
        <v>211</v>
      </c>
      <c r="D238" s="244">
        <f>D272+D306</f>
        <v>0</v>
      </c>
    </row>
    <row r="239" spans="1:4" ht="12" hidden="1" customHeight="1" outlineLevel="1" x14ac:dyDescent="0.3">
      <c r="A239" s="238"/>
      <c r="B239" s="242">
        <v>4200</v>
      </c>
      <c r="C239" s="247" t="s">
        <v>212</v>
      </c>
      <c r="D239" s="244"/>
    </row>
    <row r="240" spans="1:4" ht="12" hidden="1" customHeight="1" outlineLevel="1" x14ac:dyDescent="0.3">
      <c r="A240" s="238"/>
      <c r="B240" s="242">
        <v>4300</v>
      </c>
      <c r="C240" s="247" t="s">
        <v>213</v>
      </c>
      <c r="D240" s="244"/>
    </row>
    <row r="241" spans="1:4" ht="12" hidden="1" customHeight="1" outlineLevel="1" x14ac:dyDescent="0.3">
      <c r="A241" s="238"/>
      <c r="B241" s="199">
        <v>5000</v>
      </c>
      <c r="C241" s="200" t="s">
        <v>214</v>
      </c>
      <c r="D241" s="260">
        <f>D275+D309</f>
        <v>0</v>
      </c>
    </row>
    <row r="242" spans="1:4" ht="12" hidden="1" customHeight="1" outlineLevel="1" x14ac:dyDescent="0.3">
      <c r="A242" s="238"/>
      <c r="B242" s="242">
        <v>5100</v>
      </c>
      <c r="C242" s="248" t="s">
        <v>215</v>
      </c>
      <c r="D242" s="260"/>
    </row>
    <row r="243" spans="1:4" ht="12" hidden="1" customHeight="1" outlineLevel="1" x14ac:dyDescent="0.3">
      <c r="A243" s="238"/>
      <c r="B243" s="242">
        <v>5200</v>
      </c>
      <c r="C243" s="248" t="s">
        <v>216</v>
      </c>
      <c r="D243" s="260"/>
    </row>
    <row r="244" spans="1:4" ht="12" hidden="1" customHeight="1" outlineLevel="1" x14ac:dyDescent="0.3">
      <c r="A244" s="238"/>
      <c r="B244" s="242">
        <v>5300</v>
      </c>
      <c r="C244" s="249" t="s">
        <v>217</v>
      </c>
      <c r="D244" s="260"/>
    </row>
    <row r="245" spans="1:4" ht="12" hidden="1" customHeight="1" outlineLevel="1" x14ac:dyDescent="0.3">
      <c r="A245" s="238"/>
      <c r="B245" s="199">
        <v>6000</v>
      </c>
      <c r="C245" s="200" t="s">
        <v>218</v>
      </c>
      <c r="D245" s="244">
        <f>D279+D313</f>
        <v>0</v>
      </c>
    </row>
    <row r="246" spans="1:4" ht="12" hidden="1" customHeight="1" outlineLevel="1" x14ac:dyDescent="0.3">
      <c r="A246" s="238"/>
      <c r="B246" s="242">
        <v>6200</v>
      </c>
      <c r="C246" s="248" t="s">
        <v>219</v>
      </c>
      <c r="D246" s="244"/>
    </row>
    <row r="247" spans="1:4" ht="12" hidden="1" customHeight="1" outlineLevel="1" x14ac:dyDescent="0.3">
      <c r="A247" s="238"/>
      <c r="B247" s="242">
        <v>6300</v>
      </c>
      <c r="C247" s="248" t="s">
        <v>220</v>
      </c>
      <c r="D247" s="244"/>
    </row>
    <row r="248" spans="1:4" ht="12" hidden="1" customHeight="1" outlineLevel="1" x14ac:dyDescent="0.3">
      <c r="A248" s="238"/>
      <c r="B248" s="242">
        <v>6400</v>
      </c>
      <c r="C248" s="248" t="s">
        <v>221</v>
      </c>
      <c r="D248" s="244"/>
    </row>
    <row r="249" spans="1:4" ht="12" hidden="1" customHeight="1" outlineLevel="1" x14ac:dyDescent="0.3">
      <c r="A249" s="238"/>
      <c r="B249" s="242">
        <v>6500</v>
      </c>
      <c r="C249" s="249" t="s">
        <v>222</v>
      </c>
      <c r="D249" s="244"/>
    </row>
    <row r="250" spans="1:4" ht="12" customHeight="1" collapsed="1" x14ac:dyDescent="0.3">
      <c r="A250" s="238"/>
      <c r="B250" s="199">
        <v>7000</v>
      </c>
      <c r="C250" s="200" t="s">
        <v>223</v>
      </c>
      <c r="D250" s="260">
        <f>D284+D318</f>
        <v>1451</v>
      </c>
    </row>
    <row r="251" spans="1:4" ht="12" customHeight="1" x14ac:dyDescent="0.3">
      <c r="A251" s="238"/>
      <c r="B251" s="250">
        <v>7200</v>
      </c>
      <c r="C251" s="251" t="s">
        <v>224</v>
      </c>
      <c r="D251" s="244">
        <v>0</v>
      </c>
    </row>
    <row r="252" spans="1:4" ht="12" hidden="1" customHeight="1" outlineLevel="1" x14ac:dyDescent="0.3">
      <c r="A252" s="238"/>
      <c r="B252" s="250">
        <v>7500</v>
      </c>
      <c r="C252" s="251" t="s">
        <v>225</v>
      </c>
      <c r="D252" s="244"/>
    </row>
    <row r="253" spans="1:4" ht="12" hidden="1" customHeight="1" outlineLevel="1" x14ac:dyDescent="0.3">
      <c r="A253" s="238"/>
      <c r="B253" s="250">
        <v>7700</v>
      </c>
      <c r="C253" s="251" t="s">
        <v>226</v>
      </c>
      <c r="D253" s="244"/>
    </row>
    <row r="254" spans="1:4" ht="12" hidden="1" customHeight="1" outlineLevel="1" x14ac:dyDescent="0.3">
      <c r="A254" s="238"/>
      <c r="B254" s="252">
        <v>8000</v>
      </c>
      <c r="C254" s="253" t="s">
        <v>227</v>
      </c>
      <c r="D254" s="260">
        <f>D288+D322</f>
        <v>0</v>
      </c>
    </row>
    <row r="255" spans="1:4" ht="12" hidden="1" customHeight="1" outlineLevel="1" x14ac:dyDescent="0.3">
      <c r="A255" s="238"/>
      <c r="B255" s="254">
        <v>8100</v>
      </c>
      <c r="C255" s="255" t="s">
        <v>228</v>
      </c>
      <c r="D255" s="261"/>
    </row>
    <row r="256" spans="1:4" ht="12" hidden="1" customHeight="1" outlineLevel="1" x14ac:dyDescent="0.3">
      <c r="A256" s="238"/>
      <c r="B256" s="254">
        <v>8600</v>
      </c>
      <c r="C256" s="255" t="s">
        <v>229</v>
      </c>
      <c r="D256" s="261"/>
    </row>
    <row r="257" spans="1:4" ht="12" hidden="1" customHeight="1" outlineLevel="1" x14ac:dyDescent="0.3">
      <c r="A257" s="238"/>
      <c r="B257" s="254">
        <v>8900</v>
      </c>
      <c r="C257" s="255" t="s">
        <v>230</v>
      </c>
      <c r="D257" s="261"/>
    </row>
    <row r="258" spans="1:4" ht="12" customHeight="1" collapsed="1" x14ac:dyDescent="0.3">
      <c r="A258" s="262" t="s">
        <v>241</v>
      </c>
      <c r="B258" s="263"/>
      <c r="C258" s="264" t="s">
        <v>242</v>
      </c>
      <c r="D258" s="265">
        <f>D259+D275+D288</f>
        <v>79156</v>
      </c>
    </row>
    <row r="259" spans="1:4" ht="12" customHeight="1" x14ac:dyDescent="0.3">
      <c r="A259" s="266"/>
      <c r="B259" s="267"/>
      <c r="C259" s="268" t="s">
        <v>198</v>
      </c>
      <c r="D259" s="230">
        <f>D260+D263+D269+D272+D279+D284</f>
        <v>79156</v>
      </c>
    </row>
    <row r="260" spans="1:4" ht="12" customHeight="1" x14ac:dyDescent="0.3">
      <c r="A260" s="227"/>
      <c r="B260" s="231">
        <v>1000</v>
      </c>
      <c r="C260" s="232" t="s">
        <v>199</v>
      </c>
      <c r="D260" s="230">
        <f>SUM(D261:D262)</f>
        <v>0</v>
      </c>
    </row>
    <row r="261" spans="1:4" ht="12" customHeight="1" x14ac:dyDescent="0.3">
      <c r="A261" s="227"/>
      <c r="B261" s="234">
        <v>1100</v>
      </c>
      <c r="C261" s="235" t="s">
        <v>200</v>
      </c>
      <c r="D261" s="236">
        <f>108077-100000-8077</f>
        <v>0</v>
      </c>
    </row>
    <row r="262" spans="1:4" ht="12" customHeight="1" x14ac:dyDescent="0.3">
      <c r="A262" s="227"/>
      <c r="B262" s="234">
        <v>1200</v>
      </c>
      <c r="C262" s="237" t="s">
        <v>201</v>
      </c>
      <c r="D262" s="236">
        <f>33366-12000-21366</f>
        <v>0</v>
      </c>
    </row>
    <row r="263" spans="1:4" ht="12" customHeight="1" x14ac:dyDescent="0.3">
      <c r="A263" s="238"/>
      <c r="B263" s="239">
        <v>2000</v>
      </c>
      <c r="C263" s="240" t="s">
        <v>202</v>
      </c>
      <c r="D263" s="260">
        <f>SUM(D264:D268)</f>
        <v>77704</v>
      </c>
    </row>
    <row r="264" spans="1:4" ht="12" hidden="1" customHeight="1" outlineLevel="1" x14ac:dyDescent="0.3">
      <c r="A264" s="238"/>
      <c r="B264" s="242">
        <v>2100</v>
      </c>
      <c r="C264" s="243" t="s">
        <v>203</v>
      </c>
      <c r="D264" s="244"/>
    </row>
    <row r="265" spans="1:4" ht="12" customHeight="1" collapsed="1" x14ac:dyDescent="0.3">
      <c r="A265" s="238"/>
      <c r="B265" s="242">
        <v>2200</v>
      </c>
      <c r="C265" s="243" t="s">
        <v>204</v>
      </c>
      <c r="D265" s="244">
        <v>4</v>
      </c>
    </row>
    <row r="266" spans="1:4" ht="12" hidden="1" customHeight="1" outlineLevel="1" x14ac:dyDescent="0.3">
      <c r="A266" s="238"/>
      <c r="B266" s="242">
        <v>2300</v>
      </c>
      <c r="C266" s="243" t="s">
        <v>205</v>
      </c>
      <c r="D266" s="244"/>
    </row>
    <row r="267" spans="1:4" ht="12" hidden="1" customHeight="1" outlineLevel="1" x14ac:dyDescent="0.3">
      <c r="A267" s="238"/>
      <c r="B267" s="242">
        <v>2400</v>
      </c>
      <c r="C267" s="243" t="s">
        <v>206</v>
      </c>
      <c r="D267" s="244"/>
    </row>
    <row r="268" spans="1:4" ht="12" customHeight="1" collapsed="1" x14ac:dyDescent="0.3">
      <c r="A268" s="238"/>
      <c r="B268" s="242">
        <v>2500</v>
      </c>
      <c r="C268" s="243" t="s">
        <v>207</v>
      </c>
      <c r="D268" s="244">
        <f>75500+2200</f>
        <v>77700</v>
      </c>
    </row>
    <row r="269" spans="1:4" ht="12" customHeight="1" x14ac:dyDescent="0.3">
      <c r="A269" s="238"/>
      <c r="B269" s="199">
        <v>3000</v>
      </c>
      <c r="C269" s="245" t="s">
        <v>208</v>
      </c>
      <c r="D269" s="260">
        <f>SUM(D270:D271)</f>
        <v>1</v>
      </c>
    </row>
    <row r="270" spans="1:4" ht="12" customHeight="1" x14ac:dyDescent="0.3">
      <c r="A270" s="238"/>
      <c r="B270" s="242">
        <v>3200</v>
      </c>
      <c r="C270" s="243" t="s">
        <v>209</v>
      </c>
      <c r="D270" s="244">
        <v>1</v>
      </c>
    </row>
    <row r="271" spans="1:4" ht="12" hidden="1" customHeight="1" outlineLevel="1" x14ac:dyDescent="0.3">
      <c r="A271" s="238"/>
      <c r="B271" s="242">
        <v>3300</v>
      </c>
      <c r="C271" s="243" t="s">
        <v>210</v>
      </c>
      <c r="D271" s="244"/>
    </row>
    <row r="272" spans="1:4" ht="12" hidden="1" customHeight="1" outlineLevel="1" x14ac:dyDescent="0.3">
      <c r="A272" s="238"/>
      <c r="B272" s="199">
        <v>4000</v>
      </c>
      <c r="C272" s="246" t="s">
        <v>211</v>
      </c>
      <c r="D272" s="260">
        <f>SUM(D273:D274)</f>
        <v>0</v>
      </c>
    </row>
    <row r="273" spans="1:4" ht="12" hidden="1" customHeight="1" outlineLevel="1" x14ac:dyDescent="0.3">
      <c r="A273" s="238"/>
      <c r="B273" s="242">
        <v>4200</v>
      </c>
      <c r="C273" s="247" t="s">
        <v>212</v>
      </c>
      <c r="D273" s="244"/>
    </row>
    <row r="274" spans="1:4" ht="12" hidden="1" customHeight="1" outlineLevel="1" x14ac:dyDescent="0.3">
      <c r="A274" s="238"/>
      <c r="B274" s="242">
        <v>4300</v>
      </c>
      <c r="C274" s="247" t="s">
        <v>213</v>
      </c>
      <c r="D274" s="244"/>
    </row>
    <row r="275" spans="1:4" ht="12" hidden="1" customHeight="1" outlineLevel="1" x14ac:dyDescent="0.3">
      <c r="A275" s="238"/>
      <c r="B275" s="199">
        <v>5000</v>
      </c>
      <c r="C275" s="200" t="s">
        <v>214</v>
      </c>
      <c r="D275" s="260">
        <f>SUM(D276:D278)</f>
        <v>0</v>
      </c>
    </row>
    <row r="276" spans="1:4" ht="12" hidden="1" customHeight="1" outlineLevel="1" x14ac:dyDescent="0.3">
      <c r="A276" s="238"/>
      <c r="B276" s="242">
        <v>5100</v>
      </c>
      <c r="C276" s="248" t="s">
        <v>215</v>
      </c>
      <c r="D276" s="260"/>
    </row>
    <row r="277" spans="1:4" ht="12" hidden="1" customHeight="1" outlineLevel="1" x14ac:dyDescent="0.3">
      <c r="A277" s="238"/>
      <c r="B277" s="242">
        <v>5200</v>
      </c>
      <c r="C277" s="248" t="s">
        <v>216</v>
      </c>
      <c r="D277" s="260"/>
    </row>
    <row r="278" spans="1:4" ht="12" hidden="1" customHeight="1" outlineLevel="1" x14ac:dyDescent="0.3">
      <c r="A278" s="238"/>
      <c r="B278" s="242">
        <v>5300</v>
      </c>
      <c r="C278" s="249" t="s">
        <v>217</v>
      </c>
      <c r="D278" s="260"/>
    </row>
    <row r="279" spans="1:4" ht="12" hidden="1" customHeight="1" outlineLevel="1" x14ac:dyDescent="0.3">
      <c r="A279" s="238"/>
      <c r="B279" s="199">
        <v>6000</v>
      </c>
      <c r="C279" s="200" t="s">
        <v>218</v>
      </c>
      <c r="D279" s="260">
        <f>SUM(D280:D283)</f>
        <v>0</v>
      </c>
    </row>
    <row r="280" spans="1:4" ht="12" hidden="1" customHeight="1" outlineLevel="1" x14ac:dyDescent="0.3">
      <c r="A280" s="238"/>
      <c r="B280" s="242">
        <v>6200</v>
      </c>
      <c r="C280" s="248" t="s">
        <v>219</v>
      </c>
      <c r="D280" s="244"/>
    </row>
    <row r="281" spans="1:4" ht="12" hidden="1" customHeight="1" outlineLevel="1" x14ac:dyDescent="0.3">
      <c r="A281" s="238"/>
      <c r="B281" s="242">
        <v>6300</v>
      </c>
      <c r="C281" s="248" t="s">
        <v>220</v>
      </c>
      <c r="D281" s="244"/>
    </row>
    <row r="282" spans="1:4" ht="12" hidden="1" customHeight="1" outlineLevel="1" x14ac:dyDescent="0.3">
      <c r="A282" s="238"/>
      <c r="B282" s="242">
        <v>6400</v>
      </c>
      <c r="C282" s="248" t="s">
        <v>221</v>
      </c>
      <c r="D282" s="244"/>
    </row>
    <row r="283" spans="1:4" ht="12" hidden="1" customHeight="1" outlineLevel="1" x14ac:dyDescent="0.3">
      <c r="A283" s="238"/>
      <c r="B283" s="242">
        <v>6500</v>
      </c>
      <c r="C283" s="249" t="s">
        <v>222</v>
      </c>
      <c r="D283" s="244"/>
    </row>
    <row r="284" spans="1:4" ht="12" customHeight="1" collapsed="1" x14ac:dyDescent="0.3">
      <c r="A284" s="238"/>
      <c r="B284" s="199">
        <v>7000</v>
      </c>
      <c r="C284" s="200" t="s">
        <v>223</v>
      </c>
      <c r="D284" s="260">
        <f>SUM(D285:D287)</f>
        <v>1451</v>
      </c>
    </row>
    <row r="285" spans="1:4" ht="12" customHeight="1" x14ac:dyDescent="0.3">
      <c r="A285" s="238"/>
      <c r="B285" s="250">
        <v>7200</v>
      </c>
      <c r="C285" s="251" t="s">
        <v>224</v>
      </c>
      <c r="D285" s="244">
        <f>-1451+2902</f>
        <v>1451</v>
      </c>
    </row>
    <row r="286" spans="1:4" ht="12" hidden="1" customHeight="1" outlineLevel="1" x14ac:dyDescent="0.3">
      <c r="A286" s="238"/>
      <c r="B286" s="250">
        <v>7500</v>
      </c>
      <c r="C286" s="251" t="s">
        <v>225</v>
      </c>
      <c r="D286" s="244"/>
    </row>
    <row r="287" spans="1:4" ht="12" hidden="1" customHeight="1" outlineLevel="1" x14ac:dyDescent="0.3">
      <c r="A287" s="238"/>
      <c r="B287" s="250">
        <v>7700</v>
      </c>
      <c r="C287" s="251" t="s">
        <v>226</v>
      </c>
      <c r="D287" s="244"/>
    </row>
    <row r="288" spans="1:4" ht="12" hidden="1" customHeight="1" outlineLevel="1" x14ac:dyDescent="0.3">
      <c r="A288" s="238"/>
      <c r="B288" s="252">
        <v>8000</v>
      </c>
      <c r="C288" s="253" t="s">
        <v>227</v>
      </c>
      <c r="D288" s="260">
        <f>SUM(D289:D291)</f>
        <v>0</v>
      </c>
    </row>
    <row r="289" spans="1:4" ht="12" hidden="1" customHeight="1" outlineLevel="1" x14ac:dyDescent="0.3">
      <c r="A289" s="238"/>
      <c r="B289" s="254">
        <v>8100</v>
      </c>
      <c r="C289" s="255" t="s">
        <v>228</v>
      </c>
      <c r="D289" s="260"/>
    </row>
    <row r="290" spans="1:4" ht="12" hidden="1" customHeight="1" outlineLevel="1" x14ac:dyDescent="0.3">
      <c r="A290" s="238"/>
      <c r="B290" s="254">
        <v>8600</v>
      </c>
      <c r="C290" s="255" t="s">
        <v>229</v>
      </c>
      <c r="D290" s="260"/>
    </row>
    <row r="291" spans="1:4" ht="12" hidden="1" customHeight="1" outlineLevel="1" x14ac:dyDescent="0.3">
      <c r="A291" s="238"/>
      <c r="B291" s="254">
        <v>8900</v>
      </c>
      <c r="C291" s="255" t="s">
        <v>230</v>
      </c>
      <c r="D291" s="260"/>
    </row>
    <row r="292" spans="1:4" ht="27.75" customHeight="1" collapsed="1" x14ac:dyDescent="0.3">
      <c r="A292" s="262" t="s">
        <v>243</v>
      </c>
      <c r="B292" s="263"/>
      <c r="C292" s="269" t="s">
        <v>244</v>
      </c>
      <c r="D292" s="265">
        <f>D293+D309+D322</f>
        <v>0</v>
      </c>
    </row>
    <row r="293" spans="1:4" ht="12" hidden="1" customHeight="1" outlineLevel="1" x14ac:dyDescent="0.3">
      <c r="A293" s="266"/>
      <c r="B293" s="267"/>
      <c r="C293" s="268" t="s">
        <v>198</v>
      </c>
      <c r="D293" s="230">
        <f>D297+D306+D313+D318+D303</f>
        <v>0</v>
      </c>
    </row>
    <row r="294" spans="1:4" ht="12" hidden="1" customHeight="1" outlineLevel="1" x14ac:dyDescent="0.3">
      <c r="A294" s="227"/>
      <c r="B294" s="231">
        <v>1000</v>
      </c>
      <c r="C294" s="232" t="s">
        <v>199</v>
      </c>
      <c r="D294" s="230">
        <f>SUM(D295:D296)</f>
        <v>0</v>
      </c>
    </row>
    <row r="295" spans="1:4" ht="12" hidden="1" customHeight="1" outlineLevel="1" x14ac:dyDescent="0.3">
      <c r="A295" s="227"/>
      <c r="B295" s="234">
        <v>1100</v>
      </c>
      <c r="C295" s="235" t="s">
        <v>200</v>
      </c>
      <c r="D295" s="236"/>
    </row>
    <row r="296" spans="1:4" ht="30.75" hidden="1" customHeight="1" outlineLevel="1" x14ac:dyDescent="0.3">
      <c r="A296" s="227"/>
      <c r="B296" s="234">
        <v>1200</v>
      </c>
      <c r="C296" s="237" t="s">
        <v>201</v>
      </c>
      <c r="D296" s="236"/>
    </row>
    <row r="297" spans="1:4" ht="12" customHeight="1" collapsed="1" x14ac:dyDescent="0.3">
      <c r="A297" s="238"/>
      <c r="B297" s="239">
        <v>2000</v>
      </c>
      <c r="C297" s="240" t="s">
        <v>202</v>
      </c>
      <c r="D297" s="260">
        <f>SUM(D298:D302)</f>
        <v>0</v>
      </c>
    </row>
    <row r="298" spans="1:4" ht="12" hidden="1" customHeight="1" outlineLevel="1" x14ac:dyDescent="0.3">
      <c r="A298" s="238"/>
      <c r="B298" s="242">
        <v>2100</v>
      </c>
      <c r="C298" s="243" t="s">
        <v>203</v>
      </c>
      <c r="D298" s="244"/>
    </row>
    <row r="299" spans="1:4" ht="12" customHeight="1" collapsed="1" x14ac:dyDescent="0.3">
      <c r="A299" s="238"/>
      <c r="B299" s="242">
        <v>2200</v>
      </c>
      <c r="C299" s="243" t="s">
        <v>204</v>
      </c>
      <c r="D299" s="244">
        <f>50000-9582-5007-35411</f>
        <v>0</v>
      </c>
    </row>
    <row r="300" spans="1:4" ht="12" hidden="1" customHeight="1" outlineLevel="1" x14ac:dyDescent="0.3">
      <c r="A300" s="238"/>
      <c r="B300" s="242">
        <v>2300</v>
      </c>
      <c r="C300" s="243" t="s">
        <v>205</v>
      </c>
      <c r="D300" s="244"/>
    </row>
    <row r="301" spans="1:4" ht="12" hidden="1" customHeight="1" outlineLevel="1" x14ac:dyDescent="0.3">
      <c r="A301" s="238"/>
      <c r="B301" s="242">
        <v>2400</v>
      </c>
      <c r="C301" s="243" t="s">
        <v>206</v>
      </c>
      <c r="D301" s="244"/>
    </row>
    <row r="302" spans="1:4" ht="12" hidden="1" customHeight="1" outlineLevel="1" x14ac:dyDescent="0.3">
      <c r="A302" s="238"/>
      <c r="B302" s="242">
        <v>2500</v>
      </c>
      <c r="C302" s="243" t="s">
        <v>207</v>
      </c>
      <c r="D302" s="244"/>
    </row>
    <row r="303" spans="1:4" ht="12" hidden="1" customHeight="1" outlineLevel="1" x14ac:dyDescent="0.3">
      <c r="A303" s="238"/>
      <c r="B303" s="199">
        <v>3000</v>
      </c>
      <c r="C303" s="245" t="s">
        <v>208</v>
      </c>
      <c r="D303" s="260">
        <f>SUM(D304:D305)</f>
        <v>0</v>
      </c>
    </row>
    <row r="304" spans="1:4" ht="27.75" hidden="1" customHeight="1" outlineLevel="1" x14ac:dyDescent="0.3">
      <c r="A304" s="238"/>
      <c r="B304" s="242">
        <v>3200</v>
      </c>
      <c r="C304" s="243" t="s">
        <v>209</v>
      </c>
      <c r="D304" s="244"/>
    </row>
    <row r="305" spans="1:4" ht="29.25" hidden="1" customHeight="1" outlineLevel="1" x14ac:dyDescent="0.3">
      <c r="A305" s="238"/>
      <c r="B305" s="242">
        <v>3300</v>
      </c>
      <c r="C305" s="243" t="s">
        <v>210</v>
      </c>
      <c r="D305" s="244"/>
    </row>
    <row r="306" spans="1:4" ht="12" hidden="1" customHeight="1" outlineLevel="1" x14ac:dyDescent="0.3">
      <c r="A306" s="238"/>
      <c r="B306" s="199">
        <v>4000</v>
      </c>
      <c r="C306" s="246" t="s">
        <v>211</v>
      </c>
      <c r="D306" s="260">
        <f>SUM(D307:D308)</f>
        <v>0</v>
      </c>
    </row>
    <row r="307" spans="1:4" ht="12" hidden="1" customHeight="1" outlineLevel="1" x14ac:dyDescent="0.3">
      <c r="A307" s="238"/>
      <c r="B307" s="242">
        <v>4200</v>
      </c>
      <c r="C307" s="247" t="s">
        <v>212</v>
      </c>
      <c r="D307" s="244"/>
    </row>
    <row r="308" spans="1:4" ht="12" hidden="1" customHeight="1" outlineLevel="1" x14ac:dyDescent="0.3">
      <c r="A308" s="238"/>
      <c r="B308" s="242">
        <v>4300</v>
      </c>
      <c r="C308" s="247" t="s">
        <v>213</v>
      </c>
      <c r="D308" s="244"/>
    </row>
    <row r="309" spans="1:4" ht="12" hidden="1" customHeight="1" outlineLevel="1" x14ac:dyDescent="0.3">
      <c r="A309" s="238"/>
      <c r="B309" s="199">
        <v>5000</v>
      </c>
      <c r="C309" s="200" t="s">
        <v>214</v>
      </c>
      <c r="D309" s="260">
        <f>SUM(D310:D312)</f>
        <v>0</v>
      </c>
    </row>
    <row r="310" spans="1:4" ht="12" hidden="1" customHeight="1" outlineLevel="1" x14ac:dyDescent="0.3">
      <c r="A310" s="238"/>
      <c r="B310" s="242">
        <v>5100</v>
      </c>
      <c r="C310" s="248" t="s">
        <v>215</v>
      </c>
      <c r="D310" s="260"/>
    </row>
    <row r="311" spans="1:4" ht="12" hidden="1" customHeight="1" outlineLevel="1" x14ac:dyDescent="0.3">
      <c r="A311" s="238"/>
      <c r="B311" s="242">
        <v>5200</v>
      </c>
      <c r="C311" s="248" t="s">
        <v>216</v>
      </c>
      <c r="D311" s="260"/>
    </row>
    <row r="312" spans="1:4" ht="31.5" hidden="1" customHeight="1" outlineLevel="1" x14ac:dyDescent="0.3">
      <c r="A312" s="238"/>
      <c r="B312" s="242">
        <v>5300</v>
      </c>
      <c r="C312" s="249" t="s">
        <v>217</v>
      </c>
      <c r="D312" s="260"/>
    </row>
    <row r="313" spans="1:4" ht="12" hidden="1" customHeight="1" outlineLevel="1" x14ac:dyDescent="0.3">
      <c r="A313" s="238"/>
      <c r="B313" s="199">
        <v>6000</v>
      </c>
      <c r="C313" s="200" t="s">
        <v>218</v>
      </c>
      <c r="D313" s="260">
        <f>SUM(D314:D317)</f>
        <v>0</v>
      </c>
    </row>
    <row r="314" spans="1:4" ht="12" hidden="1" customHeight="1" outlineLevel="1" x14ac:dyDescent="0.3">
      <c r="A314" s="238"/>
      <c r="B314" s="242">
        <v>6200</v>
      </c>
      <c r="C314" s="248" t="s">
        <v>219</v>
      </c>
      <c r="D314" s="244"/>
    </row>
    <row r="315" spans="1:4" ht="12" hidden="1" customHeight="1" outlineLevel="1" x14ac:dyDescent="0.3">
      <c r="A315" s="238"/>
      <c r="B315" s="242">
        <v>6300</v>
      </c>
      <c r="C315" s="248" t="s">
        <v>220</v>
      </c>
      <c r="D315" s="244"/>
    </row>
    <row r="316" spans="1:4" ht="12" hidden="1" customHeight="1" outlineLevel="1" x14ac:dyDescent="0.3">
      <c r="A316" s="238"/>
      <c r="B316" s="242">
        <v>6400</v>
      </c>
      <c r="C316" s="248" t="s">
        <v>221</v>
      </c>
      <c r="D316" s="244"/>
    </row>
    <row r="317" spans="1:4" ht="41.25" hidden="1" customHeight="1" outlineLevel="1" x14ac:dyDescent="0.3">
      <c r="A317" s="238"/>
      <c r="B317" s="242">
        <v>6500</v>
      </c>
      <c r="C317" s="249" t="s">
        <v>222</v>
      </c>
      <c r="D317" s="244"/>
    </row>
    <row r="318" spans="1:4" ht="12" hidden="1" customHeight="1" outlineLevel="1" x14ac:dyDescent="0.3">
      <c r="A318" s="238"/>
      <c r="B318" s="199">
        <v>7000</v>
      </c>
      <c r="C318" s="200" t="s">
        <v>223</v>
      </c>
      <c r="D318" s="260">
        <f>SUM(D319:D321)</f>
        <v>0</v>
      </c>
    </row>
    <row r="319" spans="1:4" ht="12" hidden="1" customHeight="1" outlineLevel="1" x14ac:dyDescent="0.3">
      <c r="A319" s="238"/>
      <c r="B319" s="250">
        <v>7200</v>
      </c>
      <c r="C319" s="251" t="s">
        <v>224</v>
      </c>
      <c r="D319" s="244"/>
    </row>
    <row r="320" spans="1:4" ht="12" hidden="1" customHeight="1" outlineLevel="1" x14ac:dyDescent="0.3">
      <c r="A320" s="238"/>
      <c r="B320" s="250">
        <v>7500</v>
      </c>
      <c r="C320" s="251" t="s">
        <v>225</v>
      </c>
      <c r="D320" s="244"/>
    </row>
    <row r="321" spans="1:4" ht="12" hidden="1" customHeight="1" outlineLevel="1" x14ac:dyDescent="0.3">
      <c r="A321" s="238"/>
      <c r="B321" s="250">
        <v>7700</v>
      </c>
      <c r="C321" s="251" t="s">
        <v>226</v>
      </c>
      <c r="D321" s="244"/>
    </row>
    <row r="322" spans="1:4" ht="12" hidden="1" customHeight="1" outlineLevel="1" x14ac:dyDescent="0.3">
      <c r="A322" s="238"/>
      <c r="B322" s="252">
        <v>8000</v>
      </c>
      <c r="C322" s="253" t="s">
        <v>227</v>
      </c>
      <c r="D322" s="260">
        <f>SUM(D323:D325)</f>
        <v>0</v>
      </c>
    </row>
    <row r="323" spans="1:4" ht="12" hidden="1" customHeight="1" outlineLevel="1" x14ac:dyDescent="0.3">
      <c r="A323" s="238"/>
      <c r="B323" s="254">
        <v>8100</v>
      </c>
      <c r="C323" s="255" t="s">
        <v>228</v>
      </c>
      <c r="D323" s="260"/>
    </row>
    <row r="324" spans="1:4" ht="12" hidden="1" customHeight="1" outlineLevel="1" x14ac:dyDescent="0.3">
      <c r="A324" s="238"/>
      <c r="B324" s="254">
        <v>8600</v>
      </c>
      <c r="C324" s="255" t="s">
        <v>229</v>
      </c>
      <c r="D324" s="260"/>
    </row>
    <row r="325" spans="1:4" ht="28.5" hidden="1" customHeight="1" outlineLevel="1" x14ac:dyDescent="0.3">
      <c r="A325" s="238"/>
      <c r="B325" s="254">
        <v>8900</v>
      </c>
      <c r="C325" s="255" t="s">
        <v>230</v>
      </c>
      <c r="D325" s="260"/>
    </row>
    <row r="326" spans="1:4" ht="17.100000000000001" customHeight="1" collapsed="1" x14ac:dyDescent="0.3">
      <c r="A326" s="223" t="s">
        <v>245</v>
      </c>
      <c r="B326" s="224"/>
      <c r="C326" s="225" t="s">
        <v>246</v>
      </c>
      <c r="D326" s="226">
        <f t="shared" ref="D326" si="18">D327+D343+D356</f>
        <v>1130676</v>
      </c>
    </row>
    <row r="327" spans="1:4" ht="12" customHeight="1" x14ac:dyDescent="0.3">
      <c r="A327" s="227"/>
      <c r="B327" s="228"/>
      <c r="C327" s="229" t="s">
        <v>198</v>
      </c>
      <c r="D327" s="230">
        <f t="shared" ref="D327" si="19">D328+D331+D337+D340+D347+D352</f>
        <v>1060524</v>
      </c>
    </row>
    <row r="328" spans="1:4" ht="12" customHeight="1" x14ac:dyDescent="0.3">
      <c r="A328" s="227"/>
      <c r="B328" s="231">
        <v>1000</v>
      </c>
      <c r="C328" s="232" t="s">
        <v>199</v>
      </c>
      <c r="D328" s="233">
        <f>D362+D396+D430+D464</f>
        <v>831320</v>
      </c>
    </row>
    <row r="329" spans="1:4" ht="12" customHeight="1" x14ac:dyDescent="0.3">
      <c r="A329" s="227"/>
      <c r="B329" s="234">
        <v>1100</v>
      </c>
      <c r="C329" s="235" t="s">
        <v>200</v>
      </c>
      <c r="D329" s="236">
        <f t="shared" ref="D329:D330" si="20">D363+D397+D431+D465</f>
        <v>633934</v>
      </c>
    </row>
    <row r="330" spans="1:4" ht="12" customHeight="1" x14ac:dyDescent="0.3">
      <c r="A330" s="227"/>
      <c r="B330" s="234">
        <v>1200</v>
      </c>
      <c r="C330" s="237" t="s">
        <v>201</v>
      </c>
      <c r="D330" s="236">
        <f t="shared" si="20"/>
        <v>197386</v>
      </c>
    </row>
    <row r="331" spans="1:4" ht="12" customHeight="1" x14ac:dyDescent="0.3">
      <c r="A331" s="238"/>
      <c r="B331" s="239">
        <v>2000</v>
      </c>
      <c r="C331" s="240" t="s">
        <v>202</v>
      </c>
      <c r="D331" s="241">
        <f>D365+D399+D433+D467</f>
        <v>228081</v>
      </c>
    </row>
    <row r="332" spans="1:4" ht="12" customHeight="1" x14ac:dyDescent="0.3">
      <c r="A332" s="238"/>
      <c r="B332" s="242">
        <v>2100</v>
      </c>
      <c r="C332" s="243" t="s">
        <v>203</v>
      </c>
      <c r="D332" s="244">
        <f t="shared" ref="D332:D336" si="21">D366+D400+D434+D468</f>
        <v>0</v>
      </c>
    </row>
    <row r="333" spans="1:4" ht="12" customHeight="1" x14ac:dyDescent="0.3">
      <c r="A333" s="238"/>
      <c r="B333" s="242">
        <v>2200</v>
      </c>
      <c r="C333" s="243" t="s">
        <v>204</v>
      </c>
      <c r="D333" s="244">
        <f t="shared" si="21"/>
        <v>150671</v>
      </c>
    </row>
    <row r="334" spans="1:4" ht="12" customHeight="1" x14ac:dyDescent="0.3">
      <c r="A334" s="238"/>
      <c r="B334" s="242">
        <v>2300</v>
      </c>
      <c r="C334" s="243" t="s">
        <v>205</v>
      </c>
      <c r="D334" s="244">
        <f t="shared" si="21"/>
        <v>75195</v>
      </c>
    </row>
    <row r="335" spans="1:4" ht="12" customHeight="1" x14ac:dyDescent="0.3">
      <c r="A335" s="238"/>
      <c r="B335" s="242">
        <v>2400</v>
      </c>
      <c r="C335" s="243" t="s">
        <v>206</v>
      </c>
      <c r="D335" s="244">
        <f t="shared" si="21"/>
        <v>0</v>
      </c>
    </row>
    <row r="336" spans="1:4" ht="12" customHeight="1" x14ac:dyDescent="0.3">
      <c r="A336" s="238"/>
      <c r="B336" s="242">
        <v>2500</v>
      </c>
      <c r="C336" s="243" t="s">
        <v>207</v>
      </c>
      <c r="D336" s="244">
        <f t="shared" si="21"/>
        <v>2215</v>
      </c>
    </row>
    <row r="337" spans="1:4" ht="12" customHeight="1" x14ac:dyDescent="0.3">
      <c r="A337" s="238"/>
      <c r="B337" s="199">
        <v>3000</v>
      </c>
      <c r="C337" s="245" t="s">
        <v>208</v>
      </c>
      <c r="D337" s="241">
        <f t="shared" ref="D337:D339" si="22">D371+D405</f>
        <v>1123</v>
      </c>
    </row>
    <row r="338" spans="1:4" ht="12" customHeight="1" x14ac:dyDescent="0.3">
      <c r="A338" s="238"/>
      <c r="B338" s="242">
        <v>3200</v>
      </c>
      <c r="C338" s="243" t="s">
        <v>209</v>
      </c>
      <c r="D338" s="244">
        <f t="shared" si="22"/>
        <v>1123</v>
      </c>
    </row>
    <row r="339" spans="1:4" ht="12" hidden="1" customHeight="1" outlineLevel="1" x14ac:dyDescent="0.3">
      <c r="A339" s="238"/>
      <c r="B339" s="242">
        <v>3300</v>
      </c>
      <c r="C339" s="243" t="s">
        <v>210</v>
      </c>
      <c r="D339" s="244">
        <f t="shared" si="22"/>
        <v>0</v>
      </c>
    </row>
    <row r="340" spans="1:4" ht="12" hidden="1" customHeight="1" outlineLevel="1" x14ac:dyDescent="0.3">
      <c r="A340" s="238"/>
      <c r="B340" s="199">
        <v>4000</v>
      </c>
      <c r="C340" s="246" t="s">
        <v>211</v>
      </c>
      <c r="D340" s="241">
        <f>D374+D408</f>
        <v>0</v>
      </c>
    </row>
    <row r="341" spans="1:4" ht="12" hidden="1" customHeight="1" outlineLevel="1" x14ac:dyDescent="0.3">
      <c r="A341" s="238"/>
      <c r="B341" s="242">
        <v>4200</v>
      </c>
      <c r="C341" s="247" t="s">
        <v>212</v>
      </c>
      <c r="D341" s="244">
        <f t="shared" ref="D341:D342" si="23">D375+D409</f>
        <v>0</v>
      </c>
    </row>
    <row r="342" spans="1:4" ht="12" hidden="1" customHeight="1" outlineLevel="1" x14ac:dyDescent="0.3">
      <c r="A342" s="238"/>
      <c r="B342" s="242">
        <v>4300</v>
      </c>
      <c r="C342" s="247" t="s">
        <v>213</v>
      </c>
      <c r="D342" s="244">
        <f t="shared" si="23"/>
        <v>0</v>
      </c>
    </row>
    <row r="343" spans="1:4" ht="12" customHeight="1" collapsed="1" x14ac:dyDescent="0.3">
      <c r="A343" s="238"/>
      <c r="B343" s="199">
        <v>5000</v>
      </c>
      <c r="C343" s="200" t="s">
        <v>214</v>
      </c>
      <c r="D343" s="241">
        <f>D377+D411</f>
        <v>70152</v>
      </c>
    </row>
    <row r="344" spans="1:4" ht="12" customHeight="1" x14ac:dyDescent="0.3">
      <c r="A344" s="238"/>
      <c r="B344" s="242">
        <v>5100</v>
      </c>
      <c r="C344" s="248" t="s">
        <v>215</v>
      </c>
      <c r="D344" s="244">
        <f t="shared" ref="D344:D346" si="24">D378+D412</f>
        <v>0</v>
      </c>
    </row>
    <row r="345" spans="1:4" ht="12" customHeight="1" x14ac:dyDescent="0.3">
      <c r="A345" s="238"/>
      <c r="B345" s="242">
        <v>5200</v>
      </c>
      <c r="C345" s="248" t="s">
        <v>216</v>
      </c>
      <c r="D345" s="244">
        <f t="shared" si="24"/>
        <v>70152</v>
      </c>
    </row>
    <row r="346" spans="1:4" ht="12" hidden="1" customHeight="1" outlineLevel="1" x14ac:dyDescent="0.3">
      <c r="A346" s="238"/>
      <c r="B346" s="242">
        <v>5300</v>
      </c>
      <c r="C346" s="249" t="s">
        <v>217</v>
      </c>
      <c r="D346" s="244">
        <f t="shared" si="24"/>
        <v>0</v>
      </c>
    </row>
    <row r="347" spans="1:4" ht="12" hidden="1" customHeight="1" outlineLevel="1" x14ac:dyDescent="0.3">
      <c r="A347" s="238"/>
      <c r="B347" s="199">
        <v>6000</v>
      </c>
      <c r="C347" s="200" t="s">
        <v>218</v>
      </c>
      <c r="D347" s="241">
        <f>D381+D415</f>
        <v>0</v>
      </c>
    </row>
    <row r="348" spans="1:4" ht="12" hidden="1" customHeight="1" outlineLevel="1" x14ac:dyDescent="0.3">
      <c r="A348" s="238"/>
      <c r="B348" s="242">
        <v>6200</v>
      </c>
      <c r="C348" s="248" t="s">
        <v>219</v>
      </c>
      <c r="D348" s="244">
        <f t="shared" ref="D348:D351" si="25">D382+D416</f>
        <v>0</v>
      </c>
    </row>
    <row r="349" spans="1:4" ht="12" hidden="1" customHeight="1" outlineLevel="1" x14ac:dyDescent="0.3">
      <c r="A349" s="238"/>
      <c r="B349" s="242">
        <v>6300</v>
      </c>
      <c r="C349" s="248" t="s">
        <v>220</v>
      </c>
      <c r="D349" s="244">
        <f t="shared" si="25"/>
        <v>0</v>
      </c>
    </row>
    <row r="350" spans="1:4" ht="12" hidden="1" customHeight="1" outlineLevel="1" x14ac:dyDescent="0.3">
      <c r="A350" s="238"/>
      <c r="B350" s="242">
        <v>6400</v>
      </c>
      <c r="C350" s="248" t="s">
        <v>221</v>
      </c>
      <c r="D350" s="244">
        <f t="shared" si="25"/>
        <v>0</v>
      </c>
    </row>
    <row r="351" spans="1:4" ht="12" hidden="1" customHeight="1" outlineLevel="1" x14ac:dyDescent="0.3">
      <c r="A351" s="238"/>
      <c r="B351" s="242">
        <v>6500</v>
      </c>
      <c r="C351" s="249" t="s">
        <v>222</v>
      </c>
      <c r="D351" s="244">
        <f t="shared" si="25"/>
        <v>0</v>
      </c>
    </row>
    <row r="352" spans="1:4" ht="12" hidden="1" customHeight="1" outlineLevel="1" x14ac:dyDescent="0.3">
      <c r="A352" s="238"/>
      <c r="B352" s="199">
        <v>7000</v>
      </c>
      <c r="C352" s="200" t="s">
        <v>223</v>
      </c>
      <c r="D352" s="241">
        <f>D386+D420</f>
        <v>0</v>
      </c>
    </row>
    <row r="353" spans="1:4" ht="12" hidden="1" customHeight="1" outlineLevel="1" x14ac:dyDescent="0.3">
      <c r="A353" s="238"/>
      <c r="B353" s="250">
        <v>7200</v>
      </c>
      <c r="C353" s="251" t="s">
        <v>224</v>
      </c>
      <c r="D353" s="244">
        <f t="shared" ref="D353:D355" si="26">D387+D421</f>
        <v>0</v>
      </c>
    </row>
    <row r="354" spans="1:4" ht="12" hidden="1" customHeight="1" outlineLevel="1" x14ac:dyDescent="0.3">
      <c r="A354" s="238"/>
      <c r="B354" s="250">
        <v>7500</v>
      </c>
      <c r="C354" s="251" t="s">
        <v>225</v>
      </c>
      <c r="D354" s="244">
        <f t="shared" si="26"/>
        <v>0</v>
      </c>
    </row>
    <row r="355" spans="1:4" ht="12" hidden="1" customHeight="1" outlineLevel="1" x14ac:dyDescent="0.3">
      <c r="A355" s="238"/>
      <c r="B355" s="250">
        <v>7700</v>
      </c>
      <c r="C355" s="251" t="s">
        <v>226</v>
      </c>
      <c r="D355" s="244">
        <f t="shared" si="26"/>
        <v>0</v>
      </c>
    </row>
    <row r="356" spans="1:4" ht="12" hidden="1" customHeight="1" outlineLevel="1" x14ac:dyDescent="0.3">
      <c r="A356" s="238"/>
      <c r="B356" s="252">
        <v>8000</v>
      </c>
      <c r="C356" s="253" t="s">
        <v>227</v>
      </c>
      <c r="D356" s="241">
        <f>D390+D424</f>
        <v>0</v>
      </c>
    </row>
    <row r="357" spans="1:4" ht="12" hidden="1" customHeight="1" outlineLevel="1" x14ac:dyDescent="0.3">
      <c r="A357" s="238"/>
      <c r="B357" s="254">
        <v>8100</v>
      </c>
      <c r="C357" s="255" t="s">
        <v>228</v>
      </c>
      <c r="D357" s="244">
        <f t="shared" ref="D357:D359" si="27">D391+D425</f>
        <v>0</v>
      </c>
    </row>
    <row r="358" spans="1:4" ht="12" hidden="1" customHeight="1" outlineLevel="1" x14ac:dyDescent="0.3">
      <c r="A358" s="238"/>
      <c r="B358" s="254">
        <v>8600</v>
      </c>
      <c r="C358" s="255" t="s">
        <v>229</v>
      </c>
      <c r="D358" s="244">
        <f t="shared" si="27"/>
        <v>0</v>
      </c>
    </row>
    <row r="359" spans="1:4" ht="12" hidden="1" customHeight="1" outlineLevel="1" x14ac:dyDescent="0.3">
      <c r="A359" s="238"/>
      <c r="B359" s="254">
        <v>8900</v>
      </c>
      <c r="C359" s="255" t="s">
        <v>230</v>
      </c>
      <c r="D359" s="244">
        <f t="shared" si="27"/>
        <v>0</v>
      </c>
    </row>
    <row r="360" spans="1:4" ht="12" customHeight="1" collapsed="1" x14ac:dyDescent="0.3">
      <c r="A360" s="256" t="s">
        <v>247</v>
      </c>
      <c r="B360" s="257"/>
      <c r="C360" s="258" t="s">
        <v>248</v>
      </c>
      <c r="D360" s="259">
        <f t="shared" ref="D360" si="28">D361+D377+D390</f>
        <v>1126714</v>
      </c>
    </row>
    <row r="361" spans="1:4" ht="12" customHeight="1" x14ac:dyDescent="0.3">
      <c r="A361" s="227"/>
      <c r="B361" s="228"/>
      <c r="C361" s="229" t="s">
        <v>198</v>
      </c>
      <c r="D361" s="230">
        <f t="shared" ref="D361" si="29">D362+D365+D371+D374+D381+D386</f>
        <v>1056562</v>
      </c>
    </row>
    <row r="362" spans="1:4" ht="12" customHeight="1" x14ac:dyDescent="0.3">
      <c r="A362" s="227"/>
      <c r="B362" s="231">
        <v>1000</v>
      </c>
      <c r="C362" s="232" t="s">
        <v>199</v>
      </c>
      <c r="D362" s="230">
        <f>SUM(D363:D364)</f>
        <v>831320</v>
      </c>
    </row>
    <row r="363" spans="1:4" ht="12" customHeight="1" x14ac:dyDescent="0.3">
      <c r="A363" s="227"/>
      <c r="B363" s="234">
        <v>1100</v>
      </c>
      <c r="C363" s="235" t="s">
        <v>200</v>
      </c>
      <c r="D363" s="236">
        <f>666165-10111-22120</f>
        <v>633934</v>
      </c>
    </row>
    <row r="364" spans="1:4" ht="12" customHeight="1" x14ac:dyDescent="0.3">
      <c r="A364" s="227"/>
      <c r="B364" s="234">
        <v>1200</v>
      </c>
      <c r="C364" s="237" t="s">
        <v>201</v>
      </c>
      <c r="D364" s="236">
        <f>192297+10111-5022</f>
        <v>197386</v>
      </c>
    </row>
    <row r="365" spans="1:4" ht="12" customHeight="1" x14ac:dyDescent="0.3">
      <c r="A365" s="238"/>
      <c r="B365" s="239">
        <v>2000</v>
      </c>
      <c r="C365" s="240" t="s">
        <v>202</v>
      </c>
      <c r="D365" s="260">
        <f>SUM(D366:D370)</f>
        <v>224119</v>
      </c>
    </row>
    <row r="366" spans="1:4" ht="12" customHeight="1" x14ac:dyDescent="0.3">
      <c r="A366" s="238"/>
      <c r="B366" s="242">
        <v>2100</v>
      </c>
      <c r="C366" s="243" t="s">
        <v>203</v>
      </c>
      <c r="D366" s="244">
        <v>0</v>
      </c>
    </row>
    <row r="367" spans="1:4" ht="12" customHeight="1" x14ac:dyDescent="0.3">
      <c r="A367" s="238"/>
      <c r="B367" s="242">
        <v>2200</v>
      </c>
      <c r="C367" s="243" t="s">
        <v>204</v>
      </c>
      <c r="D367" s="244">
        <f>129176+715+14407+2411</f>
        <v>146709</v>
      </c>
    </row>
    <row r="368" spans="1:4" ht="12" customHeight="1" x14ac:dyDescent="0.3">
      <c r="A368" s="238"/>
      <c r="B368" s="242">
        <v>2300</v>
      </c>
      <c r="C368" s="243" t="s">
        <v>205</v>
      </c>
      <c r="D368" s="244">
        <f>78596+1622-1929-3094</f>
        <v>75195</v>
      </c>
    </row>
    <row r="369" spans="1:4" ht="12" customHeight="1" x14ac:dyDescent="0.3">
      <c r="A369" s="238"/>
      <c r="B369" s="242">
        <v>2400</v>
      </c>
      <c r="C369" s="243" t="s">
        <v>206</v>
      </c>
      <c r="D369" s="244">
        <v>0</v>
      </c>
    </row>
    <row r="370" spans="1:4" ht="12" customHeight="1" x14ac:dyDescent="0.3">
      <c r="A370" s="238"/>
      <c r="B370" s="242">
        <v>2500</v>
      </c>
      <c r="C370" s="243" t="s">
        <v>207</v>
      </c>
      <c r="D370" s="244">
        <v>2215</v>
      </c>
    </row>
    <row r="371" spans="1:4" ht="12" customHeight="1" outlineLevel="1" x14ac:dyDescent="0.3">
      <c r="A371" s="238"/>
      <c r="B371" s="199">
        <v>3000</v>
      </c>
      <c r="C371" s="245" t="s">
        <v>208</v>
      </c>
      <c r="D371" s="260">
        <f>SUM(D372:D373)</f>
        <v>1123</v>
      </c>
    </row>
    <row r="372" spans="1:4" ht="12" customHeight="1" outlineLevel="1" x14ac:dyDescent="0.3">
      <c r="A372" s="238"/>
      <c r="B372" s="242">
        <v>3200</v>
      </c>
      <c r="C372" s="243" t="s">
        <v>209</v>
      </c>
      <c r="D372" s="244">
        <v>1123</v>
      </c>
    </row>
    <row r="373" spans="1:4" ht="12" customHeight="1" outlineLevel="1" x14ac:dyDescent="0.3">
      <c r="A373" s="238"/>
      <c r="B373" s="242">
        <v>3300</v>
      </c>
      <c r="C373" s="243" t="s">
        <v>210</v>
      </c>
      <c r="D373" s="244"/>
    </row>
    <row r="374" spans="1:4" ht="12" customHeight="1" outlineLevel="1" x14ac:dyDescent="0.3">
      <c r="A374" s="238"/>
      <c r="B374" s="199">
        <v>4000</v>
      </c>
      <c r="C374" s="246" t="s">
        <v>211</v>
      </c>
      <c r="D374" s="260">
        <f>SUM(D375:D376)</f>
        <v>0</v>
      </c>
    </row>
    <row r="375" spans="1:4" ht="12" customHeight="1" outlineLevel="1" x14ac:dyDescent="0.3">
      <c r="A375" s="238"/>
      <c r="B375" s="242">
        <v>4200</v>
      </c>
      <c r="C375" s="247" t="s">
        <v>212</v>
      </c>
      <c r="D375" s="244"/>
    </row>
    <row r="376" spans="1:4" ht="12" customHeight="1" outlineLevel="1" x14ac:dyDescent="0.3">
      <c r="A376" s="238"/>
      <c r="B376" s="242">
        <v>4300</v>
      </c>
      <c r="C376" s="247" t="s">
        <v>213</v>
      </c>
      <c r="D376" s="244"/>
    </row>
    <row r="377" spans="1:4" ht="12" customHeight="1" x14ac:dyDescent="0.3">
      <c r="A377" s="238"/>
      <c r="B377" s="199">
        <v>5000</v>
      </c>
      <c r="C377" s="200" t="s">
        <v>214</v>
      </c>
      <c r="D377" s="260">
        <f>SUM(D378:D380)</f>
        <v>70152</v>
      </c>
    </row>
    <row r="378" spans="1:4" ht="12" customHeight="1" x14ac:dyDescent="0.3">
      <c r="A378" s="238"/>
      <c r="B378" s="242">
        <v>5100</v>
      </c>
      <c r="C378" s="248" t="s">
        <v>215</v>
      </c>
      <c r="D378" s="244">
        <v>0</v>
      </c>
    </row>
    <row r="379" spans="1:4" ht="12" customHeight="1" x14ac:dyDescent="0.3">
      <c r="A379" s="238"/>
      <c r="B379" s="242">
        <v>5200</v>
      </c>
      <c r="C379" s="248" t="s">
        <v>216</v>
      </c>
      <c r="D379" s="244">
        <f>88098-1017-718-16211</f>
        <v>70152</v>
      </c>
    </row>
    <row r="380" spans="1:4" ht="12" hidden="1" customHeight="1" outlineLevel="1" x14ac:dyDescent="0.3">
      <c r="A380" s="238"/>
      <c r="B380" s="242">
        <v>5300</v>
      </c>
      <c r="C380" s="249" t="s">
        <v>217</v>
      </c>
      <c r="D380" s="244"/>
    </row>
    <row r="381" spans="1:4" ht="12" hidden="1" customHeight="1" outlineLevel="1" x14ac:dyDescent="0.3">
      <c r="A381" s="238"/>
      <c r="B381" s="199">
        <v>6000</v>
      </c>
      <c r="C381" s="200" t="s">
        <v>218</v>
      </c>
      <c r="D381" s="260">
        <f>SUM(D382:D385)</f>
        <v>0</v>
      </c>
    </row>
    <row r="382" spans="1:4" ht="12" hidden="1" customHeight="1" outlineLevel="1" x14ac:dyDescent="0.3">
      <c r="A382" s="238"/>
      <c r="B382" s="242">
        <v>6200</v>
      </c>
      <c r="C382" s="248" t="s">
        <v>219</v>
      </c>
      <c r="D382" s="244"/>
    </row>
    <row r="383" spans="1:4" ht="12" hidden="1" customHeight="1" outlineLevel="1" x14ac:dyDescent="0.3">
      <c r="A383" s="238"/>
      <c r="B383" s="242">
        <v>6300</v>
      </c>
      <c r="C383" s="248" t="s">
        <v>220</v>
      </c>
      <c r="D383" s="244"/>
    </row>
    <row r="384" spans="1:4" ht="12" hidden="1" customHeight="1" outlineLevel="1" x14ac:dyDescent="0.3">
      <c r="A384" s="238"/>
      <c r="B384" s="242">
        <v>6400</v>
      </c>
      <c r="C384" s="248" t="s">
        <v>221</v>
      </c>
      <c r="D384" s="244"/>
    </row>
    <row r="385" spans="1:4" ht="12" hidden="1" customHeight="1" outlineLevel="1" x14ac:dyDescent="0.3">
      <c r="A385" s="238"/>
      <c r="B385" s="242">
        <v>6500</v>
      </c>
      <c r="C385" s="249" t="s">
        <v>222</v>
      </c>
      <c r="D385" s="244"/>
    </row>
    <row r="386" spans="1:4" ht="12" hidden="1" customHeight="1" outlineLevel="1" x14ac:dyDescent="0.3">
      <c r="A386" s="238"/>
      <c r="B386" s="199">
        <v>7000</v>
      </c>
      <c r="C386" s="200" t="s">
        <v>223</v>
      </c>
      <c r="D386" s="260">
        <f>SUM(D387:D389)</f>
        <v>0</v>
      </c>
    </row>
    <row r="387" spans="1:4" ht="12" hidden="1" customHeight="1" outlineLevel="1" x14ac:dyDescent="0.3">
      <c r="A387" s="238"/>
      <c r="B387" s="250">
        <v>7200</v>
      </c>
      <c r="C387" s="251" t="s">
        <v>224</v>
      </c>
      <c r="D387" s="244"/>
    </row>
    <row r="388" spans="1:4" ht="12" hidden="1" customHeight="1" outlineLevel="1" x14ac:dyDescent="0.3">
      <c r="A388" s="238"/>
      <c r="B388" s="250">
        <v>7500</v>
      </c>
      <c r="C388" s="251" t="s">
        <v>225</v>
      </c>
      <c r="D388" s="244"/>
    </row>
    <row r="389" spans="1:4" ht="12" hidden="1" customHeight="1" outlineLevel="1" x14ac:dyDescent="0.3">
      <c r="A389" s="238"/>
      <c r="B389" s="250">
        <v>7700</v>
      </c>
      <c r="C389" s="251" t="s">
        <v>226</v>
      </c>
      <c r="D389" s="244"/>
    </row>
    <row r="390" spans="1:4" ht="12" hidden="1" customHeight="1" outlineLevel="1" x14ac:dyDescent="0.3">
      <c r="A390" s="238"/>
      <c r="B390" s="252">
        <v>8000</v>
      </c>
      <c r="C390" s="253" t="s">
        <v>227</v>
      </c>
      <c r="D390" s="260">
        <f>SUM(D391:D393)</f>
        <v>0</v>
      </c>
    </row>
    <row r="391" spans="1:4" ht="12" hidden="1" customHeight="1" outlineLevel="1" x14ac:dyDescent="0.3">
      <c r="A391" s="238"/>
      <c r="B391" s="254">
        <v>8100</v>
      </c>
      <c r="C391" s="255" t="s">
        <v>228</v>
      </c>
      <c r="D391" s="260"/>
    </row>
    <row r="392" spans="1:4" ht="12" hidden="1" customHeight="1" outlineLevel="1" x14ac:dyDescent="0.3">
      <c r="A392" s="238"/>
      <c r="B392" s="254">
        <v>8600</v>
      </c>
      <c r="C392" s="255" t="s">
        <v>229</v>
      </c>
      <c r="D392" s="260"/>
    </row>
    <row r="393" spans="1:4" ht="12" hidden="1" customHeight="1" outlineLevel="1" x14ac:dyDescent="0.3">
      <c r="A393" s="238"/>
      <c r="B393" s="254">
        <v>8900</v>
      </c>
      <c r="C393" s="255" t="s">
        <v>230</v>
      </c>
      <c r="D393" s="260"/>
    </row>
    <row r="394" spans="1:4" ht="12" customHeight="1" collapsed="1" x14ac:dyDescent="0.3">
      <c r="A394" s="256" t="s">
        <v>249</v>
      </c>
      <c r="B394" s="257"/>
      <c r="C394" s="258" t="s">
        <v>250</v>
      </c>
      <c r="D394" s="259">
        <f t="shared" ref="D394" si="30">D395+D411+D424</f>
        <v>3962</v>
      </c>
    </row>
    <row r="395" spans="1:4" ht="12" customHeight="1" x14ac:dyDescent="0.3">
      <c r="A395" s="227"/>
      <c r="B395" s="228"/>
      <c r="C395" s="229" t="s">
        <v>251</v>
      </c>
      <c r="D395" s="230">
        <f t="shared" ref="D395" si="31">D396+D399+D405+D408+D415+D420</f>
        <v>3962</v>
      </c>
    </row>
    <row r="396" spans="1:4" ht="12" hidden="1" customHeight="1" outlineLevel="1" x14ac:dyDescent="0.3">
      <c r="A396" s="227"/>
      <c r="B396" s="231">
        <v>1000</v>
      </c>
      <c r="C396" s="232" t="s">
        <v>199</v>
      </c>
      <c r="D396" s="230">
        <f>SUM(D397:D398)</f>
        <v>0</v>
      </c>
    </row>
    <row r="397" spans="1:4" ht="12" hidden="1" customHeight="1" outlineLevel="1" x14ac:dyDescent="0.3">
      <c r="A397" s="227"/>
      <c r="B397" s="234">
        <v>1100</v>
      </c>
      <c r="C397" s="235" t="s">
        <v>200</v>
      </c>
      <c r="D397" s="236"/>
    </row>
    <row r="398" spans="1:4" ht="12" hidden="1" customHeight="1" outlineLevel="1" x14ac:dyDescent="0.3">
      <c r="A398" s="227"/>
      <c r="B398" s="234">
        <v>1200</v>
      </c>
      <c r="C398" s="237" t="s">
        <v>201</v>
      </c>
      <c r="D398" s="236"/>
    </row>
    <row r="399" spans="1:4" ht="12" customHeight="1" collapsed="1" x14ac:dyDescent="0.3">
      <c r="A399" s="238"/>
      <c r="B399" s="239">
        <v>2000</v>
      </c>
      <c r="C399" s="240" t="s">
        <v>202</v>
      </c>
      <c r="D399" s="260">
        <f>SUM(D400:D404)</f>
        <v>3962</v>
      </c>
    </row>
    <row r="400" spans="1:4" ht="12" customHeight="1" x14ac:dyDescent="0.3">
      <c r="A400" s="238"/>
      <c r="B400" s="242">
        <v>2100</v>
      </c>
      <c r="C400" s="243" t="s">
        <v>203</v>
      </c>
      <c r="D400" s="244"/>
    </row>
    <row r="401" spans="1:4" ht="12" customHeight="1" x14ac:dyDescent="0.3">
      <c r="A401" s="238"/>
      <c r="B401" s="242">
        <v>2200</v>
      </c>
      <c r="C401" s="243" t="s">
        <v>204</v>
      </c>
      <c r="D401" s="244">
        <v>3962</v>
      </c>
    </row>
    <row r="402" spans="1:4" ht="12" hidden="1" customHeight="1" outlineLevel="1" x14ac:dyDescent="0.3">
      <c r="A402" s="238"/>
      <c r="B402" s="242">
        <v>2300</v>
      </c>
      <c r="C402" s="243" t="s">
        <v>205</v>
      </c>
      <c r="D402" s="244"/>
    </row>
    <row r="403" spans="1:4" ht="12" hidden="1" customHeight="1" outlineLevel="1" x14ac:dyDescent="0.3">
      <c r="A403" s="238"/>
      <c r="B403" s="242">
        <v>2400</v>
      </c>
      <c r="C403" s="243" t="s">
        <v>206</v>
      </c>
      <c r="D403" s="244"/>
    </row>
    <row r="404" spans="1:4" ht="12" hidden="1" customHeight="1" outlineLevel="1" x14ac:dyDescent="0.3">
      <c r="A404" s="238"/>
      <c r="B404" s="242">
        <v>2500</v>
      </c>
      <c r="C404" s="243" t="s">
        <v>207</v>
      </c>
      <c r="D404" s="244"/>
    </row>
    <row r="405" spans="1:4" ht="12" hidden="1" customHeight="1" outlineLevel="1" x14ac:dyDescent="0.3">
      <c r="A405" s="238"/>
      <c r="B405" s="199">
        <v>3000</v>
      </c>
      <c r="C405" s="245" t="s">
        <v>208</v>
      </c>
      <c r="D405" s="260">
        <f>SUM(D406:D407)</f>
        <v>0</v>
      </c>
    </row>
    <row r="406" spans="1:4" ht="12" hidden="1" customHeight="1" outlineLevel="1" x14ac:dyDescent="0.3">
      <c r="A406" s="238"/>
      <c r="B406" s="242">
        <v>3200</v>
      </c>
      <c r="C406" s="243" t="s">
        <v>209</v>
      </c>
      <c r="D406" s="244"/>
    </row>
    <row r="407" spans="1:4" ht="12" hidden="1" customHeight="1" outlineLevel="1" x14ac:dyDescent="0.3">
      <c r="A407" s="238"/>
      <c r="B407" s="242">
        <v>3300</v>
      </c>
      <c r="C407" s="243" t="s">
        <v>210</v>
      </c>
      <c r="D407" s="244"/>
    </row>
    <row r="408" spans="1:4" ht="12" hidden="1" customHeight="1" outlineLevel="1" x14ac:dyDescent="0.3">
      <c r="A408" s="238"/>
      <c r="B408" s="199">
        <v>4000</v>
      </c>
      <c r="C408" s="246" t="s">
        <v>211</v>
      </c>
      <c r="D408" s="260">
        <f>SUM(D409:D410)</f>
        <v>0</v>
      </c>
    </row>
    <row r="409" spans="1:4" ht="12" hidden="1" customHeight="1" outlineLevel="1" x14ac:dyDescent="0.3">
      <c r="A409" s="238"/>
      <c r="B409" s="242">
        <v>4200</v>
      </c>
      <c r="C409" s="247" t="s">
        <v>212</v>
      </c>
      <c r="D409" s="244"/>
    </row>
    <row r="410" spans="1:4" ht="12" hidden="1" customHeight="1" outlineLevel="1" x14ac:dyDescent="0.3">
      <c r="A410" s="238"/>
      <c r="B410" s="242">
        <v>4300</v>
      </c>
      <c r="C410" s="247" t="s">
        <v>213</v>
      </c>
      <c r="D410" s="244"/>
    </row>
    <row r="411" spans="1:4" ht="12" hidden="1" customHeight="1" outlineLevel="1" collapsed="1" x14ac:dyDescent="0.3">
      <c r="A411" s="238"/>
      <c r="B411" s="199">
        <v>5000</v>
      </c>
      <c r="C411" s="200" t="s">
        <v>214</v>
      </c>
      <c r="D411" s="260">
        <f>SUM(D412:D414)</f>
        <v>0</v>
      </c>
    </row>
    <row r="412" spans="1:4" ht="12" hidden="1" customHeight="1" outlineLevel="1" x14ac:dyDescent="0.3">
      <c r="A412" s="238"/>
      <c r="B412" s="242">
        <v>5100</v>
      </c>
      <c r="C412" s="248" t="s">
        <v>215</v>
      </c>
      <c r="D412" s="244"/>
    </row>
    <row r="413" spans="1:4" ht="12" hidden="1" customHeight="1" outlineLevel="1" x14ac:dyDescent="0.3">
      <c r="A413" s="238"/>
      <c r="B413" s="242">
        <v>5200</v>
      </c>
      <c r="C413" s="248" t="s">
        <v>216</v>
      </c>
      <c r="D413" s="244"/>
    </row>
    <row r="414" spans="1:4" ht="12" hidden="1" customHeight="1" outlineLevel="1" x14ac:dyDescent="0.3">
      <c r="A414" s="238"/>
      <c r="B414" s="242">
        <v>5300</v>
      </c>
      <c r="C414" s="249" t="s">
        <v>217</v>
      </c>
      <c r="D414" s="244"/>
    </row>
    <row r="415" spans="1:4" ht="12" hidden="1" customHeight="1" outlineLevel="1" x14ac:dyDescent="0.3">
      <c r="A415" s="238"/>
      <c r="B415" s="199">
        <v>6000</v>
      </c>
      <c r="C415" s="200" t="s">
        <v>218</v>
      </c>
      <c r="D415" s="260">
        <f>SUM(D416:D419)</f>
        <v>0</v>
      </c>
    </row>
    <row r="416" spans="1:4" ht="12" hidden="1" customHeight="1" outlineLevel="1" x14ac:dyDescent="0.3">
      <c r="A416" s="238"/>
      <c r="B416" s="242">
        <v>6200</v>
      </c>
      <c r="C416" s="248" t="s">
        <v>219</v>
      </c>
      <c r="D416" s="244"/>
    </row>
    <row r="417" spans="1:4" ht="12" hidden="1" customHeight="1" outlineLevel="1" x14ac:dyDescent="0.3">
      <c r="A417" s="238"/>
      <c r="B417" s="242">
        <v>6300</v>
      </c>
      <c r="C417" s="248" t="s">
        <v>220</v>
      </c>
      <c r="D417" s="244"/>
    </row>
    <row r="418" spans="1:4" ht="12" hidden="1" customHeight="1" outlineLevel="1" x14ac:dyDescent="0.3">
      <c r="A418" s="238"/>
      <c r="B418" s="242">
        <v>6400</v>
      </c>
      <c r="C418" s="248" t="s">
        <v>221</v>
      </c>
      <c r="D418" s="244"/>
    </row>
    <row r="419" spans="1:4" ht="12" hidden="1" customHeight="1" outlineLevel="1" x14ac:dyDescent="0.3">
      <c r="A419" s="238"/>
      <c r="B419" s="242">
        <v>6500</v>
      </c>
      <c r="C419" s="249" t="s">
        <v>222</v>
      </c>
      <c r="D419" s="244"/>
    </row>
    <row r="420" spans="1:4" ht="12" hidden="1" customHeight="1" outlineLevel="1" x14ac:dyDescent="0.3">
      <c r="A420" s="238"/>
      <c r="B420" s="199">
        <v>7000</v>
      </c>
      <c r="C420" s="200" t="s">
        <v>223</v>
      </c>
      <c r="D420" s="260">
        <f>SUM(D421:D423)</f>
        <v>0</v>
      </c>
    </row>
    <row r="421" spans="1:4" ht="12" hidden="1" customHeight="1" outlineLevel="1" x14ac:dyDescent="0.3">
      <c r="A421" s="238"/>
      <c r="B421" s="250">
        <v>7200</v>
      </c>
      <c r="C421" s="251" t="s">
        <v>224</v>
      </c>
      <c r="D421" s="244"/>
    </row>
    <row r="422" spans="1:4" ht="12" hidden="1" customHeight="1" outlineLevel="1" x14ac:dyDescent="0.3">
      <c r="A422" s="238"/>
      <c r="B422" s="250">
        <v>7500</v>
      </c>
      <c r="C422" s="251" t="s">
        <v>225</v>
      </c>
      <c r="D422" s="244"/>
    </row>
    <row r="423" spans="1:4" ht="12" hidden="1" customHeight="1" outlineLevel="1" x14ac:dyDescent="0.3">
      <c r="A423" s="238"/>
      <c r="B423" s="250">
        <v>7700</v>
      </c>
      <c r="C423" s="251" t="s">
        <v>226</v>
      </c>
      <c r="D423" s="244"/>
    </row>
    <row r="424" spans="1:4" ht="12" hidden="1" customHeight="1" outlineLevel="1" x14ac:dyDescent="0.3">
      <c r="A424" s="238"/>
      <c r="B424" s="252">
        <v>8000</v>
      </c>
      <c r="C424" s="253" t="s">
        <v>227</v>
      </c>
      <c r="D424" s="260">
        <f>SUM(D425:D427)</f>
        <v>0</v>
      </c>
    </row>
    <row r="425" spans="1:4" ht="12" hidden="1" customHeight="1" outlineLevel="1" x14ac:dyDescent="0.3">
      <c r="A425" s="238"/>
      <c r="B425" s="254">
        <v>8100</v>
      </c>
      <c r="C425" s="255" t="s">
        <v>228</v>
      </c>
      <c r="D425" s="260"/>
    </row>
    <row r="426" spans="1:4" ht="12" hidden="1" customHeight="1" outlineLevel="1" x14ac:dyDescent="0.3">
      <c r="A426" s="238"/>
      <c r="B426" s="254">
        <v>8600</v>
      </c>
      <c r="C426" s="255" t="s">
        <v>229</v>
      </c>
      <c r="D426" s="260"/>
    </row>
    <row r="427" spans="1:4" ht="12" hidden="1" customHeight="1" outlineLevel="1" x14ac:dyDescent="0.3">
      <c r="A427" s="238"/>
      <c r="B427" s="254">
        <v>8900</v>
      </c>
      <c r="C427" s="255" t="s">
        <v>230</v>
      </c>
      <c r="D427" s="260"/>
    </row>
    <row r="428" spans="1:4" ht="12" hidden="1" customHeight="1" outlineLevel="1" x14ac:dyDescent="0.3">
      <c r="A428" s="256" t="s">
        <v>252</v>
      </c>
      <c r="B428" s="257"/>
      <c r="C428" s="258" t="s">
        <v>253</v>
      </c>
      <c r="D428" s="259">
        <f t="shared" ref="D428" si="32">D429+D445+D458</f>
        <v>0</v>
      </c>
    </row>
    <row r="429" spans="1:4" ht="12" hidden="1" customHeight="1" outlineLevel="1" x14ac:dyDescent="0.3">
      <c r="A429" s="227"/>
      <c r="B429" s="228"/>
      <c r="C429" s="229" t="s">
        <v>251</v>
      </c>
      <c r="D429" s="230">
        <f t="shared" ref="D429" si="33">D430+D433+D439+D442+D449+D454</f>
        <v>0</v>
      </c>
    </row>
    <row r="430" spans="1:4" ht="12" hidden="1" customHeight="1" outlineLevel="1" x14ac:dyDescent="0.3">
      <c r="A430" s="227"/>
      <c r="B430" s="231">
        <v>1000</v>
      </c>
      <c r="C430" s="232" t="s">
        <v>199</v>
      </c>
      <c r="D430" s="230">
        <f>SUM(D431:D432)</f>
        <v>0</v>
      </c>
    </row>
    <row r="431" spans="1:4" ht="12" hidden="1" customHeight="1" outlineLevel="1" x14ac:dyDescent="0.3">
      <c r="A431" s="227"/>
      <c r="B431" s="234">
        <v>1100</v>
      </c>
      <c r="C431" s="235" t="s">
        <v>200</v>
      </c>
      <c r="D431" s="236"/>
    </row>
    <row r="432" spans="1:4" ht="12" hidden="1" customHeight="1" outlineLevel="1" x14ac:dyDescent="0.3">
      <c r="A432" s="227"/>
      <c r="B432" s="234">
        <v>1200</v>
      </c>
      <c r="C432" s="237" t="s">
        <v>201</v>
      </c>
      <c r="D432" s="236"/>
    </row>
    <row r="433" spans="1:4" ht="12" hidden="1" customHeight="1" outlineLevel="1" x14ac:dyDescent="0.3">
      <c r="A433" s="238"/>
      <c r="B433" s="239">
        <v>2000</v>
      </c>
      <c r="C433" s="240" t="s">
        <v>202</v>
      </c>
      <c r="D433" s="260">
        <f>SUM(D434:D438)</f>
        <v>0</v>
      </c>
    </row>
    <row r="434" spans="1:4" ht="12" hidden="1" customHeight="1" outlineLevel="1" x14ac:dyDescent="0.3">
      <c r="A434" s="238"/>
      <c r="B434" s="242">
        <v>2100</v>
      </c>
      <c r="C434" s="243" t="s">
        <v>203</v>
      </c>
      <c r="D434" s="244"/>
    </row>
    <row r="435" spans="1:4" ht="12" hidden="1" customHeight="1" outlineLevel="1" x14ac:dyDescent="0.3">
      <c r="A435" s="238"/>
      <c r="B435" s="242">
        <v>2200</v>
      </c>
      <c r="C435" s="243" t="s">
        <v>204</v>
      </c>
      <c r="D435" s="244"/>
    </row>
    <row r="436" spans="1:4" ht="12" hidden="1" customHeight="1" outlineLevel="1" x14ac:dyDescent="0.3">
      <c r="A436" s="238"/>
      <c r="B436" s="242">
        <v>2300</v>
      </c>
      <c r="C436" s="243" t="s">
        <v>205</v>
      </c>
      <c r="D436" s="244"/>
    </row>
    <row r="437" spans="1:4" ht="12" hidden="1" customHeight="1" outlineLevel="1" x14ac:dyDescent="0.3">
      <c r="A437" s="238"/>
      <c r="B437" s="242">
        <v>2400</v>
      </c>
      <c r="C437" s="243" t="s">
        <v>206</v>
      </c>
      <c r="D437" s="244"/>
    </row>
    <row r="438" spans="1:4" ht="12" hidden="1" customHeight="1" outlineLevel="1" x14ac:dyDescent="0.3">
      <c r="A438" s="238"/>
      <c r="B438" s="242">
        <v>2500</v>
      </c>
      <c r="C438" s="243" t="s">
        <v>207</v>
      </c>
      <c r="D438" s="244"/>
    </row>
    <row r="439" spans="1:4" ht="12" hidden="1" customHeight="1" outlineLevel="1" x14ac:dyDescent="0.3">
      <c r="A439" s="238"/>
      <c r="B439" s="199">
        <v>3000</v>
      </c>
      <c r="C439" s="245" t="s">
        <v>208</v>
      </c>
      <c r="D439" s="260">
        <f>SUM(D440:D441)</f>
        <v>0</v>
      </c>
    </row>
    <row r="440" spans="1:4" ht="12" hidden="1" customHeight="1" outlineLevel="1" x14ac:dyDescent="0.3">
      <c r="A440" s="238"/>
      <c r="B440" s="242">
        <v>3200</v>
      </c>
      <c r="C440" s="243" t="s">
        <v>209</v>
      </c>
      <c r="D440" s="244"/>
    </row>
    <row r="441" spans="1:4" ht="12" hidden="1" customHeight="1" outlineLevel="1" x14ac:dyDescent="0.3">
      <c r="A441" s="238"/>
      <c r="B441" s="242">
        <v>3300</v>
      </c>
      <c r="C441" s="243" t="s">
        <v>210</v>
      </c>
      <c r="D441" s="244"/>
    </row>
    <row r="442" spans="1:4" ht="12" hidden="1" customHeight="1" outlineLevel="1" x14ac:dyDescent="0.3">
      <c r="A442" s="238"/>
      <c r="B442" s="199">
        <v>4000</v>
      </c>
      <c r="C442" s="246" t="s">
        <v>211</v>
      </c>
      <c r="D442" s="260">
        <f>SUM(D443:D444)</f>
        <v>0</v>
      </c>
    </row>
    <row r="443" spans="1:4" ht="12" hidden="1" customHeight="1" outlineLevel="1" x14ac:dyDescent="0.3">
      <c r="A443" s="238"/>
      <c r="B443" s="242">
        <v>4200</v>
      </c>
      <c r="C443" s="247" t="s">
        <v>212</v>
      </c>
      <c r="D443" s="244"/>
    </row>
    <row r="444" spans="1:4" ht="12" hidden="1" customHeight="1" outlineLevel="1" x14ac:dyDescent="0.3">
      <c r="A444" s="238"/>
      <c r="B444" s="242">
        <v>4300</v>
      </c>
      <c r="C444" s="247" t="s">
        <v>213</v>
      </c>
      <c r="D444" s="244"/>
    </row>
    <row r="445" spans="1:4" ht="12" hidden="1" customHeight="1" outlineLevel="1" x14ac:dyDescent="0.3">
      <c r="A445" s="238"/>
      <c r="B445" s="199">
        <v>5000</v>
      </c>
      <c r="C445" s="200" t="s">
        <v>214</v>
      </c>
      <c r="D445" s="260">
        <f>SUM(D446:D448)</f>
        <v>0</v>
      </c>
    </row>
    <row r="446" spans="1:4" ht="12" hidden="1" customHeight="1" outlineLevel="1" x14ac:dyDescent="0.3">
      <c r="A446" s="238"/>
      <c r="B446" s="242">
        <v>5100</v>
      </c>
      <c r="C446" s="248" t="s">
        <v>215</v>
      </c>
      <c r="D446" s="260"/>
    </row>
    <row r="447" spans="1:4" ht="12" hidden="1" customHeight="1" outlineLevel="1" x14ac:dyDescent="0.3">
      <c r="A447" s="238"/>
      <c r="B447" s="242">
        <v>5200</v>
      </c>
      <c r="C447" s="248" t="s">
        <v>216</v>
      </c>
      <c r="D447" s="260"/>
    </row>
    <row r="448" spans="1:4" ht="12" hidden="1" customHeight="1" outlineLevel="1" x14ac:dyDescent="0.3">
      <c r="A448" s="238"/>
      <c r="B448" s="242">
        <v>5300</v>
      </c>
      <c r="C448" s="249" t="s">
        <v>217</v>
      </c>
      <c r="D448" s="260"/>
    </row>
    <row r="449" spans="1:4" ht="12" hidden="1" customHeight="1" outlineLevel="1" x14ac:dyDescent="0.3">
      <c r="A449" s="238"/>
      <c r="B449" s="199">
        <v>6000</v>
      </c>
      <c r="C449" s="200" t="s">
        <v>218</v>
      </c>
      <c r="D449" s="260">
        <f>SUM(D450:D453)</f>
        <v>0</v>
      </c>
    </row>
    <row r="450" spans="1:4" ht="12" hidden="1" customHeight="1" outlineLevel="1" x14ac:dyDescent="0.3">
      <c r="A450" s="238"/>
      <c r="B450" s="242">
        <v>6200</v>
      </c>
      <c r="C450" s="248" t="s">
        <v>219</v>
      </c>
      <c r="D450" s="244"/>
    </row>
    <row r="451" spans="1:4" ht="12" hidden="1" customHeight="1" outlineLevel="1" x14ac:dyDescent="0.3">
      <c r="A451" s="238"/>
      <c r="B451" s="242">
        <v>6300</v>
      </c>
      <c r="C451" s="248" t="s">
        <v>220</v>
      </c>
      <c r="D451" s="244"/>
    </row>
    <row r="452" spans="1:4" ht="12" hidden="1" customHeight="1" outlineLevel="1" x14ac:dyDescent="0.3">
      <c r="A452" s="238"/>
      <c r="B452" s="242">
        <v>6400</v>
      </c>
      <c r="C452" s="248" t="s">
        <v>221</v>
      </c>
      <c r="D452" s="244"/>
    </row>
    <row r="453" spans="1:4" ht="12" hidden="1" customHeight="1" outlineLevel="1" x14ac:dyDescent="0.3">
      <c r="A453" s="238"/>
      <c r="B453" s="242">
        <v>6500</v>
      </c>
      <c r="C453" s="249" t="s">
        <v>222</v>
      </c>
      <c r="D453" s="244"/>
    </row>
    <row r="454" spans="1:4" ht="12" hidden="1" customHeight="1" outlineLevel="1" x14ac:dyDescent="0.3">
      <c r="A454" s="238"/>
      <c r="B454" s="199">
        <v>7000</v>
      </c>
      <c r="C454" s="200" t="s">
        <v>223</v>
      </c>
      <c r="D454" s="260">
        <f>SUM(D455:D457)</f>
        <v>0</v>
      </c>
    </row>
    <row r="455" spans="1:4" ht="12" hidden="1" customHeight="1" outlineLevel="1" x14ac:dyDescent="0.3">
      <c r="A455" s="238"/>
      <c r="B455" s="250">
        <v>7200</v>
      </c>
      <c r="C455" s="251" t="s">
        <v>224</v>
      </c>
      <c r="D455" s="244"/>
    </row>
    <row r="456" spans="1:4" ht="12" hidden="1" customHeight="1" outlineLevel="1" x14ac:dyDescent="0.3">
      <c r="A456" s="238"/>
      <c r="B456" s="250">
        <v>7500</v>
      </c>
      <c r="C456" s="251" t="s">
        <v>225</v>
      </c>
      <c r="D456" s="244"/>
    </row>
    <row r="457" spans="1:4" ht="12" hidden="1" customHeight="1" outlineLevel="1" x14ac:dyDescent="0.3">
      <c r="A457" s="238"/>
      <c r="B457" s="250">
        <v>7700</v>
      </c>
      <c r="C457" s="251" t="s">
        <v>226</v>
      </c>
      <c r="D457" s="244"/>
    </row>
    <row r="458" spans="1:4" ht="12" hidden="1" customHeight="1" outlineLevel="1" x14ac:dyDescent="0.3">
      <c r="A458" s="238"/>
      <c r="B458" s="252">
        <v>8000</v>
      </c>
      <c r="C458" s="253" t="s">
        <v>227</v>
      </c>
      <c r="D458" s="260">
        <f>SUM(D459:D461)</f>
        <v>0</v>
      </c>
    </row>
    <row r="459" spans="1:4" ht="12" hidden="1" customHeight="1" outlineLevel="1" x14ac:dyDescent="0.3">
      <c r="A459" s="238"/>
      <c r="B459" s="254">
        <v>8100</v>
      </c>
      <c r="C459" s="255" t="s">
        <v>228</v>
      </c>
      <c r="D459" s="260"/>
    </row>
    <row r="460" spans="1:4" ht="12" hidden="1" customHeight="1" outlineLevel="1" x14ac:dyDescent="0.3">
      <c r="A460" s="238"/>
      <c r="B460" s="254">
        <v>8600</v>
      </c>
      <c r="C460" s="255" t="s">
        <v>229</v>
      </c>
      <c r="D460" s="260"/>
    </row>
    <row r="461" spans="1:4" ht="12" hidden="1" customHeight="1" outlineLevel="1" x14ac:dyDescent="0.3">
      <c r="A461" s="238"/>
      <c r="B461" s="254">
        <v>8900</v>
      </c>
      <c r="C461" s="255" t="s">
        <v>230</v>
      </c>
      <c r="D461" s="260"/>
    </row>
    <row r="462" spans="1:4" ht="28.5" hidden="1" customHeight="1" outlineLevel="1" x14ac:dyDescent="0.3">
      <c r="A462" s="256" t="s">
        <v>254</v>
      </c>
      <c r="B462" s="257"/>
      <c r="C462" s="258" t="s">
        <v>255</v>
      </c>
      <c r="D462" s="259">
        <f t="shared" ref="D462" si="34">D463+D479+D492</f>
        <v>0</v>
      </c>
    </row>
    <row r="463" spans="1:4" ht="12" hidden="1" customHeight="1" outlineLevel="1" x14ac:dyDescent="0.3">
      <c r="A463" s="227"/>
      <c r="B463" s="228"/>
      <c r="C463" s="229" t="s">
        <v>251</v>
      </c>
      <c r="D463" s="230">
        <f t="shared" ref="D463" si="35">D464+D467+D473+D476+D483+D488</f>
        <v>0</v>
      </c>
    </row>
    <row r="464" spans="1:4" ht="12" hidden="1" customHeight="1" outlineLevel="1" x14ac:dyDescent="0.3">
      <c r="A464" s="227"/>
      <c r="B464" s="231">
        <v>1000</v>
      </c>
      <c r="C464" s="232" t="s">
        <v>199</v>
      </c>
      <c r="D464" s="230">
        <f>SUM(D465:D466)</f>
        <v>0</v>
      </c>
    </row>
    <row r="465" spans="1:4" ht="12" hidden="1" customHeight="1" outlineLevel="1" x14ac:dyDescent="0.3">
      <c r="A465" s="227"/>
      <c r="B465" s="234">
        <v>1100</v>
      </c>
      <c r="C465" s="235" t="s">
        <v>200</v>
      </c>
      <c r="D465" s="236"/>
    </row>
    <row r="466" spans="1:4" ht="12" hidden="1" customHeight="1" outlineLevel="1" x14ac:dyDescent="0.3">
      <c r="A466" s="227"/>
      <c r="B466" s="234">
        <v>1200</v>
      </c>
      <c r="C466" s="237" t="s">
        <v>201</v>
      </c>
      <c r="D466" s="236"/>
    </row>
    <row r="467" spans="1:4" ht="12" hidden="1" customHeight="1" outlineLevel="1" x14ac:dyDescent="0.3">
      <c r="A467" s="238"/>
      <c r="B467" s="239">
        <v>2000</v>
      </c>
      <c r="C467" s="240" t="s">
        <v>202</v>
      </c>
      <c r="D467" s="260">
        <f>SUM(D468:D472)</f>
        <v>0</v>
      </c>
    </row>
    <row r="468" spans="1:4" ht="12" hidden="1" customHeight="1" outlineLevel="1" x14ac:dyDescent="0.3">
      <c r="A468" s="238"/>
      <c r="B468" s="242">
        <v>2100</v>
      </c>
      <c r="C468" s="243" t="s">
        <v>203</v>
      </c>
      <c r="D468" s="244"/>
    </row>
    <row r="469" spans="1:4" ht="12" hidden="1" customHeight="1" outlineLevel="1" x14ac:dyDescent="0.3">
      <c r="A469" s="238"/>
      <c r="B469" s="242">
        <v>2200</v>
      </c>
      <c r="C469" s="243" t="s">
        <v>204</v>
      </c>
      <c r="D469" s="244"/>
    </row>
    <row r="470" spans="1:4" ht="12" hidden="1" customHeight="1" outlineLevel="1" x14ac:dyDescent="0.3">
      <c r="A470" s="238"/>
      <c r="B470" s="242">
        <v>2300</v>
      </c>
      <c r="C470" s="243" t="s">
        <v>205</v>
      </c>
      <c r="D470" s="244"/>
    </row>
    <row r="471" spans="1:4" ht="12" hidden="1" customHeight="1" outlineLevel="1" x14ac:dyDescent="0.3">
      <c r="A471" s="238"/>
      <c r="B471" s="242">
        <v>2400</v>
      </c>
      <c r="C471" s="243" t="s">
        <v>206</v>
      </c>
      <c r="D471" s="244"/>
    </row>
    <row r="472" spans="1:4" ht="12" hidden="1" customHeight="1" outlineLevel="1" x14ac:dyDescent="0.3">
      <c r="A472" s="238"/>
      <c r="B472" s="242">
        <v>2500</v>
      </c>
      <c r="C472" s="243" t="s">
        <v>207</v>
      </c>
      <c r="D472" s="244"/>
    </row>
    <row r="473" spans="1:4" ht="12" hidden="1" customHeight="1" outlineLevel="1" x14ac:dyDescent="0.3">
      <c r="A473" s="238"/>
      <c r="B473" s="199">
        <v>3000</v>
      </c>
      <c r="C473" s="245" t="s">
        <v>208</v>
      </c>
      <c r="D473" s="260">
        <f>SUM(D474:D475)</f>
        <v>0</v>
      </c>
    </row>
    <row r="474" spans="1:4" ht="12" hidden="1" customHeight="1" outlineLevel="1" x14ac:dyDescent="0.3">
      <c r="A474" s="238"/>
      <c r="B474" s="242">
        <v>3200</v>
      </c>
      <c r="C474" s="243" t="s">
        <v>209</v>
      </c>
      <c r="D474" s="244"/>
    </row>
    <row r="475" spans="1:4" ht="12" hidden="1" customHeight="1" outlineLevel="1" x14ac:dyDescent="0.3">
      <c r="A475" s="238"/>
      <c r="B475" s="242">
        <v>3300</v>
      </c>
      <c r="C475" s="243" t="s">
        <v>210</v>
      </c>
      <c r="D475" s="244"/>
    </row>
    <row r="476" spans="1:4" ht="12" hidden="1" customHeight="1" outlineLevel="1" x14ac:dyDescent="0.3">
      <c r="A476" s="238"/>
      <c r="B476" s="199">
        <v>4000</v>
      </c>
      <c r="C476" s="246" t="s">
        <v>211</v>
      </c>
      <c r="D476" s="260">
        <f>SUM(D477:D478)</f>
        <v>0</v>
      </c>
    </row>
    <row r="477" spans="1:4" ht="12" hidden="1" customHeight="1" outlineLevel="1" x14ac:dyDescent="0.3">
      <c r="A477" s="238"/>
      <c r="B477" s="242">
        <v>4200</v>
      </c>
      <c r="C477" s="247" t="s">
        <v>212</v>
      </c>
      <c r="D477" s="244"/>
    </row>
    <row r="478" spans="1:4" ht="12" hidden="1" customHeight="1" outlineLevel="1" x14ac:dyDescent="0.3">
      <c r="A478" s="238"/>
      <c r="B478" s="242">
        <v>4300</v>
      </c>
      <c r="C478" s="247" t="s">
        <v>213</v>
      </c>
      <c r="D478" s="244"/>
    </row>
    <row r="479" spans="1:4" ht="12" hidden="1" customHeight="1" outlineLevel="1" x14ac:dyDescent="0.3">
      <c r="A479" s="238"/>
      <c r="B479" s="199">
        <v>5000</v>
      </c>
      <c r="C479" s="200" t="s">
        <v>214</v>
      </c>
      <c r="D479" s="260">
        <f>SUM(D480:D482)</f>
        <v>0</v>
      </c>
    </row>
    <row r="480" spans="1:4" ht="12" hidden="1" customHeight="1" outlineLevel="1" x14ac:dyDescent="0.3">
      <c r="A480" s="238"/>
      <c r="B480" s="242">
        <v>5100</v>
      </c>
      <c r="C480" s="248" t="s">
        <v>215</v>
      </c>
      <c r="D480" s="260"/>
    </row>
    <row r="481" spans="1:4" ht="12" hidden="1" customHeight="1" outlineLevel="1" x14ac:dyDescent="0.3">
      <c r="A481" s="238"/>
      <c r="B481" s="242">
        <v>5200</v>
      </c>
      <c r="C481" s="248" t="s">
        <v>216</v>
      </c>
      <c r="D481" s="260"/>
    </row>
    <row r="482" spans="1:4" ht="12" hidden="1" customHeight="1" outlineLevel="1" x14ac:dyDescent="0.3">
      <c r="A482" s="238"/>
      <c r="B482" s="242">
        <v>5300</v>
      </c>
      <c r="C482" s="249" t="s">
        <v>217</v>
      </c>
      <c r="D482" s="260"/>
    </row>
    <row r="483" spans="1:4" ht="12" hidden="1" customHeight="1" outlineLevel="1" x14ac:dyDescent="0.3">
      <c r="A483" s="238"/>
      <c r="B483" s="199">
        <v>6000</v>
      </c>
      <c r="C483" s="200" t="s">
        <v>218</v>
      </c>
      <c r="D483" s="260">
        <f>SUM(D484:D487)</f>
        <v>0</v>
      </c>
    </row>
    <row r="484" spans="1:4" ht="12" hidden="1" customHeight="1" outlineLevel="1" x14ac:dyDescent="0.3">
      <c r="A484" s="238"/>
      <c r="B484" s="242">
        <v>6200</v>
      </c>
      <c r="C484" s="248" t="s">
        <v>219</v>
      </c>
      <c r="D484" s="244"/>
    </row>
    <row r="485" spans="1:4" ht="12" hidden="1" customHeight="1" outlineLevel="1" x14ac:dyDescent="0.3">
      <c r="A485" s="238"/>
      <c r="B485" s="242">
        <v>6300</v>
      </c>
      <c r="C485" s="248" t="s">
        <v>220</v>
      </c>
      <c r="D485" s="244"/>
    </row>
    <row r="486" spans="1:4" ht="12" hidden="1" customHeight="1" outlineLevel="1" x14ac:dyDescent="0.3">
      <c r="A486" s="238"/>
      <c r="B486" s="242">
        <v>6400</v>
      </c>
      <c r="C486" s="248" t="s">
        <v>221</v>
      </c>
      <c r="D486" s="244"/>
    </row>
    <row r="487" spans="1:4" ht="12" hidden="1" customHeight="1" outlineLevel="1" x14ac:dyDescent="0.3">
      <c r="A487" s="238"/>
      <c r="B487" s="242">
        <v>6500</v>
      </c>
      <c r="C487" s="249" t="s">
        <v>222</v>
      </c>
      <c r="D487" s="244"/>
    </row>
    <row r="488" spans="1:4" ht="12" hidden="1" customHeight="1" outlineLevel="1" x14ac:dyDescent="0.3">
      <c r="A488" s="238"/>
      <c r="B488" s="199">
        <v>7000</v>
      </c>
      <c r="C488" s="200" t="s">
        <v>223</v>
      </c>
      <c r="D488" s="260">
        <f>SUM(D489:D491)</f>
        <v>0</v>
      </c>
    </row>
    <row r="489" spans="1:4" ht="12" hidden="1" customHeight="1" outlineLevel="1" x14ac:dyDescent="0.3">
      <c r="A489" s="238"/>
      <c r="B489" s="250">
        <v>7200</v>
      </c>
      <c r="C489" s="251" t="s">
        <v>224</v>
      </c>
      <c r="D489" s="244"/>
    </row>
    <row r="490" spans="1:4" ht="12" hidden="1" customHeight="1" outlineLevel="1" x14ac:dyDescent="0.3">
      <c r="A490" s="238"/>
      <c r="B490" s="250">
        <v>7500</v>
      </c>
      <c r="C490" s="251" t="s">
        <v>225</v>
      </c>
      <c r="D490" s="244"/>
    </row>
    <row r="491" spans="1:4" ht="12" hidden="1" customHeight="1" outlineLevel="1" x14ac:dyDescent="0.3">
      <c r="A491" s="238"/>
      <c r="B491" s="250">
        <v>7700</v>
      </c>
      <c r="C491" s="251" t="s">
        <v>226</v>
      </c>
      <c r="D491" s="244"/>
    </row>
    <row r="492" spans="1:4" ht="12" hidden="1" customHeight="1" outlineLevel="1" x14ac:dyDescent="0.3">
      <c r="A492" s="238"/>
      <c r="B492" s="252">
        <v>8000</v>
      </c>
      <c r="C492" s="253" t="s">
        <v>227</v>
      </c>
      <c r="D492" s="260">
        <f>SUM(D493:D495)</f>
        <v>0</v>
      </c>
    </row>
    <row r="493" spans="1:4" ht="12" hidden="1" customHeight="1" outlineLevel="1" x14ac:dyDescent="0.3">
      <c r="A493" s="238"/>
      <c r="B493" s="254">
        <v>8100</v>
      </c>
      <c r="C493" s="255" t="s">
        <v>228</v>
      </c>
      <c r="D493" s="260"/>
    </row>
    <row r="494" spans="1:4" ht="12" hidden="1" customHeight="1" outlineLevel="1" x14ac:dyDescent="0.3">
      <c r="A494" s="238"/>
      <c r="B494" s="254">
        <v>8600</v>
      </c>
      <c r="C494" s="255" t="s">
        <v>229</v>
      </c>
      <c r="D494" s="260"/>
    </row>
    <row r="495" spans="1:4" ht="12" hidden="1" customHeight="1" outlineLevel="1" x14ac:dyDescent="0.3">
      <c r="A495" s="238"/>
      <c r="B495" s="254">
        <v>8900</v>
      </c>
      <c r="C495" s="255" t="s">
        <v>230</v>
      </c>
      <c r="D495" s="260"/>
    </row>
    <row r="496" spans="1:4" ht="17.100000000000001" customHeight="1" collapsed="1" x14ac:dyDescent="0.3">
      <c r="A496" s="270" t="s">
        <v>256</v>
      </c>
      <c r="B496" s="224"/>
      <c r="C496" s="225" t="s">
        <v>257</v>
      </c>
      <c r="D496" s="226">
        <f t="shared" ref="D496" si="36">D497+D513+D526</f>
        <v>11863305</v>
      </c>
    </row>
    <row r="497" spans="1:4" ht="12" customHeight="1" x14ac:dyDescent="0.3">
      <c r="A497" s="227"/>
      <c r="B497" s="228"/>
      <c r="C497" s="229" t="s">
        <v>251</v>
      </c>
      <c r="D497" s="230">
        <f t="shared" ref="D497" si="37">D498+D501+D507+D510+D517+D522</f>
        <v>5615834</v>
      </c>
    </row>
    <row r="498" spans="1:4" ht="12" customHeight="1" x14ac:dyDescent="0.3">
      <c r="A498" s="238"/>
      <c r="B498" s="231">
        <v>1000</v>
      </c>
      <c r="C498" s="232" t="s">
        <v>199</v>
      </c>
      <c r="D498" s="233">
        <f>D532+D566+D668+D702+D736+D770+D872</f>
        <v>1096068</v>
      </c>
    </row>
    <row r="499" spans="1:4" ht="12" customHeight="1" x14ac:dyDescent="0.3">
      <c r="A499" s="238"/>
      <c r="B499" s="234">
        <v>1100</v>
      </c>
      <c r="C499" s="235" t="s">
        <v>200</v>
      </c>
      <c r="D499" s="236">
        <f t="shared" ref="D499:D500" si="38">D533+D567+D669+D703+D737+D771+D873</f>
        <v>858959</v>
      </c>
    </row>
    <row r="500" spans="1:4" ht="12" customHeight="1" x14ac:dyDescent="0.3">
      <c r="A500" s="238"/>
      <c r="B500" s="234">
        <v>1200</v>
      </c>
      <c r="C500" s="237" t="s">
        <v>201</v>
      </c>
      <c r="D500" s="236">
        <f t="shared" si="38"/>
        <v>237109</v>
      </c>
    </row>
    <row r="501" spans="1:4" ht="12" customHeight="1" x14ac:dyDescent="0.3">
      <c r="A501" s="238"/>
      <c r="B501" s="239">
        <v>2000</v>
      </c>
      <c r="C501" s="240" t="s">
        <v>202</v>
      </c>
      <c r="D501" s="241">
        <f>D535+D569+D671+D705+D739+D773+D875</f>
        <v>3713834</v>
      </c>
    </row>
    <row r="502" spans="1:4" ht="12" customHeight="1" x14ac:dyDescent="0.3">
      <c r="A502" s="238"/>
      <c r="B502" s="242">
        <v>2100</v>
      </c>
      <c r="C502" s="243" t="s">
        <v>203</v>
      </c>
      <c r="D502" s="244">
        <f t="shared" ref="D502:D506" si="39">D536+D570+D672+D706+D740+D774+D876</f>
        <v>26322</v>
      </c>
    </row>
    <row r="503" spans="1:4" ht="12" customHeight="1" x14ac:dyDescent="0.3">
      <c r="A503" s="238"/>
      <c r="B503" s="242">
        <v>2200</v>
      </c>
      <c r="C503" s="243" t="s">
        <v>204</v>
      </c>
      <c r="D503" s="244">
        <f t="shared" si="39"/>
        <v>3355140</v>
      </c>
    </row>
    <row r="504" spans="1:4" ht="12" customHeight="1" x14ac:dyDescent="0.3">
      <c r="A504" s="238"/>
      <c r="B504" s="242">
        <v>2300</v>
      </c>
      <c r="C504" s="243" t="s">
        <v>205</v>
      </c>
      <c r="D504" s="244">
        <f t="shared" si="39"/>
        <v>263973</v>
      </c>
    </row>
    <row r="505" spans="1:4" ht="12" customHeight="1" x14ac:dyDescent="0.3">
      <c r="A505" s="238"/>
      <c r="B505" s="242">
        <v>2400</v>
      </c>
      <c r="C505" s="243" t="s">
        <v>206</v>
      </c>
      <c r="D505" s="244">
        <f>D539+D573+D675+D709+D743+D777+D879</f>
        <v>0</v>
      </c>
    </row>
    <row r="506" spans="1:4" ht="12" customHeight="1" x14ac:dyDescent="0.3">
      <c r="A506" s="238"/>
      <c r="B506" s="242">
        <v>2500</v>
      </c>
      <c r="C506" s="243" t="s">
        <v>207</v>
      </c>
      <c r="D506" s="244">
        <f t="shared" si="39"/>
        <v>68399</v>
      </c>
    </row>
    <row r="507" spans="1:4" ht="12" customHeight="1" x14ac:dyDescent="0.3">
      <c r="A507" s="238"/>
      <c r="B507" s="199">
        <v>3000</v>
      </c>
      <c r="C507" s="245" t="s">
        <v>208</v>
      </c>
      <c r="D507" s="241">
        <f>D541+D575+D677+D711+D745+D779+D881</f>
        <v>774008</v>
      </c>
    </row>
    <row r="508" spans="1:4" ht="12" customHeight="1" x14ac:dyDescent="0.3">
      <c r="A508" s="238"/>
      <c r="B508" s="242">
        <v>3200</v>
      </c>
      <c r="C508" s="243" t="s">
        <v>209</v>
      </c>
      <c r="D508" s="244">
        <f t="shared" ref="D508:D509" si="40">D542+D576+D678+D712+D746+D780+D882</f>
        <v>146088</v>
      </c>
    </row>
    <row r="509" spans="1:4" ht="12" customHeight="1" x14ac:dyDescent="0.3">
      <c r="A509" s="238"/>
      <c r="B509" s="242">
        <v>3300</v>
      </c>
      <c r="C509" s="243" t="s">
        <v>210</v>
      </c>
      <c r="D509" s="244">
        <f t="shared" si="40"/>
        <v>627920</v>
      </c>
    </row>
    <row r="510" spans="1:4" ht="12" hidden="1" customHeight="1" outlineLevel="1" x14ac:dyDescent="0.3">
      <c r="A510" s="238"/>
      <c r="B510" s="199">
        <v>4000</v>
      </c>
      <c r="C510" s="246" t="s">
        <v>211</v>
      </c>
      <c r="D510" s="241">
        <f>D544+D578+D680+D714+D748+D782+D884</f>
        <v>0</v>
      </c>
    </row>
    <row r="511" spans="1:4" ht="12" hidden="1" customHeight="1" outlineLevel="1" x14ac:dyDescent="0.3">
      <c r="A511" s="238"/>
      <c r="B511" s="242">
        <v>4200</v>
      </c>
      <c r="C511" s="247" t="s">
        <v>212</v>
      </c>
      <c r="D511" s="244">
        <f t="shared" ref="D511:D512" si="41">D545+D579+D681+D715+D749+D783+D885</f>
        <v>0</v>
      </c>
    </row>
    <row r="512" spans="1:4" ht="12" hidden="1" customHeight="1" outlineLevel="1" x14ac:dyDescent="0.3">
      <c r="A512" s="238"/>
      <c r="B512" s="242">
        <v>4300</v>
      </c>
      <c r="C512" s="247" t="s">
        <v>213</v>
      </c>
      <c r="D512" s="244">
        <f t="shared" si="41"/>
        <v>0</v>
      </c>
    </row>
    <row r="513" spans="1:4" ht="12" customHeight="1" collapsed="1" x14ac:dyDescent="0.3">
      <c r="A513" s="238"/>
      <c r="B513" s="199">
        <v>5000</v>
      </c>
      <c r="C513" s="200" t="s">
        <v>214</v>
      </c>
      <c r="D513" s="241">
        <f>D547+D581+D683+D717+D751+D785+D887</f>
        <v>6247471</v>
      </c>
    </row>
    <row r="514" spans="1:4" ht="12" customHeight="1" x14ac:dyDescent="0.3">
      <c r="A514" s="238"/>
      <c r="B514" s="242">
        <v>5100</v>
      </c>
      <c r="C514" s="248" t="s">
        <v>215</v>
      </c>
      <c r="D514" s="244">
        <f t="shared" ref="D514:D516" si="42">D548+D582+D684+D718+D752+D786+D888</f>
        <v>1019</v>
      </c>
    </row>
    <row r="515" spans="1:4" ht="12" customHeight="1" x14ac:dyDescent="0.3">
      <c r="A515" s="238"/>
      <c r="B515" s="242">
        <v>5200</v>
      </c>
      <c r="C515" s="248" t="s">
        <v>216</v>
      </c>
      <c r="D515" s="244">
        <f t="shared" si="42"/>
        <v>6246452</v>
      </c>
    </row>
    <row r="516" spans="1:4" ht="12" customHeight="1" x14ac:dyDescent="0.3">
      <c r="A516" s="238"/>
      <c r="B516" s="242">
        <v>5300</v>
      </c>
      <c r="C516" s="249" t="s">
        <v>217</v>
      </c>
      <c r="D516" s="244">
        <f t="shared" si="42"/>
        <v>0</v>
      </c>
    </row>
    <row r="517" spans="1:4" ht="12" customHeight="1" x14ac:dyDescent="0.3">
      <c r="A517" s="238"/>
      <c r="B517" s="199">
        <v>6000</v>
      </c>
      <c r="C517" s="200" t="s">
        <v>218</v>
      </c>
      <c r="D517" s="241">
        <f>D551+D585+D687+D721+D755+D789+D891</f>
        <v>26395</v>
      </c>
    </row>
    <row r="518" spans="1:4" ht="12" customHeight="1" x14ac:dyDescent="0.3">
      <c r="A518" s="238"/>
      <c r="B518" s="242">
        <v>6200</v>
      </c>
      <c r="C518" s="248" t="s">
        <v>219</v>
      </c>
      <c r="D518" s="244">
        <f t="shared" ref="D518:D521" si="43">D552+D586+D688+D722+D756+D790+D892</f>
        <v>26395</v>
      </c>
    </row>
    <row r="519" spans="1:4" ht="12" hidden="1" customHeight="1" outlineLevel="1" x14ac:dyDescent="0.3">
      <c r="A519" s="238"/>
      <c r="B519" s="242">
        <v>6300</v>
      </c>
      <c r="C519" s="248" t="s">
        <v>220</v>
      </c>
      <c r="D519" s="244">
        <f t="shared" si="43"/>
        <v>0</v>
      </c>
    </row>
    <row r="520" spans="1:4" ht="12" hidden="1" customHeight="1" outlineLevel="1" x14ac:dyDescent="0.3">
      <c r="A520" s="238"/>
      <c r="B520" s="242">
        <v>6400</v>
      </c>
      <c r="C520" s="248" t="s">
        <v>221</v>
      </c>
      <c r="D520" s="244">
        <f t="shared" si="43"/>
        <v>0</v>
      </c>
    </row>
    <row r="521" spans="1:4" ht="12" hidden="1" customHeight="1" outlineLevel="1" x14ac:dyDescent="0.3">
      <c r="A521" s="238"/>
      <c r="B521" s="242">
        <v>6500</v>
      </c>
      <c r="C521" s="249" t="s">
        <v>222</v>
      </c>
      <c r="D521" s="244">
        <f t="shared" si="43"/>
        <v>0</v>
      </c>
    </row>
    <row r="522" spans="1:4" ht="12" customHeight="1" collapsed="1" x14ac:dyDescent="0.3">
      <c r="A522" s="238"/>
      <c r="B522" s="199">
        <v>7000</v>
      </c>
      <c r="C522" s="200" t="s">
        <v>223</v>
      </c>
      <c r="D522" s="241">
        <f>D556+D590+D692+D726+D760+D794+D897</f>
        <v>5529</v>
      </c>
    </row>
    <row r="523" spans="1:4" ht="12" customHeight="1" x14ac:dyDescent="0.3">
      <c r="A523" s="238"/>
      <c r="B523" s="250">
        <v>7200</v>
      </c>
      <c r="C523" s="251" t="s">
        <v>224</v>
      </c>
      <c r="D523" s="244">
        <f t="shared" ref="D523:D525" si="44">D557+D591+D693+D727+D761+D795+D898</f>
        <v>5529</v>
      </c>
    </row>
    <row r="524" spans="1:4" ht="12" hidden="1" customHeight="1" outlineLevel="1" x14ac:dyDescent="0.3">
      <c r="A524" s="238"/>
      <c r="B524" s="250">
        <v>7500</v>
      </c>
      <c r="C524" s="251" t="s">
        <v>225</v>
      </c>
      <c r="D524" s="244">
        <f t="shared" si="44"/>
        <v>0</v>
      </c>
    </row>
    <row r="525" spans="1:4" ht="12" hidden="1" customHeight="1" outlineLevel="1" x14ac:dyDescent="0.3">
      <c r="A525" s="238"/>
      <c r="B525" s="250">
        <v>7700</v>
      </c>
      <c r="C525" s="251" t="s">
        <v>226</v>
      </c>
      <c r="D525" s="244">
        <f t="shared" si="44"/>
        <v>0</v>
      </c>
    </row>
    <row r="526" spans="1:4" ht="12" hidden="1" customHeight="1" outlineLevel="1" x14ac:dyDescent="0.3">
      <c r="A526" s="238"/>
      <c r="B526" s="252">
        <v>8000</v>
      </c>
      <c r="C526" s="253" t="s">
        <v>227</v>
      </c>
      <c r="D526" s="241">
        <f>D560+D594+D696+D730+D764+D798+D900</f>
        <v>0</v>
      </c>
    </row>
    <row r="527" spans="1:4" ht="12" hidden="1" customHeight="1" outlineLevel="1" x14ac:dyDescent="0.3">
      <c r="A527" s="238"/>
      <c r="B527" s="254">
        <v>8100</v>
      </c>
      <c r="C527" s="255" t="s">
        <v>228</v>
      </c>
      <c r="D527" s="244">
        <f t="shared" ref="D527:D529" si="45">D561+D595+D697+D731+D765+D799+D901</f>
        <v>0</v>
      </c>
    </row>
    <row r="528" spans="1:4" ht="12" hidden="1" customHeight="1" outlineLevel="1" x14ac:dyDescent="0.3">
      <c r="A528" s="238"/>
      <c r="B528" s="254">
        <v>8600</v>
      </c>
      <c r="C528" s="255" t="s">
        <v>229</v>
      </c>
      <c r="D528" s="244">
        <f t="shared" si="45"/>
        <v>0</v>
      </c>
    </row>
    <row r="529" spans="1:4" ht="12" hidden="1" customHeight="1" outlineLevel="1" x14ac:dyDescent="0.3">
      <c r="A529" s="238"/>
      <c r="B529" s="254">
        <v>8900</v>
      </c>
      <c r="C529" s="255" t="s">
        <v>230</v>
      </c>
      <c r="D529" s="244">
        <f t="shared" si="45"/>
        <v>0</v>
      </c>
    </row>
    <row r="530" spans="1:4" ht="12" customHeight="1" collapsed="1" x14ac:dyDescent="0.3">
      <c r="A530" s="256" t="s">
        <v>258</v>
      </c>
      <c r="B530" s="257"/>
      <c r="C530" s="258" t="s">
        <v>259</v>
      </c>
      <c r="D530" s="259">
        <f>D531+D547+D560</f>
        <v>336047</v>
      </c>
    </row>
    <row r="531" spans="1:4" ht="12" customHeight="1" x14ac:dyDescent="0.3">
      <c r="A531" s="238"/>
      <c r="B531" s="228"/>
      <c r="C531" s="229" t="s">
        <v>251</v>
      </c>
      <c r="D531" s="230">
        <f>D532+D535+D541+D544+D551+D556</f>
        <v>336047</v>
      </c>
    </row>
    <row r="532" spans="1:4" ht="12" customHeight="1" x14ac:dyDescent="0.3">
      <c r="A532" s="238"/>
      <c r="B532" s="231">
        <v>1000</v>
      </c>
      <c r="C532" s="232" t="s">
        <v>199</v>
      </c>
      <c r="D532" s="230">
        <f>SUM(D533:D534)</f>
        <v>269779</v>
      </c>
    </row>
    <row r="533" spans="1:4" ht="12" customHeight="1" x14ac:dyDescent="0.3">
      <c r="A533" s="238"/>
      <c r="B533" s="234">
        <v>1100</v>
      </c>
      <c r="C533" s="235" t="s">
        <v>200</v>
      </c>
      <c r="D533" s="244">
        <f>194023+20217+8172</f>
        <v>222412</v>
      </c>
    </row>
    <row r="534" spans="1:4" ht="12" customHeight="1" x14ac:dyDescent="0.3">
      <c r="A534" s="238"/>
      <c r="B534" s="234">
        <v>1200</v>
      </c>
      <c r="C534" s="237" t="s">
        <v>201</v>
      </c>
      <c r="D534" s="244">
        <f>39774+7593</f>
        <v>47367</v>
      </c>
    </row>
    <row r="535" spans="1:4" ht="12" hidden="1" customHeight="1" outlineLevel="1" x14ac:dyDescent="0.3">
      <c r="A535" s="238"/>
      <c r="B535" s="239">
        <v>2000</v>
      </c>
      <c r="C535" s="240" t="s">
        <v>202</v>
      </c>
      <c r="D535" s="260">
        <f>SUM(D536:D540)</f>
        <v>0</v>
      </c>
    </row>
    <row r="536" spans="1:4" ht="12" hidden="1" customHeight="1" outlineLevel="1" x14ac:dyDescent="0.3">
      <c r="A536" s="238"/>
      <c r="B536" s="242">
        <v>2100</v>
      </c>
      <c r="C536" s="243" t="s">
        <v>203</v>
      </c>
      <c r="D536" s="244"/>
    </row>
    <row r="537" spans="1:4" ht="12" hidden="1" customHeight="1" outlineLevel="1" x14ac:dyDescent="0.3">
      <c r="A537" s="238"/>
      <c r="B537" s="242">
        <v>2200</v>
      </c>
      <c r="C537" s="243" t="s">
        <v>204</v>
      </c>
      <c r="D537" s="244"/>
    </row>
    <row r="538" spans="1:4" ht="12" hidden="1" customHeight="1" outlineLevel="1" x14ac:dyDescent="0.3">
      <c r="A538" s="238"/>
      <c r="B538" s="242">
        <v>2300</v>
      </c>
      <c r="C538" s="243" t="s">
        <v>205</v>
      </c>
      <c r="D538" s="244"/>
    </row>
    <row r="539" spans="1:4" ht="12" hidden="1" customHeight="1" outlineLevel="1" x14ac:dyDescent="0.3">
      <c r="A539" s="238"/>
      <c r="B539" s="242">
        <v>2400</v>
      </c>
      <c r="C539" s="243" t="s">
        <v>206</v>
      </c>
      <c r="D539" s="244"/>
    </row>
    <row r="540" spans="1:4" ht="12" hidden="1" customHeight="1" outlineLevel="1" x14ac:dyDescent="0.3">
      <c r="A540" s="238"/>
      <c r="B540" s="242">
        <v>2500</v>
      </c>
      <c r="C540" s="243" t="s">
        <v>207</v>
      </c>
      <c r="D540" s="244"/>
    </row>
    <row r="541" spans="1:4" ht="12" customHeight="1" collapsed="1" x14ac:dyDescent="0.3">
      <c r="A541" s="238"/>
      <c r="B541" s="199">
        <v>3000</v>
      </c>
      <c r="C541" s="245" t="s">
        <v>208</v>
      </c>
      <c r="D541" s="260">
        <f>SUM(D542:D543)</f>
        <v>36344</v>
      </c>
    </row>
    <row r="542" spans="1:4" ht="12" customHeight="1" x14ac:dyDescent="0.3">
      <c r="A542" s="238"/>
      <c r="B542" s="242">
        <v>3200</v>
      </c>
      <c r="C542" s="243" t="s">
        <v>209</v>
      </c>
      <c r="D542" s="244">
        <f>89905-30734-22827</f>
        <v>36344</v>
      </c>
    </row>
    <row r="543" spans="1:4" ht="12" hidden="1" customHeight="1" outlineLevel="1" x14ac:dyDescent="0.3">
      <c r="A543" s="238"/>
      <c r="B543" s="242">
        <v>3300</v>
      </c>
      <c r="C543" s="243" t="s">
        <v>210</v>
      </c>
      <c r="D543" s="244"/>
    </row>
    <row r="544" spans="1:4" ht="12" hidden="1" customHeight="1" outlineLevel="1" x14ac:dyDescent="0.3">
      <c r="A544" s="238"/>
      <c r="B544" s="199">
        <v>4000</v>
      </c>
      <c r="C544" s="246" t="s">
        <v>211</v>
      </c>
      <c r="D544" s="260">
        <f>SUM(D545:D546)</f>
        <v>0</v>
      </c>
    </row>
    <row r="545" spans="1:4" ht="12" hidden="1" customHeight="1" outlineLevel="1" x14ac:dyDescent="0.3">
      <c r="A545" s="238"/>
      <c r="B545" s="242">
        <v>4200</v>
      </c>
      <c r="C545" s="247" t="s">
        <v>212</v>
      </c>
      <c r="D545" s="244"/>
    </row>
    <row r="546" spans="1:4" ht="12" hidden="1" customHeight="1" outlineLevel="1" x14ac:dyDescent="0.3">
      <c r="A546" s="238"/>
      <c r="B546" s="242">
        <v>4300</v>
      </c>
      <c r="C546" s="247" t="s">
        <v>213</v>
      </c>
      <c r="D546" s="244"/>
    </row>
    <row r="547" spans="1:4" ht="12" hidden="1" customHeight="1" outlineLevel="1" x14ac:dyDescent="0.3">
      <c r="A547" s="238"/>
      <c r="B547" s="199">
        <v>5000</v>
      </c>
      <c r="C547" s="200" t="s">
        <v>214</v>
      </c>
      <c r="D547" s="260">
        <f>SUM(D548:D550)</f>
        <v>0</v>
      </c>
    </row>
    <row r="548" spans="1:4" ht="12" hidden="1" customHeight="1" outlineLevel="1" x14ac:dyDescent="0.3">
      <c r="A548" s="238"/>
      <c r="B548" s="242">
        <v>5100</v>
      </c>
      <c r="C548" s="248" t="s">
        <v>215</v>
      </c>
      <c r="D548" s="260"/>
    </row>
    <row r="549" spans="1:4" ht="12" hidden="1" customHeight="1" outlineLevel="1" x14ac:dyDescent="0.3">
      <c r="A549" s="238"/>
      <c r="B549" s="242">
        <v>5200</v>
      </c>
      <c r="C549" s="248" t="s">
        <v>216</v>
      </c>
      <c r="D549" s="260"/>
    </row>
    <row r="550" spans="1:4" ht="12" hidden="1" customHeight="1" outlineLevel="1" x14ac:dyDescent="0.3">
      <c r="A550" s="238"/>
      <c r="B550" s="242">
        <v>5300</v>
      </c>
      <c r="C550" s="249" t="s">
        <v>217</v>
      </c>
      <c r="D550" s="260"/>
    </row>
    <row r="551" spans="1:4" ht="12" customHeight="1" collapsed="1" x14ac:dyDescent="0.3">
      <c r="A551" s="238"/>
      <c r="B551" s="199">
        <v>6000</v>
      </c>
      <c r="C551" s="200" t="s">
        <v>218</v>
      </c>
      <c r="D551" s="260">
        <f>SUM(D552:D555)</f>
        <v>26395</v>
      </c>
    </row>
    <row r="552" spans="1:4" ht="12" customHeight="1" x14ac:dyDescent="0.3">
      <c r="A552" s="238"/>
      <c r="B552" s="242">
        <v>6200</v>
      </c>
      <c r="C552" s="248" t="s">
        <v>219</v>
      </c>
      <c r="D552" s="244">
        <v>26395</v>
      </c>
    </row>
    <row r="553" spans="1:4" ht="12" hidden="1" customHeight="1" outlineLevel="1" x14ac:dyDescent="0.3">
      <c r="A553" s="238"/>
      <c r="B553" s="242">
        <v>6300</v>
      </c>
      <c r="C553" s="248" t="s">
        <v>220</v>
      </c>
      <c r="D553" s="244"/>
    </row>
    <row r="554" spans="1:4" ht="12" hidden="1" customHeight="1" outlineLevel="1" x14ac:dyDescent="0.3">
      <c r="A554" s="238"/>
      <c r="B554" s="242">
        <v>6400</v>
      </c>
      <c r="C554" s="248" t="s">
        <v>221</v>
      </c>
      <c r="D554" s="244"/>
    </row>
    <row r="555" spans="1:4" ht="12" hidden="1" customHeight="1" outlineLevel="1" x14ac:dyDescent="0.3">
      <c r="A555" s="238"/>
      <c r="B555" s="242">
        <v>6500</v>
      </c>
      <c r="C555" s="249" t="s">
        <v>222</v>
      </c>
      <c r="D555" s="244"/>
    </row>
    <row r="556" spans="1:4" ht="12" customHeight="1" collapsed="1" x14ac:dyDescent="0.3">
      <c r="A556" s="238"/>
      <c r="B556" s="199">
        <v>7000</v>
      </c>
      <c r="C556" s="200" t="s">
        <v>223</v>
      </c>
      <c r="D556" s="260">
        <f>SUM(D557:D559)</f>
        <v>3529</v>
      </c>
    </row>
    <row r="557" spans="1:4" ht="12" customHeight="1" x14ac:dyDescent="0.3">
      <c r="A557" s="238"/>
      <c r="B557" s="250">
        <v>7200</v>
      </c>
      <c r="C557" s="251" t="s">
        <v>224</v>
      </c>
      <c r="D557" s="244">
        <f>605+2924</f>
        <v>3529</v>
      </c>
    </row>
    <row r="558" spans="1:4" ht="12" hidden="1" customHeight="1" outlineLevel="1" x14ac:dyDescent="0.3">
      <c r="A558" s="238"/>
      <c r="B558" s="250">
        <v>7500</v>
      </c>
      <c r="C558" s="251" t="s">
        <v>225</v>
      </c>
      <c r="D558" s="244"/>
    </row>
    <row r="559" spans="1:4" ht="12" hidden="1" customHeight="1" outlineLevel="1" x14ac:dyDescent="0.3">
      <c r="A559" s="238"/>
      <c r="B559" s="250">
        <v>7700</v>
      </c>
      <c r="C559" s="251" t="s">
        <v>226</v>
      </c>
      <c r="D559" s="244"/>
    </row>
    <row r="560" spans="1:4" ht="12" hidden="1" customHeight="1" outlineLevel="1" x14ac:dyDescent="0.3">
      <c r="A560" s="238"/>
      <c r="B560" s="252">
        <v>8000</v>
      </c>
      <c r="C560" s="253" t="s">
        <v>227</v>
      </c>
      <c r="D560" s="260">
        <f>SUM(D561:D563)</f>
        <v>0</v>
      </c>
    </row>
    <row r="561" spans="1:4" ht="12" hidden="1" customHeight="1" outlineLevel="1" x14ac:dyDescent="0.3">
      <c r="A561" s="238"/>
      <c r="B561" s="254">
        <v>8100</v>
      </c>
      <c r="C561" s="255" t="s">
        <v>228</v>
      </c>
      <c r="D561" s="260"/>
    </row>
    <row r="562" spans="1:4" ht="12" hidden="1" customHeight="1" outlineLevel="1" x14ac:dyDescent="0.3">
      <c r="A562" s="238"/>
      <c r="B562" s="254">
        <v>8600</v>
      </c>
      <c r="C562" s="255" t="s">
        <v>229</v>
      </c>
      <c r="D562" s="260"/>
    </row>
    <row r="563" spans="1:4" ht="12" hidden="1" customHeight="1" outlineLevel="1" x14ac:dyDescent="0.3">
      <c r="A563" s="238"/>
      <c r="B563" s="254">
        <v>8900</v>
      </c>
      <c r="C563" s="255" t="s">
        <v>230</v>
      </c>
      <c r="D563" s="260"/>
    </row>
    <row r="564" spans="1:4" ht="13.5" customHeight="1" collapsed="1" x14ac:dyDescent="0.3">
      <c r="A564" s="256" t="s">
        <v>260</v>
      </c>
      <c r="B564" s="257"/>
      <c r="C564" s="258" t="s">
        <v>261</v>
      </c>
      <c r="D564" s="259">
        <f>D565++D581+D594</f>
        <v>78259</v>
      </c>
    </row>
    <row r="565" spans="1:4" ht="13.5" customHeight="1" x14ac:dyDescent="0.3">
      <c r="A565" s="238"/>
      <c r="B565" s="228"/>
      <c r="C565" s="229" t="s">
        <v>251</v>
      </c>
      <c r="D565" s="230">
        <f>D566+D569+D575+D578+D585+D590</f>
        <v>78259</v>
      </c>
    </row>
    <row r="566" spans="1:4" ht="13.5" hidden="1" customHeight="1" outlineLevel="1" x14ac:dyDescent="0.3">
      <c r="A566" s="238"/>
      <c r="B566" s="231">
        <v>1000</v>
      </c>
      <c r="C566" s="232" t="s">
        <v>199</v>
      </c>
      <c r="D566" s="233">
        <f t="shared" ref="D566:D568" si="46">D600+D634</f>
        <v>0</v>
      </c>
    </row>
    <row r="567" spans="1:4" ht="13.5" hidden="1" customHeight="1" outlineLevel="1" x14ac:dyDescent="0.3">
      <c r="A567" s="238"/>
      <c r="B567" s="234">
        <v>1100</v>
      </c>
      <c r="C567" s="235" t="s">
        <v>200</v>
      </c>
      <c r="D567" s="271">
        <f t="shared" si="46"/>
        <v>0</v>
      </c>
    </row>
    <row r="568" spans="1:4" ht="13.5" hidden="1" customHeight="1" outlineLevel="1" x14ac:dyDescent="0.3">
      <c r="A568" s="238"/>
      <c r="B568" s="234">
        <v>1200</v>
      </c>
      <c r="C568" s="237" t="s">
        <v>201</v>
      </c>
      <c r="D568" s="236">
        <f t="shared" si="46"/>
        <v>0</v>
      </c>
    </row>
    <row r="569" spans="1:4" ht="12" customHeight="1" collapsed="1" x14ac:dyDescent="0.3">
      <c r="A569" s="238"/>
      <c r="B569" s="239">
        <v>2000</v>
      </c>
      <c r="C569" s="240" t="s">
        <v>202</v>
      </c>
      <c r="D569" s="241">
        <f>D603+D637</f>
        <v>78259</v>
      </c>
    </row>
    <row r="570" spans="1:4" ht="12" hidden="1" customHeight="1" outlineLevel="1" x14ac:dyDescent="0.3">
      <c r="A570" s="238"/>
      <c r="B570" s="242">
        <v>2100</v>
      </c>
      <c r="C570" s="243" t="s">
        <v>203</v>
      </c>
      <c r="D570" s="244">
        <f t="shared" ref="D570:D574" si="47">D604+D638</f>
        <v>0</v>
      </c>
    </row>
    <row r="571" spans="1:4" ht="12" customHeight="1" collapsed="1" x14ac:dyDescent="0.3">
      <c r="A571" s="238"/>
      <c r="B571" s="242">
        <v>2200</v>
      </c>
      <c r="C571" s="243" t="s">
        <v>204</v>
      </c>
      <c r="D571" s="244">
        <f t="shared" si="47"/>
        <v>44811</v>
      </c>
    </row>
    <row r="572" spans="1:4" ht="12" customHeight="1" x14ac:dyDescent="0.3">
      <c r="A572" s="238"/>
      <c r="B572" s="242">
        <v>2300</v>
      </c>
      <c r="C572" s="243" t="s">
        <v>205</v>
      </c>
      <c r="D572" s="244">
        <f t="shared" si="47"/>
        <v>3338</v>
      </c>
    </row>
    <row r="573" spans="1:4" ht="12" hidden="1" customHeight="1" outlineLevel="1" x14ac:dyDescent="0.3">
      <c r="A573" s="238"/>
      <c r="B573" s="242">
        <v>2400</v>
      </c>
      <c r="C573" s="243" t="s">
        <v>206</v>
      </c>
      <c r="D573" s="244">
        <f t="shared" si="47"/>
        <v>0</v>
      </c>
    </row>
    <row r="574" spans="1:4" ht="12" customHeight="1" collapsed="1" x14ac:dyDescent="0.3">
      <c r="A574" s="238"/>
      <c r="B574" s="242">
        <v>2500</v>
      </c>
      <c r="C574" s="243" t="s">
        <v>207</v>
      </c>
      <c r="D574" s="244">
        <f t="shared" si="47"/>
        <v>30110</v>
      </c>
    </row>
    <row r="575" spans="1:4" ht="13.5" hidden="1" customHeight="1" outlineLevel="1" x14ac:dyDescent="0.3">
      <c r="A575" s="238"/>
      <c r="B575" s="199">
        <v>3000</v>
      </c>
      <c r="C575" s="245" t="s">
        <v>208</v>
      </c>
      <c r="D575" s="241">
        <f>D609+D643</f>
        <v>0</v>
      </c>
    </row>
    <row r="576" spans="1:4" ht="13.5" hidden="1" customHeight="1" outlineLevel="1" x14ac:dyDescent="0.3">
      <c r="A576" s="238"/>
      <c r="B576" s="242">
        <v>3200</v>
      </c>
      <c r="C576" s="243" t="s">
        <v>209</v>
      </c>
      <c r="D576" s="244">
        <f t="shared" ref="D576:D577" si="48">D610+D644</f>
        <v>0</v>
      </c>
    </row>
    <row r="577" spans="1:4" ht="13.5" hidden="1" customHeight="1" outlineLevel="1" x14ac:dyDescent="0.3">
      <c r="A577" s="238"/>
      <c r="B577" s="242">
        <v>3300</v>
      </c>
      <c r="C577" s="243" t="s">
        <v>210</v>
      </c>
      <c r="D577" s="244">
        <f t="shared" si="48"/>
        <v>0</v>
      </c>
    </row>
    <row r="578" spans="1:4" ht="13.5" hidden="1" customHeight="1" outlineLevel="1" x14ac:dyDescent="0.3">
      <c r="A578" s="238"/>
      <c r="B578" s="199">
        <v>4000</v>
      </c>
      <c r="C578" s="246" t="s">
        <v>211</v>
      </c>
      <c r="D578" s="241">
        <f>D612+D646</f>
        <v>0</v>
      </c>
    </row>
    <row r="579" spans="1:4" ht="13.5" hidden="1" customHeight="1" outlineLevel="1" x14ac:dyDescent="0.3">
      <c r="A579" s="238"/>
      <c r="B579" s="242">
        <v>4200</v>
      </c>
      <c r="C579" s="247" t="s">
        <v>212</v>
      </c>
      <c r="D579" s="244">
        <f t="shared" ref="D579:D580" si="49">D613+D647</f>
        <v>0</v>
      </c>
    </row>
    <row r="580" spans="1:4" ht="13.5" hidden="1" customHeight="1" outlineLevel="1" x14ac:dyDescent="0.3">
      <c r="A580" s="238"/>
      <c r="B580" s="242">
        <v>4300</v>
      </c>
      <c r="C580" s="247" t="s">
        <v>213</v>
      </c>
      <c r="D580" s="244">
        <f t="shared" si="49"/>
        <v>0</v>
      </c>
    </row>
    <row r="581" spans="1:4" ht="12" customHeight="1" collapsed="1" x14ac:dyDescent="0.3">
      <c r="A581" s="238"/>
      <c r="B581" s="199">
        <v>5000</v>
      </c>
      <c r="C581" s="200" t="s">
        <v>214</v>
      </c>
      <c r="D581" s="241">
        <f>D615+D649</f>
        <v>0</v>
      </c>
    </row>
    <row r="582" spans="1:4" ht="12" hidden="1" customHeight="1" outlineLevel="1" x14ac:dyDescent="0.3">
      <c r="A582" s="238"/>
      <c r="B582" s="242">
        <v>5100</v>
      </c>
      <c r="C582" s="248" t="s">
        <v>215</v>
      </c>
      <c r="D582" s="244">
        <f t="shared" ref="D582:D584" si="50">D616+D650</f>
        <v>0</v>
      </c>
    </row>
    <row r="583" spans="1:4" ht="12" customHeight="1" collapsed="1" x14ac:dyDescent="0.3">
      <c r="A583" s="238"/>
      <c r="B583" s="242">
        <v>5200</v>
      </c>
      <c r="C583" s="248" t="s">
        <v>216</v>
      </c>
      <c r="D583" s="244">
        <f t="shared" si="50"/>
        <v>0</v>
      </c>
    </row>
    <row r="584" spans="1:4" ht="12" hidden="1" customHeight="1" outlineLevel="1" x14ac:dyDescent="0.3">
      <c r="A584" s="238"/>
      <c r="B584" s="242">
        <v>5300</v>
      </c>
      <c r="C584" s="249" t="s">
        <v>217</v>
      </c>
      <c r="D584" s="244">
        <f t="shared" si="50"/>
        <v>0</v>
      </c>
    </row>
    <row r="585" spans="1:4" ht="12" hidden="1" customHeight="1" outlineLevel="1" x14ac:dyDescent="0.3">
      <c r="A585" s="238"/>
      <c r="B585" s="199">
        <v>6000</v>
      </c>
      <c r="C585" s="200" t="s">
        <v>218</v>
      </c>
      <c r="D585" s="241">
        <f>D619+D653</f>
        <v>0</v>
      </c>
    </row>
    <row r="586" spans="1:4" ht="12" hidden="1" customHeight="1" outlineLevel="1" x14ac:dyDescent="0.3">
      <c r="A586" s="238"/>
      <c r="B586" s="242">
        <v>6200</v>
      </c>
      <c r="C586" s="248" t="s">
        <v>219</v>
      </c>
      <c r="D586" s="244">
        <f t="shared" ref="D586:D589" si="51">D620+D654</f>
        <v>0</v>
      </c>
    </row>
    <row r="587" spans="1:4" ht="12" hidden="1" customHeight="1" outlineLevel="1" x14ac:dyDescent="0.3">
      <c r="A587" s="238"/>
      <c r="B587" s="242">
        <v>6300</v>
      </c>
      <c r="C587" s="248" t="s">
        <v>220</v>
      </c>
      <c r="D587" s="244">
        <f t="shared" si="51"/>
        <v>0</v>
      </c>
    </row>
    <row r="588" spans="1:4" ht="12" hidden="1" customHeight="1" outlineLevel="1" x14ac:dyDescent="0.3">
      <c r="A588" s="238"/>
      <c r="B588" s="242">
        <v>6400</v>
      </c>
      <c r="C588" s="248" t="s">
        <v>221</v>
      </c>
      <c r="D588" s="244">
        <f t="shared" si="51"/>
        <v>0</v>
      </c>
    </row>
    <row r="589" spans="1:4" ht="12" hidden="1" customHeight="1" outlineLevel="1" x14ac:dyDescent="0.3">
      <c r="A589" s="238"/>
      <c r="B589" s="242">
        <v>6500</v>
      </c>
      <c r="C589" s="249" t="s">
        <v>222</v>
      </c>
      <c r="D589" s="244">
        <f t="shared" si="51"/>
        <v>0</v>
      </c>
    </row>
    <row r="590" spans="1:4" ht="12" customHeight="1" collapsed="1" x14ac:dyDescent="0.3">
      <c r="A590" s="238"/>
      <c r="B590" s="199">
        <v>7000</v>
      </c>
      <c r="C590" s="200" t="s">
        <v>223</v>
      </c>
      <c r="D590" s="241">
        <f>D624+D658</f>
        <v>0</v>
      </c>
    </row>
    <row r="591" spans="1:4" ht="12" customHeight="1" x14ac:dyDescent="0.3">
      <c r="A591" s="238"/>
      <c r="B591" s="250">
        <v>7200</v>
      </c>
      <c r="C591" s="251" t="s">
        <v>224</v>
      </c>
      <c r="D591" s="244">
        <f t="shared" ref="D591:D593" si="52">D625+D659</f>
        <v>0</v>
      </c>
    </row>
    <row r="592" spans="1:4" ht="12" hidden="1" customHeight="1" outlineLevel="1" x14ac:dyDescent="0.3">
      <c r="A592" s="238"/>
      <c r="B592" s="250">
        <v>7500</v>
      </c>
      <c r="C592" s="251" t="s">
        <v>225</v>
      </c>
      <c r="D592" s="244">
        <f t="shared" si="52"/>
        <v>0</v>
      </c>
    </row>
    <row r="593" spans="1:4" ht="12" hidden="1" customHeight="1" outlineLevel="1" x14ac:dyDescent="0.3">
      <c r="A593" s="238"/>
      <c r="B593" s="250">
        <v>7700</v>
      </c>
      <c r="C593" s="251" t="s">
        <v>226</v>
      </c>
      <c r="D593" s="244">
        <f t="shared" si="52"/>
        <v>0</v>
      </c>
    </row>
    <row r="594" spans="1:4" ht="12" hidden="1" customHeight="1" outlineLevel="1" x14ac:dyDescent="0.3">
      <c r="A594" s="238"/>
      <c r="B594" s="252">
        <v>8000</v>
      </c>
      <c r="C594" s="253" t="s">
        <v>227</v>
      </c>
      <c r="D594" s="241">
        <f>D628+D662</f>
        <v>0</v>
      </c>
    </row>
    <row r="595" spans="1:4" ht="12" hidden="1" customHeight="1" outlineLevel="1" x14ac:dyDescent="0.3">
      <c r="A595" s="238"/>
      <c r="B595" s="254">
        <v>8100</v>
      </c>
      <c r="C595" s="255" t="s">
        <v>228</v>
      </c>
      <c r="D595" s="244">
        <f t="shared" ref="D595:D597" si="53">D629+D663</f>
        <v>0</v>
      </c>
    </row>
    <row r="596" spans="1:4" ht="12" hidden="1" customHeight="1" outlineLevel="1" x14ac:dyDescent="0.3">
      <c r="A596" s="238"/>
      <c r="B596" s="254">
        <v>8600</v>
      </c>
      <c r="C596" s="255" t="s">
        <v>229</v>
      </c>
      <c r="D596" s="244">
        <f t="shared" si="53"/>
        <v>0</v>
      </c>
    </row>
    <row r="597" spans="1:4" ht="12" hidden="1" customHeight="1" outlineLevel="1" x14ac:dyDescent="0.3">
      <c r="A597" s="238"/>
      <c r="B597" s="254">
        <v>8900</v>
      </c>
      <c r="C597" s="255" t="s">
        <v>230</v>
      </c>
      <c r="D597" s="244">
        <f t="shared" si="53"/>
        <v>0</v>
      </c>
    </row>
    <row r="598" spans="1:4" ht="12" customHeight="1" collapsed="1" x14ac:dyDescent="0.3">
      <c r="A598" s="262" t="s">
        <v>262</v>
      </c>
      <c r="B598" s="263"/>
      <c r="C598" s="264" t="s">
        <v>263</v>
      </c>
      <c r="D598" s="265">
        <f t="shared" ref="D598" si="54">D599+D615+D628</f>
        <v>78259</v>
      </c>
    </row>
    <row r="599" spans="1:4" ht="12" customHeight="1" x14ac:dyDescent="0.3">
      <c r="A599" s="238"/>
      <c r="B599" s="228"/>
      <c r="C599" s="229" t="s">
        <v>251</v>
      </c>
      <c r="D599" s="230">
        <f t="shared" ref="D599" si="55">D600+D603+D609+D612+D619+D624</f>
        <v>78259</v>
      </c>
    </row>
    <row r="600" spans="1:4" ht="12" hidden="1" customHeight="1" outlineLevel="1" x14ac:dyDescent="0.3">
      <c r="A600" s="238"/>
      <c r="B600" s="231">
        <v>1000</v>
      </c>
      <c r="C600" s="232" t="s">
        <v>199</v>
      </c>
      <c r="D600" s="230">
        <f>SUM(D601:D602)</f>
        <v>0</v>
      </c>
    </row>
    <row r="601" spans="1:4" ht="12" hidden="1" customHeight="1" outlineLevel="1" x14ac:dyDescent="0.3">
      <c r="A601" s="238"/>
      <c r="B601" s="234">
        <v>1100</v>
      </c>
      <c r="C601" s="235" t="s">
        <v>200</v>
      </c>
      <c r="D601" s="271"/>
    </row>
    <row r="602" spans="1:4" ht="12" hidden="1" customHeight="1" outlineLevel="1" x14ac:dyDescent="0.3">
      <c r="A602" s="238"/>
      <c r="B602" s="234">
        <v>1200</v>
      </c>
      <c r="C602" s="237" t="s">
        <v>201</v>
      </c>
      <c r="D602" s="236"/>
    </row>
    <row r="603" spans="1:4" ht="12" customHeight="1" collapsed="1" x14ac:dyDescent="0.3">
      <c r="A603" s="238"/>
      <c r="B603" s="239">
        <v>2000</v>
      </c>
      <c r="C603" s="240" t="s">
        <v>202</v>
      </c>
      <c r="D603" s="260">
        <f>SUM(D604:D608)</f>
        <v>78259</v>
      </c>
    </row>
    <row r="604" spans="1:4" ht="12" hidden="1" customHeight="1" outlineLevel="1" x14ac:dyDescent="0.3">
      <c r="A604" s="238"/>
      <c r="B604" s="242">
        <v>2100</v>
      </c>
      <c r="C604" s="243" t="s">
        <v>203</v>
      </c>
      <c r="D604" s="244"/>
    </row>
    <row r="605" spans="1:4" ht="12" customHeight="1" collapsed="1" x14ac:dyDescent="0.3">
      <c r="A605" s="238"/>
      <c r="B605" s="242">
        <v>2200</v>
      </c>
      <c r="C605" s="243" t="s">
        <v>204</v>
      </c>
      <c r="D605" s="244">
        <f>36800+4000+4011</f>
        <v>44811</v>
      </c>
    </row>
    <row r="606" spans="1:4" ht="12" customHeight="1" x14ac:dyDescent="0.3">
      <c r="A606" s="238"/>
      <c r="B606" s="242">
        <v>2300</v>
      </c>
      <c r="C606" s="243" t="s">
        <v>205</v>
      </c>
      <c r="D606" s="244">
        <f>3050+288</f>
        <v>3338</v>
      </c>
    </row>
    <row r="607" spans="1:4" ht="12" hidden="1" customHeight="1" outlineLevel="1" x14ac:dyDescent="0.3">
      <c r="A607" s="238"/>
      <c r="B607" s="242">
        <v>2400</v>
      </c>
      <c r="C607" s="243" t="s">
        <v>206</v>
      </c>
      <c r="D607" s="244"/>
    </row>
    <row r="608" spans="1:4" ht="12" customHeight="1" collapsed="1" x14ac:dyDescent="0.3">
      <c r="A608" s="238"/>
      <c r="B608" s="242">
        <v>2500</v>
      </c>
      <c r="C608" s="243" t="s">
        <v>207</v>
      </c>
      <c r="D608" s="244">
        <f>29700+410</f>
        <v>30110</v>
      </c>
    </row>
    <row r="609" spans="1:4" ht="12" hidden="1" customHeight="1" outlineLevel="1" x14ac:dyDescent="0.3">
      <c r="A609" s="238"/>
      <c r="B609" s="199">
        <v>3000</v>
      </c>
      <c r="C609" s="245" t="s">
        <v>208</v>
      </c>
      <c r="D609" s="260">
        <f>SUM(D610:D611)</f>
        <v>0</v>
      </c>
    </row>
    <row r="610" spans="1:4" ht="12" hidden="1" customHeight="1" outlineLevel="1" x14ac:dyDescent="0.3">
      <c r="A610" s="238"/>
      <c r="B610" s="242">
        <v>3200</v>
      </c>
      <c r="C610" s="243" t="s">
        <v>209</v>
      </c>
      <c r="D610" s="244"/>
    </row>
    <row r="611" spans="1:4" ht="12" hidden="1" customHeight="1" outlineLevel="1" x14ac:dyDescent="0.3">
      <c r="A611" s="238"/>
      <c r="B611" s="242">
        <v>3300</v>
      </c>
      <c r="C611" s="243" t="s">
        <v>210</v>
      </c>
      <c r="D611" s="244"/>
    </row>
    <row r="612" spans="1:4" ht="12" hidden="1" customHeight="1" outlineLevel="1" x14ac:dyDescent="0.3">
      <c r="A612" s="238"/>
      <c r="B612" s="199">
        <v>4000</v>
      </c>
      <c r="C612" s="246" t="s">
        <v>211</v>
      </c>
      <c r="D612" s="260">
        <f>SUM(D613:D614)</f>
        <v>0</v>
      </c>
    </row>
    <row r="613" spans="1:4" ht="12" hidden="1" customHeight="1" outlineLevel="1" x14ac:dyDescent="0.3">
      <c r="A613" s="238"/>
      <c r="B613" s="242">
        <v>4200</v>
      </c>
      <c r="C613" s="247" t="s">
        <v>212</v>
      </c>
      <c r="D613" s="244"/>
    </row>
    <row r="614" spans="1:4" ht="12" hidden="1" customHeight="1" outlineLevel="1" x14ac:dyDescent="0.3">
      <c r="A614" s="238"/>
      <c r="B614" s="242">
        <v>4300</v>
      </c>
      <c r="C614" s="247" t="s">
        <v>213</v>
      </c>
      <c r="D614" s="244"/>
    </row>
    <row r="615" spans="1:4" ht="12" customHeight="1" collapsed="1" x14ac:dyDescent="0.3">
      <c r="A615" s="238"/>
      <c r="B615" s="199">
        <v>5000</v>
      </c>
      <c r="C615" s="200" t="s">
        <v>214</v>
      </c>
      <c r="D615" s="260">
        <f>SUM(D616:D618)</f>
        <v>0</v>
      </c>
    </row>
    <row r="616" spans="1:4" ht="12" hidden="1" customHeight="1" outlineLevel="1" x14ac:dyDescent="0.3">
      <c r="A616" s="238"/>
      <c r="B616" s="242">
        <v>5100</v>
      </c>
      <c r="C616" s="248" t="s">
        <v>215</v>
      </c>
      <c r="D616" s="244"/>
    </row>
    <row r="617" spans="1:4" ht="12" customHeight="1" collapsed="1" x14ac:dyDescent="0.3">
      <c r="A617" s="238"/>
      <c r="B617" s="242">
        <v>5200</v>
      </c>
      <c r="C617" s="248" t="s">
        <v>216</v>
      </c>
      <c r="D617" s="244">
        <v>0</v>
      </c>
    </row>
    <row r="618" spans="1:4" ht="12" hidden="1" customHeight="1" outlineLevel="1" x14ac:dyDescent="0.3">
      <c r="A618" s="238"/>
      <c r="B618" s="242">
        <v>5300</v>
      </c>
      <c r="C618" s="249" t="s">
        <v>217</v>
      </c>
      <c r="D618" s="244"/>
    </row>
    <row r="619" spans="1:4" ht="12" hidden="1" customHeight="1" outlineLevel="1" x14ac:dyDescent="0.3">
      <c r="A619" s="238"/>
      <c r="B619" s="199">
        <v>6000</v>
      </c>
      <c r="C619" s="200" t="s">
        <v>218</v>
      </c>
      <c r="D619" s="260">
        <f>SUM(D620:D623)</f>
        <v>0</v>
      </c>
    </row>
    <row r="620" spans="1:4" ht="12" hidden="1" customHeight="1" outlineLevel="1" x14ac:dyDescent="0.3">
      <c r="A620" s="238"/>
      <c r="B620" s="242">
        <v>6200</v>
      </c>
      <c r="C620" s="248" t="s">
        <v>219</v>
      </c>
      <c r="D620" s="244"/>
    </row>
    <row r="621" spans="1:4" ht="12" hidden="1" customHeight="1" outlineLevel="1" x14ac:dyDescent="0.3">
      <c r="A621" s="238"/>
      <c r="B621" s="242">
        <v>6300</v>
      </c>
      <c r="C621" s="248" t="s">
        <v>220</v>
      </c>
      <c r="D621" s="244"/>
    </row>
    <row r="622" spans="1:4" ht="12" hidden="1" customHeight="1" outlineLevel="1" x14ac:dyDescent="0.3">
      <c r="A622" s="238"/>
      <c r="B622" s="242">
        <v>6400</v>
      </c>
      <c r="C622" s="248" t="s">
        <v>221</v>
      </c>
      <c r="D622" s="244"/>
    </row>
    <row r="623" spans="1:4" ht="12" hidden="1" customHeight="1" outlineLevel="1" x14ac:dyDescent="0.3">
      <c r="A623" s="238"/>
      <c r="B623" s="242">
        <v>6500</v>
      </c>
      <c r="C623" s="249" t="s">
        <v>222</v>
      </c>
      <c r="D623" s="244"/>
    </row>
    <row r="624" spans="1:4" ht="12" customHeight="1" collapsed="1" x14ac:dyDescent="0.3">
      <c r="A624" s="238"/>
      <c r="B624" s="199">
        <v>7000</v>
      </c>
      <c r="C624" s="200" t="s">
        <v>223</v>
      </c>
      <c r="D624" s="260">
        <f>SUM(D625:D627)</f>
        <v>0</v>
      </c>
    </row>
    <row r="625" spans="1:4" ht="12" customHeight="1" x14ac:dyDescent="0.3">
      <c r="A625" s="238"/>
      <c r="B625" s="250">
        <v>7200</v>
      </c>
      <c r="C625" s="251" t="s">
        <v>224</v>
      </c>
      <c r="D625" s="244">
        <v>0</v>
      </c>
    </row>
    <row r="626" spans="1:4" ht="12" hidden="1" customHeight="1" outlineLevel="1" x14ac:dyDescent="0.3">
      <c r="A626" s="238"/>
      <c r="B626" s="250">
        <v>7500</v>
      </c>
      <c r="C626" s="251" t="s">
        <v>225</v>
      </c>
      <c r="D626" s="244"/>
    </row>
    <row r="627" spans="1:4" ht="12" hidden="1" customHeight="1" outlineLevel="1" x14ac:dyDescent="0.3">
      <c r="A627" s="238"/>
      <c r="B627" s="250">
        <v>7700</v>
      </c>
      <c r="C627" s="251" t="s">
        <v>226</v>
      </c>
      <c r="D627" s="244"/>
    </row>
    <row r="628" spans="1:4" ht="12" hidden="1" customHeight="1" outlineLevel="1" x14ac:dyDescent="0.3">
      <c r="A628" s="238"/>
      <c r="B628" s="252">
        <v>8000</v>
      </c>
      <c r="C628" s="253" t="s">
        <v>227</v>
      </c>
      <c r="D628" s="260">
        <f>SUM(D629:D631)</f>
        <v>0</v>
      </c>
    </row>
    <row r="629" spans="1:4" ht="12" hidden="1" customHeight="1" outlineLevel="1" x14ac:dyDescent="0.3">
      <c r="A629" s="238"/>
      <c r="B629" s="254">
        <v>8100</v>
      </c>
      <c r="C629" s="255" t="s">
        <v>228</v>
      </c>
      <c r="D629" s="260"/>
    </row>
    <row r="630" spans="1:4" ht="12" hidden="1" customHeight="1" outlineLevel="1" x14ac:dyDescent="0.3">
      <c r="A630" s="238"/>
      <c r="B630" s="254">
        <v>8600</v>
      </c>
      <c r="C630" s="255" t="s">
        <v>229</v>
      </c>
      <c r="D630" s="260"/>
    </row>
    <row r="631" spans="1:4" ht="12" hidden="1" customHeight="1" outlineLevel="1" x14ac:dyDescent="0.3">
      <c r="A631" s="238"/>
      <c r="B631" s="254">
        <v>8900</v>
      </c>
      <c r="C631" s="255" t="s">
        <v>230</v>
      </c>
      <c r="D631" s="260"/>
    </row>
    <row r="632" spans="1:4" ht="24" hidden="1" customHeight="1" outlineLevel="1" collapsed="1" x14ac:dyDescent="0.3">
      <c r="A632" s="262" t="s">
        <v>264</v>
      </c>
      <c r="B632" s="263"/>
      <c r="C632" s="269" t="s">
        <v>265</v>
      </c>
      <c r="D632" s="265">
        <f t="shared" ref="D632" si="56">D633+D649+D662</f>
        <v>0</v>
      </c>
    </row>
    <row r="633" spans="1:4" ht="12" hidden="1" customHeight="1" outlineLevel="1" x14ac:dyDescent="0.3">
      <c r="A633" s="227"/>
      <c r="B633" s="228"/>
      <c r="C633" s="229" t="s">
        <v>251</v>
      </c>
      <c r="D633" s="230">
        <f t="shared" ref="D633" si="57">D634+D637+D643+D646+D653+D658</f>
        <v>0</v>
      </c>
    </row>
    <row r="634" spans="1:4" ht="12" hidden="1" customHeight="1" outlineLevel="1" x14ac:dyDescent="0.3">
      <c r="A634" s="227"/>
      <c r="B634" s="231">
        <v>1000</v>
      </c>
      <c r="C634" s="232" t="s">
        <v>199</v>
      </c>
      <c r="D634" s="230">
        <f>SUM(D635:D636)</f>
        <v>0</v>
      </c>
    </row>
    <row r="635" spans="1:4" ht="12" hidden="1" customHeight="1" outlineLevel="1" x14ac:dyDescent="0.3">
      <c r="A635" s="227"/>
      <c r="B635" s="234">
        <v>1100</v>
      </c>
      <c r="C635" s="235" t="s">
        <v>200</v>
      </c>
      <c r="D635" s="271"/>
    </row>
    <row r="636" spans="1:4" ht="12" hidden="1" customHeight="1" outlineLevel="1" x14ac:dyDescent="0.3">
      <c r="A636" s="227"/>
      <c r="B636" s="234">
        <v>1200</v>
      </c>
      <c r="C636" s="237" t="s">
        <v>201</v>
      </c>
      <c r="D636" s="236"/>
    </row>
    <row r="637" spans="1:4" ht="12" hidden="1" customHeight="1" outlineLevel="1" x14ac:dyDescent="0.3">
      <c r="A637" s="238"/>
      <c r="B637" s="239">
        <v>2000</v>
      </c>
      <c r="C637" s="240" t="s">
        <v>202</v>
      </c>
      <c r="D637" s="260">
        <f>SUM(D638:D642)</f>
        <v>0</v>
      </c>
    </row>
    <row r="638" spans="1:4" ht="12" hidden="1" customHeight="1" outlineLevel="1" x14ac:dyDescent="0.3">
      <c r="A638" s="238"/>
      <c r="B638" s="242">
        <v>2100</v>
      </c>
      <c r="C638" s="243" t="s">
        <v>203</v>
      </c>
      <c r="D638" s="244"/>
    </row>
    <row r="639" spans="1:4" ht="12" hidden="1" customHeight="1" outlineLevel="1" x14ac:dyDescent="0.3">
      <c r="A639" s="238"/>
      <c r="B639" s="242">
        <v>2200</v>
      </c>
      <c r="C639" s="243" t="s">
        <v>204</v>
      </c>
      <c r="D639" s="244"/>
    </row>
    <row r="640" spans="1:4" ht="12" hidden="1" customHeight="1" outlineLevel="1" x14ac:dyDescent="0.3">
      <c r="A640" s="238"/>
      <c r="B640" s="242">
        <v>2300</v>
      </c>
      <c r="C640" s="243" t="s">
        <v>205</v>
      </c>
      <c r="D640" s="244"/>
    </row>
    <row r="641" spans="1:4" ht="12" hidden="1" customHeight="1" outlineLevel="1" x14ac:dyDescent="0.3">
      <c r="A641" s="238"/>
      <c r="B641" s="242">
        <v>2400</v>
      </c>
      <c r="C641" s="243" t="s">
        <v>206</v>
      </c>
      <c r="D641" s="244"/>
    </row>
    <row r="642" spans="1:4" ht="12" hidden="1" customHeight="1" outlineLevel="1" x14ac:dyDescent="0.3">
      <c r="A642" s="238"/>
      <c r="B642" s="242">
        <v>2500</v>
      </c>
      <c r="C642" s="243" t="s">
        <v>207</v>
      </c>
      <c r="D642" s="244"/>
    </row>
    <row r="643" spans="1:4" ht="12" hidden="1" customHeight="1" outlineLevel="1" x14ac:dyDescent="0.3">
      <c r="A643" s="238"/>
      <c r="B643" s="199">
        <v>3000</v>
      </c>
      <c r="C643" s="245" t="s">
        <v>208</v>
      </c>
      <c r="D643" s="260">
        <f>SUM(D644:D645)</f>
        <v>0</v>
      </c>
    </row>
    <row r="644" spans="1:4" ht="12" hidden="1" customHeight="1" outlineLevel="1" x14ac:dyDescent="0.3">
      <c r="A644" s="238"/>
      <c r="B644" s="242">
        <v>3200</v>
      </c>
      <c r="C644" s="243" t="s">
        <v>209</v>
      </c>
      <c r="D644" s="244"/>
    </row>
    <row r="645" spans="1:4" ht="12" hidden="1" customHeight="1" outlineLevel="1" x14ac:dyDescent="0.3">
      <c r="A645" s="238"/>
      <c r="B645" s="242">
        <v>3300</v>
      </c>
      <c r="C645" s="243" t="s">
        <v>210</v>
      </c>
      <c r="D645" s="244"/>
    </row>
    <row r="646" spans="1:4" ht="12" hidden="1" customHeight="1" outlineLevel="1" x14ac:dyDescent="0.3">
      <c r="A646" s="238"/>
      <c r="B646" s="199">
        <v>4000</v>
      </c>
      <c r="C646" s="246" t="s">
        <v>211</v>
      </c>
      <c r="D646" s="260">
        <f>SUM(D647:D648)</f>
        <v>0</v>
      </c>
    </row>
    <row r="647" spans="1:4" ht="12" hidden="1" customHeight="1" outlineLevel="1" x14ac:dyDescent="0.3">
      <c r="A647" s="238"/>
      <c r="B647" s="242">
        <v>4200</v>
      </c>
      <c r="C647" s="247" t="s">
        <v>212</v>
      </c>
      <c r="D647" s="244"/>
    </row>
    <row r="648" spans="1:4" ht="12" hidden="1" customHeight="1" outlineLevel="1" x14ac:dyDescent="0.3">
      <c r="A648" s="238"/>
      <c r="B648" s="242">
        <v>4300</v>
      </c>
      <c r="C648" s="247" t="s">
        <v>213</v>
      </c>
      <c r="D648" s="244"/>
    </row>
    <row r="649" spans="1:4" ht="12" hidden="1" customHeight="1" outlineLevel="1" x14ac:dyDescent="0.3">
      <c r="A649" s="238"/>
      <c r="B649" s="199">
        <v>5000</v>
      </c>
      <c r="C649" s="200" t="s">
        <v>214</v>
      </c>
      <c r="D649" s="260">
        <f>SUM(D650:D652)</f>
        <v>0</v>
      </c>
    </row>
    <row r="650" spans="1:4" ht="12" hidden="1" customHeight="1" outlineLevel="1" x14ac:dyDescent="0.3">
      <c r="A650" s="238"/>
      <c r="B650" s="242">
        <v>5100</v>
      </c>
      <c r="C650" s="248" t="s">
        <v>215</v>
      </c>
      <c r="D650" s="260"/>
    </row>
    <row r="651" spans="1:4" ht="12" hidden="1" customHeight="1" outlineLevel="1" x14ac:dyDescent="0.3">
      <c r="A651" s="238"/>
      <c r="B651" s="242">
        <v>5200</v>
      </c>
      <c r="C651" s="248" t="s">
        <v>216</v>
      </c>
      <c r="D651" s="260"/>
    </row>
    <row r="652" spans="1:4" ht="12" hidden="1" customHeight="1" outlineLevel="1" x14ac:dyDescent="0.3">
      <c r="A652" s="238"/>
      <c r="B652" s="242">
        <v>5300</v>
      </c>
      <c r="C652" s="249" t="s">
        <v>217</v>
      </c>
      <c r="D652" s="260"/>
    </row>
    <row r="653" spans="1:4" ht="12" hidden="1" customHeight="1" outlineLevel="1" x14ac:dyDescent="0.3">
      <c r="A653" s="238"/>
      <c r="B653" s="199">
        <v>6000</v>
      </c>
      <c r="C653" s="200" t="s">
        <v>218</v>
      </c>
      <c r="D653" s="260">
        <f>SUM(D654:D657)</f>
        <v>0</v>
      </c>
    </row>
    <row r="654" spans="1:4" ht="12" hidden="1" customHeight="1" outlineLevel="1" x14ac:dyDescent="0.3">
      <c r="A654" s="238"/>
      <c r="B654" s="242">
        <v>6200</v>
      </c>
      <c r="C654" s="248" t="s">
        <v>219</v>
      </c>
      <c r="D654" s="244"/>
    </row>
    <row r="655" spans="1:4" ht="12" hidden="1" customHeight="1" outlineLevel="1" x14ac:dyDescent="0.3">
      <c r="A655" s="238"/>
      <c r="B655" s="242">
        <v>6300</v>
      </c>
      <c r="C655" s="248" t="s">
        <v>220</v>
      </c>
      <c r="D655" s="244"/>
    </row>
    <row r="656" spans="1:4" ht="12" hidden="1" customHeight="1" outlineLevel="1" x14ac:dyDescent="0.3">
      <c r="A656" s="238"/>
      <c r="B656" s="242">
        <v>6400</v>
      </c>
      <c r="C656" s="248" t="s">
        <v>221</v>
      </c>
      <c r="D656" s="244"/>
    </row>
    <row r="657" spans="1:4" ht="12" hidden="1" customHeight="1" outlineLevel="1" x14ac:dyDescent="0.3">
      <c r="A657" s="238"/>
      <c r="B657" s="242">
        <v>6500</v>
      </c>
      <c r="C657" s="249" t="s">
        <v>222</v>
      </c>
      <c r="D657" s="244"/>
    </row>
    <row r="658" spans="1:4" ht="12" hidden="1" customHeight="1" outlineLevel="1" x14ac:dyDescent="0.3">
      <c r="A658" s="238"/>
      <c r="B658" s="199">
        <v>7000</v>
      </c>
      <c r="C658" s="200" t="s">
        <v>223</v>
      </c>
      <c r="D658" s="260">
        <f>SUM(D659:D661)</f>
        <v>0</v>
      </c>
    </row>
    <row r="659" spans="1:4" ht="12" hidden="1" customHeight="1" outlineLevel="1" x14ac:dyDescent="0.3">
      <c r="A659" s="238"/>
      <c r="B659" s="250">
        <v>7200</v>
      </c>
      <c r="C659" s="251" t="s">
        <v>224</v>
      </c>
      <c r="D659" s="244"/>
    </row>
    <row r="660" spans="1:4" ht="12" hidden="1" customHeight="1" outlineLevel="1" x14ac:dyDescent="0.3">
      <c r="A660" s="238"/>
      <c r="B660" s="250">
        <v>7500</v>
      </c>
      <c r="C660" s="251" t="s">
        <v>225</v>
      </c>
      <c r="D660" s="244"/>
    </row>
    <row r="661" spans="1:4" ht="12" hidden="1" customHeight="1" outlineLevel="1" x14ac:dyDescent="0.3">
      <c r="A661" s="238"/>
      <c r="B661" s="250">
        <v>7700</v>
      </c>
      <c r="C661" s="251" t="s">
        <v>226</v>
      </c>
      <c r="D661" s="244"/>
    </row>
    <row r="662" spans="1:4" ht="12" hidden="1" customHeight="1" outlineLevel="1" x14ac:dyDescent="0.3">
      <c r="A662" s="238"/>
      <c r="B662" s="252">
        <v>8000</v>
      </c>
      <c r="C662" s="253" t="s">
        <v>227</v>
      </c>
      <c r="D662" s="260">
        <f>SUM(D663:D665)</f>
        <v>0</v>
      </c>
    </row>
    <row r="663" spans="1:4" ht="12" hidden="1" customHeight="1" outlineLevel="1" x14ac:dyDescent="0.3">
      <c r="A663" s="238"/>
      <c r="B663" s="254">
        <v>8100</v>
      </c>
      <c r="C663" s="255" t="s">
        <v>228</v>
      </c>
      <c r="D663" s="260"/>
    </row>
    <row r="664" spans="1:4" ht="12" hidden="1" customHeight="1" outlineLevel="1" x14ac:dyDescent="0.3">
      <c r="A664" s="238"/>
      <c r="B664" s="254">
        <v>8600</v>
      </c>
      <c r="C664" s="255" t="s">
        <v>229</v>
      </c>
      <c r="D664" s="260"/>
    </row>
    <row r="665" spans="1:4" ht="12" hidden="1" customHeight="1" outlineLevel="1" x14ac:dyDescent="0.3">
      <c r="A665" s="238"/>
      <c r="B665" s="254">
        <v>8900</v>
      </c>
      <c r="C665" s="255" t="s">
        <v>230</v>
      </c>
      <c r="D665" s="260"/>
    </row>
    <row r="666" spans="1:4" ht="12" customHeight="1" collapsed="1" x14ac:dyDescent="0.3">
      <c r="A666" s="256" t="s">
        <v>266</v>
      </c>
      <c r="B666" s="257"/>
      <c r="C666" s="258" t="s">
        <v>267</v>
      </c>
      <c r="D666" s="259">
        <f t="shared" ref="D666" si="58">D667+D683+D696</f>
        <v>746276</v>
      </c>
    </row>
    <row r="667" spans="1:4" ht="12" customHeight="1" x14ac:dyDescent="0.3">
      <c r="A667" s="227"/>
      <c r="B667" s="228"/>
      <c r="C667" s="229" t="s">
        <v>251</v>
      </c>
      <c r="D667" s="230">
        <f t="shared" ref="D667" si="59">D668+D671+D677+D680+D687+D692</f>
        <v>723456</v>
      </c>
    </row>
    <row r="668" spans="1:4" ht="12" hidden="1" customHeight="1" outlineLevel="1" x14ac:dyDescent="0.3">
      <c r="A668" s="227"/>
      <c r="B668" s="231">
        <v>1000</v>
      </c>
      <c r="C668" s="232" t="s">
        <v>199</v>
      </c>
      <c r="D668" s="230">
        <f>SUM(D669:D670)</f>
        <v>0</v>
      </c>
    </row>
    <row r="669" spans="1:4" ht="12" hidden="1" customHeight="1" outlineLevel="1" x14ac:dyDescent="0.3">
      <c r="A669" s="227"/>
      <c r="B669" s="234">
        <v>1100</v>
      </c>
      <c r="C669" s="235" t="s">
        <v>200</v>
      </c>
      <c r="D669" s="271"/>
    </row>
    <row r="670" spans="1:4" ht="12" hidden="1" customHeight="1" outlineLevel="1" x14ac:dyDescent="0.3">
      <c r="A670" s="227"/>
      <c r="B670" s="234">
        <v>1200</v>
      </c>
      <c r="C670" s="237" t="s">
        <v>201</v>
      </c>
      <c r="D670" s="236"/>
    </row>
    <row r="671" spans="1:4" ht="12" customHeight="1" collapsed="1" x14ac:dyDescent="0.3">
      <c r="A671" s="238"/>
      <c r="B671" s="239">
        <v>2000</v>
      </c>
      <c r="C671" s="240" t="s">
        <v>202</v>
      </c>
      <c r="D671" s="260">
        <f>SUM(D672:D676)</f>
        <v>723456</v>
      </c>
    </row>
    <row r="672" spans="1:4" ht="12" hidden="1" customHeight="1" outlineLevel="1" x14ac:dyDescent="0.3">
      <c r="A672" s="238"/>
      <c r="B672" s="242">
        <v>2100</v>
      </c>
      <c r="C672" s="243" t="s">
        <v>203</v>
      </c>
      <c r="D672" s="244"/>
    </row>
    <row r="673" spans="1:4" ht="12" customHeight="1" collapsed="1" x14ac:dyDescent="0.3">
      <c r="A673" s="238"/>
      <c r="B673" s="242">
        <v>2200</v>
      </c>
      <c r="C673" s="243" t="s">
        <v>204</v>
      </c>
      <c r="D673" s="244">
        <f>621865-3261+500-4500</f>
        <v>614604</v>
      </c>
    </row>
    <row r="674" spans="1:4" ht="12" customHeight="1" x14ac:dyDescent="0.3">
      <c r="A674" s="238"/>
      <c r="B674" s="242">
        <v>2300</v>
      </c>
      <c r="C674" s="243" t="s">
        <v>205</v>
      </c>
      <c r="D674" s="244">
        <f>69403+1525+3413</f>
        <v>74341</v>
      </c>
    </row>
    <row r="675" spans="1:4" ht="12" hidden="1" customHeight="1" outlineLevel="1" x14ac:dyDescent="0.3">
      <c r="A675" s="238"/>
      <c r="B675" s="242">
        <v>2400</v>
      </c>
      <c r="C675" s="243" t="s">
        <v>206</v>
      </c>
      <c r="D675" s="244"/>
    </row>
    <row r="676" spans="1:4" ht="12" customHeight="1" collapsed="1" x14ac:dyDescent="0.3">
      <c r="A676" s="238"/>
      <c r="B676" s="242">
        <v>2500</v>
      </c>
      <c r="C676" s="243" t="s">
        <v>207</v>
      </c>
      <c r="D676" s="244">
        <f>27511+4000+3000</f>
        <v>34511</v>
      </c>
    </row>
    <row r="677" spans="1:4" ht="12" hidden="1" customHeight="1" outlineLevel="1" x14ac:dyDescent="0.3">
      <c r="A677" s="238"/>
      <c r="B677" s="199">
        <v>3000</v>
      </c>
      <c r="C677" s="245" t="s">
        <v>208</v>
      </c>
      <c r="D677" s="260">
        <f>SUM(D678:D679)</f>
        <v>0</v>
      </c>
    </row>
    <row r="678" spans="1:4" ht="12" hidden="1" customHeight="1" outlineLevel="1" x14ac:dyDescent="0.3">
      <c r="A678" s="238"/>
      <c r="B678" s="242">
        <v>3200</v>
      </c>
      <c r="C678" s="243" t="s">
        <v>209</v>
      </c>
      <c r="D678" s="244"/>
    </row>
    <row r="679" spans="1:4" ht="12" hidden="1" customHeight="1" outlineLevel="1" x14ac:dyDescent="0.3">
      <c r="A679" s="238"/>
      <c r="B679" s="242">
        <v>3300</v>
      </c>
      <c r="C679" s="243" t="s">
        <v>210</v>
      </c>
      <c r="D679" s="244"/>
    </row>
    <row r="680" spans="1:4" ht="12" hidden="1" customHeight="1" outlineLevel="1" x14ac:dyDescent="0.3">
      <c r="A680" s="238"/>
      <c r="B680" s="199">
        <v>4000</v>
      </c>
      <c r="C680" s="246" t="s">
        <v>211</v>
      </c>
      <c r="D680" s="260">
        <f>SUM(D681:D682)</f>
        <v>0</v>
      </c>
    </row>
    <row r="681" spans="1:4" ht="12" hidden="1" customHeight="1" outlineLevel="1" x14ac:dyDescent="0.3">
      <c r="A681" s="238"/>
      <c r="B681" s="242">
        <v>4200</v>
      </c>
      <c r="C681" s="247" t="s">
        <v>212</v>
      </c>
      <c r="D681" s="244"/>
    </row>
    <row r="682" spans="1:4" ht="12" hidden="1" customHeight="1" outlineLevel="1" x14ac:dyDescent="0.3">
      <c r="A682" s="238"/>
      <c r="B682" s="242">
        <v>4300</v>
      </c>
      <c r="C682" s="247" t="s">
        <v>213</v>
      </c>
      <c r="D682" s="244"/>
    </row>
    <row r="683" spans="1:4" ht="12" customHeight="1" collapsed="1" x14ac:dyDescent="0.3">
      <c r="A683" s="238"/>
      <c r="B683" s="199">
        <v>5000</v>
      </c>
      <c r="C683" s="200" t="s">
        <v>214</v>
      </c>
      <c r="D683" s="260">
        <f>SUM(D684:D686)</f>
        <v>22820</v>
      </c>
    </row>
    <row r="684" spans="1:4" ht="12" hidden="1" customHeight="1" outlineLevel="1" x14ac:dyDescent="0.3">
      <c r="A684" s="238"/>
      <c r="B684" s="242">
        <v>5100</v>
      </c>
      <c r="C684" s="248" t="s">
        <v>215</v>
      </c>
      <c r="D684" s="244"/>
    </row>
    <row r="685" spans="1:4" ht="12" customHeight="1" collapsed="1" x14ac:dyDescent="0.3">
      <c r="A685" s="238"/>
      <c r="B685" s="242">
        <v>5200</v>
      </c>
      <c r="C685" s="248" t="s">
        <v>216</v>
      </c>
      <c r="D685" s="244">
        <f>24750+1736-3666</f>
        <v>22820</v>
      </c>
    </row>
    <row r="686" spans="1:4" ht="12" hidden="1" customHeight="1" outlineLevel="1" x14ac:dyDescent="0.3">
      <c r="A686" s="238"/>
      <c r="B686" s="242">
        <v>5300</v>
      </c>
      <c r="C686" s="249" t="s">
        <v>217</v>
      </c>
      <c r="D686" s="244"/>
    </row>
    <row r="687" spans="1:4" ht="12" hidden="1" customHeight="1" outlineLevel="1" x14ac:dyDescent="0.3">
      <c r="A687" s="238"/>
      <c r="B687" s="199">
        <v>6000</v>
      </c>
      <c r="C687" s="200" t="s">
        <v>218</v>
      </c>
      <c r="D687" s="260">
        <f>SUM(D688:D691)</f>
        <v>0</v>
      </c>
    </row>
    <row r="688" spans="1:4" ht="12" hidden="1" customHeight="1" outlineLevel="1" x14ac:dyDescent="0.3">
      <c r="A688" s="238"/>
      <c r="B688" s="242">
        <v>6200</v>
      </c>
      <c r="C688" s="248" t="s">
        <v>219</v>
      </c>
      <c r="D688" s="244"/>
    </row>
    <row r="689" spans="1:4" ht="12" hidden="1" customHeight="1" outlineLevel="1" x14ac:dyDescent="0.3">
      <c r="A689" s="238"/>
      <c r="B689" s="242">
        <v>6300</v>
      </c>
      <c r="C689" s="248" t="s">
        <v>220</v>
      </c>
      <c r="D689" s="244"/>
    </row>
    <row r="690" spans="1:4" ht="12" hidden="1" customHeight="1" outlineLevel="1" x14ac:dyDescent="0.3">
      <c r="A690" s="238"/>
      <c r="B690" s="242">
        <v>6400</v>
      </c>
      <c r="C690" s="248" t="s">
        <v>221</v>
      </c>
      <c r="D690" s="244"/>
    </row>
    <row r="691" spans="1:4" ht="12" hidden="1" customHeight="1" outlineLevel="1" x14ac:dyDescent="0.3">
      <c r="A691" s="238"/>
      <c r="B691" s="242">
        <v>6500</v>
      </c>
      <c r="C691" s="249" t="s">
        <v>222</v>
      </c>
      <c r="D691" s="244"/>
    </row>
    <row r="692" spans="1:4" ht="12" hidden="1" customHeight="1" outlineLevel="1" x14ac:dyDescent="0.3">
      <c r="A692" s="238"/>
      <c r="B692" s="199">
        <v>7000</v>
      </c>
      <c r="C692" s="200" t="s">
        <v>223</v>
      </c>
      <c r="D692" s="260">
        <f>SUM(D693:D695)</f>
        <v>0</v>
      </c>
    </row>
    <row r="693" spans="1:4" ht="12" hidden="1" customHeight="1" outlineLevel="1" x14ac:dyDescent="0.3">
      <c r="A693" s="238"/>
      <c r="B693" s="250">
        <v>7200</v>
      </c>
      <c r="C693" s="251" t="s">
        <v>224</v>
      </c>
      <c r="D693" s="244"/>
    </row>
    <row r="694" spans="1:4" ht="12" hidden="1" customHeight="1" outlineLevel="1" x14ac:dyDescent="0.3">
      <c r="A694" s="238"/>
      <c r="B694" s="250">
        <v>7500</v>
      </c>
      <c r="C694" s="251" t="s">
        <v>225</v>
      </c>
      <c r="D694" s="244"/>
    </row>
    <row r="695" spans="1:4" ht="12" hidden="1" customHeight="1" outlineLevel="1" x14ac:dyDescent="0.3">
      <c r="A695" s="238"/>
      <c r="B695" s="250">
        <v>7700</v>
      </c>
      <c r="C695" s="251" t="s">
        <v>226</v>
      </c>
      <c r="D695" s="244"/>
    </row>
    <row r="696" spans="1:4" ht="12" hidden="1" customHeight="1" outlineLevel="1" x14ac:dyDescent="0.3">
      <c r="A696" s="238"/>
      <c r="B696" s="252">
        <v>8000</v>
      </c>
      <c r="C696" s="253" t="s">
        <v>227</v>
      </c>
      <c r="D696" s="260">
        <f>SUM(D697:D699)</f>
        <v>0</v>
      </c>
    </row>
    <row r="697" spans="1:4" ht="12" hidden="1" customHeight="1" outlineLevel="1" x14ac:dyDescent="0.3">
      <c r="A697" s="238"/>
      <c r="B697" s="254">
        <v>8100</v>
      </c>
      <c r="C697" s="255" t="s">
        <v>228</v>
      </c>
      <c r="D697" s="260"/>
    </row>
    <row r="698" spans="1:4" ht="12" hidden="1" customHeight="1" outlineLevel="1" x14ac:dyDescent="0.3">
      <c r="A698" s="238"/>
      <c r="B698" s="254">
        <v>8600</v>
      </c>
      <c r="C698" s="255" t="s">
        <v>229</v>
      </c>
      <c r="D698" s="260"/>
    </row>
    <row r="699" spans="1:4" ht="12" hidden="1" customHeight="1" outlineLevel="1" x14ac:dyDescent="0.3">
      <c r="A699" s="238"/>
      <c r="B699" s="254">
        <v>8900</v>
      </c>
      <c r="C699" s="255" t="s">
        <v>230</v>
      </c>
      <c r="D699" s="260"/>
    </row>
    <row r="700" spans="1:4" ht="12" customHeight="1" collapsed="1" x14ac:dyDescent="0.3">
      <c r="A700" s="256" t="s">
        <v>268</v>
      </c>
      <c r="B700" s="257"/>
      <c r="C700" s="258" t="s">
        <v>269</v>
      </c>
      <c r="D700" s="259">
        <f t="shared" ref="D700" si="60">D701+D717+D730</f>
        <v>387369</v>
      </c>
    </row>
    <row r="701" spans="1:4" ht="12" customHeight="1" x14ac:dyDescent="0.3">
      <c r="A701" s="227"/>
      <c r="B701" s="228"/>
      <c r="C701" s="229" t="s">
        <v>198</v>
      </c>
      <c r="D701" s="230">
        <f t="shared" ref="D701" si="61">D702+D705+D711+D714+D721+D726</f>
        <v>383769</v>
      </c>
    </row>
    <row r="702" spans="1:4" ht="12" customHeight="1" x14ac:dyDescent="0.3">
      <c r="A702" s="227"/>
      <c r="B702" s="231">
        <v>1000</v>
      </c>
      <c r="C702" s="232" t="s">
        <v>199</v>
      </c>
      <c r="D702" s="230">
        <f>SUM(D703:D704)</f>
        <v>358808</v>
      </c>
    </row>
    <row r="703" spans="1:4" ht="12" customHeight="1" x14ac:dyDescent="0.3">
      <c r="A703" s="227"/>
      <c r="B703" s="234">
        <v>1100</v>
      </c>
      <c r="C703" s="235" t="s">
        <v>200</v>
      </c>
      <c r="D703" s="244">
        <f>282495-7500</f>
        <v>274995</v>
      </c>
    </row>
    <row r="704" spans="1:4" ht="12" customHeight="1" x14ac:dyDescent="0.3">
      <c r="A704" s="227"/>
      <c r="B704" s="234">
        <v>1200</v>
      </c>
      <c r="C704" s="237" t="s">
        <v>201</v>
      </c>
      <c r="D704" s="236">
        <v>83813</v>
      </c>
    </row>
    <row r="705" spans="1:4" ht="12" customHeight="1" x14ac:dyDescent="0.3">
      <c r="A705" s="238"/>
      <c r="B705" s="239">
        <v>2000</v>
      </c>
      <c r="C705" s="240" t="s">
        <v>202</v>
      </c>
      <c r="D705" s="260">
        <f>SUM(D706:D710)</f>
        <v>24961</v>
      </c>
    </row>
    <row r="706" spans="1:4" ht="12" customHeight="1" x14ac:dyDescent="0.3">
      <c r="A706" s="238"/>
      <c r="B706" s="242">
        <v>2100</v>
      </c>
      <c r="C706" s="243" t="s">
        <v>203</v>
      </c>
      <c r="D706" s="244">
        <f>1430-550</f>
        <v>880</v>
      </c>
    </row>
    <row r="707" spans="1:4" ht="12" customHeight="1" x14ac:dyDescent="0.3">
      <c r="A707" s="238"/>
      <c r="B707" s="242">
        <v>2200</v>
      </c>
      <c r="C707" s="243" t="s">
        <v>204</v>
      </c>
      <c r="D707" s="244">
        <f>16657-550+50</f>
        <v>16157</v>
      </c>
    </row>
    <row r="708" spans="1:4" ht="12" customHeight="1" x14ac:dyDescent="0.3">
      <c r="A708" s="238"/>
      <c r="B708" s="242">
        <v>2300</v>
      </c>
      <c r="C708" s="243" t="s">
        <v>205</v>
      </c>
      <c r="D708" s="244">
        <f>7818-50</f>
        <v>7768</v>
      </c>
    </row>
    <row r="709" spans="1:4" ht="12" customHeight="1" x14ac:dyDescent="0.3">
      <c r="A709" s="238"/>
      <c r="B709" s="242">
        <v>2400</v>
      </c>
      <c r="C709" s="243" t="s">
        <v>206</v>
      </c>
      <c r="D709" s="244"/>
    </row>
    <row r="710" spans="1:4" ht="12" customHeight="1" x14ac:dyDescent="0.3">
      <c r="A710" s="238"/>
      <c r="B710" s="242">
        <v>2500</v>
      </c>
      <c r="C710" s="243" t="s">
        <v>207</v>
      </c>
      <c r="D710" s="244">
        <v>156</v>
      </c>
    </row>
    <row r="711" spans="1:4" ht="12" hidden="1" customHeight="1" outlineLevel="1" x14ac:dyDescent="0.3">
      <c r="A711" s="238"/>
      <c r="B711" s="199">
        <v>3000</v>
      </c>
      <c r="C711" s="245" t="s">
        <v>208</v>
      </c>
      <c r="D711" s="260">
        <f>SUM(D712:D713)</f>
        <v>0</v>
      </c>
    </row>
    <row r="712" spans="1:4" ht="12" hidden="1" customHeight="1" outlineLevel="1" x14ac:dyDescent="0.3">
      <c r="A712" s="238"/>
      <c r="B712" s="242">
        <v>3200</v>
      </c>
      <c r="C712" s="243" t="s">
        <v>209</v>
      </c>
      <c r="D712" s="244"/>
    </row>
    <row r="713" spans="1:4" ht="12" hidden="1" customHeight="1" outlineLevel="1" x14ac:dyDescent="0.3">
      <c r="A713" s="238"/>
      <c r="B713" s="242">
        <v>3300</v>
      </c>
      <c r="C713" s="243" t="s">
        <v>210</v>
      </c>
      <c r="D713" s="244"/>
    </row>
    <row r="714" spans="1:4" ht="12" hidden="1" customHeight="1" outlineLevel="1" x14ac:dyDescent="0.3">
      <c r="A714" s="238"/>
      <c r="B714" s="199">
        <v>4000</v>
      </c>
      <c r="C714" s="246" t="s">
        <v>211</v>
      </c>
      <c r="D714" s="260">
        <f>SUM(D715:D716)</f>
        <v>0</v>
      </c>
    </row>
    <row r="715" spans="1:4" ht="12" hidden="1" customHeight="1" outlineLevel="1" x14ac:dyDescent="0.3">
      <c r="A715" s="238"/>
      <c r="B715" s="242">
        <v>4200</v>
      </c>
      <c r="C715" s="247" t="s">
        <v>212</v>
      </c>
      <c r="D715" s="244"/>
    </row>
    <row r="716" spans="1:4" ht="12" hidden="1" customHeight="1" outlineLevel="1" x14ac:dyDescent="0.3">
      <c r="A716" s="238"/>
      <c r="B716" s="242">
        <v>4300</v>
      </c>
      <c r="C716" s="247" t="s">
        <v>213</v>
      </c>
      <c r="D716" s="244"/>
    </row>
    <row r="717" spans="1:4" ht="12" customHeight="1" collapsed="1" x14ac:dyDescent="0.3">
      <c r="A717" s="238"/>
      <c r="B717" s="199">
        <v>5000</v>
      </c>
      <c r="C717" s="200" t="s">
        <v>214</v>
      </c>
      <c r="D717" s="260">
        <f>SUM(D718:D720)</f>
        <v>3600</v>
      </c>
    </row>
    <row r="718" spans="1:4" ht="12" hidden="1" customHeight="1" outlineLevel="1" x14ac:dyDescent="0.3">
      <c r="A718" s="238"/>
      <c r="B718" s="242">
        <v>5100</v>
      </c>
      <c r="C718" s="248" t="s">
        <v>215</v>
      </c>
      <c r="D718" s="244"/>
    </row>
    <row r="719" spans="1:4" ht="12" customHeight="1" collapsed="1" x14ac:dyDescent="0.3">
      <c r="A719" s="238"/>
      <c r="B719" s="242">
        <v>5200</v>
      </c>
      <c r="C719" s="248" t="s">
        <v>216</v>
      </c>
      <c r="D719" s="244">
        <v>3600</v>
      </c>
    </row>
    <row r="720" spans="1:4" ht="12" hidden="1" customHeight="1" outlineLevel="1" x14ac:dyDescent="0.3">
      <c r="A720" s="238"/>
      <c r="B720" s="242">
        <v>5300</v>
      </c>
      <c r="C720" s="249" t="s">
        <v>217</v>
      </c>
      <c r="D720" s="244"/>
    </row>
    <row r="721" spans="1:4" ht="12" hidden="1" customHeight="1" outlineLevel="1" x14ac:dyDescent="0.3">
      <c r="A721" s="238"/>
      <c r="B721" s="199">
        <v>6000</v>
      </c>
      <c r="C721" s="200" t="s">
        <v>218</v>
      </c>
      <c r="D721" s="260">
        <f>SUM(D722:D725)</f>
        <v>0</v>
      </c>
    </row>
    <row r="722" spans="1:4" ht="12" hidden="1" customHeight="1" outlineLevel="1" x14ac:dyDescent="0.3">
      <c r="A722" s="238"/>
      <c r="B722" s="242">
        <v>6200</v>
      </c>
      <c r="C722" s="248" t="s">
        <v>219</v>
      </c>
      <c r="D722" s="244"/>
    </row>
    <row r="723" spans="1:4" ht="12" hidden="1" customHeight="1" outlineLevel="1" x14ac:dyDescent="0.3">
      <c r="A723" s="238"/>
      <c r="B723" s="242">
        <v>6300</v>
      </c>
      <c r="C723" s="248" t="s">
        <v>220</v>
      </c>
      <c r="D723" s="244"/>
    </row>
    <row r="724" spans="1:4" ht="12" hidden="1" customHeight="1" outlineLevel="1" x14ac:dyDescent="0.3">
      <c r="A724" s="238"/>
      <c r="B724" s="242">
        <v>6400</v>
      </c>
      <c r="C724" s="248" t="s">
        <v>221</v>
      </c>
      <c r="D724" s="244"/>
    </row>
    <row r="725" spans="1:4" ht="12" hidden="1" customHeight="1" outlineLevel="1" x14ac:dyDescent="0.3">
      <c r="A725" s="238"/>
      <c r="B725" s="242">
        <v>6500</v>
      </c>
      <c r="C725" s="249" t="s">
        <v>222</v>
      </c>
      <c r="D725" s="244"/>
    </row>
    <row r="726" spans="1:4" ht="12" hidden="1" customHeight="1" outlineLevel="1" x14ac:dyDescent="0.3">
      <c r="A726" s="238"/>
      <c r="B726" s="199">
        <v>7000</v>
      </c>
      <c r="C726" s="200" t="s">
        <v>223</v>
      </c>
      <c r="D726" s="260">
        <f>SUM(D727:D729)</f>
        <v>0</v>
      </c>
    </row>
    <row r="727" spans="1:4" ht="12" hidden="1" customHeight="1" outlineLevel="1" x14ac:dyDescent="0.3">
      <c r="A727" s="238"/>
      <c r="B727" s="250">
        <v>7200</v>
      </c>
      <c r="C727" s="251" t="s">
        <v>224</v>
      </c>
      <c r="D727" s="244"/>
    </row>
    <row r="728" spans="1:4" ht="12" hidden="1" customHeight="1" outlineLevel="1" x14ac:dyDescent="0.3">
      <c r="A728" s="238"/>
      <c r="B728" s="250">
        <v>7500</v>
      </c>
      <c r="C728" s="251" t="s">
        <v>225</v>
      </c>
      <c r="D728" s="244"/>
    </row>
    <row r="729" spans="1:4" ht="12" hidden="1" customHeight="1" outlineLevel="1" x14ac:dyDescent="0.3">
      <c r="A729" s="238"/>
      <c r="B729" s="250">
        <v>7700</v>
      </c>
      <c r="C729" s="251" t="s">
        <v>226</v>
      </c>
      <c r="D729" s="244"/>
    </row>
    <row r="730" spans="1:4" ht="12" hidden="1" customHeight="1" outlineLevel="1" x14ac:dyDescent="0.3">
      <c r="A730" s="238"/>
      <c r="B730" s="252">
        <v>8000</v>
      </c>
      <c r="C730" s="253" t="s">
        <v>227</v>
      </c>
      <c r="D730" s="260">
        <f>SUM(D731:D733)</f>
        <v>0</v>
      </c>
    </row>
    <row r="731" spans="1:4" ht="12" hidden="1" customHeight="1" outlineLevel="1" x14ac:dyDescent="0.3">
      <c r="A731" s="238"/>
      <c r="B731" s="254">
        <v>8100</v>
      </c>
      <c r="C731" s="255" t="s">
        <v>228</v>
      </c>
      <c r="D731" s="260"/>
    </row>
    <row r="732" spans="1:4" ht="12" hidden="1" customHeight="1" outlineLevel="1" x14ac:dyDescent="0.3">
      <c r="A732" s="238"/>
      <c r="B732" s="254">
        <v>8600</v>
      </c>
      <c r="C732" s="255" t="s">
        <v>229</v>
      </c>
      <c r="D732" s="260"/>
    </row>
    <row r="733" spans="1:4" ht="12" hidden="1" customHeight="1" outlineLevel="1" x14ac:dyDescent="0.3">
      <c r="A733" s="238"/>
      <c r="B733" s="254">
        <v>8900</v>
      </c>
      <c r="C733" s="255" t="s">
        <v>230</v>
      </c>
      <c r="D733" s="260"/>
    </row>
    <row r="734" spans="1:4" ht="12" customHeight="1" collapsed="1" x14ac:dyDescent="0.3">
      <c r="A734" s="256" t="s">
        <v>270</v>
      </c>
      <c r="B734" s="257"/>
      <c r="C734" s="258" t="s">
        <v>271</v>
      </c>
      <c r="D734" s="259">
        <f t="shared" ref="D734" si="62">D735+D751+D764</f>
        <v>9382119</v>
      </c>
    </row>
    <row r="735" spans="1:4" ht="12" customHeight="1" x14ac:dyDescent="0.3">
      <c r="A735" s="227"/>
      <c r="B735" s="228"/>
      <c r="C735" s="229" t="s">
        <v>198</v>
      </c>
      <c r="D735" s="230">
        <f t="shared" ref="D735" si="63">D736+D739+D745+D748+D755+D760</f>
        <v>3314885</v>
      </c>
    </row>
    <row r="736" spans="1:4" ht="12" hidden="1" customHeight="1" outlineLevel="1" x14ac:dyDescent="0.3">
      <c r="A736" s="227"/>
      <c r="B736" s="231">
        <v>1000</v>
      </c>
      <c r="C736" s="232" t="s">
        <v>199</v>
      </c>
      <c r="D736" s="230">
        <f>SUM(D737:D738)</f>
        <v>0</v>
      </c>
    </row>
    <row r="737" spans="1:4" ht="12" hidden="1" customHeight="1" outlineLevel="1" x14ac:dyDescent="0.3">
      <c r="A737" s="227"/>
      <c r="B737" s="234">
        <v>1100</v>
      </c>
      <c r="C737" s="235" t="s">
        <v>200</v>
      </c>
      <c r="D737" s="236"/>
    </row>
    <row r="738" spans="1:4" ht="12" hidden="1" customHeight="1" outlineLevel="1" x14ac:dyDescent="0.3">
      <c r="A738" s="227"/>
      <c r="B738" s="234">
        <v>1200</v>
      </c>
      <c r="C738" s="237" t="s">
        <v>201</v>
      </c>
      <c r="D738" s="236"/>
    </row>
    <row r="739" spans="1:4" ht="12" customHeight="1" collapsed="1" x14ac:dyDescent="0.3">
      <c r="A739" s="238"/>
      <c r="B739" s="239">
        <v>2000</v>
      </c>
      <c r="C739" s="240" t="s">
        <v>202</v>
      </c>
      <c r="D739" s="260">
        <f>SUM(D740:D744)</f>
        <v>2686965</v>
      </c>
    </row>
    <row r="740" spans="1:4" ht="12" hidden="1" customHeight="1" outlineLevel="1" x14ac:dyDescent="0.3">
      <c r="A740" s="238"/>
      <c r="B740" s="242">
        <v>2100</v>
      </c>
      <c r="C740" s="243" t="s">
        <v>203</v>
      </c>
      <c r="D740" s="244"/>
    </row>
    <row r="741" spans="1:4" ht="12" customHeight="1" collapsed="1" x14ac:dyDescent="0.3">
      <c r="A741" s="238"/>
      <c r="B741" s="242">
        <v>2200</v>
      </c>
      <c r="C741" s="243" t="s">
        <v>204</v>
      </c>
      <c r="D741" s="244">
        <f>2638784-50061+7726-23126</f>
        <v>2573323</v>
      </c>
    </row>
    <row r="742" spans="1:4" ht="12" customHeight="1" x14ac:dyDescent="0.3">
      <c r="A742" s="238"/>
      <c r="B742" s="242">
        <v>2300</v>
      </c>
      <c r="C742" s="243" t="s">
        <v>205</v>
      </c>
      <c r="D742" s="244">
        <f>133798+1830-12360-9626</f>
        <v>113642</v>
      </c>
    </row>
    <row r="743" spans="1:4" ht="12" hidden="1" customHeight="1" outlineLevel="1" x14ac:dyDescent="0.3">
      <c r="A743" s="238"/>
      <c r="B743" s="242">
        <v>2400</v>
      </c>
      <c r="C743" s="243" t="s">
        <v>206</v>
      </c>
      <c r="D743" s="244"/>
    </row>
    <row r="744" spans="1:4" ht="12" hidden="1" customHeight="1" outlineLevel="1" x14ac:dyDescent="0.3">
      <c r="A744" s="238"/>
      <c r="B744" s="242">
        <v>2500</v>
      </c>
      <c r="C744" s="243" t="s">
        <v>207</v>
      </c>
      <c r="D744" s="244"/>
    </row>
    <row r="745" spans="1:4" ht="12" customHeight="1" collapsed="1" x14ac:dyDescent="0.3">
      <c r="A745" s="238"/>
      <c r="B745" s="199">
        <v>3000</v>
      </c>
      <c r="C745" s="245" t="s">
        <v>208</v>
      </c>
      <c r="D745" s="260">
        <f>SUM(D746:D747)</f>
        <v>627920</v>
      </c>
    </row>
    <row r="746" spans="1:4" ht="12" hidden="1" customHeight="1" outlineLevel="1" x14ac:dyDescent="0.3">
      <c r="A746" s="238"/>
      <c r="B746" s="242">
        <v>3200</v>
      </c>
      <c r="C746" s="243" t="s">
        <v>209</v>
      </c>
      <c r="D746" s="244"/>
    </row>
    <row r="747" spans="1:4" ht="12" customHeight="1" collapsed="1" x14ac:dyDescent="0.3">
      <c r="A747" s="238"/>
      <c r="B747" s="242">
        <v>3300</v>
      </c>
      <c r="C747" s="243" t="s">
        <v>210</v>
      </c>
      <c r="D747" s="244">
        <f>510491+85000+32429</f>
        <v>627920</v>
      </c>
    </row>
    <row r="748" spans="1:4" ht="12" hidden="1" customHeight="1" outlineLevel="1" x14ac:dyDescent="0.3">
      <c r="A748" s="238"/>
      <c r="B748" s="199">
        <v>4000</v>
      </c>
      <c r="C748" s="246" t="s">
        <v>211</v>
      </c>
      <c r="D748" s="260">
        <f>SUM(D749:D750)</f>
        <v>0</v>
      </c>
    </row>
    <row r="749" spans="1:4" ht="12" hidden="1" customHeight="1" outlineLevel="1" x14ac:dyDescent="0.3">
      <c r="A749" s="238"/>
      <c r="B749" s="242">
        <v>4200</v>
      </c>
      <c r="C749" s="247" t="s">
        <v>212</v>
      </c>
      <c r="D749" s="244"/>
    </row>
    <row r="750" spans="1:4" ht="12" hidden="1" customHeight="1" outlineLevel="1" x14ac:dyDescent="0.3">
      <c r="A750" s="238"/>
      <c r="B750" s="242">
        <v>4300</v>
      </c>
      <c r="C750" s="247" t="s">
        <v>213</v>
      </c>
      <c r="D750" s="244"/>
    </row>
    <row r="751" spans="1:4" ht="12" customHeight="1" collapsed="1" x14ac:dyDescent="0.3">
      <c r="A751" s="238"/>
      <c r="B751" s="199">
        <v>5000</v>
      </c>
      <c r="C751" s="200" t="s">
        <v>214</v>
      </c>
      <c r="D751" s="260">
        <f>SUM(D752:D754)</f>
        <v>6067234</v>
      </c>
    </row>
    <row r="752" spans="1:4" ht="12" hidden="1" customHeight="1" outlineLevel="1" x14ac:dyDescent="0.3">
      <c r="A752" s="238"/>
      <c r="B752" s="242">
        <v>5100</v>
      </c>
      <c r="C752" s="248" t="s">
        <v>215</v>
      </c>
      <c r="D752" s="260"/>
    </row>
    <row r="753" spans="1:4" ht="12" customHeight="1" collapsed="1" x14ac:dyDescent="0.3">
      <c r="A753" s="238"/>
      <c r="B753" s="242">
        <v>5200</v>
      </c>
      <c r="C753" s="248" t="s">
        <v>216</v>
      </c>
      <c r="D753" s="244">
        <f>6025956+158170+37902+6045-178008+17169</f>
        <v>6067234</v>
      </c>
    </row>
    <row r="754" spans="1:4" ht="12" hidden="1" customHeight="1" outlineLevel="1" x14ac:dyDescent="0.3">
      <c r="A754" s="238"/>
      <c r="B754" s="242">
        <v>5300</v>
      </c>
      <c r="C754" s="249" t="s">
        <v>217</v>
      </c>
      <c r="D754" s="260"/>
    </row>
    <row r="755" spans="1:4" ht="12" hidden="1" customHeight="1" outlineLevel="1" x14ac:dyDescent="0.3">
      <c r="A755" s="238"/>
      <c r="B755" s="199">
        <v>6000</v>
      </c>
      <c r="C755" s="200" t="s">
        <v>218</v>
      </c>
      <c r="D755" s="260">
        <f>SUM(D756:D759)</f>
        <v>0</v>
      </c>
    </row>
    <row r="756" spans="1:4" ht="12" hidden="1" customHeight="1" outlineLevel="1" x14ac:dyDescent="0.3">
      <c r="A756" s="238"/>
      <c r="B756" s="242">
        <v>6200</v>
      </c>
      <c r="C756" s="248" t="s">
        <v>219</v>
      </c>
      <c r="D756" s="244"/>
    </row>
    <row r="757" spans="1:4" ht="12" hidden="1" customHeight="1" outlineLevel="1" x14ac:dyDescent="0.3">
      <c r="A757" s="238"/>
      <c r="B757" s="242">
        <v>6300</v>
      </c>
      <c r="C757" s="248" t="s">
        <v>220</v>
      </c>
      <c r="D757" s="244"/>
    </row>
    <row r="758" spans="1:4" ht="12" hidden="1" customHeight="1" outlineLevel="1" x14ac:dyDescent="0.3">
      <c r="A758" s="238"/>
      <c r="B758" s="242">
        <v>6400</v>
      </c>
      <c r="C758" s="248" t="s">
        <v>221</v>
      </c>
      <c r="D758" s="244"/>
    </row>
    <row r="759" spans="1:4" ht="12" hidden="1" customHeight="1" outlineLevel="1" x14ac:dyDescent="0.3">
      <c r="A759" s="238"/>
      <c r="B759" s="242">
        <v>6500</v>
      </c>
      <c r="C759" s="249" t="s">
        <v>222</v>
      </c>
      <c r="D759" s="244"/>
    </row>
    <row r="760" spans="1:4" ht="12" hidden="1" customHeight="1" outlineLevel="1" x14ac:dyDescent="0.3">
      <c r="A760" s="238"/>
      <c r="B760" s="199">
        <v>7000</v>
      </c>
      <c r="C760" s="200" t="s">
        <v>223</v>
      </c>
      <c r="D760" s="260">
        <f>SUM(D761:D763)</f>
        <v>0</v>
      </c>
    </row>
    <row r="761" spans="1:4" ht="12" hidden="1" customHeight="1" outlineLevel="1" x14ac:dyDescent="0.3">
      <c r="A761" s="238"/>
      <c r="B761" s="250">
        <v>7200</v>
      </c>
      <c r="C761" s="251" t="s">
        <v>224</v>
      </c>
      <c r="D761" s="244"/>
    </row>
    <row r="762" spans="1:4" ht="12" hidden="1" customHeight="1" outlineLevel="1" x14ac:dyDescent="0.3">
      <c r="A762" s="238"/>
      <c r="B762" s="250">
        <v>7500</v>
      </c>
      <c r="C762" s="251" t="s">
        <v>225</v>
      </c>
      <c r="D762" s="244"/>
    </row>
    <row r="763" spans="1:4" ht="12" hidden="1" customHeight="1" outlineLevel="1" x14ac:dyDescent="0.3">
      <c r="A763" s="238"/>
      <c r="B763" s="250">
        <v>7700</v>
      </c>
      <c r="C763" s="251" t="s">
        <v>226</v>
      </c>
      <c r="D763" s="244"/>
    </row>
    <row r="764" spans="1:4" ht="12" hidden="1" customHeight="1" outlineLevel="1" x14ac:dyDescent="0.3">
      <c r="A764" s="238"/>
      <c r="B764" s="252">
        <v>8000</v>
      </c>
      <c r="C764" s="253" t="s">
        <v>227</v>
      </c>
      <c r="D764" s="260">
        <f>SUM(D765:D767)</f>
        <v>0</v>
      </c>
    </row>
    <row r="765" spans="1:4" ht="12" hidden="1" customHeight="1" outlineLevel="1" x14ac:dyDescent="0.3">
      <c r="A765" s="238"/>
      <c r="B765" s="254">
        <v>8100</v>
      </c>
      <c r="C765" s="255" t="s">
        <v>228</v>
      </c>
      <c r="D765" s="260"/>
    </row>
    <row r="766" spans="1:4" ht="12" hidden="1" customHeight="1" outlineLevel="1" x14ac:dyDescent="0.3">
      <c r="A766" s="238"/>
      <c r="B766" s="254">
        <v>8600</v>
      </c>
      <c r="C766" s="255" t="s">
        <v>229</v>
      </c>
      <c r="D766" s="260"/>
    </row>
    <row r="767" spans="1:4" ht="12" hidden="1" customHeight="1" outlineLevel="1" x14ac:dyDescent="0.3">
      <c r="A767" s="238"/>
      <c r="B767" s="254">
        <v>8900</v>
      </c>
      <c r="C767" s="255" t="s">
        <v>230</v>
      </c>
      <c r="D767" s="260"/>
    </row>
    <row r="768" spans="1:4" ht="12" customHeight="1" collapsed="1" x14ac:dyDescent="0.3">
      <c r="A768" s="256" t="s">
        <v>272</v>
      </c>
      <c r="B768" s="257"/>
      <c r="C768" s="258" t="s">
        <v>273</v>
      </c>
      <c r="D768" s="259">
        <f t="shared" ref="D768" si="64">D769+D785+D798</f>
        <v>660593</v>
      </c>
    </row>
    <row r="769" spans="1:4" ht="12" customHeight="1" x14ac:dyDescent="0.3">
      <c r="A769" s="227"/>
      <c r="B769" s="228"/>
      <c r="C769" s="229" t="s">
        <v>198</v>
      </c>
      <c r="D769" s="230">
        <f t="shared" ref="D769" si="65">D770+D773+D779+D782+D789+D794</f>
        <v>506865</v>
      </c>
    </row>
    <row r="770" spans="1:4" ht="12" customHeight="1" x14ac:dyDescent="0.3">
      <c r="A770" s="227"/>
      <c r="B770" s="231">
        <v>1000</v>
      </c>
      <c r="C770" s="232" t="s">
        <v>199</v>
      </c>
      <c r="D770" s="233">
        <f t="shared" ref="D770:D772" si="66">D804+D838</f>
        <v>304729</v>
      </c>
    </row>
    <row r="771" spans="1:4" ht="12" customHeight="1" x14ac:dyDescent="0.3">
      <c r="A771" s="227"/>
      <c r="B771" s="234">
        <v>1100</v>
      </c>
      <c r="C771" s="235" t="s">
        <v>200</v>
      </c>
      <c r="D771" s="236">
        <f t="shared" si="66"/>
        <v>236617</v>
      </c>
    </row>
    <row r="772" spans="1:4" ht="12" customHeight="1" x14ac:dyDescent="0.3">
      <c r="A772" s="227"/>
      <c r="B772" s="234">
        <v>1200</v>
      </c>
      <c r="C772" s="237" t="s">
        <v>201</v>
      </c>
      <c r="D772" s="236">
        <f t="shared" si="66"/>
        <v>68112</v>
      </c>
    </row>
    <row r="773" spans="1:4" ht="12" customHeight="1" x14ac:dyDescent="0.3">
      <c r="A773" s="238"/>
      <c r="B773" s="239">
        <v>2000</v>
      </c>
      <c r="C773" s="240" t="s">
        <v>202</v>
      </c>
      <c r="D773" s="241">
        <f>D807+D841</f>
        <v>181186</v>
      </c>
    </row>
    <row r="774" spans="1:4" ht="12" customHeight="1" x14ac:dyDescent="0.3">
      <c r="A774" s="238"/>
      <c r="B774" s="242">
        <v>2100</v>
      </c>
      <c r="C774" s="243" t="s">
        <v>203</v>
      </c>
      <c r="D774" s="244">
        <f t="shared" ref="D774:D778" si="67">D808+D842</f>
        <v>25442</v>
      </c>
    </row>
    <row r="775" spans="1:4" ht="12" customHeight="1" x14ac:dyDescent="0.3">
      <c r="A775" s="238"/>
      <c r="B775" s="242">
        <v>2200</v>
      </c>
      <c r="C775" s="243" t="s">
        <v>204</v>
      </c>
      <c r="D775" s="244">
        <f t="shared" si="67"/>
        <v>89104</v>
      </c>
    </row>
    <row r="776" spans="1:4" ht="12" customHeight="1" x14ac:dyDescent="0.3">
      <c r="A776" s="238"/>
      <c r="B776" s="242">
        <v>2300</v>
      </c>
      <c r="C776" s="243" t="s">
        <v>205</v>
      </c>
      <c r="D776" s="244">
        <f t="shared" si="67"/>
        <v>63018</v>
      </c>
    </row>
    <row r="777" spans="1:4" ht="12" hidden="1" customHeight="1" outlineLevel="1" x14ac:dyDescent="0.3">
      <c r="A777" s="238"/>
      <c r="B777" s="242">
        <v>2400</v>
      </c>
      <c r="C777" s="243" t="s">
        <v>206</v>
      </c>
      <c r="D777" s="244">
        <f t="shared" si="67"/>
        <v>0</v>
      </c>
    </row>
    <row r="778" spans="1:4" ht="12" customHeight="1" collapsed="1" x14ac:dyDescent="0.3">
      <c r="A778" s="238"/>
      <c r="B778" s="242">
        <v>2500</v>
      </c>
      <c r="C778" s="243" t="s">
        <v>207</v>
      </c>
      <c r="D778" s="244">
        <f t="shared" si="67"/>
        <v>3622</v>
      </c>
    </row>
    <row r="779" spans="1:4" ht="12" customHeight="1" x14ac:dyDescent="0.3">
      <c r="A779" s="238"/>
      <c r="B779" s="199">
        <v>3000</v>
      </c>
      <c r="C779" s="245" t="s">
        <v>208</v>
      </c>
      <c r="D779" s="241">
        <f>D813+D847</f>
        <v>18950</v>
      </c>
    </row>
    <row r="780" spans="1:4" ht="12" customHeight="1" x14ac:dyDescent="0.3">
      <c r="A780" s="238"/>
      <c r="B780" s="242">
        <v>3200</v>
      </c>
      <c r="C780" s="243" t="s">
        <v>209</v>
      </c>
      <c r="D780" s="244">
        <f t="shared" ref="D780:D781" si="68">D814+D848</f>
        <v>18950</v>
      </c>
    </row>
    <row r="781" spans="1:4" ht="12" hidden="1" customHeight="1" outlineLevel="1" x14ac:dyDescent="0.3">
      <c r="A781" s="238"/>
      <c r="B781" s="242">
        <v>3300</v>
      </c>
      <c r="C781" s="243" t="s">
        <v>210</v>
      </c>
      <c r="D781" s="244">
        <f t="shared" si="68"/>
        <v>0</v>
      </c>
    </row>
    <row r="782" spans="1:4" ht="12" hidden="1" customHeight="1" outlineLevel="1" x14ac:dyDescent="0.3">
      <c r="A782" s="238"/>
      <c r="B782" s="199">
        <v>4000</v>
      </c>
      <c r="C782" s="246" t="s">
        <v>211</v>
      </c>
      <c r="D782" s="241">
        <f>D816+D850</f>
        <v>0</v>
      </c>
    </row>
    <row r="783" spans="1:4" ht="12" hidden="1" customHeight="1" outlineLevel="1" x14ac:dyDescent="0.3">
      <c r="A783" s="238"/>
      <c r="B783" s="242">
        <v>4200</v>
      </c>
      <c r="C783" s="247" t="s">
        <v>212</v>
      </c>
      <c r="D783" s="244">
        <f t="shared" ref="D783:D784" si="69">D817+D851</f>
        <v>0</v>
      </c>
    </row>
    <row r="784" spans="1:4" ht="12" hidden="1" customHeight="1" outlineLevel="1" x14ac:dyDescent="0.3">
      <c r="A784" s="238"/>
      <c r="B784" s="242">
        <v>4300</v>
      </c>
      <c r="C784" s="247" t="s">
        <v>213</v>
      </c>
      <c r="D784" s="244">
        <f t="shared" si="69"/>
        <v>0</v>
      </c>
    </row>
    <row r="785" spans="1:4" ht="12" customHeight="1" collapsed="1" x14ac:dyDescent="0.3">
      <c r="A785" s="238"/>
      <c r="B785" s="199">
        <v>5000</v>
      </c>
      <c r="C785" s="200" t="s">
        <v>214</v>
      </c>
      <c r="D785" s="241">
        <f>D819+D853</f>
        <v>153728</v>
      </c>
    </row>
    <row r="786" spans="1:4" ht="12" customHeight="1" x14ac:dyDescent="0.3">
      <c r="A786" s="238"/>
      <c r="B786" s="242">
        <v>5100</v>
      </c>
      <c r="C786" s="248" t="s">
        <v>215</v>
      </c>
      <c r="D786" s="244">
        <f t="shared" ref="D786:D788" si="70">D820+D854</f>
        <v>1019</v>
      </c>
    </row>
    <row r="787" spans="1:4" ht="12" customHeight="1" x14ac:dyDescent="0.3">
      <c r="A787" s="238"/>
      <c r="B787" s="242">
        <v>5200</v>
      </c>
      <c r="C787" s="248" t="s">
        <v>216</v>
      </c>
      <c r="D787" s="244">
        <f t="shared" si="70"/>
        <v>152709</v>
      </c>
    </row>
    <row r="788" spans="1:4" ht="12" hidden="1" customHeight="1" outlineLevel="1" x14ac:dyDescent="0.3">
      <c r="A788" s="238"/>
      <c r="B788" s="242">
        <v>5300</v>
      </c>
      <c r="C788" s="249" t="s">
        <v>217</v>
      </c>
      <c r="D788" s="244">
        <f t="shared" si="70"/>
        <v>0</v>
      </c>
    </row>
    <row r="789" spans="1:4" ht="12" hidden="1" customHeight="1" outlineLevel="1" x14ac:dyDescent="0.3">
      <c r="A789" s="238"/>
      <c r="B789" s="199">
        <v>6000</v>
      </c>
      <c r="C789" s="200" t="s">
        <v>218</v>
      </c>
      <c r="D789" s="241">
        <f>D823+D857</f>
        <v>0</v>
      </c>
    </row>
    <row r="790" spans="1:4" ht="12" hidden="1" customHeight="1" outlineLevel="1" x14ac:dyDescent="0.3">
      <c r="A790" s="238"/>
      <c r="B790" s="242">
        <v>6200</v>
      </c>
      <c r="C790" s="248" t="s">
        <v>219</v>
      </c>
      <c r="D790" s="244">
        <f t="shared" ref="D790:D793" si="71">D824+D858</f>
        <v>0</v>
      </c>
    </row>
    <row r="791" spans="1:4" ht="12" hidden="1" customHeight="1" outlineLevel="1" x14ac:dyDescent="0.3">
      <c r="A791" s="238"/>
      <c r="B791" s="242">
        <v>6300</v>
      </c>
      <c r="C791" s="248" t="s">
        <v>220</v>
      </c>
      <c r="D791" s="244">
        <f t="shared" si="71"/>
        <v>0</v>
      </c>
    </row>
    <row r="792" spans="1:4" ht="12" hidden="1" customHeight="1" outlineLevel="1" x14ac:dyDescent="0.3">
      <c r="A792" s="238"/>
      <c r="B792" s="242">
        <v>6400</v>
      </c>
      <c r="C792" s="248" t="s">
        <v>221</v>
      </c>
      <c r="D792" s="244">
        <f t="shared" si="71"/>
        <v>0</v>
      </c>
    </row>
    <row r="793" spans="1:4" ht="12" hidden="1" customHeight="1" outlineLevel="1" x14ac:dyDescent="0.3">
      <c r="A793" s="238"/>
      <c r="B793" s="242">
        <v>6500</v>
      </c>
      <c r="C793" s="249" t="s">
        <v>222</v>
      </c>
      <c r="D793" s="244">
        <f t="shared" si="71"/>
        <v>0</v>
      </c>
    </row>
    <row r="794" spans="1:4" ht="12" customHeight="1" collapsed="1" x14ac:dyDescent="0.3">
      <c r="A794" s="238"/>
      <c r="B794" s="199">
        <v>7000</v>
      </c>
      <c r="C794" s="200" t="s">
        <v>223</v>
      </c>
      <c r="D794" s="241">
        <f>D828+D862</f>
        <v>2000</v>
      </c>
    </row>
    <row r="795" spans="1:4" ht="12" customHeight="1" x14ac:dyDescent="0.3">
      <c r="A795" s="238"/>
      <c r="B795" s="250">
        <v>7200</v>
      </c>
      <c r="C795" s="251" t="s">
        <v>224</v>
      </c>
      <c r="D795" s="244">
        <f t="shared" ref="D795:D797" si="72">D829+D863</f>
        <v>2000</v>
      </c>
    </row>
    <row r="796" spans="1:4" ht="12" hidden="1" customHeight="1" outlineLevel="1" x14ac:dyDescent="0.3">
      <c r="A796" s="238"/>
      <c r="B796" s="250">
        <v>7500</v>
      </c>
      <c r="C796" s="251" t="s">
        <v>225</v>
      </c>
      <c r="D796" s="244">
        <f t="shared" si="72"/>
        <v>0</v>
      </c>
    </row>
    <row r="797" spans="1:4" ht="12" hidden="1" customHeight="1" outlineLevel="1" x14ac:dyDescent="0.3">
      <c r="A797" s="238"/>
      <c r="B797" s="250">
        <v>7700</v>
      </c>
      <c r="C797" s="251" t="s">
        <v>226</v>
      </c>
      <c r="D797" s="244">
        <f t="shared" si="72"/>
        <v>0</v>
      </c>
    </row>
    <row r="798" spans="1:4" ht="12" hidden="1" customHeight="1" outlineLevel="1" x14ac:dyDescent="0.3">
      <c r="A798" s="238"/>
      <c r="B798" s="252">
        <v>8000</v>
      </c>
      <c r="C798" s="253" t="s">
        <v>227</v>
      </c>
      <c r="D798" s="241">
        <f>D832+D866</f>
        <v>0</v>
      </c>
    </row>
    <row r="799" spans="1:4" ht="12" hidden="1" customHeight="1" outlineLevel="1" x14ac:dyDescent="0.3">
      <c r="A799" s="238"/>
      <c r="B799" s="254">
        <v>8100</v>
      </c>
      <c r="C799" s="255" t="s">
        <v>228</v>
      </c>
      <c r="D799" s="244">
        <f t="shared" ref="D799:D801" si="73">D833+D867</f>
        <v>0</v>
      </c>
    </row>
    <row r="800" spans="1:4" ht="12" hidden="1" customHeight="1" outlineLevel="1" x14ac:dyDescent="0.3">
      <c r="A800" s="238"/>
      <c r="B800" s="254">
        <v>8600</v>
      </c>
      <c r="C800" s="255" t="s">
        <v>229</v>
      </c>
      <c r="D800" s="244">
        <f t="shared" si="73"/>
        <v>0</v>
      </c>
    </row>
    <row r="801" spans="1:4" ht="12" hidden="1" customHeight="1" outlineLevel="1" x14ac:dyDescent="0.3">
      <c r="A801" s="238"/>
      <c r="B801" s="254">
        <v>8900</v>
      </c>
      <c r="C801" s="255" t="s">
        <v>230</v>
      </c>
      <c r="D801" s="244">
        <f t="shared" si="73"/>
        <v>0</v>
      </c>
    </row>
    <row r="802" spans="1:4" ht="12" customHeight="1" collapsed="1" x14ac:dyDescent="0.3">
      <c r="A802" s="272" t="s">
        <v>274</v>
      </c>
      <c r="B802" s="273"/>
      <c r="C802" s="274" t="s">
        <v>275</v>
      </c>
      <c r="D802" s="275">
        <f t="shared" ref="D802" si="74">D803+D819+D832</f>
        <v>549326</v>
      </c>
    </row>
    <row r="803" spans="1:4" ht="12" customHeight="1" x14ac:dyDescent="0.3">
      <c r="A803" s="227"/>
      <c r="B803" s="228"/>
      <c r="C803" s="229" t="s">
        <v>198</v>
      </c>
      <c r="D803" s="230">
        <f t="shared" ref="D803" si="75">D804+D807+D813+D816+D823+D828</f>
        <v>506865</v>
      </c>
    </row>
    <row r="804" spans="1:4" ht="12" customHeight="1" x14ac:dyDescent="0.3">
      <c r="A804" s="227"/>
      <c r="B804" s="231">
        <v>1000</v>
      </c>
      <c r="C804" s="232" t="s">
        <v>199</v>
      </c>
      <c r="D804" s="230">
        <f>SUM(D805:D806)</f>
        <v>304729</v>
      </c>
    </row>
    <row r="805" spans="1:4" ht="12" customHeight="1" x14ac:dyDescent="0.3">
      <c r="A805" s="227"/>
      <c r="B805" s="234">
        <v>1100</v>
      </c>
      <c r="C805" s="235" t="s">
        <v>200</v>
      </c>
      <c r="D805" s="236">
        <f>236605+4149-3791-1740+1394</f>
        <v>236617</v>
      </c>
    </row>
    <row r="806" spans="1:4" ht="12" customHeight="1" x14ac:dyDescent="0.3">
      <c r="A806" s="227"/>
      <c r="B806" s="234">
        <v>1200</v>
      </c>
      <c r="C806" s="237" t="s">
        <v>201</v>
      </c>
      <c r="D806" s="236">
        <f>64820+451+1120-379+2100</f>
        <v>68112</v>
      </c>
    </row>
    <row r="807" spans="1:4" ht="12" customHeight="1" x14ac:dyDescent="0.3">
      <c r="A807" s="238"/>
      <c r="B807" s="239">
        <v>2000</v>
      </c>
      <c r="C807" s="240" t="s">
        <v>202</v>
      </c>
      <c r="D807" s="260">
        <f>SUM(D808:D812)</f>
        <v>181186</v>
      </c>
    </row>
    <row r="808" spans="1:4" ht="12" customHeight="1" x14ac:dyDescent="0.3">
      <c r="A808" s="238"/>
      <c r="B808" s="242">
        <v>2100</v>
      </c>
      <c r="C808" s="243" t="s">
        <v>203</v>
      </c>
      <c r="D808" s="244">
        <f>7050-500+15533+1018+2341</f>
        <v>25442</v>
      </c>
    </row>
    <row r="809" spans="1:4" ht="12" customHeight="1" x14ac:dyDescent="0.3">
      <c r="A809" s="238"/>
      <c r="B809" s="242">
        <v>2200</v>
      </c>
      <c r="C809" s="243" t="s">
        <v>204</v>
      </c>
      <c r="D809" s="244">
        <f>94950-2390+4493+4449-12398</f>
        <v>89104</v>
      </c>
    </row>
    <row r="810" spans="1:4" ht="12" customHeight="1" x14ac:dyDescent="0.3">
      <c r="A810" s="238"/>
      <c r="B810" s="242">
        <v>2300</v>
      </c>
      <c r="C810" s="243" t="s">
        <v>205</v>
      </c>
      <c r="D810" s="244">
        <f>-1310+69118-1498-5454+2162</f>
        <v>63018</v>
      </c>
    </row>
    <row r="811" spans="1:4" ht="12" hidden="1" customHeight="1" outlineLevel="1" x14ac:dyDescent="0.3">
      <c r="A811" s="238"/>
      <c r="B811" s="242">
        <v>2400</v>
      </c>
      <c r="C811" s="243" t="s">
        <v>206</v>
      </c>
      <c r="D811" s="244"/>
    </row>
    <row r="812" spans="1:4" ht="12" customHeight="1" collapsed="1" x14ac:dyDescent="0.3">
      <c r="A812" s="238"/>
      <c r="B812" s="242">
        <v>2500</v>
      </c>
      <c r="C812" s="243" t="s">
        <v>207</v>
      </c>
      <c r="D812" s="244">
        <v>3622</v>
      </c>
    </row>
    <row r="813" spans="1:4" ht="12" customHeight="1" x14ac:dyDescent="0.3">
      <c r="A813" s="238"/>
      <c r="B813" s="199">
        <v>3000</v>
      </c>
      <c r="C813" s="245" t="s">
        <v>208</v>
      </c>
      <c r="D813" s="260">
        <f>SUM(D814:D815)</f>
        <v>18950</v>
      </c>
    </row>
    <row r="814" spans="1:4" ht="12" customHeight="1" x14ac:dyDescent="0.3">
      <c r="A814" s="238"/>
      <c r="B814" s="242">
        <v>3200</v>
      </c>
      <c r="C814" s="243" t="s">
        <v>209</v>
      </c>
      <c r="D814" s="244">
        <v>18950</v>
      </c>
    </row>
    <row r="815" spans="1:4" ht="12" hidden="1" customHeight="1" outlineLevel="1" x14ac:dyDescent="0.3">
      <c r="A815" s="238"/>
      <c r="B815" s="242">
        <v>3300</v>
      </c>
      <c r="C815" s="243" t="s">
        <v>210</v>
      </c>
      <c r="D815" s="244"/>
    </row>
    <row r="816" spans="1:4" ht="12" hidden="1" customHeight="1" outlineLevel="1" x14ac:dyDescent="0.3">
      <c r="A816" s="238"/>
      <c r="B816" s="199">
        <v>4000</v>
      </c>
      <c r="C816" s="246" t="s">
        <v>211</v>
      </c>
      <c r="D816" s="260">
        <f>SUM(D817:D818)</f>
        <v>0</v>
      </c>
    </row>
    <row r="817" spans="1:4" ht="12" hidden="1" customHeight="1" outlineLevel="1" x14ac:dyDescent="0.3">
      <c r="A817" s="238"/>
      <c r="B817" s="242">
        <v>4200</v>
      </c>
      <c r="C817" s="247" t="s">
        <v>212</v>
      </c>
      <c r="D817" s="244"/>
    </row>
    <row r="818" spans="1:4" ht="12" hidden="1" customHeight="1" outlineLevel="1" x14ac:dyDescent="0.3">
      <c r="A818" s="238"/>
      <c r="B818" s="242">
        <v>4300</v>
      </c>
      <c r="C818" s="247" t="s">
        <v>213</v>
      </c>
      <c r="D818" s="244"/>
    </row>
    <row r="819" spans="1:4" ht="12" customHeight="1" collapsed="1" x14ac:dyDescent="0.3">
      <c r="A819" s="238"/>
      <c r="B819" s="199">
        <v>5000</v>
      </c>
      <c r="C819" s="200" t="s">
        <v>214</v>
      </c>
      <c r="D819" s="260">
        <f>SUM(D820:D822)</f>
        <v>42461</v>
      </c>
    </row>
    <row r="820" spans="1:4" ht="12" customHeight="1" x14ac:dyDescent="0.3">
      <c r="A820" s="238"/>
      <c r="B820" s="242">
        <v>5100</v>
      </c>
      <c r="C820" s="248" t="s">
        <v>215</v>
      </c>
      <c r="D820" s="244">
        <f>380+639</f>
        <v>1019</v>
      </c>
    </row>
    <row r="821" spans="1:4" ht="12" customHeight="1" x14ac:dyDescent="0.3">
      <c r="A821" s="238"/>
      <c r="B821" s="242">
        <v>5200</v>
      </c>
      <c r="C821" s="248" t="s">
        <v>216</v>
      </c>
      <c r="D821" s="244">
        <f>93270-400+3458+2106-56992</f>
        <v>41442</v>
      </c>
    </row>
    <row r="822" spans="1:4" ht="12" hidden="1" customHeight="1" outlineLevel="1" x14ac:dyDescent="0.3">
      <c r="A822" s="238"/>
      <c r="B822" s="242">
        <v>5300</v>
      </c>
      <c r="C822" s="249" t="s">
        <v>217</v>
      </c>
      <c r="D822" s="260"/>
    </row>
    <row r="823" spans="1:4" ht="12" hidden="1" customHeight="1" outlineLevel="1" x14ac:dyDescent="0.3">
      <c r="A823" s="238"/>
      <c r="B823" s="199">
        <v>6000</v>
      </c>
      <c r="C823" s="200" t="s">
        <v>218</v>
      </c>
      <c r="D823" s="260">
        <f>SUM(D824:D827)</f>
        <v>0</v>
      </c>
    </row>
    <row r="824" spans="1:4" ht="12" hidden="1" customHeight="1" outlineLevel="1" x14ac:dyDescent="0.3">
      <c r="A824" s="238"/>
      <c r="B824" s="242">
        <v>6200</v>
      </c>
      <c r="C824" s="248" t="s">
        <v>219</v>
      </c>
      <c r="D824" s="244"/>
    </row>
    <row r="825" spans="1:4" ht="12" hidden="1" customHeight="1" outlineLevel="1" x14ac:dyDescent="0.3">
      <c r="A825" s="238"/>
      <c r="B825" s="242">
        <v>6300</v>
      </c>
      <c r="C825" s="248" t="s">
        <v>220</v>
      </c>
      <c r="D825" s="244"/>
    </row>
    <row r="826" spans="1:4" ht="12" hidden="1" customHeight="1" outlineLevel="1" x14ac:dyDescent="0.3">
      <c r="A826" s="238"/>
      <c r="B826" s="242">
        <v>6400</v>
      </c>
      <c r="C826" s="248" t="s">
        <v>221</v>
      </c>
      <c r="D826" s="244"/>
    </row>
    <row r="827" spans="1:4" ht="12" hidden="1" customHeight="1" outlineLevel="1" x14ac:dyDescent="0.3">
      <c r="A827" s="238"/>
      <c r="B827" s="242">
        <v>6500</v>
      </c>
      <c r="C827" s="249" t="s">
        <v>222</v>
      </c>
      <c r="D827" s="244"/>
    </row>
    <row r="828" spans="1:4" ht="12" customHeight="1" collapsed="1" x14ac:dyDescent="0.3">
      <c r="A828" s="238"/>
      <c r="B828" s="199">
        <v>7000</v>
      </c>
      <c r="C828" s="200" t="s">
        <v>223</v>
      </c>
      <c r="D828" s="260">
        <f>SUM(D829:D831)</f>
        <v>2000</v>
      </c>
    </row>
    <row r="829" spans="1:4" ht="12" customHeight="1" x14ac:dyDescent="0.3">
      <c r="A829" s="238"/>
      <c r="B829" s="250">
        <v>7200</v>
      </c>
      <c r="C829" s="251" t="s">
        <v>224</v>
      </c>
      <c r="D829" s="244">
        <v>2000</v>
      </c>
    </row>
    <row r="830" spans="1:4" ht="12" hidden="1" customHeight="1" outlineLevel="1" x14ac:dyDescent="0.3">
      <c r="A830" s="238"/>
      <c r="B830" s="250">
        <v>7500</v>
      </c>
      <c r="C830" s="251" t="s">
        <v>225</v>
      </c>
      <c r="D830" s="244"/>
    </row>
    <row r="831" spans="1:4" ht="12" hidden="1" customHeight="1" outlineLevel="1" x14ac:dyDescent="0.3">
      <c r="A831" s="238"/>
      <c r="B831" s="250">
        <v>7700</v>
      </c>
      <c r="C831" s="251" t="s">
        <v>226</v>
      </c>
      <c r="D831" s="244"/>
    </row>
    <row r="832" spans="1:4" ht="12" hidden="1" customHeight="1" outlineLevel="1" x14ac:dyDescent="0.3">
      <c r="A832" s="238"/>
      <c r="B832" s="252">
        <v>8000</v>
      </c>
      <c r="C832" s="253" t="s">
        <v>227</v>
      </c>
      <c r="D832" s="260">
        <f>SUM(D833:D835)</f>
        <v>0</v>
      </c>
    </row>
    <row r="833" spans="1:4" ht="12" hidden="1" customHeight="1" outlineLevel="1" x14ac:dyDescent="0.3">
      <c r="A833" s="238"/>
      <c r="B833" s="254">
        <v>8100</v>
      </c>
      <c r="C833" s="255" t="s">
        <v>228</v>
      </c>
      <c r="D833" s="260"/>
    </row>
    <row r="834" spans="1:4" ht="12" hidden="1" customHeight="1" outlineLevel="1" x14ac:dyDescent="0.3">
      <c r="A834" s="238"/>
      <c r="B834" s="254">
        <v>8600</v>
      </c>
      <c r="C834" s="255" t="s">
        <v>229</v>
      </c>
      <c r="D834" s="260"/>
    </row>
    <row r="835" spans="1:4" ht="12" hidden="1" customHeight="1" outlineLevel="1" x14ac:dyDescent="0.3">
      <c r="A835" s="238"/>
      <c r="B835" s="254">
        <v>8900</v>
      </c>
      <c r="C835" s="255" t="s">
        <v>230</v>
      </c>
      <c r="D835" s="260"/>
    </row>
    <row r="836" spans="1:4" ht="12" customHeight="1" collapsed="1" x14ac:dyDescent="0.3">
      <c r="A836" s="272" t="s">
        <v>276</v>
      </c>
      <c r="B836" s="273"/>
      <c r="C836" s="274" t="s">
        <v>277</v>
      </c>
      <c r="D836" s="275">
        <f t="shared" ref="D836" si="76">D837+D853+D866</f>
        <v>111267</v>
      </c>
    </row>
    <row r="837" spans="1:4" ht="12" customHeight="1" collapsed="1" x14ac:dyDescent="0.3">
      <c r="A837" s="227"/>
      <c r="B837" s="228"/>
      <c r="C837" s="229" t="s">
        <v>198</v>
      </c>
      <c r="D837" s="230">
        <f t="shared" ref="D837" si="77">D838+D841+D847+D850+D857+D862</f>
        <v>0</v>
      </c>
    </row>
    <row r="838" spans="1:4" ht="12" hidden="1" customHeight="1" outlineLevel="1" x14ac:dyDescent="0.3">
      <c r="A838" s="227"/>
      <c r="B838" s="231">
        <v>1000</v>
      </c>
      <c r="C838" s="232" t="s">
        <v>199</v>
      </c>
      <c r="D838" s="230">
        <f>SUM(D839:D840)</f>
        <v>0</v>
      </c>
    </row>
    <row r="839" spans="1:4" ht="12" hidden="1" customHeight="1" outlineLevel="1" x14ac:dyDescent="0.3">
      <c r="A839" s="227"/>
      <c r="B839" s="234">
        <v>1100</v>
      </c>
      <c r="C839" s="235" t="s">
        <v>200</v>
      </c>
      <c r="D839" s="236"/>
    </row>
    <row r="840" spans="1:4" ht="12" hidden="1" customHeight="1" outlineLevel="1" x14ac:dyDescent="0.3">
      <c r="A840" s="227"/>
      <c r="B840" s="234">
        <v>1200</v>
      </c>
      <c r="C840" s="237" t="s">
        <v>201</v>
      </c>
      <c r="D840" s="236"/>
    </row>
    <row r="841" spans="1:4" ht="12" customHeight="1" collapsed="1" x14ac:dyDescent="0.3">
      <c r="A841" s="238"/>
      <c r="B841" s="239">
        <v>2000</v>
      </c>
      <c r="C841" s="240" t="s">
        <v>202</v>
      </c>
      <c r="D841" s="260">
        <f>SUM(D842:D846)</f>
        <v>0</v>
      </c>
    </row>
    <row r="842" spans="1:4" ht="12" hidden="1" customHeight="1" outlineLevel="1" x14ac:dyDescent="0.3">
      <c r="A842" s="238"/>
      <c r="B842" s="242">
        <v>2100</v>
      </c>
      <c r="C842" s="243" t="s">
        <v>203</v>
      </c>
      <c r="D842" s="244"/>
    </row>
    <row r="843" spans="1:4" ht="12" customHeight="1" collapsed="1" x14ac:dyDescent="0.3">
      <c r="A843" s="238"/>
      <c r="B843" s="242">
        <v>2200</v>
      </c>
      <c r="C843" s="243" t="s">
        <v>204</v>
      </c>
      <c r="D843" s="244"/>
    </row>
    <row r="844" spans="1:4" ht="12" hidden="1" customHeight="1" outlineLevel="1" x14ac:dyDescent="0.3">
      <c r="A844" s="238"/>
      <c r="B844" s="242">
        <v>2300</v>
      </c>
      <c r="C844" s="243" t="s">
        <v>205</v>
      </c>
      <c r="D844" s="244"/>
    </row>
    <row r="845" spans="1:4" ht="12" hidden="1" customHeight="1" outlineLevel="1" x14ac:dyDescent="0.3">
      <c r="A845" s="238"/>
      <c r="B845" s="242">
        <v>2400</v>
      </c>
      <c r="C845" s="243" t="s">
        <v>206</v>
      </c>
      <c r="D845" s="244"/>
    </row>
    <row r="846" spans="1:4" ht="12" hidden="1" customHeight="1" outlineLevel="1" x14ac:dyDescent="0.3">
      <c r="A846" s="238"/>
      <c r="B846" s="242">
        <v>2500</v>
      </c>
      <c r="C846" s="243" t="s">
        <v>207</v>
      </c>
      <c r="D846" s="244"/>
    </row>
    <row r="847" spans="1:4" ht="12" hidden="1" customHeight="1" outlineLevel="1" x14ac:dyDescent="0.3">
      <c r="A847" s="238"/>
      <c r="B847" s="199">
        <v>3000</v>
      </c>
      <c r="C847" s="245" t="s">
        <v>208</v>
      </c>
      <c r="D847" s="260">
        <f>SUM(D848:D849)</f>
        <v>0</v>
      </c>
    </row>
    <row r="848" spans="1:4" ht="12" hidden="1" customHeight="1" outlineLevel="1" x14ac:dyDescent="0.3">
      <c r="A848" s="238"/>
      <c r="B848" s="242">
        <v>3200</v>
      </c>
      <c r="C848" s="243" t="s">
        <v>209</v>
      </c>
      <c r="D848" s="244"/>
    </row>
    <row r="849" spans="1:4" ht="12" hidden="1" customHeight="1" outlineLevel="1" x14ac:dyDescent="0.3">
      <c r="A849" s="238"/>
      <c r="B849" s="242">
        <v>3300</v>
      </c>
      <c r="C849" s="243" t="s">
        <v>210</v>
      </c>
      <c r="D849" s="244"/>
    </row>
    <row r="850" spans="1:4" ht="12" hidden="1" customHeight="1" outlineLevel="1" x14ac:dyDescent="0.3">
      <c r="A850" s="238"/>
      <c r="B850" s="199">
        <v>4000</v>
      </c>
      <c r="C850" s="246" t="s">
        <v>211</v>
      </c>
      <c r="D850" s="260">
        <f>SUM(D851:D852)</f>
        <v>0</v>
      </c>
    </row>
    <row r="851" spans="1:4" ht="12" hidden="1" customHeight="1" outlineLevel="1" x14ac:dyDescent="0.3">
      <c r="A851" s="238"/>
      <c r="B851" s="242">
        <v>4200</v>
      </c>
      <c r="C851" s="247" t="s">
        <v>212</v>
      </c>
      <c r="D851" s="244"/>
    </row>
    <row r="852" spans="1:4" ht="12" hidden="1" customHeight="1" outlineLevel="1" x14ac:dyDescent="0.3">
      <c r="A852" s="238"/>
      <c r="B852" s="242">
        <v>4300</v>
      </c>
      <c r="C852" s="247" t="s">
        <v>213</v>
      </c>
      <c r="D852" s="244"/>
    </row>
    <row r="853" spans="1:4" ht="12" customHeight="1" collapsed="1" x14ac:dyDescent="0.3">
      <c r="A853" s="238"/>
      <c r="B853" s="199">
        <v>5000</v>
      </c>
      <c r="C853" s="200" t="s">
        <v>214</v>
      </c>
      <c r="D853" s="260">
        <f>SUM(D854:D856)</f>
        <v>111267</v>
      </c>
    </row>
    <row r="854" spans="1:4" ht="12" customHeight="1" x14ac:dyDescent="0.3">
      <c r="A854" s="238"/>
      <c r="B854" s="242">
        <v>5100</v>
      </c>
      <c r="C854" s="248" t="s">
        <v>215</v>
      </c>
      <c r="D854" s="260">
        <v>0</v>
      </c>
    </row>
    <row r="855" spans="1:4" ht="12" customHeight="1" x14ac:dyDescent="0.3">
      <c r="A855" s="238"/>
      <c r="B855" s="242">
        <v>5200</v>
      </c>
      <c r="C855" s="248" t="s">
        <v>216</v>
      </c>
      <c r="D855" s="244">
        <f>5000+3000+18978+84289</f>
        <v>111267</v>
      </c>
    </row>
    <row r="856" spans="1:4" ht="12" hidden="1" customHeight="1" outlineLevel="1" x14ac:dyDescent="0.3">
      <c r="A856" s="238"/>
      <c r="B856" s="242">
        <v>5300</v>
      </c>
      <c r="C856" s="249" t="s">
        <v>217</v>
      </c>
      <c r="D856" s="260"/>
    </row>
    <row r="857" spans="1:4" ht="12" hidden="1" customHeight="1" outlineLevel="1" x14ac:dyDescent="0.3">
      <c r="A857" s="238"/>
      <c r="B857" s="199">
        <v>6000</v>
      </c>
      <c r="C857" s="200" t="s">
        <v>218</v>
      </c>
      <c r="D857" s="260">
        <f>SUM(D858:D861)</f>
        <v>0</v>
      </c>
    </row>
    <row r="858" spans="1:4" ht="12" hidden="1" customHeight="1" outlineLevel="1" x14ac:dyDescent="0.3">
      <c r="A858" s="238"/>
      <c r="B858" s="242">
        <v>6200</v>
      </c>
      <c r="C858" s="248" t="s">
        <v>219</v>
      </c>
      <c r="D858" s="244"/>
    </row>
    <row r="859" spans="1:4" ht="12" hidden="1" customHeight="1" outlineLevel="1" x14ac:dyDescent="0.3">
      <c r="A859" s="238"/>
      <c r="B859" s="242">
        <v>6300</v>
      </c>
      <c r="C859" s="248" t="s">
        <v>220</v>
      </c>
      <c r="D859" s="244"/>
    </row>
    <row r="860" spans="1:4" ht="12" hidden="1" customHeight="1" outlineLevel="1" x14ac:dyDescent="0.3">
      <c r="A860" s="238"/>
      <c r="B860" s="242">
        <v>6400</v>
      </c>
      <c r="C860" s="248" t="s">
        <v>221</v>
      </c>
      <c r="D860" s="244"/>
    </row>
    <row r="861" spans="1:4" ht="12" hidden="1" customHeight="1" outlineLevel="1" x14ac:dyDescent="0.3">
      <c r="A861" s="238"/>
      <c r="B861" s="242">
        <v>6500</v>
      </c>
      <c r="C861" s="249" t="s">
        <v>222</v>
      </c>
      <c r="D861" s="244"/>
    </row>
    <row r="862" spans="1:4" ht="12" hidden="1" customHeight="1" outlineLevel="1" x14ac:dyDescent="0.3">
      <c r="A862" s="238"/>
      <c r="B862" s="199">
        <v>7000</v>
      </c>
      <c r="C862" s="200" t="s">
        <v>223</v>
      </c>
      <c r="D862" s="260">
        <f>SUM(D863:D865)</f>
        <v>0</v>
      </c>
    </row>
    <row r="863" spans="1:4" ht="12" hidden="1" customHeight="1" outlineLevel="1" x14ac:dyDescent="0.3">
      <c r="A863" s="238"/>
      <c r="B863" s="250">
        <v>7200</v>
      </c>
      <c r="C863" s="251" t="s">
        <v>224</v>
      </c>
      <c r="D863" s="244"/>
    </row>
    <row r="864" spans="1:4" ht="12" hidden="1" customHeight="1" outlineLevel="1" x14ac:dyDescent="0.3">
      <c r="A864" s="238"/>
      <c r="B864" s="250">
        <v>7500</v>
      </c>
      <c r="C864" s="251" t="s">
        <v>225</v>
      </c>
      <c r="D864" s="244"/>
    </row>
    <row r="865" spans="1:4" ht="12" hidden="1" customHeight="1" outlineLevel="1" x14ac:dyDescent="0.3">
      <c r="A865" s="238"/>
      <c r="B865" s="250">
        <v>7700</v>
      </c>
      <c r="C865" s="251" t="s">
        <v>226</v>
      </c>
      <c r="D865" s="244"/>
    </row>
    <row r="866" spans="1:4" ht="12" hidden="1" customHeight="1" outlineLevel="1" x14ac:dyDescent="0.3">
      <c r="A866" s="238"/>
      <c r="B866" s="252">
        <v>8000</v>
      </c>
      <c r="C866" s="253" t="s">
        <v>227</v>
      </c>
      <c r="D866" s="260">
        <f>SUM(D867:D869)</f>
        <v>0</v>
      </c>
    </row>
    <row r="867" spans="1:4" ht="12" hidden="1" customHeight="1" outlineLevel="1" x14ac:dyDescent="0.3">
      <c r="A867" s="238"/>
      <c r="B867" s="254">
        <v>8100</v>
      </c>
      <c r="C867" s="255" t="s">
        <v>228</v>
      </c>
      <c r="D867" s="260"/>
    </row>
    <row r="868" spans="1:4" ht="12" hidden="1" customHeight="1" outlineLevel="1" x14ac:dyDescent="0.3">
      <c r="A868" s="238"/>
      <c r="B868" s="254">
        <v>8600</v>
      </c>
      <c r="C868" s="255" t="s">
        <v>229</v>
      </c>
      <c r="D868" s="260"/>
    </row>
    <row r="869" spans="1:4" ht="12" hidden="1" customHeight="1" outlineLevel="1" x14ac:dyDescent="0.3">
      <c r="A869" s="238"/>
      <c r="B869" s="254">
        <v>8900</v>
      </c>
      <c r="C869" s="255" t="s">
        <v>230</v>
      </c>
      <c r="D869" s="260"/>
    </row>
    <row r="870" spans="1:4" ht="15.75" customHeight="1" collapsed="1" x14ac:dyDescent="0.3">
      <c r="A870" s="256" t="s">
        <v>278</v>
      </c>
      <c r="B870" s="257"/>
      <c r="C870" s="258" t="s">
        <v>279</v>
      </c>
      <c r="D870" s="259">
        <f t="shared" ref="D870" si="78">D871+D887+D900</f>
        <v>272642</v>
      </c>
    </row>
    <row r="871" spans="1:4" ht="12" customHeight="1" x14ac:dyDescent="0.3">
      <c r="A871" s="227"/>
      <c r="B871" s="228"/>
      <c r="C871" s="229" t="s">
        <v>198</v>
      </c>
      <c r="D871" s="230">
        <f t="shared" ref="D871" si="79">D872+D875+D881+D884+D891+D897</f>
        <v>272553</v>
      </c>
    </row>
    <row r="872" spans="1:4" ht="12" customHeight="1" x14ac:dyDescent="0.3">
      <c r="A872" s="227"/>
      <c r="B872" s="231">
        <v>1000</v>
      </c>
      <c r="C872" s="232" t="s">
        <v>199</v>
      </c>
      <c r="D872" s="230">
        <f>SUM(D873:D874)</f>
        <v>162752</v>
      </c>
    </row>
    <row r="873" spans="1:4" ht="12" customHeight="1" x14ac:dyDescent="0.3">
      <c r="A873" s="227"/>
      <c r="B873" s="234">
        <v>1100</v>
      </c>
      <c r="C873" s="235" t="s">
        <v>200</v>
      </c>
      <c r="D873" s="236">
        <f>134585-16716+7066</f>
        <v>124935</v>
      </c>
    </row>
    <row r="874" spans="1:4" ht="12" customHeight="1" x14ac:dyDescent="0.3">
      <c r="A874" s="227"/>
      <c r="B874" s="234">
        <v>1200</v>
      </c>
      <c r="C874" s="237" t="s">
        <v>201</v>
      </c>
      <c r="D874" s="236">
        <f>39766-8794+6845</f>
        <v>37817</v>
      </c>
    </row>
    <row r="875" spans="1:4" ht="12" customHeight="1" x14ac:dyDescent="0.3">
      <c r="A875" s="238"/>
      <c r="B875" s="239">
        <v>2000</v>
      </c>
      <c r="C875" s="240" t="s">
        <v>202</v>
      </c>
      <c r="D875" s="260">
        <f>SUM(D876:D880)</f>
        <v>19007</v>
      </c>
    </row>
    <row r="876" spans="1:4" ht="12" customHeight="1" x14ac:dyDescent="0.3">
      <c r="A876" s="238"/>
      <c r="B876" s="242">
        <v>2100</v>
      </c>
      <c r="C876" s="243" t="s">
        <v>203</v>
      </c>
      <c r="D876" s="244">
        <f>472-472</f>
        <v>0</v>
      </c>
    </row>
    <row r="877" spans="1:4" ht="12" customHeight="1" x14ac:dyDescent="0.3">
      <c r="A877" s="238"/>
      <c r="B877" s="242">
        <v>2200</v>
      </c>
      <c r="C877" s="243" t="s">
        <v>204</v>
      </c>
      <c r="D877" s="244">
        <f>12450+9989-5298</f>
        <v>17141</v>
      </c>
    </row>
    <row r="878" spans="1:4" ht="12" customHeight="1" x14ac:dyDescent="0.3">
      <c r="A878" s="238"/>
      <c r="B878" s="242">
        <v>2300</v>
      </c>
      <c r="C878" s="243" t="s">
        <v>205</v>
      </c>
      <c r="D878" s="244">
        <f>3120-309-945</f>
        <v>1866</v>
      </c>
    </row>
    <row r="879" spans="1:4" ht="12" hidden="1" customHeight="1" outlineLevel="1" x14ac:dyDescent="0.3">
      <c r="A879" s="238"/>
      <c r="B879" s="242">
        <v>2400</v>
      </c>
      <c r="C879" s="243" t="s">
        <v>206</v>
      </c>
      <c r="D879" s="244"/>
    </row>
    <row r="880" spans="1:4" ht="12" hidden="1" customHeight="1" outlineLevel="1" x14ac:dyDescent="0.3">
      <c r="A880" s="238"/>
      <c r="B880" s="242">
        <v>2500</v>
      </c>
      <c r="C880" s="243" t="s">
        <v>207</v>
      </c>
      <c r="D880" s="244"/>
    </row>
    <row r="881" spans="1:4" ht="12" customHeight="1" collapsed="1" x14ac:dyDescent="0.3">
      <c r="A881" s="238"/>
      <c r="B881" s="199">
        <v>3000</v>
      </c>
      <c r="C881" s="245" t="s">
        <v>208</v>
      </c>
      <c r="D881" s="260">
        <f>SUM(D882:D883)</f>
        <v>90794</v>
      </c>
    </row>
    <row r="882" spans="1:4" ht="12" customHeight="1" x14ac:dyDescent="0.3">
      <c r="A882" s="238"/>
      <c r="B882" s="242">
        <v>3200</v>
      </c>
      <c r="C882" s="243" t="s">
        <v>209</v>
      </c>
      <c r="D882" s="244">
        <f>105000-14206</f>
        <v>90794</v>
      </c>
    </row>
    <row r="883" spans="1:4" ht="12" hidden="1" customHeight="1" outlineLevel="1" x14ac:dyDescent="0.3">
      <c r="A883" s="238"/>
      <c r="B883" s="242">
        <v>3300</v>
      </c>
      <c r="C883" s="243" t="s">
        <v>210</v>
      </c>
      <c r="D883" s="244"/>
    </row>
    <row r="884" spans="1:4" ht="12" hidden="1" customHeight="1" outlineLevel="1" x14ac:dyDescent="0.3">
      <c r="A884" s="238"/>
      <c r="B884" s="199">
        <v>4000</v>
      </c>
      <c r="C884" s="246" t="s">
        <v>211</v>
      </c>
      <c r="D884" s="260">
        <f>SUM(D885:D886)</f>
        <v>0</v>
      </c>
    </row>
    <row r="885" spans="1:4" ht="12" hidden="1" customHeight="1" outlineLevel="1" x14ac:dyDescent="0.3">
      <c r="A885" s="238"/>
      <c r="B885" s="242">
        <v>4200</v>
      </c>
      <c r="C885" s="247" t="s">
        <v>212</v>
      </c>
      <c r="D885" s="244"/>
    </row>
    <row r="886" spans="1:4" ht="12" hidden="1" customHeight="1" outlineLevel="1" x14ac:dyDescent="0.3">
      <c r="A886" s="238"/>
      <c r="B886" s="242">
        <v>4300</v>
      </c>
      <c r="C886" s="247" t="s">
        <v>213</v>
      </c>
      <c r="D886" s="244"/>
    </row>
    <row r="887" spans="1:4" ht="12" customHeight="1" collapsed="1" x14ac:dyDescent="0.3">
      <c r="A887" s="238"/>
      <c r="B887" s="199">
        <v>5000</v>
      </c>
      <c r="C887" s="200" t="s">
        <v>214</v>
      </c>
      <c r="D887" s="260">
        <f>SUM(D888:D890)</f>
        <v>89</v>
      </c>
    </row>
    <row r="888" spans="1:4" ht="12" hidden="1" customHeight="1" outlineLevel="1" x14ac:dyDescent="0.3">
      <c r="A888" s="238"/>
      <c r="B888" s="242">
        <v>5100</v>
      </c>
      <c r="C888" s="248" t="s">
        <v>215</v>
      </c>
      <c r="D888" s="260"/>
    </row>
    <row r="889" spans="1:4" ht="12" customHeight="1" collapsed="1" x14ac:dyDescent="0.3">
      <c r="A889" s="238"/>
      <c r="B889" s="242">
        <v>5200</v>
      </c>
      <c r="C889" s="248" t="s">
        <v>216</v>
      </c>
      <c r="D889" s="244">
        <f>1500-111-1300</f>
        <v>89</v>
      </c>
    </row>
    <row r="890" spans="1:4" ht="12" hidden="1" customHeight="1" outlineLevel="1" x14ac:dyDescent="0.3">
      <c r="A890" s="238"/>
      <c r="B890" s="242">
        <v>5300</v>
      </c>
      <c r="C890" s="249" t="s">
        <v>217</v>
      </c>
      <c r="D890" s="260"/>
    </row>
    <row r="891" spans="1:4" ht="12" hidden="1" customHeight="1" outlineLevel="1" x14ac:dyDescent="0.3">
      <c r="A891" s="238"/>
      <c r="B891" s="199">
        <v>6000</v>
      </c>
      <c r="C891" s="200" t="s">
        <v>218</v>
      </c>
      <c r="D891" s="260">
        <f>SUM(D892:D895)</f>
        <v>0</v>
      </c>
    </row>
    <row r="892" spans="1:4" ht="12" hidden="1" customHeight="1" outlineLevel="1" x14ac:dyDescent="0.3">
      <c r="A892" s="238"/>
      <c r="B892" s="242">
        <v>6200</v>
      </c>
      <c r="C892" s="248" t="s">
        <v>219</v>
      </c>
      <c r="D892" s="244"/>
    </row>
    <row r="893" spans="1:4" ht="12" hidden="1" customHeight="1" outlineLevel="1" x14ac:dyDescent="0.3">
      <c r="A893" s="238"/>
      <c r="B893" s="242">
        <v>6300</v>
      </c>
      <c r="C893" s="248" t="s">
        <v>220</v>
      </c>
      <c r="D893" s="244"/>
    </row>
    <row r="894" spans="1:4" ht="12" hidden="1" customHeight="1" outlineLevel="1" x14ac:dyDescent="0.3">
      <c r="A894" s="238"/>
      <c r="B894" s="242">
        <v>6400</v>
      </c>
      <c r="C894" s="248" t="s">
        <v>221</v>
      </c>
      <c r="D894" s="244"/>
    </row>
    <row r="895" spans="1:4" ht="12" hidden="1" customHeight="1" outlineLevel="1" x14ac:dyDescent="0.3">
      <c r="A895" s="238"/>
      <c r="B895" s="242">
        <v>6500</v>
      </c>
      <c r="C895" s="249" t="s">
        <v>222</v>
      </c>
      <c r="D895" s="244"/>
    </row>
    <row r="896" spans="1:4" ht="12" hidden="1" customHeight="1" outlineLevel="1" x14ac:dyDescent="0.3">
      <c r="A896" s="238"/>
      <c r="B896" s="199">
        <v>7000</v>
      </c>
      <c r="C896" s="200" t="s">
        <v>223</v>
      </c>
      <c r="D896" s="260">
        <f>SUM(D897:D899)</f>
        <v>0</v>
      </c>
    </row>
    <row r="897" spans="1:4" ht="12" hidden="1" customHeight="1" outlineLevel="1" x14ac:dyDescent="0.3">
      <c r="A897" s="238"/>
      <c r="B897" s="250">
        <v>7200</v>
      </c>
      <c r="C897" s="251" t="s">
        <v>224</v>
      </c>
      <c r="D897" s="244"/>
    </row>
    <row r="898" spans="1:4" ht="12" hidden="1" customHeight="1" outlineLevel="1" x14ac:dyDescent="0.3">
      <c r="A898" s="238"/>
      <c r="B898" s="250">
        <v>7500</v>
      </c>
      <c r="C898" s="251" t="s">
        <v>225</v>
      </c>
      <c r="D898" s="244"/>
    </row>
    <row r="899" spans="1:4" ht="12" hidden="1" customHeight="1" outlineLevel="1" x14ac:dyDescent="0.3">
      <c r="A899" s="238"/>
      <c r="B899" s="250">
        <v>7700</v>
      </c>
      <c r="C899" s="251" t="s">
        <v>226</v>
      </c>
      <c r="D899" s="244"/>
    </row>
    <row r="900" spans="1:4" ht="12" hidden="1" customHeight="1" outlineLevel="1" x14ac:dyDescent="0.3">
      <c r="A900" s="238"/>
      <c r="B900" s="252">
        <v>8000</v>
      </c>
      <c r="C900" s="253" t="s">
        <v>227</v>
      </c>
      <c r="D900" s="260">
        <f>SUM(D901:D903)</f>
        <v>0</v>
      </c>
    </row>
    <row r="901" spans="1:4" ht="12" hidden="1" customHeight="1" outlineLevel="1" x14ac:dyDescent="0.3">
      <c r="A901" s="238"/>
      <c r="B901" s="254">
        <v>8100</v>
      </c>
      <c r="C901" s="255" t="s">
        <v>228</v>
      </c>
      <c r="D901" s="260"/>
    </row>
    <row r="902" spans="1:4" ht="12" hidden="1" customHeight="1" outlineLevel="1" x14ac:dyDescent="0.3">
      <c r="A902" s="238"/>
      <c r="B902" s="254">
        <v>8600</v>
      </c>
      <c r="C902" s="255" t="s">
        <v>229</v>
      </c>
      <c r="D902" s="260"/>
    </row>
    <row r="903" spans="1:4" ht="12" hidden="1" customHeight="1" outlineLevel="1" x14ac:dyDescent="0.3">
      <c r="A903" s="238"/>
      <c r="B903" s="254">
        <v>8900</v>
      </c>
      <c r="C903" s="255" t="s">
        <v>230</v>
      </c>
      <c r="D903" s="260"/>
    </row>
    <row r="904" spans="1:4" ht="17.100000000000001" customHeight="1" collapsed="1" x14ac:dyDescent="0.3">
      <c r="A904" s="223" t="s">
        <v>280</v>
      </c>
      <c r="B904" s="276"/>
      <c r="C904" s="225" t="s">
        <v>281</v>
      </c>
      <c r="D904" s="226">
        <f>D905+D921+D935</f>
        <v>2388441</v>
      </c>
    </row>
    <row r="905" spans="1:4" ht="12" customHeight="1" x14ac:dyDescent="0.3">
      <c r="A905" s="227"/>
      <c r="B905" s="228"/>
      <c r="C905" s="229" t="s">
        <v>198</v>
      </c>
      <c r="D905" s="230">
        <f>D906+D909+D915+D918+D931+D930+D925</f>
        <v>1770782</v>
      </c>
    </row>
    <row r="906" spans="1:4" ht="12" customHeight="1" x14ac:dyDescent="0.3">
      <c r="A906" s="227"/>
      <c r="B906" s="231">
        <v>1000</v>
      </c>
      <c r="C906" s="232" t="s">
        <v>199</v>
      </c>
      <c r="D906" s="233">
        <f>D941+D975+D1009+D1043+D1111+D1077</f>
        <v>62616</v>
      </c>
    </row>
    <row r="907" spans="1:4" ht="12" customHeight="1" x14ac:dyDescent="0.3">
      <c r="A907" s="227"/>
      <c r="B907" s="234">
        <v>1100</v>
      </c>
      <c r="C907" s="235" t="s">
        <v>200</v>
      </c>
      <c r="D907" s="236">
        <f>D942+D976+D1010+D1044+D1112+D1078</f>
        <v>51358</v>
      </c>
    </row>
    <row r="908" spans="1:4" ht="12" customHeight="1" x14ac:dyDescent="0.3">
      <c r="A908" s="227"/>
      <c r="B908" s="234">
        <v>1200</v>
      </c>
      <c r="C908" s="237" t="s">
        <v>201</v>
      </c>
      <c r="D908" s="236">
        <f t="shared" ref="D908" si="80">D943+D977+D1011+D1045+D1113+D1079</f>
        <v>11258</v>
      </c>
    </row>
    <row r="909" spans="1:4" ht="12" customHeight="1" x14ac:dyDescent="0.3">
      <c r="A909" s="238"/>
      <c r="B909" s="239">
        <v>2000</v>
      </c>
      <c r="C909" s="240" t="s">
        <v>202</v>
      </c>
      <c r="D909" s="233">
        <f>D944+D978+D1012+D1046+D1114+D1080</f>
        <v>1705517</v>
      </c>
    </row>
    <row r="910" spans="1:4" ht="12" customHeight="1" x14ac:dyDescent="0.3">
      <c r="A910" s="238"/>
      <c r="B910" s="242">
        <v>2100</v>
      </c>
      <c r="C910" s="243" t="s">
        <v>203</v>
      </c>
      <c r="D910" s="236">
        <f t="shared" ref="D910:D914" si="81">D945+D979+D1013+D1047+D1115+D1081</f>
        <v>18371</v>
      </c>
    </row>
    <row r="911" spans="1:4" ht="12" customHeight="1" x14ac:dyDescent="0.3">
      <c r="A911" s="238"/>
      <c r="B911" s="242">
        <v>2200</v>
      </c>
      <c r="C911" s="243" t="s">
        <v>204</v>
      </c>
      <c r="D911" s="236">
        <f t="shared" si="81"/>
        <v>1587091</v>
      </c>
    </row>
    <row r="912" spans="1:4" ht="12" customHeight="1" x14ac:dyDescent="0.3">
      <c r="A912" s="238"/>
      <c r="B912" s="242">
        <v>2300</v>
      </c>
      <c r="C912" s="243" t="s">
        <v>205</v>
      </c>
      <c r="D912" s="236">
        <f t="shared" si="81"/>
        <v>70723</v>
      </c>
    </row>
    <row r="913" spans="1:4" ht="12" customHeight="1" x14ac:dyDescent="0.3">
      <c r="A913" s="238"/>
      <c r="B913" s="242">
        <v>2400</v>
      </c>
      <c r="C913" s="243" t="s">
        <v>206</v>
      </c>
      <c r="D913" s="236">
        <f t="shared" si="81"/>
        <v>0</v>
      </c>
    </row>
    <row r="914" spans="1:4" ht="12" customHeight="1" x14ac:dyDescent="0.3">
      <c r="A914" s="238"/>
      <c r="B914" s="242">
        <v>2500</v>
      </c>
      <c r="C914" s="243" t="s">
        <v>207</v>
      </c>
      <c r="D914" s="236">
        <f t="shared" si="81"/>
        <v>29332</v>
      </c>
    </row>
    <row r="915" spans="1:4" ht="12" customHeight="1" x14ac:dyDescent="0.3">
      <c r="A915" s="238"/>
      <c r="B915" s="199">
        <v>3000</v>
      </c>
      <c r="C915" s="245" t="s">
        <v>208</v>
      </c>
      <c r="D915" s="233">
        <f>D950+D984+D1018+D1052+D1120+D1086</f>
        <v>1800</v>
      </c>
    </row>
    <row r="916" spans="1:4" ht="12" customHeight="1" x14ac:dyDescent="0.3">
      <c r="A916" s="238"/>
      <c r="B916" s="242">
        <v>3200</v>
      </c>
      <c r="C916" s="243" t="s">
        <v>209</v>
      </c>
      <c r="D916" s="236">
        <f t="shared" ref="D916:D917" si="82">D951+D985+D1019+D1053+D1121+D1087</f>
        <v>1800</v>
      </c>
    </row>
    <row r="917" spans="1:4" ht="12" hidden="1" customHeight="1" outlineLevel="1" x14ac:dyDescent="0.3">
      <c r="A917" s="238"/>
      <c r="B917" s="242">
        <v>3300</v>
      </c>
      <c r="C917" s="243" t="s">
        <v>210</v>
      </c>
      <c r="D917" s="236">
        <f t="shared" si="82"/>
        <v>0</v>
      </c>
    </row>
    <row r="918" spans="1:4" ht="12" hidden="1" customHeight="1" outlineLevel="1" x14ac:dyDescent="0.3">
      <c r="A918" s="238"/>
      <c r="B918" s="199">
        <v>4000</v>
      </c>
      <c r="C918" s="246" t="s">
        <v>211</v>
      </c>
      <c r="D918" s="233">
        <f>D953+D987+D1021+D1055+D1123+D1089</f>
        <v>0</v>
      </c>
    </row>
    <row r="919" spans="1:4" ht="12" hidden="1" customHeight="1" outlineLevel="1" x14ac:dyDescent="0.3">
      <c r="A919" s="238"/>
      <c r="B919" s="242">
        <v>4200</v>
      </c>
      <c r="C919" s="247" t="s">
        <v>212</v>
      </c>
      <c r="D919" s="236">
        <f t="shared" ref="D919:D920" si="83">D954+D988+D1022+D1056+D1124+D1090</f>
        <v>0</v>
      </c>
    </row>
    <row r="920" spans="1:4" ht="12" hidden="1" customHeight="1" outlineLevel="1" x14ac:dyDescent="0.3">
      <c r="A920" s="238"/>
      <c r="B920" s="242">
        <v>4300</v>
      </c>
      <c r="C920" s="247" t="s">
        <v>213</v>
      </c>
      <c r="D920" s="236">
        <f t="shared" si="83"/>
        <v>0</v>
      </c>
    </row>
    <row r="921" spans="1:4" ht="12" customHeight="1" collapsed="1" x14ac:dyDescent="0.3">
      <c r="A921" s="238"/>
      <c r="B921" s="199">
        <v>5000</v>
      </c>
      <c r="C921" s="200" t="s">
        <v>214</v>
      </c>
      <c r="D921" s="233">
        <f>D956+D990+D1024+D1058+D1126+D1092</f>
        <v>617659</v>
      </c>
    </row>
    <row r="922" spans="1:4" ht="12" customHeight="1" x14ac:dyDescent="0.3">
      <c r="A922" s="238"/>
      <c r="B922" s="242">
        <v>5100</v>
      </c>
      <c r="C922" s="248" t="s">
        <v>215</v>
      </c>
      <c r="D922" s="236">
        <f t="shared" ref="D922:D937" si="84">D957+D991+D1025+D1059+D1127+D1093</f>
        <v>11743</v>
      </c>
    </row>
    <row r="923" spans="1:4" ht="12" customHeight="1" x14ac:dyDescent="0.3">
      <c r="A923" s="238"/>
      <c r="B923" s="242">
        <v>5200</v>
      </c>
      <c r="C923" s="248" t="s">
        <v>216</v>
      </c>
      <c r="D923" s="236">
        <f t="shared" si="84"/>
        <v>605916</v>
      </c>
    </row>
    <row r="924" spans="1:4" ht="12" hidden="1" customHeight="1" outlineLevel="1" x14ac:dyDescent="0.3">
      <c r="A924" s="238"/>
      <c r="B924" s="242">
        <v>5300</v>
      </c>
      <c r="C924" s="249" t="s">
        <v>217</v>
      </c>
      <c r="D924" s="236">
        <f t="shared" si="84"/>
        <v>0</v>
      </c>
    </row>
    <row r="925" spans="1:4" ht="12" customHeight="1" collapsed="1" x14ac:dyDescent="0.3">
      <c r="A925" s="238"/>
      <c r="B925" s="199">
        <v>6000</v>
      </c>
      <c r="C925" s="200" t="s">
        <v>218</v>
      </c>
      <c r="D925" s="233">
        <f t="shared" si="84"/>
        <v>849</v>
      </c>
    </row>
    <row r="926" spans="1:4" ht="12" hidden="1" customHeight="1" outlineLevel="1" x14ac:dyDescent="0.3">
      <c r="A926" s="238"/>
      <c r="B926" s="242">
        <v>6200</v>
      </c>
      <c r="C926" s="248" t="s">
        <v>219</v>
      </c>
      <c r="D926" s="236">
        <f t="shared" si="84"/>
        <v>0</v>
      </c>
    </row>
    <row r="927" spans="1:4" ht="12" hidden="1" customHeight="1" outlineLevel="1" x14ac:dyDescent="0.3">
      <c r="A927" s="238"/>
      <c r="B927" s="242">
        <v>6300</v>
      </c>
      <c r="C927" s="248" t="s">
        <v>220</v>
      </c>
      <c r="D927" s="236">
        <f t="shared" si="84"/>
        <v>0</v>
      </c>
    </row>
    <row r="928" spans="1:4" ht="12" hidden="1" customHeight="1" outlineLevel="1" x14ac:dyDescent="0.3">
      <c r="A928" s="238"/>
      <c r="B928" s="242">
        <v>6400</v>
      </c>
      <c r="C928" s="248" t="s">
        <v>221</v>
      </c>
      <c r="D928" s="236">
        <f t="shared" si="84"/>
        <v>0</v>
      </c>
    </row>
    <row r="929" spans="1:4" ht="12" customHeight="1" collapsed="1" x14ac:dyDescent="0.3">
      <c r="A929" s="238"/>
      <c r="B929" s="242">
        <v>6500</v>
      </c>
      <c r="C929" s="249" t="s">
        <v>222</v>
      </c>
      <c r="D929" s="236">
        <f t="shared" si="84"/>
        <v>849</v>
      </c>
    </row>
    <row r="930" spans="1:4" ht="12" customHeight="1" x14ac:dyDescent="0.3">
      <c r="A930" s="238"/>
      <c r="B930" s="199">
        <v>7000</v>
      </c>
      <c r="C930" s="200" t="s">
        <v>223</v>
      </c>
      <c r="D930" s="233">
        <f>D965+D999+D1033+D1067+D1135+D1101</f>
        <v>0</v>
      </c>
    </row>
    <row r="931" spans="1:4" ht="12" hidden="1" customHeight="1" outlineLevel="1" x14ac:dyDescent="0.3">
      <c r="A931" s="238"/>
      <c r="B931" s="250">
        <v>7200</v>
      </c>
      <c r="C931" s="251" t="s">
        <v>224</v>
      </c>
      <c r="D931" s="236">
        <f t="shared" si="84"/>
        <v>0</v>
      </c>
    </row>
    <row r="932" spans="1:4" ht="12" hidden="1" customHeight="1" outlineLevel="1" x14ac:dyDescent="0.3">
      <c r="A932" s="238"/>
      <c r="B932" s="250">
        <v>7500</v>
      </c>
      <c r="C932" s="251" t="s">
        <v>225</v>
      </c>
      <c r="D932" s="236">
        <f t="shared" si="84"/>
        <v>0</v>
      </c>
    </row>
    <row r="933" spans="1:4" ht="12" customHeight="1" collapsed="1" x14ac:dyDescent="0.3">
      <c r="A933" s="238"/>
      <c r="B933" s="250">
        <v>7700</v>
      </c>
      <c r="C933" s="251" t="s">
        <v>226</v>
      </c>
      <c r="D933" s="236">
        <f t="shared" si="84"/>
        <v>0</v>
      </c>
    </row>
    <row r="934" spans="1:4" ht="12" hidden="1" customHeight="1" outlineLevel="1" x14ac:dyDescent="0.3">
      <c r="A934" s="238"/>
      <c r="B934" s="252">
        <v>8000</v>
      </c>
      <c r="C934" s="253" t="s">
        <v>227</v>
      </c>
      <c r="D934" s="236">
        <f t="shared" si="84"/>
        <v>0</v>
      </c>
    </row>
    <row r="935" spans="1:4" ht="12" hidden="1" customHeight="1" outlineLevel="1" x14ac:dyDescent="0.3">
      <c r="A935" s="238"/>
      <c r="B935" s="254">
        <v>8100</v>
      </c>
      <c r="C935" s="255" t="s">
        <v>228</v>
      </c>
      <c r="D935" s="233">
        <f>D969+D1003+D1037+D1071+D1139+D1105</f>
        <v>0</v>
      </c>
    </row>
    <row r="936" spans="1:4" ht="12" hidden="1" customHeight="1" outlineLevel="1" x14ac:dyDescent="0.3">
      <c r="A936" s="238"/>
      <c r="B936" s="254">
        <v>8600</v>
      </c>
      <c r="C936" s="255" t="s">
        <v>229</v>
      </c>
      <c r="D936" s="236">
        <f t="shared" si="84"/>
        <v>0</v>
      </c>
    </row>
    <row r="937" spans="1:4" ht="12" hidden="1" customHeight="1" outlineLevel="1" x14ac:dyDescent="0.3">
      <c r="A937" s="238"/>
      <c r="B937" s="254">
        <v>8900</v>
      </c>
      <c r="C937" s="255" t="s">
        <v>230</v>
      </c>
      <c r="D937" s="236">
        <f t="shared" si="84"/>
        <v>0</v>
      </c>
    </row>
    <row r="938" spans="1:4" ht="12" hidden="1" customHeight="1" outlineLevel="1" x14ac:dyDescent="0.3">
      <c r="A938" s="238"/>
      <c r="B938" s="252"/>
      <c r="C938" s="277"/>
      <c r="D938" s="236"/>
    </row>
    <row r="939" spans="1:4" ht="12" hidden="1" customHeight="1" outlineLevel="1" x14ac:dyDescent="0.3">
      <c r="A939" s="256" t="s">
        <v>282</v>
      </c>
      <c r="B939" s="257"/>
      <c r="C939" s="258" t="s">
        <v>283</v>
      </c>
      <c r="D939" s="259">
        <f t="shared" ref="D939" si="85">D940+D956+D969</f>
        <v>0</v>
      </c>
    </row>
    <row r="940" spans="1:4" ht="12" hidden="1" customHeight="1" outlineLevel="1" x14ac:dyDescent="0.3">
      <c r="A940" s="238"/>
      <c r="B940" s="228"/>
      <c r="C940" s="229" t="s">
        <v>198</v>
      </c>
      <c r="D940" s="230">
        <f t="shared" ref="D940" si="86">D941+D944+D950+D953+D960+D965</f>
        <v>0</v>
      </c>
    </row>
    <row r="941" spans="1:4" ht="12" hidden="1" customHeight="1" outlineLevel="1" x14ac:dyDescent="0.3">
      <c r="A941" s="238"/>
      <c r="B941" s="231">
        <v>1000</v>
      </c>
      <c r="C941" s="232" t="s">
        <v>199</v>
      </c>
      <c r="D941" s="230">
        <f>SUM(D942:D943)</f>
        <v>0</v>
      </c>
    </row>
    <row r="942" spans="1:4" ht="12" hidden="1" customHeight="1" outlineLevel="1" x14ac:dyDescent="0.3">
      <c r="A942" s="238"/>
      <c r="B942" s="234">
        <v>1100</v>
      </c>
      <c r="C942" s="235" t="s">
        <v>200</v>
      </c>
      <c r="D942" s="236"/>
    </row>
    <row r="943" spans="1:4" ht="12" hidden="1" customHeight="1" outlineLevel="1" x14ac:dyDescent="0.3">
      <c r="A943" s="238"/>
      <c r="B943" s="234">
        <v>1200</v>
      </c>
      <c r="C943" s="237" t="s">
        <v>201</v>
      </c>
      <c r="D943" s="236"/>
    </row>
    <row r="944" spans="1:4" ht="12" hidden="1" customHeight="1" outlineLevel="1" x14ac:dyDescent="0.3">
      <c r="A944" s="238"/>
      <c r="B944" s="239">
        <v>2000</v>
      </c>
      <c r="C944" s="240" t="s">
        <v>202</v>
      </c>
      <c r="D944" s="260">
        <f>SUM(D945:D949)</f>
        <v>0</v>
      </c>
    </row>
    <row r="945" spans="1:4" ht="12" hidden="1" customHeight="1" outlineLevel="1" x14ac:dyDescent="0.3">
      <c r="A945" s="238"/>
      <c r="B945" s="242">
        <v>2100</v>
      </c>
      <c r="C945" s="243" t="s">
        <v>203</v>
      </c>
      <c r="D945" s="244"/>
    </row>
    <row r="946" spans="1:4" ht="12" hidden="1" customHeight="1" outlineLevel="1" x14ac:dyDescent="0.3">
      <c r="A946" s="238"/>
      <c r="B946" s="242">
        <v>2200</v>
      </c>
      <c r="C946" s="243" t="s">
        <v>204</v>
      </c>
      <c r="D946" s="244"/>
    </row>
    <row r="947" spans="1:4" ht="12" hidden="1" customHeight="1" outlineLevel="1" x14ac:dyDescent="0.3">
      <c r="A947" s="238"/>
      <c r="B947" s="242">
        <v>2300</v>
      </c>
      <c r="C947" s="243" t="s">
        <v>205</v>
      </c>
      <c r="D947" s="244"/>
    </row>
    <row r="948" spans="1:4" ht="12" hidden="1" customHeight="1" outlineLevel="1" x14ac:dyDescent="0.3">
      <c r="A948" s="238"/>
      <c r="B948" s="242">
        <v>2400</v>
      </c>
      <c r="C948" s="243" t="s">
        <v>206</v>
      </c>
      <c r="D948" s="244"/>
    </row>
    <row r="949" spans="1:4" ht="12" hidden="1" customHeight="1" outlineLevel="1" x14ac:dyDescent="0.3">
      <c r="A949" s="238"/>
      <c r="B949" s="242">
        <v>2500</v>
      </c>
      <c r="C949" s="243" t="s">
        <v>207</v>
      </c>
      <c r="D949" s="244"/>
    </row>
    <row r="950" spans="1:4" ht="12" hidden="1" customHeight="1" outlineLevel="1" x14ac:dyDescent="0.3">
      <c r="A950" s="238"/>
      <c r="B950" s="199">
        <v>3000</v>
      </c>
      <c r="C950" s="245" t="s">
        <v>208</v>
      </c>
      <c r="D950" s="260">
        <f>SUM(D951:D952)</f>
        <v>0</v>
      </c>
    </row>
    <row r="951" spans="1:4" ht="12" hidden="1" customHeight="1" outlineLevel="1" x14ac:dyDescent="0.3">
      <c r="A951" s="238"/>
      <c r="B951" s="242">
        <v>3200</v>
      </c>
      <c r="C951" s="243" t="s">
        <v>209</v>
      </c>
      <c r="D951" s="244"/>
    </row>
    <row r="952" spans="1:4" ht="12" hidden="1" customHeight="1" outlineLevel="1" x14ac:dyDescent="0.3">
      <c r="A952" s="238"/>
      <c r="B952" s="242">
        <v>3300</v>
      </c>
      <c r="C952" s="243" t="s">
        <v>210</v>
      </c>
      <c r="D952" s="244"/>
    </row>
    <row r="953" spans="1:4" ht="12" hidden="1" customHeight="1" outlineLevel="1" x14ac:dyDescent="0.3">
      <c r="A953" s="238"/>
      <c r="B953" s="199">
        <v>4000</v>
      </c>
      <c r="C953" s="246" t="s">
        <v>211</v>
      </c>
      <c r="D953" s="260">
        <f>SUM(D954:D955)</f>
        <v>0</v>
      </c>
    </row>
    <row r="954" spans="1:4" ht="12" hidden="1" customHeight="1" outlineLevel="1" x14ac:dyDescent="0.3">
      <c r="A954" s="238"/>
      <c r="B954" s="242">
        <v>4200</v>
      </c>
      <c r="C954" s="247" t="s">
        <v>212</v>
      </c>
      <c r="D954" s="244"/>
    </row>
    <row r="955" spans="1:4" ht="12" hidden="1" customHeight="1" outlineLevel="1" x14ac:dyDescent="0.3">
      <c r="A955" s="238"/>
      <c r="B955" s="242">
        <v>4300</v>
      </c>
      <c r="C955" s="247" t="s">
        <v>213</v>
      </c>
      <c r="D955" s="244"/>
    </row>
    <row r="956" spans="1:4" ht="12" hidden="1" customHeight="1" outlineLevel="1" x14ac:dyDescent="0.3">
      <c r="A956" s="238"/>
      <c r="B956" s="199">
        <v>5000</v>
      </c>
      <c r="C956" s="200" t="s">
        <v>214</v>
      </c>
      <c r="D956" s="260">
        <f>SUM(D957:D959)</f>
        <v>0</v>
      </c>
    </row>
    <row r="957" spans="1:4" ht="12" hidden="1" customHeight="1" outlineLevel="1" x14ac:dyDescent="0.3">
      <c r="A957" s="238"/>
      <c r="B957" s="242">
        <v>5100</v>
      </c>
      <c r="C957" s="248" t="s">
        <v>215</v>
      </c>
      <c r="D957" s="260"/>
    </row>
    <row r="958" spans="1:4" ht="12" hidden="1" customHeight="1" outlineLevel="1" x14ac:dyDescent="0.3">
      <c r="A958" s="238"/>
      <c r="B958" s="242">
        <v>5200</v>
      </c>
      <c r="C958" s="248" t="s">
        <v>216</v>
      </c>
      <c r="D958" s="260"/>
    </row>
    <row r="959" spans="1:4" ht="12" hidden="1" customHeight="1" outlineLevel="1" x14ac:dyDescent="0.3">
      <c r="A959" s="238"/>
      <c r="B959" s="242">
        <v>5300</v>
      </c>
      <c r="C959" s="249" t="s">
        <v>217</v>
      </c>
      <c r="D959" s="260"/>
    </row>
    <row r="960" spans="1:4" ht="12" hidden="1" customHeight="1" outlineLevel="1" x14ac:dyDescent="0.3">
      <c r="A960" s="238"/>
      <c r="B960" s="199">
        <v>6000</v>
      </c>
      <c r="C960" s="200" t="s">
        <v>218</v>
      </c>
      <c r="D960" s="260">
        <f>SUM(D961:D964)</f>
        <v>0</v>
      </c>
    </row>
    <row r="961" spans="1:4" ht="12" hidden="1" customHeight="1" outlineLevel="1" x14ac:dyDescent="0.3">
      <c r="A961" s="238"/>
      <c r="B961" s="242">
        <v>6200</v>
      </c>
      <c r="C961" s="248" t="s">
        <v>219</v>
      </c>
      <c r="D961" s="244"/>
    </row>
    <row r="962" spans="1:4" ht="12" hidden="1" customHeight="1" outlineLevel="1" x14ac:dyDescent="0.3">
      <c r="A962" s="238"/>
      <c r="B962" s="242">
        <v>6300</v>
      </c>
      <c r="C962" s="248" t="s">
        <v>220</v>
      </c>
      <c r="D962" s="244"/>
    </row>
    <row r="963" spans="1:4" ht="12" hidden="1" customHeight="1" outlineLevel="1" x14ac:dyDescent="0.3">
      <c r="A963" s="238"/>
      <c r="B963" s="242">
        <v>6400</v>
      </c>
      <c r="C963" s="248" t="s">
        <v>221</v>
      </c>
      <c r="D963" s="244"/>
    </row>
    <row r="964" spans="1:4" ht="12" hidden="1" customHeight="1" outlineLevel="1" x14ac:dyDescent="0.3">
      <c r="A964" s="238"/>
      <c r="B964" s="242">
        <v>6500</v>
      </c>
      <c r="C964" s="249" t="s">
        <v>222</v>
      </c>
      <c r="D964" s="244"/>
    </row>
    <row r="965" spans="1:4" ht="12" hidden="1" customHeight="1" outlineLevel="1" x14ac:dyDescent="0.3">
      <c r="A965" s="238"/>
      <c r="B965" s="199">
        <v>7000</v>
      </c>
      <c r="C965" s="200" t="s">
        <v>223</v>
      </c>
      <c r="D965" s="260">
        <f>SUM(D966:D968)</f>
        <v>0</v>
      </c>
    </row>
    <row r="966" spans="1:4" ht="12" hidden="1" customHeight="1" outlineLevel="1" x14ac:dyDescent="0.3">
      <c r="A966" s="238"/>
      <c r="B966" s="250">
        <v>7200</v>
      </c>
      <c r="C966" s="251" t="s">
        <v>224</v>
      </c>
      <c r="D966" s="244"/>
    </row>
    <row r="967" spans="1:4" ht="12" hidden="1" customHeight="1" outlineLevel="1" x14ac:dyDescent="0.3">
      <c r="A967" s="238"/>
      <c r="B967" s="250">
        <v>7500</v>
      </c>
      <c r="C967" s="251" t="s">
        <v>225</v>
      </c>
      <c r="D967" s="244"/>
    </row>
    <row r="968" spans="1:4" ht="12" hidden="1" customHeight="1" outlineLevel="1" x14ac:dyDescent="0.3">
      <c r="A968" s="238"/>
      <c r="B968" s="250">
        <v>7700</v>
      </c>
      <c r="C968" s="251" t="s">
        <v>226</v>
      </c>
      <c r="D968" s="244"/>
    </row>
    <row r="969" spans="1:4" ht="12" hidden="1" customHeight="1" outlineLevel="1" x14ac:dyDescent="0.3">
      <c r="A969" s="238"/>
      <c r="B969" s="252">
        <v>8000</v>
      </c>
      <c r="C969" s="253" t="s">
        <v>227</v>
      </c>
      <c r="D969" s="260">
        <f>SUM(D970:D972)</f>
        <v>0</v>
      </c>
    </row>
    <row r="970" spans="1:4" ht="12" hidden="1" customHeight="1" outlineLevel="1" x14ac:dyDescent="0.3">
      <c r="A970" s="238"/>
      <c r="B970" s="254">
        <v>8100</v>
      </c>
      <c r="C970" s="255" t="s">
        <v>228</v>
      </c>
      <c r="D970" s="260"/>
    </row>
    <row r="971" spans="1:4" ht="12" hidden="1" customHeight="1" outlineLevel="1" x14ac:dyDescent="0.3">
      <c r="A971" s="238"/>
      <c r="B971" s="254">
        <v>8600</v>
      </c>
      <c r="C971" s="255" t="s">
        <v>229</v>
      </c>
      <c r="D971" s="260"/>
    </row>
    <row r="972" spans="1:4" ht="12" hidden="1" customHeight="1" outlineLevel="1" x14ac:dyDescent="0.3">
      <c r="A972" s="238"/>
      <c r="B972" s="254">
        <v>8900</v>
      </c>
      <c r="C972" s="255" t="s">
        <v>230</v>
      </c>
      <c r="D972" s="260"/>
    </row>
    <row r="973" spans="1:4" ht="12" customHeight="1" collapsed="1" x14ac:dyDescent="0.3">
      <c r="A973" s="256" t="s">
        <v>284</v>
      </c>
      <c r="B973" s="257"/>
      <c r="C973" s="258" t="s">
        <v>285</v>
      </c>
      <c r="D973" s="259">
        <f t="shared" ref="D973" si="87">D974+D990+D1003</f>
        <v>322159</v>
      </c>
    </row>
    <row r="974" spans="1:4" ht="12" customHeight="1" x14ac:dyDescent="0.3">
      <c r="A974" s="227"/>
      <c r="B974" s="228"/>
      <c r="C974" s="229" t="s">
        <v>198</v>
      </c>
      <c r="D974" s="230">
        <f t="shared" ref="D974" si="88">D975+D978+D984+D987+D994+D999</f>
        <v>311548</v>
      </c>
    </row>
    <row r="975" spans="1:4" ht="12" hidden="1" customHeight="1" outlineLevel="1" x14ac:dyDescent="0.3">
      <c r="A975" s="227"/>
      <c r="B975" s="231">
        <v>1000</v>
      </c>
      <c r="C975" s="232" t="s">
        <v>199</v>
      </c>
      <c r="D975" s="230">
        <f>SUM(D976:D977)</f>
        <v>0</v>
      </c>
    </row>
    <row r="976" spans="1:4" ht="12" hidden="1" customHeight="1" outlineLevel="1" x14ac:dyDescent="0.3">
      <c r="A976" s="227"/>
      <c r="B976" s="234">
        <v>1100</v>
      </c>
      <c r="C976" s="235" t="s">
        <v>200</v>
      </c>
      <c r="D976" s="236"/>
    </row>
    <row r="977" spans="1:4" ht="12" hidden="1" customHeight="1" outlineLevel="1" x14ac:dyDescent="0.3">
      <c r="A977" s="227"/>
      <c r="B977" s="234">
        <v>1200</v>
      </c>
      <c r="C977" s="237" t="s">
        <v>201</v>
      </c>
      <c r="D977" s="236"/>
    </row>
    <row r="978" spans="1:4" ht="12" customHeight="1" collapsed="1" x14ac:dyDescent="0.3">
      <c r="A978" s="238"/>
      <c r="B978" s="239">
        <v>2000</v>
      </c>
      <c r="C978" s="240" t="s">
        <v>202</v>
      </c>
      <c r="D978" s="260">
        <f>SUM(D979:D983)</f>
        <v>311548</v>
      </c>
    </row>
    <row r="979" spans="1:4" ht="12" hidden="1" customHeight="1" outlineLevel="1" x14ac:dyDescent="0.3">
      <c r="A979" s="238"/>
      <c r="B979" s="242">
        <v>2100</v>
      </c>
      <c r="C979" s="243" t="s">
        <v>203</v>
      </c>
      <c r="D979" s="244"/>
    </row>
    <row r="980" spans="1:4" ht="12" customHeight="1" collapsed="1" x14ac:dyDescent="0.3">
      <c r="A980" s="238"/>
      <c r="B980" s="242">
        <v>2200</v>
      </c>
      <c r="C980" s="243" t="s">
        <v>204</v>
      </c>
      <c r="D980" s="244">
        <f>267444+1503+7415+924</f>
        <v>277286</v>
      </c>
    </row>
    <row r="981" spans="1:4" ht="12" customHeight="1" x14ac:dyDescent="0.3">
      <c r="A981" s="238"/>
      <c r="B981" s="242">
        <v>2300</v>
      </c>
      <c r="C981" s="243" t="s">
        <v>205</v>
      </c>
      <c r="D981" s="244">
        <f>5055+497+500-970</f>
        <v>5082</v>
      </c>
    </row>
    <row r="982" spans="1:4" ht="12" hidden="1" customHeight="1" outlineLevel="1" x14ac:dyDescent="0.3">
      <c r="A982" s="238"/>
      <c r="B982" s="242">
        <v>2400</v>
      </c>
      <c r="C982" s="243" t="s">
        <v>206</v>
      </c>
      <c r="D982" s="244"/>
    </row>
    <row r="983" spans="1:4" ht="12" customHeight="1" collapsed="1" x14ac:dyDescent="0.3">
      <c r="A983" s="238"/>
      <c r="B983" s="242">
        <v>2500</v>
      </c>
      <c r="C983" s="243" t="s">
        <v>207</v>
      </c>
      <c r="D983" s="244">
        <f>30391-1211</f>
        <v>29180</v>
      </c>
    </row>
    <row r="984" spans="1:4" ht="12" hidden="1" customHeight="1" outlineLevel="1" x14ac:dyDescent="0.3">
      <c r="A984" s="238"/>
      <c r="B984" s="199">
        <v>3000</v>
      </c>
      <c r="C984" s="245" t="s">
        <v>208</v>
      </c>
      <c r="D984" s="260">
        <f>SUM(D985:D986)</f>
        <v>0</v>
      </c>
    </row>
    <row r="985" spans="1:4" ht="12" hidden="1" customHeight="1" outlineLevel="1" x14ac:dyDescent="0.3">
      <c r="A985" s="238"/>
      <c r="B985" s="242">
        <v>3200</v>
      </c>
      <c r="C985" s="243" t="s">
        <v>209</v>
      </c>
      <c r="D985" s="244"/>
    </row>
    <row r="986" spans="1:4" ht="12" hidden="1" customHeight="1" outlineLevel="1" x14ac:dyDescent="0.3">
      <c r="A986" s="238"/>
      <c r="B986" s="242">
        <v>3300</v>
      </c>
      <c r="C986" s="243" t="s">
        <v>210</v>
      </c>
      <c r="D986" s="244"/>
    </row>
    <row r="987" spans="1:4" ht="15" hidden="1" customHeight="1" outlineLevel="1" x14ac:dyDescent="0.3">
      <c r="A987" s="238"/>
      <c r="B987" s="199">
        <v>4000</v>
      </c>
      <c r="C987" s="246" t="s">
        <v>211</v>
      </c>
      <c r="D987" s="260">
        <f>SUM(D988:D989)</f>
        <v>0</v>
      </c>
    </row>
    <row r="988" spans="1:4" ht="15" hidden="1" customHeight="1" outlineLevel="1" x14ac:dyDescent="0.3">
      <c r="A988" s="238"/>
      <c r="B988" s="242">
        <v>4200</v>
      </c>
      <c r="C988" s="247" t="s">
        <v>212</v>
      </c>
      <c r="D988" s="244"/>
    </row>
    <row r="989" spans="1:4" ht="15" hidden="1" customHeight="1" outlineLevel="1" x14ac:dyDescent="0.3">
      <c r="A989" s="238"/>
      <c r="B989" s="242">
        <v>4300</v>
      </c>
      <c r="C989" s="247" t="s">
        <v>213</v>
      </c>
      <c r="D989" s="244"/>
    </row>
    <row r="990" spans="1:4" ht="12" customHeight="1" collapsed="1" x14ac:dyDescent="0.3">
      <c r="A990" s="238"/>
      <c r="B990" s="199">
        <v>5000</v>
      </c>
      <c r="C990" s="200" t="s">
        <v>214</v>
      </c>
      <c r="D990" s="260">
        <f>SUM(D991:D993)</f>
        <v>10611</v>
      </c>
    </row>
    <row r="991" spans="1:4" ht="12" customHeight="1" x14ac:dyDescent="0.3">
      <c r="A991" s="238"/>
      <c r="B991" s="242">
        <v>5100</v>
      </c>
      <c r="C991" s="248" t="s">
        <v>215</v>
      </c>
      <c r="D991" s="260"/>
    </row>
    <row r="992" spans="1:4" ht="12" customHeight="1" x14ac:dyDescent="0.3">
      <c r="A992" s="238"/>
      <c r="B992" s="242">
        <v>5200</v>
      </c>
      <c r="C992" s="248" t="s">
        <v>216</v>
      </c>
      <c r="D992" s="244">
        <f>10628-2380+2363</f>
        <v>10611</v>
      </c>
    </row>
    <row r="993" spans="1:4" ht="12" hidden="1" customHeight="1" outlineLevel="1" x14ac:dyDescent="0.3">
      <c r="A993" s="238"/>
      <c r="B993" s="242">
        <v>5300</v>
      </c>
      <c r="C993" s="249" t="s">
        <v>217</v>
      </c>
      <c r="D993" s="260"/>
    </row>
    <row r="994" spans="1:4" ht="12" hidden="1" customHeight="1" outlineLevel="1" x14ac:dyDescent="0.3">
      <c r="A994" s="238"/>
      <c r="B994" s="199">
        <v>6000</v>
      </c>
      <c r="C994" s="200" t="s">
        <v>218</v>
      </c>
      <c r="D994" s="260">
        <f>SUM(D995:D998)</f>
        <v>0</v>
      </c>
    </row>
    <row r="995" spans="1:4" ht="12" hidden="1" customHeight="1" outlineLevel="1" x14ac:dyDescent="0.3">
      <c r="A995" s="238"/>
      <c r="B995" s="242">
        <v>6200</v>
      </c>
      <c r="C995" s="248" t="s">
        <v>219</v>
      </c>
      <c r="D995" s="244"/>
    </row>
    <row r="996" spans="1:4" ht="12" hidden="1" customHeight="1" outlineLevel="1" x14ac:dyDescent="0.3">
      <c r="A996" s="238"/>
      <c r="B996" s="242">
        <v>6300</v>
      </c>
      <c r="C996" s="248" t="s">
        <v>220</v>
      </c>
      <c r="D996" s="244"/>
    </row>
    <row r="997" spans="1:4" ht="12" hidden="1" customHeight="1" outlineLevel="1" x14ac:dyDescent="0.3">
      <c r="A997" s="238"/>
      <c r="B997" s="242">
        <v>6400</v>
      </c>
      <c r="C997" s="248" t="s">
        <v>221</v>
      </c>
      <c r="D997" s="244"/>
    </row>
    <row r="998" spans="1:4" ht="12" hidden="1" customHeight="1" outlineLevel="1" x14ac:dyDescent="0.3">
      <c r="A998" s="238"/>
      <c r="B998" s="242">
        <v>6500</v>
      </c>
      <c r="C998" s="249" t="s">
        <v>222</v>
      </c>
      <c r="D998" s="244"/>
    </row>
    <row r="999" spans="1:4" ht="12" hidden="1" customHeight="1" outlineLevel="1" x14ac:dyDescent="0.3">
      <c r="A999" s="238"/>
      <c r="B999" s="199">
        <v>7000</v>
      </c>
      <c r="C999" s="200" t="s">
        <v>223</v>
      </c>
      <c r="D999" s="260">
        <f>SUM(D1000:D1002)</f>
        <v>0</v>
      </c>
    </row>
    <row r="1000" spans="1:4" ht="12" hidden="1" customHeight="1" outlineLevel="1" x14ac:dyDescent="0.3">
      <c r="A1000" s="238"/>
      <c r="B1000" s="250">
        <v>7200</v>
      </c>
      <c r="C1000" s="251" t="s">
        <v>224</v>
      </c>
      <c r="D1000" s="244"/>
    </row>
    <row r="1001" spans="1:4" ht="12" hidden="1" customHeight="1" outlineLevel="1" x14ac:dyDescent="0.3">
      <c r="A1001" s="238"/>
      <c r="B1001" s="250">
        <v>7500</v>
      </c>
      <c r="C1001" s="251" t="s">
        <v>225</v>
      </c>
      <c r="D1001" s="244"/>
    </row>
    <row r="1002" spans="1:4" ht="12" hidden="1" customHeight="1" outlineLevel="1" x14ac:dyDescent="0.3">
      <c r="A1002" s="238"/>
      <c r="B1002" s="250">
        <v>7700</v>
      </c>
      <c r="C1002" s="251" t="s">
        <v>226</v>
      </c>
      <c r="D1002" s="244"/>
    </row>
    <row r="1003" spans="1:4" ht="12" hidden="1" customHeight="1" outlineLevel="1" x14ac:dyDescent="0.3">
      <c r="A1003" s="238"/>
      <c r="B1003" s="252">
        <v>8000</v>
      </c>
      <c r="C1003" s="253" t="s">
        <v>227</v>
      </c>
      <c r="D1003" s="260">
        <f>SUM(D1004:D1006)</f>
        <v>0</v>
      </c>
    </row>
    <row r="1004" spans="1:4" ht="12" hidden="1" customHeight="1" outlineLevel="1" x14ac:dyDescent="0.3">
      <c r="A1004" s="238"/>
      <c r="B1004" s="254">
        <v>8100</v>
      </c>
      <c r="C1004" s="255" t="s">
        <v>228</v>
      </c>
      <c r="D1004" s="260"/>
    </row>
    <row r="1005" spans="1:4" ht="12" hidden="1" customHeight="1" outlineLevel="1" x14ac:dyDescent="0.3">
      <c r="A1005" s="238"/>
      <c r="B1005" s="254">
        <v>8600</v>
      </c>
      <c r="C1005" s="255" t="s">
        <v>229</v>
      </c>
      <c r="D1005" s="260"/>
    </row>
    <row r="1006" spans="1:4" ht="12" hidden="1" customHeight="1" outlineLevel="1" x14ac:dyDescent="0.3">
      <c r="A1006" s="238"/>
      <c r="B1006" s="254">
        <v>8900</v>
      </c>
      <c r="C1006" s="255" t="s">
        <v>230</v>
      </c>
      <c r="D1006" s="260"/>
    </row>
    <row r="1007" spans="1:4" ht="12" customHeight="1" collapsed="1" x14ac:dyDescent="0.3">
      <c r="A1007" s="256" t="s">
        <v>286</v>
      </c>
      <c r="B1007" s="257"/>
      <c r="C1007" s="258" t="s">
        <v>287</v>
      </c>
      <c r="D1007" s="259">
        <f t="shared" ref="D1007" si="89">D1037+D1024+D1008</f>
        <v>55363</v>
      </c>
    </row>
    <row r="1008" spans="1:4" ht="12" customHeight="1" x14ac:dyDescent="0.3">
      <c r="A1008" s="238"/>
      <c r="B1008" s="228"/>
      <c r="C1008" s="229" t="s">
        <v>198</v>
      </c>
      <c r="D1008" s="230">
        <f t="shared" ref="D1008" si="90">D1009+D1012+D1018+D1021+D1028+D1033</f>
        <v>55363</v>
      </c>
    </row>
    <row r="1009" spans="1:4" ht="12" customHeight="1" x14ac:dyDescent="0.3">
      <c r="A1009" s="238"/>
      <c r="B1009" s="231">
        <v>1000</v>
      </c>
      <c r="C1009" s="232" t="s">
        <v>199</v>
      </c>
      <c r="D1009" s="230">
        <f>SUM(D1010:D1011)</f>
        <v>12913</v>
      </c>
    </row>
    <row r="1010" spans="1:4" ht="12" customHeight="1" x14ac:dyDescent="0.3">
      <c r="A1010" s="238"/>
      <c r="B1010" s="234">
        <v>1100</v>
      </c>
      <c r="C1010" s="235" t="s">
        <v>200</v>
      </c>
      <c r="D1010" s="236">
        <f>8412+2040</f>
        <v>10452</v>
      </c>
    </row>
    <row r="1011" spans="1:4" ht="12" customHeight="1" x14ac:dyDescent="0.3">
      <c r="A1011" s="238"/>
      <c r="B1011" s="234">
        <v>1200</v>
      </c>
      <c r="C1011" s="237" t="s">
        <v>201</v>
      </c>
      <c r="D1011" s="236">
        <f>1980+481</f>
        <v>2461</v>
      </c>
    </row>
    <row r="1012" spans="1:4" ht="12" customHeight="1" x14ac:dyDescent="0.3">
      <c r="A1012" s="238"/>
      <c r="B1012" s="239">
        <v>2000</v>
      </c>
      <c r="C1012" s="240" t="s">
        <v>202</v>
      </c>
      <c r="D1012" s="260">
        <f>SUM(D1013:D1017)</f>
        <v>42450</v>
      </c>
    </row>
    <row r="1013" spans="1:4" ht="12" customHeight="1" x14ac:dyDescent="0.3">
      <c r="A1013" s="238"/>
      <c r="B1013" s="242">
        <v>2100</v>
      </c>
      <c r="C1013" s="243" t="s">
        <v>203</v>
      </c>
      <c r="D1013" s="244">
        <f>3250-1000</f>
        <v>2250</v>
      </c>
    </row>
    <row r="1014" spans="1:4" ht="12" customHeight="1" x14ac:dyDescent="0.3">
      <c r="A1014" s="238"/>
      <c r="B1014" s="242">
        <v>2200</v>
      </c>
      <c r="C1014" s="243" t="s">
        <v>204</v>
      </c>
      <c r="D1014" s="244">
        <f>39000-4854</f>
        <v>34146</v>
      </c>
    </row>
    <row r="1015" spans="1:4" ht="12" customHeight="1" x14ac:dyDescent="0.3">
      <c r="A1015" s="238"/>
      <c r="B1015" s="242">
        <v>2300</v>
      </c>
      <c r="C1015" s="243" t="s">
        <v>205</v>
      </c>
      <c r="D1015" s="244">
        <v>6054</v>
      </c>
    </row>
    <row r="1016" spans="1:4" ht="12" hidden="1" customHeight="1" outlineLevel="1" x14ac:dyDescent="0.3">
      <c r="A1016" s="238"/>
      <c r="B1016" s="242">
        <v>2400</v>
      </c>
      <c r="C1016" s="243" t="s">
        <v>206</v>
      </c>
      <c r="D1016" s="244"/>
    </row>
    <row r="1017" spans="1:4" ht="12" hidden="1" customHeight="1" outlineLevel="1" x14ac:dyDescent="0.3">
      <c r="A1017" s="238"/>
      <c r="B1017" s="242">
        <v>2500</v>
      </c>
      <c r="C1017" s="243" t="s">
        <v>207</v>
      </c>
      <c r="D1017" s="244"/>
    </row>
    <row r="1018" spans="1:4" ht="12" hidden="1" customHeight="1" outlineLevel="1" x14ac:dyDescent="0.3">
      <c r="A1018" s="238"/>
      <c r="B1018" s="199">
        <v>3000</v>
      </c>
      <c r="C1018" s="245" t="s">
        <v>208</v>
      </c>
      <c r="D1018" s="260">
        <f>SUM(D1019:D1020)</f>
        <v>0</v>
      </c>
    </row>
    <row r="1019" spans="1:4" ht="12" hidden="1" customHeight="1" outlineLevel="1" x14ac:dyDescent="0.3">
      <c r="A1019" s="238"/>
      <c r="B1019" s="242">
        <v>3200</v>
      </c>
      <c r="C1019" s="243" t="s">
        <v>209</v>
      </c>
      <c r="D1019" s="244"/>
    </row>
    <row r="1020" spans="1:4" ht="12" hidden="1" customHeight="1" outlineLevel="1" x14ac:dyDescent="0.3">
      <c r="A1020" s="238"/>
      <c r="B1020" s="242">
        <v>3300</v>
      </c>
      <c r="C1020" s="243" t="s">
        <v>210</v>
      </c>
      <c r="D1020" s="244"/>
    </row>
    <row r="1021" spans="1:4" ht="12" hidden="1" customHeight="1" outlineLevel="1" x14ac:dyDescent="0.3">
      <c r="A1021" s="238"/>
      <c r="B1021" s="199">
        <v>4000</v>
      </c>
      <c r="C1021" s="246" t="s">
        <v>211</v>
      </c>
      <c r="D1021" s="260">
        <f>SUM(D1022:D1023)</f>
        <v>0</v>
      </c>
    </row>
    <row r="1022" spans="1:4" ht="12" hidden="1" customHeight="1" outlineLevel="1" x14ac:dyDescent="0.3">
      <c r="A1022" s="238"/>
      <c r="B1022" s="242">
        <v>4200</v>
      </c>
      <c r="C1022" s="247" t="s">
        <v>212</v>
      </c>
      <c r="D1022" s="244"/>
    </row>
    <row r="1023" spans="1:4" ht="12" hidden="1" customHeight="1" outlineLevel="1" x14ac:dyDescent="0.3">
      <c r="A1023" s="238"/>
      <c r="B1023" s="242">
        <v>4300</v>
      </c>
      <c r="C1023" s="247" t="s">
        <v>213</v>
      </c>
      <c r="D1023" s="244"/>
    </row>
    <row r="1024" spans="1:4" ht="12" customHeight="1" collapsed="1" x14ac:dyDescent="0.3">
      <c r="A1024" s="238"/>
      <c r="B1024" s="199">
        <v>5000</v>
      </c>
      <c r="C1024" s="200" t="s">
        <v>214</v>
      </c>
      <c r="D1024" s="260">
        <f>SUM(D1025:D1027)</f>
        <v>0</v>
      </c>
    </row>
    <row r="1025" spans="1:4" ht="12" customHeight="1" x14ac:dyDescent="0.3">
      <c r="A1025" s="238"/>
      <c r="B1025" s="242">
        <v>5100</v>
      </c>
      <c r="C1025" s="248" t="s">
        <v>215</v>
      </c>
      <c r="D1025" s="244">
        <v>0</v>
      </c>
    </row>
    <row r="1026" spans="1:4" ht="12" hidden="1" customHeight="1" outlineLevel="1" x14ac:dyDescent="0.3">
      <c r="A1026" s="238"/>
      <c r="B1026" s="242">
        <v>5200</v>
      </c>
      <c r="C1026" s="248" t="s">
        <v>216</v>
      </c>
      <c r="D1026" s="260"/>
    </row>
    <row r="1027" spans="1:4" ht="12" hidden="1" customHeight="1" outlineLevel="1" x14ac:dyDescent="0.3">
      <c r="A1027" s="238"/>
      <c r="B1027" s="242">
        <v>5300</v>
      </c>
      <c r="C1027" s="249" t="s">
        <v>217</v>
      </c>
      <c r="D1027" s="260"/>
    </row>
    <row r="1028" spans="1:4" ht="12" hidden="1" customHeight="1" outlineLevel="1" x14ac:dyDescent="0.3">
      <c r="A1028" s="238"/>
      <c r="B1028" s="199">
        <v>6000</v>
      </c>
      <c r="C1028" s="200" t="s">
        <v>218</v>
      </c>
      <c r="D1028" s="260">
        <f>SUM(D1029:D1032)</f>
        <v>0</v>
      </c>
    </row>
    <row r="1029" spans="1:4" ht="12" hidden="1" customHeight="1" outlineLevel="1" x14ac:dyDescent="0.3">
      <c r="A1029" s="238"/>
      <c r="B1029" s="242">
        <v>6200</v>
      </c>
      <c r="C1029" s="248" t="s">
        <v>219</v>
      </c>
      <c r="D1029" s="244"/>
    </row>
    <row r="1030" spans="1:4" ht="12" hidden="1" customHeight="1" outlineLevel="1" x14ac:dyDescent="0.3">
      <c r="A1030" s="238"/>
      <c r="B1030" s="242">
        <v>6300</v>
      </c>
      <c r="C1030" s="248" t="s">
        <v>220</v>
      </c>
      <c r="D1030" s="244"/>
    </row>
    <row r="1031" spans="1:4" ht="12" hidden="1" customHeight="1" outlineLevel="1" x14ac:dyDescent="0.3">
      <c r="A1031" s="238"/>
      <c r="B1031" s="242">
        <v>6400</v>
      </c>
      <c r="C1031" s="248" t="s">
        <v>221</v>
      </c>
      <c r="D1031" s="244"/>
    </row>
    <row r="1032" spans="1:4" ht="12" hidden="1" customHeight="1" outlineLevel="1" x14ac:dyDescent="0.3">
      <c r="A1032" s="238"/>
      <c r="B1032" s="242">
        <v>6500</v>
      </c>
      <c r="C1032" s="249" t="s">
        <v>222</v>
      </c>
      <c r="D1032" s="244"/>
    </row>
    <row r="1033" spans="1:4" ht="12" hidden="1" customHeight="1" outlineLevel="1" x14ac:dyDescent="0.3">
      <c r="A1033" s="238"/>
      <c r="B1033" s="199">
        <v>7000</v>
      </c>
      <c r="C1033" s="200" t="s">
        <v>223</v>
      </c>
      <c r="D1033" s="260">
        <f>SUM(D1034:D1036)</f>
        <v>0</v>
      </c>
    </row>
    <row r="1034" spans="1:4" ht="12" hidden="1" customHeight="1" outlineLevel="1" x14ac:dyDescent="0.3">
      <c r="A1034" s="238"/>
      <c r="B1034" s="250">
        <v>7200</v>
      </c>
      <c r="C1034" s="251" t="s">
        <v>224</v>
      </c>
      <c r="D1034" s="244"/>
    </row>
    <row r="1035" spans="1:4" ht="12" hidden="1" customHeight="1" outlineLevel="1" x14ac:dyDescent="0.3">
      <c r="A1035" s="238"/>
      <c r="B1035" s="250">
        <v>7500</v>
      </c>
      <c r="C1035" s="251" t="s">
        <v>225</v>
      </c>
      <c r="D1035" s="244"/>
    </row>
    <row r="1036" spans="1:4" ht="12" hidden="1" customHeight="1" outlineLevel="1" x14ac:dyDescent="0.3">
      <c r="A1036" s="238"/>
      <c r="B1036" s="250">
        <v>7700</v>
      </c>
      <c r="C1036" s="251" t="s">
        <v>226</v>
      </c>
      <c r="D1036" s="244"/>
    </row>
    <row r="1037" spans="1:4" ht="12" hidden="1" customHeight="1" outlineLevel="1" x14ac:dyDescent="0.3">
      <c r="A1037" s="238"/>
      <c r="B1037" s="252">
        <v>8000</v>
      </c>
      <c r="C1037" s="253" t="s">
        <v>227</v>
      </c>
      <c r="D1037" s="260">
        <f>SUM(D1038:D1040)</f>
        <v>0</v>
      </c>
    </row>
    <row r="1038" spans="1:4" ht="12" hidden="1" customHeight="1" outlineLevel="1" x14ac:dyDescent="0.3">
      <c r="A1038" s="238"/>
      <c r="B1038" s="254">
        <v>8100</v>
      </c>
      <c r="C1038" s="255" t="s">
        <v>228</v>
      </c>
      <c r="D1038" s="260"/>
    </row>
    <row r="1039" spans="1:4" ht="12" hidden="1" customHeight="1" outlineLevel="1" x14ac:dyDescent="0.3">
      <c r="A1039" s="238"/>
      <c r="B1039" s="254">
        <v>8600</v>
      </c>
      <c r="C1039" s="255" t="s">
        <v>229</v>
      </c>
      <c r="D1039" s="260"/>
    </row>
    <row r="1040" spans="1:4" ht="12" hidden="1" customHeight="1" outlineLevel="1" x14ac:dyDescent="0.3">
      <c r="A1040" s="238"/>
      <c r="B1040" s="254">
        <v>8900</v>
      </c>
      <c r="C1040" s="255" t="s">
        <v>230</v>
      </c>
      <c r="D1040" s="260"/>
    </row>
    <row r="1041" spans="1:4" ht="12" customHeight="1" collapsed="1" x14ac:dyDescent="0.3">
      <c r="A1041" s="256" t="s">
        <v>288</v>
      </c>
      <c r="B1041" s="257"/>
      <c r="C1041" s="258" t="s">
        <v>289</v>
      </c>
      <c r="D1041" s="259">
        <f t="shared" ref="D1041" si="91">D1042+D1058+D1071</f>
        <v>2010919</v>
      </c>
    </row>
    <row r="1042" spans="1:4" ht="12" customHeight="1" x14ac:dyDescent="0.3">
      <c r="A1042" s="227"/>
      <c r="B1042" s="228"/>
      <c r="C1042" s="229" t="s">
        <v>198</v>
      </c>
      <c r="D1042" s="230">
        <f t="shared" ref="D1042" si="92">D1043+D1046+D1052+D1055+D1062+D1067</f>
        <v>1403871</v>
      </c>
    </row>
    <row r="1043" spans="1:4" ht="12" customHeight="1" x14ac:dyDescent="0.3">
      <c r="A1043" s="227"/>
      <c r="B1043" s="231">
        <v>1000</v>
      </c>
      <c r="C1043" s="232" t="s">
        <v>199</v>
      </c>
      <c r="D1043" s="230">
        <f>SUM(D1044:D1045)</f>
        <v>49703</v>
      </c>
    </row>
    <row r="1044" spans="1:4" ht="12" customHeight="1" x14ac:dyDescent="0.3">
      <c r="A1044" s="227"/>
      <c r="B1044" s="234">
        <v>1100</v>
      </c>
      <c r="C1044" s="235" t="s">
        <v>200</v>
      </c>
      <c r="D1044" s="236">
        <f>55706-560-14240</f>
        <v>40906</v>
      </c>
    </row>
    <row r="1045" spans="1:4" ht="12" customHeight="1" x14ac:dyDescent="0.3">
      <c r="A1045" s="227"/>
      <c r="B1045" s="234">
        <v>1200</v>
      </c>
      <c r="C1045" s="237" t="s">
        <v>201</v>
      </c>
      <c r="D1045" s="236">
        <f>14707-5910</f>
        <v>8797</v>
      </c>
    </row>
    <row r="1046" spans="1:4" ht="12" customHeight="1" x14ac:dyDescent="0.3">
      <c r="A1046" s="238"/>
      <c r="B1046" s="239">
        <v>2000</v>
      </c>
      <c r="C1046" s="240" t="s">
        <v>202</v>
      </c>
      <c r="D1046" s="260">
        <f>SUM(D1047:D1051)</f>
        <v>1351519</v>
      </c>
    </row>
    <row r="1047" spans="1:4" ht="12" customHeight="1" x14ac:dyDescent="0.3">
      <c r="A1047" s="238"/>
      <c r="B1047" s="242">
        <v>2100</v>
      </c>
      <c r="C1047" s="243" t="s">
        <v>203</v>
      </c>
      <c r="D1047" s="244">
        <f>7320-200+9001</f>
        <v>16121</v>
      </c>
    </row>
    <row r="1048" spans="1:4" ht="12" customHeight="1" x14ac:dyDescent="0.3">
      <c r="A1048" s="238"/>
      <c r="B1048" s="242">
        <v>2200</v>
      </c>
      <c r="C1048" s="243" t="s">
        <v>204</v>
      </c>
      <c r="D1048" s="244">
        <f>1274245+22530-86068+64952</f>
        <v>1275659</v>
      </c>
    </row>
    <row r="1049" spans="1:4" ht="12" customHeight="1" x14ac:dyDescent="0.3">
      <c r="A1049" s="238"/>
      <c r="B1049" s="242">
        <v>2300</v>
      </c>
      <c r="C1049" s="243" t="s">
        <v>205</v>
      </c>
      <c r="D1049" s="244">
        <f>23235+39443-3091</f>
        <v>59587</v>
      </c>
    </row>
    <row r="1050" spans="1:4" ht="12" customHeight="1" outlineLevel="1" x14ac:dyDescent="0.3">
      <c r="A1050" s="238"/>
      <c r="B1050" s="242">
        <v>2400</v>
      </c>
      <c r="C1050" s="243" t="s">
        <v>206</v>
      </c>
      <c r="D1050" s="244"/>
    </row>
    <row r="1051" spans="1:4" ht="12" customHeight="1" outlineLevel="1" x14ac:dyDescent="0.3">
      <c r="A1051" s="238"/>
      <c r="B1051" s="242">
        <v>2500</v>
      </c>
      <c r="C1051" s="243" t="s">
        <v>207</v>
      </c>
      <c r="D1051" s="244">
        <v>152</v>
      </c>
    </row>
    <row r="1052" spans="1:4" ht="12" customHeight="1" x14ac:dyDescent="0.3">
      <c r="A1052" s="238"/>
      <c r="B1052" s="199">
        <v>3000</v>
      </c>
      <c r="C1052" s="245" t="s">
        <v>208</v>
      </c>
      <c r="D1052" s="260">
        <f>SUM(D1053:D1054)</f>
        <v>1800</v>
      </c>
    </row>
    <row r="1053" spans="1:4" ht="12" customHeight="1" x14ac:dyDescent="0.3">
      <c r="A1053" s="238"/>
      <c r="B1053" s="242">
        <v>3200</v>
      </c>
      <c r="C1053" s="243" t="s">
        <v>209</v>
      </c>
      <c r="D1053" s="244">
        <f>17692+75127-91019</f>
        <v>1800</v>
      </c>
    </row>
    <row r="1054" spans="1:4" ht="12" hidden="1" customHeight="1" outlineLevel="1" x14ac:dyDescent="0.3">
      <c r="A1054" s="238"/>
      <c r="B1054" s="242">
        <v>3300</v>
      </c>
      <c r="C1054" s="243" t="s">
        <v>210</v>
      </c>
      <c r="D1054" s="244"/>
    </row>
    <row r="1055" spans="1:4" ht="12" hidden="1" customHeight="1" outlineLevel="1" x14ac:dyDescent="0.3">
      <c r="A1055" s="238"/>
      <c r="B1055" s="199">
        <v>4000</v>
      </c>
      <c r="C1055" s="246" t="s">
        <v>211</v>
      </c>
      <c r="D1055" s="260">
        <f>SUM(D1056:D1057)</f>
        <v>0</v>
      </c>
    </row>
    <row r="1056" spans="1:4" ht="12" hidden="1" customHeight="1" outlineLevel="1" x14ac:dyDescent="0.3">
      <c r="A1056" s="238"/>
      <c r="B1056" s="242">
        <v>4200</v>
      </c>
      <c r="C1056" s="247" t="s">
        <v>212</v>
      </c>
      <c r="D1056" s="244"/>
    </row>
    <row r="1057" spans="1:4" ht="12" hidden="1" customHeight="1" outlineLevel="1" x14ac:dyDescent="0.3">
      <c r="A1057" s="238"/>
      <c r="B1057" s="242">
        <v>4300</v>
      </c>
      <c r="C1057" s="247" t="s">
        <v>213</v>
      </c>
      <c r="D1057" s="244"/>
    </row>
    <row r="1058" spans="1:4" ht="12" customHeight="1" collapsed="1" x14ac:dyDescent="0.3">
      <c r="A1058" s="238"/>
      <c r="B1058" s="199">
        <v>5000</v>
      </c>
      <c r="C1058" s="200" t="s">
        <v>214</v>
      </c>
      <c r="D1058" s="260">
        <f>SUM(D1059:D1061)</f>
        <v>607048</v>
      </c>
    </row>
    <row r="1059" spans="1:4" ht="12" customHeight="1" x14ac:dyDescent="0.3">
      <c r="A1059" s="238"/>
      <c r="B1059" s="242">
        <v>5100</v>
      </c>
      <c r="C1059" s="248" t="s">
        <v>215</v>
      </c>
      <c r="D1059" s="244">
        <v>11743</v>
      </c>
    </row>
    <row r="1060" spans="1:4" ht="12" customHeight="1" x14ac:dyDescent="0.3">
      <c r="A1060" s="238"/>
      <c r="B1060" s="242">
        <v>5200</v>
      </c>
      <c r="C1060" s="248" t="s">
        <v>216</v>
      </c>
      <c r="D1060" s="244">
        <f>583449-3150+15006</f>
        <v>595305</v>
      </c>
    </row>
    <row r="1061" spans="1:4" ht="12" hidden="1" customHeight="1" outlineLevel="1" x14ac:dyDescent="0.3">
      <c r="A1061" s="238"/>
      <c r="B1061" s="242">
        <v>5300</v>
      </c>
      <c r="C1061" s="249" t="s">
        <v>217</v>
      </c>
      <c r="D1061" s="260"/>
    </row>
    <row r="1062" spans="1:4" ht="12" customHeight="1" collapsed="1" x14ac:dyDescent="0.3">
      <c r="A1062" s="238"/>
      <c r="B1062" s="199">
        <v>6000</v>
      </c>
      <c r="C1062" s="200" t="s">
        <v>218</v>
      </c>
      <c r="D1062" s="260">
        <f>SUM(D1063:D1066)</f>
        <v>849</v>
      </c>
    </row>
    <row r="1063" spans="1:4" ht="12" hidden="1" customHeight="1" outlineLevel="1" x14ac:dyDescent="0.3">
      <c r="A1063" s="238"/>
      <c r="B1063" s="242">
        <v>6200</v>
      </c>
      <c r="C1063" s="248" t="s">
        <v>219</v>
      </c>
      <c r="D1063" s="244"/>
    </row>
    <row r="1064" spans="1:4" ht="12" hidden="1" customHeight="1" outlineLevel="1" x14ac:dyDescent="0.3">
      <c r="A1064" s="238"/>
      <c r="B1064" s="242">
        <v>6300</v>
      </c>
      <c r="C1064" s="248" t="s">
        <v>220</v>
      </c>
      <c r="D1064" s="244"/>
    </row>
    <row r="1065" spans="1:4" ht="12" hidden="1" customHeight="1" outlineLevel="1" x14ac:dyDescent="0.3">
      <c r="A1065" s="238"/>
      <c r="B1065" s="242">
        <v>6400</v>
      </c>
      <c r="C1065" s="248" t="s">
        <v>221</v>
      </c>
      <c r="D1065" s="244"/>
    </row>
    <row r="1066" spans="1:4" ht="12" customHeight="1" collapsed="1" x14ac:dyDescent="0.3">
      <c r="A1066" s="238"/>
      <c r="B1066" s="242">
        <v>6500</v>
      </c>
      <c r="C1066" s="249" t="s">
        <v>222</v>
      </c>
      <c r="D1066" s="244">
        <v>849</v>
      </c>
    </row>
    <row r="1067" spans="1:4" ht="12" customHeight="1" x14ac:dyDescent="0.3">
      <c r="A1067" s="238"/>
      <c r="B1067" s="199">
        <v>7000</v>
      </c>
      <c r="C1067" s="200" t="s">
        <v>223</v>
      </c>
      <c r="D1067" s="260">
        <f>SUM(D1068:D1070)</f>
        <v>0</v>
      </c>
    </row>
    <row r="1068" spans="1:4" ht="12" hidden="1" customHeight="1" outlineLevel="1" x14ac:dyDescent="0.3">
      <c r="A1068" s="238"/>
      <c r="B1068" s="250">
        <v>7200</v>
      </c>
      <c r="C1068" s="251" t="s">
        <v>224</v>
      </c>
      <c r="D1068" s="244"/>
    </row>
    <row r="1069" spans="1:4" ht="12" hidden="1" customHeight="1" outlineLevel="1" x14ac:dyDescent="0.3">
      <c r="A1069" s="238"/>
      <c r="B1069" s="250">
        <v>7500</v>
      </c>
      <c r="C1069" s="251" t="s">
        <v>225</v>
      </c>
      <c r="D1069" s="244"/>
    </row>
    <row r="1070" spans="1:4" ht="12" customHeight="1" collapsed="1" x14ac:dyDescent="0.3">
      <c r="A1070" s="238"/>
      <c r="B1070" s="250">
        <v>7700</v>
      </c>
      <c r="C1070" s="251" t="s">
        <v>226</v>
      </c>
      <c r="D1070" s="244">
        <f>766699-75127-691572</f>
        <v>0</v>
      </c>
    </row>
    <row r="1071" spans="1:4" ht="12" hidden="1" customHeight="1" outlineLevel="1" x14ac:dyDescent="0.3">
      <c r="A1071" s="238"/>
      <c r="B1071" s="252">
        <v>8000</v>
      </c>
      <c r="C1071" s="253" t="s">
        <v>227</v>
      </c>
      <c r="D1071" s="260">
        <f>SUM(D1072:D1074)</f>
        <v>0</v>
      </c>
    </row>
    <row r="1072" spans="1:4" ht="12" hidden="1" customHeight="1" outlineLevel="1" x14ac:dyDescent="0.3">
      <c r="A1072" s="238"/>
      <c r="B1072" s="254">
        <v>8100</v>
      </c>
      <c r="C1072" s="255" t="s">
        <v>228</v>
      </c>
      <c r="D1072" s="260"/>
    </row>
    <row r="1073" spans="1:4" ht="12" hidden="1" customHeight="1" outlineLevel="1" x14ac:dyDescent="0.3">
      <c r="A1073" s="238"/>
      <c r="B1073" s="254">
        <v>8600</v>
      </c>
      <c r="C1073" s="255" t="s">
        <v>229</v>
      </c>
      <c r="D1073" s="260"/>
    </row>
    <row r="1074" spans="1:4" ht="12" hidden="1" customHeight="1" outlineLevel="1" x14ac:dyDescent="0.3">
      <c r="A1074" s="238"/>
      <c r="B1074" s="254">
        <v>8900</v>
      </c>
      <c r="C1074" s="255" t="s">
        <v>230</v>
      </c>
      <c r="D1074" s="260"/>
    </row>
    <row r="1075" spans="1:4" ht="12" hidden="1" customHeight="1" outlineLevel="1" x14ac:dyDescent="0.3">
      <c r="A1075" s="256" t="s">
        <v>290</v>
      </c>
      <c r="B1075" s="257"/>
      <c r="C1075" s="258" t="s">
        <v>291</v>
      </c>
      <c r="D1075" s="259">
        <f t="shared" ref="D1075" si="93">D1076+D1092+D1105</f>
        <v>0</v>
      </c>
    </row>
    <row r="1076" spans="1:4" ht="12" hidden="1" customHeight="1" outlineLevel="1" x14ac:dyDescent="0.3">
      <c r="A1076" s="227"/>
      <c r="B1076" s="228"/>
      <c r="C1076" s="229" t="s">
        <v>198</v>
      </c>
      <c r="D1076" s="230">
        <f t="shared" ref="D1076" si="94">D1077+D1080+D1086+D1089+D1096+D1101</f>
        <v>0</v>
      </c>
    </row>
    <row r="1077" spans="1:4" ht="12" hidden="1" customHeight="1" outlineLevel="1" x14ac:dyDescent="0.3">
      <c r="A1077" s="227"/>
      <c r="B1077" s="231">
        <v>1000</v>
      </c>
      <c r="C1077" s="232" t="s">
        <v>199</v>
      </c>
      <c r="D1077" s="230">
        <f>SUM(D1078:D1079)</f>
        <v>0</v>
      </c>
    </row>
    <row r="1078" spans="1:4" ht="12" hidden="1" customHeight="1" outlineLevel="1" x14ac:dyDescent="0.3">
      <c r="A1078" s="227"/>
      <c r="B1078" s="234">
        <v>1100</v>
      </c>
      <c r="C1078" s="235" t="s">
        <v>200</v>
      </c>
      <c r="D1078" s="236"/>
    </row>
    <row r="1079" spans="1:4" ht="12" hidden="1" customHeight="1" outlineLevel="1" x14ac:dyDescent="0.3">
      <c r="A1079" s="227"/>
      <c r="B1079" s="234">
        <v>1200</v>
      </c>
      <c r="C1079" s="237" t="s">
        <v>201</v>
      </c>
      <c r="D1079" s="236"/>
    </row>
    <row r="1080" spans="1:4" ht="12" hidden="1" customHeight="1" outlineLevel="1" x14ac:dyDescent="0.3">
      <c r="A1080" s="238"/>
      <c r="B1080" s="239">
        <v>2000</v>
      </c>
      <c r="C1080" s="240" t="s">
        <v>202</v>
      </c>
      <c r="D1080" s="260">
        <f>SUM(D1081:D1085)</f>
        <v>0</v>
      </c>
    </row>
    <row r="1081" spans="1:4" ht="12" hidden="1" customHeight="1" outlineLevel="1" x14ac:dyDescent="0.3">
      <c r="A1081" s="238"/>
      <c r="B1081" s="242">
        <v>2100</v>
      </c>
      <c r="C1081" s="243" t="s">
        <v>203</v>
      </c>
      <c r="D1081" s="244"/>
    </row>
    <row r="1082" spans="1:4" ht="12" hidden="1" customHeight="1" outlineLevel="1" x14ac:dyDescent="0.3">
      <c r="A1082" s="238"/>
      <c r="B1082" s="242">
        <v>2200</v>
      </c>
      <c r="C1082" s="243" t="s">
        <v>204</v>
      </c>
      <c r="D1082" s="244"/>
    </row>
    <row r="1083" spans="1:4" ht="12" hidden="1" customHeight="1" outlineLevel="1" x14ac:dyDescent="0.3">
      <c r="A1083" s="238"/>
      <c r="B1083" s="242">
        <v>2300</v>
      </c>
      <c r="C1083" s="243" t="s">
        <v>205</v>
      </c>
      <c r="D1083" s="244"/>
    </row>
    <row r="1084" spans="1:4" ht="12" hidden="1" customHeight="1" outlineLevel="1" x14ac:dyDescent="0.3">
      <c r="A1084" s="238"/>
      <c r="B1084" s="242">
        <v>2400</v>
      </c>
      <c r="C1084" s="243" t="s">
        <v>206</v>
      </c>
      <c r="D1084" s="244"/>
    </row>
    <row r="1085" spans="1:4" ht="12" hidden="1" customHeight="1" outlineLevel="1" x14ac:dyDescent="0.3">
      <c r="A1085" s="238"/>
      <c r="B1085" s="242">
        <v>2500</v>
      </c>
      <c r="C1085" s="243" t="s">
        <v>207</v>
      </c>
      <c r="D1085" s="244"/>
    </row>
    <row r="1086" spans="1:4" ht="12" hidden="1" customHeight="1" outlineLevel="1" x14ac:dyDescent="0.3">
      <c r="A1086" s="238"/>
      <c r="B1086" s="199">
        <v>3000</v>
      </c>
      <c r="C1086" s="245" t="s">
        <v>208</v>
      </c>
      <c r="D1086" s="260">
        <f>SUM(D1087:D1088)</f>
        <v>0</v>
      </c>
    </row>
    <row r="1087" spans="1:4" ht="12" hidden="1" customHeight="1" outlineLevel="1" x14ac:dyDescent="0.3">
      <c r="A1087" s="238"/>
      <c r="B1087" s="242">
        <v>3200</v>
      </c>
      <c r="C1087" s="243" t="s">
        <v>209</v>
      </c>
      <c r="D1087" s="244"/>
    </row>
    <row r="1088" spans="1:4" ht="12" hidden="1" customHeight="1" outlineLevel="1" x14ac:dyDescent="0.3">
      <c r="A1088" s="238"/>
      <c r="B1088" s="242">
        <v>3300</v>
      </c>
      <c r="C1088" s="243" t="s">
        <v>210</v>
      </c>
      <c r="D1088" s="244"/>
    </row>
    <row r="1089" spans="1:4" ht="12" hidden="1" customHeight="1" outlineLevel="1" x14ac:dyDescent="0.3">
      <c r="A1089" s="238"/>
      <c r="B1089" s="199">
        <v>4000</v>
      </c>
      <c r="C1089" s="246" t="s">
        <v>211</v>
      </c>
      <c r="D1089" s="260">
        <f>SUM(D1090:D1091)</f>
        <v>0</v>
      </c>
    </row>
    <row r="1090" spans="1:4" ht="12" hidden="1" customHeight="1" outlineLevel="1" x14ac:dyDescent="0.3">
      <c r="A1090" s="238"/>
      <c r="B1090" s="242">
        <v>4200</v>
      </c>
      <c r="C1090" s="247" t="s">
        <v>212</v>
      </c>
      <c r="D1090" s="244"/>
    </row>
    <row r="1091" spans="1:4" ht="12" hidden="1" customHeight="1" outlineLevel="1" x14ac:dyDescent="0.3">
      <c r="A1091" s="238"/>
      <c r="B1091" s="242">
        <v>4300</v>
      </c>
      <c r="C1091" s="247" t="s">
        <v>213</v>
      </c>
      <c r="D1091" s="244"/>
    </row>
    <row r="1092" spans="1:4" ht="12" hidden="1" customHeight="1" outlineLevel="1" x14ac:dyDescent="0.3">
      <c r="A1092" s="238"/>
      <c r="B1092" s="199">
        <v>5000</v>
      </c>
      <c r="C1092" s="200" t="s">
        <v>214</v>
      </c>
      <c r="D1092" s="260">
        <f>SUM(D1093:D1095)</f>
        <v>0</v>
      </c>
    </row>
    <row r="1093" spans="1:4" ht="12" hidden="1" customHeight="1" outlineLevel="1" x14ac:dyDescent="0.3">
      <c r="A1093" s="238"/>
      <c r="B1093" s="242">
        <v>5100</v>
      </c>
      <c r="C1093" s="248" t="s">
        <v>215</v>
      </c>
      <c r="D1093" s="260"/>
    </row>
    <row r="1094" spans="1:4" ht="12" hidden="1" customHeight="1" outlineLevel="1" x14ac:dyDescent="0.3">
      <c r="A1094" s="238"/>
      <c r="B1094" s="242">
        <v>5200</v>
      </c>
      <c r="C1094" s="248" t="s">
        <v>216</v>
      </c>
      <c r="D1094" s="260"/>
    </row>
    <row r="1095" spans="1:4" ht="12" hidden="1" customHeight="1" outlineLevel="1" x14ac:dyDescent="0.3">
      <c r="A1095" s="238"/>
      <c r="B1095" s="242">
        <v>5300</v>
      </c>
      <c r="C1095" s="249" t="s">
        <v>217</v>
      </c>
      <c r="D1095" s="260"/>
    </row>
    <row r="1096" spans="1:4" ht="12" hidden="1" customHeight="1" outlineLevel="1" x14ac:dyDescent="0.3">
      <c r="A1096" s="238"/>
      <c r="B1096" s="199">
        <v>6000</v>
      </c>
      <c r="C1096" s="200" t="s">
        <v>218</v>
      </c>
      <c r="D1096" s="260">
        <f>SUM(D1097:D1100)</f>
        <v>0</v>
      </c>
    </row>
    <row r="1097" spans="1:4" ht="12" hidden="1" customHeight="1" outlineLevel="1" x14ac:dyDescent="0.3">
      <c r="A1097" s="238"/>
      <c r="B1097" s="242">
        <v>6200</v>
      </c>
      <c r="C1097" s="248" t="s">
        <v>219</v>
      </c>
      <c r="D1097" s="244"/>
    </row>
    <row r="1098" spans="1:4" ht="12" hidden="1" customHeight="1" outlineLevel="1" x14ac:dyDescent="0.3">
      <c r="A1098" s="238"/>
      <c r="B1098" s="242">
        <v>6300</v>
      </c>
      <c r="C1098" s="248" t="s">
        <v>220</v>
      </c>
      <c r="D1098" s="244"/>
    </row>
    <row r="1099" spans="1:4" ht="12" hidden="1" customHeight="1" outlineLevel="1" x14ac:dyDescent="0.3">
      <c r="A1099" s="238"/>
      <c r="B1099" s="242">
        <v>6400</v>
      </c>
      <c r="C1099" s="248" t="s">
        <v>221</v>
      </c>
      <c r="D1099" s="244"/>
    </row>
    <row r="1100" spans="1:4" ht="12" hidden="1" customHeight="1" outlineLevel="1" x14ac:dyDescent="0.3">
      <c r="A1100" s="238"/>
      <c r="B1100" s="242">
        <v>6500</v>
      </c>
      <c r="C1100" s="249" t="s">
        <v>222</v>
      </c>
      <c r="D1100" s="244"/>
    </row>
    <row r="1101" spans="1:4" ht="12" hidden="1" customHeight="1" outlineLevel="1" x14ac:dyDescent="0.3">
      <c r="A1101" s="238"/>
      <c r="B1101" s="199">
        <v>7000</v>
      </c>
      <c r="C1101" s="200" t="s">
        <v>223</v>
      </c>
      <c r="D1101" s="260">
        <f>SUM(D1102:D1104)</f>
        <v>0</v>
      </c>
    </row>
    <row r="1102" spans="1:4" ht="12" hidden="1" customHeight="1" outlineLevel="1" x14ac:dyDescent="0.3">
      <c r="A1102" s="238"/>
      <c r="B1102" s="250">
        <v>7200</v>
      </c>
      <c r="C1102" s="251" t="s">
        <v>224</v>
      </c>
      <c r="D1102" s="244"/>
    </row>
    <row r="1103" spans="1:4" ht="12" hidden="1" customHeight="1" outlineLevel="1" x14ac:dyDescent="0.3">
      <c r="A1103" s="238"/>
      <c r="B1103" s="250">
        <v>7500</v>
      </c>
      <c r="C1103" s="251" t="s">
        <v>225</v>
      </c>
      <c r="D1103" s="244"/>
    </row>
    <row r="1104" spans="1:4" ht="12" hidden="1" customHeight="1" outlineLevel="1" x14ac:dyDescent="0.3">
      <c r="A1104" s="238"/>
      <c r="B1104" s="250">
        <v>7700</v>
      </c>
      <c r="C1104" s="251" t="s">
        <v>226</v>
      </c>
      <c r="D1104" s="244"/>
    </row>
    <row r="1105" spans="1:4" ht="12" hidden="1" customHeight="1" outlineLevel="1" x14ac:dyDescent="0.3">
      <c r="A1105" s="238"/>
      <c r="B1105" s="252">
        <v>8000</v>
      </c>
      <c r="C1105" s="253" t="s">
        <v>227</v>
      </c>
      <c r="D1105" s="260">
        <f>SUM(D1106:D1108)</f>
        <v>0</v>
      </c>
    </row>
    <row r="1106" spans="1:4" ht="12" hidden="1" customHeight="1" outlineLevel="1" x14ac:dyDescent="0.3">
      <c r="A1106" s="238"/>
      <c r="B1106" s="254">
        <v>8100</v>
      </c>
      <c r="C1106" s="255" t="s">
        <v>228</v>
      </c>
      <c r="D1106" s="260"/>
    </row>
    <row r="1107" spans="1:4" ht="12" hidden="1" customHeight="1" outlineLevel="1" x14ac:dyDescent="0.3">
      <c r="A1107" s="238"/>
      <c r="B1107" s="254">
        <v>8600</v>
      </c>
      <c r="C1107" s="255" t="s">
        <v>229</v>
      </c>
      <c r="D1107" s="260"/>
    </row>
    <row r="1108" spans="1:4" ht="12" hidden="1" customHeight="1" outlineLevel="1" x14ac:dyDescent="0.3">
      <c r="A1108" s="238"/>
      <c r="B1108" s="254">
        <v>8900</v>
      </c>
      <c r="C1108" s="255" t="s">
        <v>230</v>
      </c>
      <c r="D1108" s="260"/>
    </row>
    <row r="1109" spans="1:4" ht="12" hidden="1" customHeight="1" outlineLevel="1" x14ac:dyDescent="0.3">
      <c r="A1109" s="256" t="s">
        <v>292</v>
      </c>
      <c r="B1109" s="257"/>
      <c r="C1109" s="258" t="s">
        <v>293</v>
      </c>
      <c r="D1109" s="259">
        <f t="shared" ref="D1109" si="95">D1110+D1126+D1139</f>
        <v>0</v>
      </c>
    </row>
    <row r="1110" spans="1:4" ht="12" hidden="1" customHeight="1" outlineLevel="1" x14ac:dyDescent="0.3">
      <c r="A1110" s="227"/>
      <c r="B1110" s="228"/>
      <c r="C1110" s="229" t="s">
        <v>198</v>
      </c>
      <c r="D1110" s="230">
        <f t="shared" ref="D1110" si="96">D1111+D1114+D1120+D1123+D1130+D1135</f>
        <v>0</v>
      </c>
    </row>
    <row r="1111" spans="1:4" ht="12" hidden="1" customHeight="1" outlineLevel="1" x14ac:dyDescent="0.3">
      <c r="A1111" s="227"/>
      <c r="B1111" s="231">
        <v>1000</v>
      </c>
      <c r="C1111" s="232" t="s">
        <v>199</v>
      </c>
      <c r="D1111" s="230">
        <f>SUM(D1112:D1113)</f>
        <v>0</v>
      </c>
    </row>
    <row r="1112" spans="1:4" ht="12" hidden="1" customHeight="1" outlineLevel="1" x14ac:dyDescent="0.3">
      <c r="A1112" s="227"/>
      <c r="B1112" s="234">
        <v>1100</v>
      </c>
      <c r="C1112" s="235" t="s">
        <v>200</v>
      </c>
      <c r="D1112" s="236"/>
    </row>
    <row r="1113" spans="1:4" ht="12" hidden="1" customHeight="1" outlineLevel="1" x14ac:dyDescent="0.3">
      <c r="A1113" s="227"/>
      <c r="B1113" s="234">
        <v>1200</v>
      </c>
      <c r="C1113" s="237" t="s">
        <v>201</v>
      </c>
      <c r="D1113" s="236"/>
    </row>
    <row r="1114" spans="1:4" ht="12" hidden="1" customHeight="1" outlineLevel="1" x14ac:dyDescent="0.3">
      <c r="A1114" s="238"/>
      <c r="B1114" s="239">
        <v>2000</v>
      </c>
      <c r="C1114" s="240" t="s">
        <v>202</v>
      </c>
      <c r="D1114" s="260">
        <f>SUM(D1115:D1119)</f>
        <v>0</v>
      </c>
    </row>
    <row r="1115" spans="1:4" ht="12" hidden="1" customHeight="1" outlineLevel="1" x14ac:dyDescent="0.3">
      <c r="A1115" s="238"/>
      <c r="B1115" s="242">
        <v>2100</v>
      </c>
      <c r="C1115" s="243" t="s">
        <v>203</v>
      </c>
      <c r="D1115" s="244"/>
    </row>
    <row r="1116" spans="1:4" ht="12" hidden="1" customHeight="1" outlineLevel="1" x14ac:dyDescent="0.3">
      <c r="A1116" s="238"/>
      <c r="B1116" s="242">
        <v>2200</v>
      </c>
      <c r="C1116" s="243" t="s">
        <v>204</v>
      </c>
      <c r="D1116" s="244"/>
    </row>
    <row r="1117" spans="1:4" ht="12" hidden="1" customHeight="1" outlineLevel="1" x14ac:dyDescent="0.3">
      <c r="A1117" s="238"/>
      <c r="B1117" s="242">
        <v>2300</v>
      </c>
      <c r="C1117" s="243" t="s">
        <v>205</v>
      </c>
      <c r="D1117" s="244"/>
    </row>
    <row r="1118" spans="1:4" ht="12" hidden="1" customHeight="1" outlineLevel="1" x14ac:dyDescent="0.3">
      <c r="A1118" s="238"/>
      <c r="B1118" s="242">
        <v>2400</v>
      </c>
      <c r="C1118" s="243" t="s">
        <v>206</v>
      </c>
      <c r="D1118" s="244"/>
    </row>
    <row r="1119" spans="1:4" ht="12" hidden="1" customHeight="1" outlineLevel="1" x14ac:dyDescent="0.3">
      <c r="A1119" s="238"/>
      <c r="B1119" s="242">
        <v>2500</v>
      </c>
      <c r="C1119" s="243" t="s">
        <v>207</v>
      </c>
      <c r="D1119" s="244"/>
    </row>
    <row r="1120" spans="1:4" ht="12" hidden="1" customHeight="1" outlineLevel="1" x14ac:dyDescent="0.3">
      <c r="A1120" s="238"/>
      <c r="B1120" s="199">
        <v>3000</v>
      </c>
      <c r="C1120" s="245" t="s">
        <v>208</v>
      </c>
      <c r="D1120" s="260">
        <f>SUM(D1121:D1122)</f>
        <v>0</v>
      </c>
    </row>
    <row r="1121" spans="1:4" ht="12" hidden="1" customHeight="1" outlineLevel="1" x14ac:dyDescent="0.3">
      <c r="A1121" s="238"/>
      <c r="B1121" s="242">
        <v>3200</v>
      </c>
      <c r="C1121" s="243" t="s">
        <v>209</v>
      </c>
      <c r="D1121" s="244"/>
    </row>
    <row r="1122" spans="1:4" ht="12" hidden="1" customHeight="1" outlineLevel="1" x14ac:dyDescent="0.3">
      <c r="A1122" s="238"/>
      <c r="B1122" s="242">
        <v>3300</v>
      </c>
      <c r="C1122" s="243" t="s">
        <v>210</v>
      </c>
      <c r="D1122" s="244"/>
    </row>
    <row r="1123" spans="1:4" ht="12" hidden="1" customHeight="1" outlineLevel="1" x14ac:dyDescent="0.3">
      <c r="A1123" s="238"/>
      <c r="B1123" s="199">
        <v>4000</v>
      </c>
      <c r="C1123" s="246" t="s">
        <v>211</v>
      </c>
      <c r="D1123" s="260">
        <f>SUM(D1124:D1125)</f>
        <v>0</v>
      </c>
    </row>
    <row r="1124" spans="1:4" ht="12" hidden="1" customHeight="1" outlineLevel="1" x14ac:dyDescent="0.3">
      <c r="A1124" s="238"/>
      <c r="B1124" s="242">
        <v>4200</v>
      </c>
      <c r="C1124" s="247" t="s">
        <v>212</v>
      </c>
      <c r="D1124" s="244"/>
    </row>
    <row r="1125" spans="1:4" ht="12" hidden="1" customHeight="1" outlineLevel="1" x14ac:dyDescent="0.3">
      <c r="A1125" s="238"/>
      <c r="B1125" s="242">
        <v>4300</v>
      </c>
      <c r="C1125" s="247" t="s">
        <v>213</v>
      </c>
      <c r="D1125" s="244"/>
    </row>
    <row r="1126" spans="1:4" ht="12" hidden="1" customHeight="1" outlineLevel="1" x14ac:dyDescent="0.3">
      <c r="A1126" s="238"/>
      <c r="B1126" s="199">
        <v>5000</v>
      </c>
      <c r="C1126" s="200" t="s">
        <v>214</v>
      </c>
      <c r="D1126" s="260">
        <f>SUM(D1127:D1129)</f>
        <v>0</v>
      </c>
    </row>
    <row r="1127" spans="1:4" ht="12" hidden="1" customHeight="1" outlineLevel="1" x14ac:dyDescent="0.3">
      <c r="A1127" s="238"/>
      <c r="B1127" s="242">
        <v>5100</v>
      </c>
      <c r="C1127" s="248" t="s">
        <v>215</v>
      </c>
      <c r="D1127" s="260"/>
    </row>
    <row r="1128" spans="1:4" ht="12" hidden="1" customHeight="1" outlineLevel="1" x14ac:dyDescent="0.3">
      <c r="A1128" s="238"/>
      <c r="B1128" s="242">
        <v>5200</v>
      </c>
      <c r="C1128" s="248" t="s">
        <v>216</v>
      </c>
      <c r="D1128" s="260"/>
    </row>
    <row r="1129" spans="1:4" ht="12" hidden="1" customHeight="1" outlineLevel="1" x14ac:dyDescent="0.3">
      <c r="A1129" s="238"/>
      <c r="B1129" s="242">
        <v>5300</v>
      </c>
      <c r="C1129" s="249" t="s">
        <v>217</v>
      </c>
      <c r="D1129" s="260"/>
    </row>
    <row r="1130" spans="1:4" ht="12" hidden="1" customHeight="1" outlineLevel="1" x14ac:dyDescent="0.3">
      <c r="A1130" s="238"/>
      <c r="B1130" s="199">
        <v>6000</v>
      </c>
      <c r="C1130" s="200" t="s">
        <v>218</v>
      </c>
      <c r="D1130" s="260">
        <f>SUM(D1131:D1134)</f>
        <v>0</v>
      </c>
    </row>
    <row r="1131" spans="1:4" ht="12" hidden="1" customHeight="1" outlineLevel="1" x14ac:dyDescent="0.3">
      <c r="A1131" s="238"/>
      <c r="B1131" s="242">
        <v>6200</v>
      </c>
      <c r="C1131" s="248" t="s">
        <v>219</v>
      </c>
      <c r="D1131" s="244"/>
    </row>
    <row r="1132" spans="1:4" ht="12" hidden="1" customHeight="1" outlineLevel="1" x14ac:dyDescent="0.3">
      <c r="A1132" s="238"/>
      <c r="B1132" s="242">
        <v>6300</v>
      </c>
      <c r="C1132" s="248" t="s">
        <v>220</v>
      </c>
      <c r="D1132" s="244"/>
    </row>
    <row r="1133" spans="1:4" ht="12" hidden="1" customHeight="1" outlineLevel="1" x14ac:dyDescent="0.3">
      <c r="A1133" s="238"/>
      <c r="B1133" s="242">
        <v>6400</v>
      </c>
      <c r="C1133" s="248" t="s">
        <v>221</v>
      </c>
      <c r="D1133" s="244"/>
    </row>
    <row r="1134" spans="1:4" ht="12" hidden="1" customHeight="1" outlineLevel="1" x14ac:dyDescent="0.3">
      <c r="A1134" s="238"/>
      <c r="B1134" s="242">
        <v>6500</v>
      </c>
      <c r="C1134" s="249" t="s">
        <v>222</v>
      </c>
      <c r="D1134" s="244"/>
    </row>
    <row r="1135" spans="1:4" ht="12" hidden="1" customHeight="1" outlineLevel="1" x14ac:dyDescent="0.3">
      <c r="A1135" s="238"/>
      <c r="B1135" s="199">
        <v>7000</v>
      </c>
      <c r="C1135" s="200" t="s">
        <v>223</v>
      </c>
      <c r="D1135" s="260">
        <f>SUM(D1136:D1138)</f>
        <v>0</v>
      </c>
    </row>
    <row r="1136" spans="1:4" ht="12" hidden="1" customHeight="1" outlineLevel="1" x14ac:dyDescent="0.3">
      <c r="A1136" s="238"/>
      <c r="B1136" s="250">
        <v>7200</v>
      </c>
      <c r="C1136" s="251" t="s">
        <v>224</v>
      </c>
      <c r="D1136" s="244"/>
    </row>
    <row r="1137" spans="1:4" ht="12" hidden="1" customHeight="1" outlineLevel="1" x14ac:dyDescent="0.3">
      <c r="A1137" s="238"/>
      <c r="B1137" s="250">
        <v>7500</v>
      </c>
      <c r="C1137" s="251" t="s">
        <v>225</v>
      </c>
      <c r="D1137" s="244"/>
    </row>
    <row r="1138" spans="1:4" ht="12" hidden="1" customHeight="1" outlineLevel="1" x14ac:dyDescent="0.3">
      <c r="A1138" s="238"/>
      <c r="B1138" s="250">
        <v>7700</v>
      </c>
      <c r="C1138" s="251" t="s">
        <v>226</v>
      </c>
      <c r="D1138" s="244"/>
    </row>
    <row r="1139" spans="1:4" ht="12" hidden="1" customHeight="1" outlineLevel="1" x14ac:dyDescent="0.3">
      <c r="A1139" s="238"/>
      <c r="B1139" s="252">
        <v>8000</v>
      </c>
      <c r="C1139" s="253" t="s">
        <v>227</v>
      </c>
      <c r="D1139" s="260">
        <f>SUM(D1140:D1142)</f>
        <v>0</v>
      </c>
    </row>
    <row r="1140" spans="1:4" ht="12" hidden="1" customHeight="1" outlineLevel="1" x14ac:dyDescent="0.3">
      <c r="A1140" s="238"/>
      <c r="B1140" s="254">
        <v>8100</v>
      </c>
      <c r="C1140" s="255" t="s">
        <v>228</v>
      </c>
      <c r="D1140" s="260"/>
    </row>
    <row r="1141" spans="1:4" ht="12" hidden="1" customHeight="1" outlineLevel="1" x14ac:dyDescent="0.3">
      <c r="A1141" s="238"/>
      <c r="B1141" s="254">
        <v>8600</v>
      </c>
      <c r="C1141" s="255" t="s">
        <v>229</v>
      </c>
      <c r="D1141" s="260"/>
    </row>
    <row r="1142" spans="1:4" ht="12" hidden="1" customHeight="1" outlineLevel="1" x14ac:dyDescent="0.3">
      <c r="A1142" s="238"/>
      <c r="B1142" s="254">
        <v>8900</v>
      </c>
      <c r="C1142" s="255" t="s">
        <v>230</v>
      </c>
      <c r="D1142" s="260"/>
    </row>
    <row r="1143" spans="1:4" ht="17.100000000000001" customHeight="1" collapsed="1" x14ac:dyDescent="0.3">
      <c r="A1143" s="278" t="s">
        <v>294</v>
      </c>
      <c r="B1143" s="279"/>
      <c r="C1143" s="280" t="s">
        <v>295</v>
      </c>
      <c r="D1143" s="226">
        <f t="shared" ref="D1143" si="97">D1144+D1160+D1173</f>
        <v>22437764</v>
      </c>
    </row>
    <row r="1144" spans="1:4" ht="12" customHeight="1" x14ac:dyDescent="0.3">
      <c r="A1144" s="227"/>
      <c r="B1144" s="228"/>
      <c r="C1144" s="229" t="s">
        <v>198</v>
      </c>
      <c r="D1144" s="230">
        <f t="shared" ref="D1144" si="98">D1145+D1148+D1154+D1157+D1164+D1169</f>
        <v>11474009</v>
      </c>
    </row>
    <row r="1145" spans="1:4" ht="12" customHeight="1" x14ac:dyDescent="0.3">
      <c r="A1145" s="227"/>
      <c r="B1145" s="231">
        <v>1000</v>
      </c>
      <c r="C1145" s="232" t="s">
        <v>199</v>
      </c>
      <c r="D1145" s="233">
        <f>D1179+D1213+D1247+D1281+D1315</f>
        <v>4672959</v>
      </c>
    </row>
    <row r="1146" spans="1:4" ht="12" customHeight="1" x14ac:dyDescent="0.3">
      <c r="A1146" s="227"/>
      <c r="B1146" s="234">
        <v>1100</v>
      </c>
      <c r="C1146" s="235" t="s">
        <v>200</v>
      </c>
      <c r="D1146" s="236">
        <f t="shared" ref="D1146:D1147" si="99">D1180+D1214+D1248+D1282+D1316</f>
        <v>3569427</v>
      </c>
    </row>
    <row r="1147" spans="1:4" ht="12" customHeight="1" x14ac:dyDescent="0.3">
      <c r="A1147" s="227"/>
      <c r="B1147" s="234">
        <v>1200</v>
      </c>
      <c r="C1147" s="237" t="s">
        <v>201</v>
      </c>
      <c r="D1147" s="236">
        <f t="shared" si="99"/>
        <v>1103532</v>
      </c>
    </row>
    <row r="1148" spans="1:4" ht="12" customHeight="1" x14ac:dyDescent="0.3">
      <c r="A1148" s="238"/>
      <c r="B1148" s="239">
        <v>2000</v>
      </c>
      <c r="C1148" s="240" t="s">
        <v>202</v>
      </c>
      <c r="D1148" s="241">
        <f>D1182+D1216+D1250+D1284+D1318</f>
        <v>5933681</v>
      </c>
    </row>
    <row r="1149" spans="1:4" ht="12" customHeight="1" x14ac:dyDescent="0.3">
      <c r="A1149" s="238"/>
      <c r="B1149" s="242">
        <v>2100</v>
      </c>
      <c r="C1149" s="243" t="s">
        <v>203</v>
      </c>
      <c r="D1149" s="244">
        <f t="shared" ref="D1149:D1153" si="100">D1183+D1217+D1251+D1285+D1319</f>
        <v>29347</v>
      </c>
    </row>
    <row r="1150" spans="1:4" ht="12" customHeight="1" x14ac:dyDescent="0.3">
      <c r="A1150" s="238"/>
      <c r="B1150" s="242">
        <v>2200</v>
      </c>
      <c r="C1150" s="243" t="s">
        <v>204</v>
      </c>
      <c r="D1150" s="244">
        <f t="shared" si="100"/>
        <v>5023752</v>
      </c>
    </row>
    <row r="1151" spans="1:4" ht="12" customHeight="1" x14ac:dyDescent="0.3">
      <c r="A1151" s="238"/>
      <c r="B1151" s="242">
        <v>2300</v>
      </c>
      <c r="C1151" s="243" t="s">
        <v>205</v>
      </c>
      <c r="D1151" s="244">
        <f t="shared" si="100"/>
        <v>668743</v>
      </c>
    </row>
    <row r="1152" spans="1:4" ht="12" hidden="1" customHeight="1" outlineLevel="1" x14ac:dyDescent="0.3">
      <c r="A1152" s="238"/>
      <c r="B1152" s="242">
        <v>2400</v>
      </c>
      <c r="C1152" s="243" t="s">
        <v>206</v>
      </c>
      <c r="D1152" s="244">
        <f t="shared" si="100"/>
        <v>0</v>
      </c>
    </row>
    <row r="1153" spans="1:4" ht="12" customHeight="1" collapsed="1" x14ac:dyDescent="0.3">
      <c r="A1153" s="238"/>
      <c r="B1153" s="242">
        <v>2500</v>
      </c>
      <c r="C1153" s="243" t="s">
        <v>207</v>
      </c>
      <c r="D1153" s="244">
        <f t="shared" si="100"/>
        <v>211839</v>
      </c>
    </row>
    <row r="1154" spans="1:4" ht="12" customHeight="1" x14ac:dyDescent="0.3">
      <c r="A1154" s="238"/>
      <c r="B1154" s="199">
        <v>3000</v>
      </c>
      <c r="C1154" s="245" t="s">
        <v>208</v>
      </c>
      <c r="D1154" s="241">
        <f>D1188+D1222+D1256+D1290+D1324</f>
        <v>711765</v>
      </c>
    </row>
    <row r="1155" spans="1:4" ht="12" customHeight="1" x14ac:dyDescent="0.3">
      <c r="A1155" s="238"/>
      <c r="B1155" s="242">
        <v>3200</v>
      </c>
      <c r="C1155" s="243" t="s">
        <v>209</v>
      </c>
      <c r="D1155" s="244">
        <f t="shared" ref="D1155:D1156" si="101">D1189+D1223+D1257+D1291+D1325</f>
        <v>711765</v>
      </c>
    </row>
    <row r="1156" spans="1:4" ht="12" hidden="1" customHeight="1" outlineLevel="1" x14ac:dyDescent="0.3">
      <c r="A1156" s="238"/>
      <c r="B1156" s="242">
        <v>3300</v>
      </c>
      <c r="C1156" s="243" t="s">
        <v>210</v>
      </c>
      <c r="D1156" s="244">
        <f t="shared" si="101"/>
        <v>0</v>
      </c>
    </row>
    <row r="1157" spans="1:4" ht="12" hidden="1" customHeight="1" outlineLevel="1" x14ac:dyDescent="0.3">
      <c r="A1157" s="238"/>
      <c r="B1157" s="199">
        <v>4000</v>
      </c>
      <c r="C1157" s="246" t="s">
        <v>211</v>
      </c>
      <c r="D1157" s="241">
        <f>D1191+D1225+D1259+D1293+D1327</f>
        <v>0</v>
      </c>
    </row>
    <row r="1158" spans="1:4" ht="12" hidden="1" customHeight="1" outlineLevel="1" x14ac:dyDescent="0.3">
      <c r="A1158" s="238"/>
      <c r="B1158" s="242">
        <v>4200</v>
      </c>
      <c r="C1158" s="247" t="s">
        <v>212</v>
      </c>
      <c r="D1158" s="244">
        <f t="shared" ref="D1158:D1159" si="102">D1192+D1226+D1260+D1294+D1328</f>
        <v>0</v>
      </c>
    </row>
    <row r="1159" spans="1:4" ht="12" hidden="1" customHeight="1" outlineLevel="1" x14ac:dyDescent="0.3">
      <c r="A1159" s="238"/>
      <c r="B1159" s="242">
        <v>4300</v>
      </c>
      <c r="C1159" s="247" t="s">
        <v>213</v>
      </c>
      <c r="D1159" s="244">
        <f t="shared" si="102"/>
        <v>0</v>
      </c>
    </row>
    <row r="1160" spans="1:4" ht="12" customHeight="1" collapsed="1" x14ac:dyDescent="0.3">
      <c r="A1160" s="238"/>
      <c r="B1160" s="199">
        <v>5000</v>
      </c>
      <c r="C1160" s="200" t="s">
        <v>214</v>
      </c>
      <c r="D1160" s="241">
        <f>D1194+D1228+D1262+D1296+D1330</f>
        <v>10963755</v>
      </c>
    </row>
    <row r="1161" spans="1:4" ht="12" customHeight="1" x14ac:dyDescent="0.3">
      <c r="A1161" s="238"/>
      <c r="B1161" s="242">
        <v>5100</v>
      </c>
      <c r="C1161" s="248" t="s">
        <v>215</v>
      </c>
      <c r="D1161" s="244">
        <f t="shared" ref="D1161:D1163" si="103">D1195+D1229+D1263+D1297+D1331</f>
        <v>97676</v>
      </c>
    </row>
    <row r="1162" spans="1:4" ht="12" customHeight="1" x14ac:dyDescent="0.3">
      <c r="A1162" s="238"/>
      <c r="B1162" s="242">
        <v>5200</v>
      </c>
      <c r="C1162" s="248" t="s">
        <v>216</v>
      </c>
      <c r="D1162" s="244">
        <f t="shared" si="103"/>
        <v>10866079</v>
      </c>
    </row>
    <row r="1163" spans="1:4" ht="12" hidden="1" customHeight="1" outlineLevel="1" x14ac:dyDescent="0.3">
      <c r="A1163" s="238"/>
      <c r="B1163" s="242">
        <v>5300</v>
      </c>
      <c r="C1163" s="249" t="s">
        <v>217</v>
      </c>
      <c r="D1163" s="244">
        <f t="shared" si="103"/>
        <v>0</v>
      </c>
    </row>
    <row r="1164" spans="1:4" ht="12" customHeight="1" collapsed="1" x14ac:dyDescent="0.3">
      <c r="A1164" s="238"/>
      <c r="B1164" s="199">
        <v>6000</v>
      </c>
      <c r="C1164" s="200" t="s">
        <v>218</v>
      </c>
      <c r="D1164" s="241">
        <f>D1198+D1232+D1266+D1300+D1334</f>
        <v>155604</v>
      </c>
    </row>
    <row r="1165" spans="1:4" ht="12" customHeight="1" x14ac:dyDescent="0.3">
      <c r="A1165" s="238"/>
      <c r="B1165" s="242">
        <v>6200</v>
      </c>
      <c r="C1165" s="248" t="s">
        <v>219</v>
      </c>
      <c r="D1165" s="244">
        <f t="shared" ref="D1165:D1168" si="104">D1199+D1233+D1267+D1301+D1335</f>
        <v>154774</v>
      </c>
    </row>
    <row r="1166" spans="1:4" ht="12" hidden="1" customHeight="1" outlineLevel="1" x14ac:dyDescent="0.3">
      <c r="A1166" s="238"/>
      <c r="B1166" s="242">
        <v>6300</v>
      </c>
      <c r="C1166" s="248" t="s">
        <v>220</v>
      </c>
      <c r="D1166" s="244">
        <f t="shared" si="104"/>
        <v>0</v>
      </c>
    </row>
    <row r="1167" spans="1:4" ht="12" hidden="1" customHeight="1" outlineLevel="1" x14ac:dyDescent="0.3">
      <c r="A1167" s="238"/>
      <c r="B1167" s="242">
        <v>6400</v>
      </c>
      <c r="C1167" s="248" t="s">
        <v>221</v>
      </c>
      <c r="D1167" s="244">
        <f t="shared" si="104"/>
        <v>0</v>
      </c>
    </row>
    <row r="1168" spans="1:4" ht="12" hidden="1" customHeight="1" outlineLevel="1" x14ac:dyDescent="0.3">
      <c r="A1168" s="238"/>
      <c r="B1168" s="242">
        <v>6500</v>
      </c>
      <c r="C1168" s="249" t="s">
        <v>222</v>
      </c>
      <c r="D1168" s="244">
        <f t="shared" si="104"/>
        <v>830</v>
      </c>
    </row>
    <row r="1169" spans="1:4" ht="12" hidden="1" customHeight="1" outlineLevel="1" x14ac:dyDescent="0.3">
      <c r="A1169" s="238"/>
      <c r="B1169" s="199">
        <v>7000</v>
      </c>
      <c r="C1169" s="200" t="s">
        <v>223</v>
      </c>
      <c r="D1169" s="241">
        <f>D1203+D1237+D1271+D1305+D1339</f>
        <v>0</v>
      </c>
    </row>
    <row r="1170" spans="1:4" ht="12" hidden="1" customHeight="1" outlineLevel="1" x14ac:dyDescent="0.3">
      <c r="A1170" s="238"/>
      <c r="B1170" s="250">
        <v>7200</v>
      </c>
      <c r="C1170" s="251" t="s">
        <v>224</v>
      </c>
      <c r="D1170" s="244">
        <f t="shared" ref="D1170:D1171" si="105">D1204+D1238+D1272+D1306+D1340</f>
        <v>0</v>
      </c>
    </row>
    <row r="1171" spans="1:4" ht="12" hidden="1" customHeight="1" outlineLevel="1" x14ac:dyDescent="0.3">
      <c r="A1171" s="238"/>
      <c r="B1171" s="250">
        <v>7500</v>
      </c>
      <c r="C1171" s="251" t="s">
        <v>225</v>
      </c>
      <c r="D1171" s="244">
        <f t="shared" si="105"/>
        <v>0</v>
      </c>
    </row>
    <row r="1172" spans="1:4" ht="12" hidden="1" customHeight="1" outlineLevel="1" x14ac:dyDescent="0.3">
      <c r="A1172" s="238"/>
      <c r="B1172" s="250">
        <v>7700</v>
      </c>
      <c r="C1172" s="251" t="s">
        <v>226</v>
      </c>
      <c r="D1172" s="244">
        <f>D1206+D1240+D1274+D1308+D1342</f>
        <v>0</v>
      </c>
    </row>
    <row r="1173" spans="1:4" ht="12" hidden="1" customHeight="1" outlineLevel="1" x14ac:dyDescent="0.3">
      <c r="A1173" s="238"/>
      <c r="B1173" s="252">
        <v>8000</v>
      </c>
      <c r="C1173" s="253" t="s">
        <v>227</v>
      </c>
      <c r="D1173" s="241">
        <f>D1207+D1241+D1275+D1309+D1343</f>
        <v>0</v>
      </c>
    </row>
    <row r="1174" spans="1:4" ht="12" hidden="1" customHeight="1" outlineLevel="1" x14ac:dyDescent="0.3">
      <c r="A1174" s="238"/>
      <c r="B1174" s="254">
        <v>8100</v>
      </c>
      <c r="C1174" s="255" t="s">
        <v>228</v>
      </c>
      <c r="D1174" s="244">
        <f t="shared" ref="D1174:D1176" si="106">D1208+D1242+D1276+D1310+D1344</f>
        <v>0</v>
      </c>
    </row>
    <row r="1175" spans="1:4" ht="12" hidden="1" customHeight="1" outlineLevel="1" x14ac:dyDescent="0.3">
      <c r="A1175" s="238"/>
      <c r="B1175" s="254">
        <v>8600</v>
      </c>
      <c r="C1175" s="255" t="s">
        <v>229</v>
      </c>
      <c r="D1175" s="244">
        <f t="shared" si="106"/>
        <v>0</v>
      </c>
    </row>
    <row r="1176" spans="1:4" ht="12" hidden="1" customHeight="1" outlineLevel="1" x14ac:dyDescent="0.3">
      <c r="A1176" s="238"/>
      <c r="B1176" s="254">
        <v>8900</v>
      </c>
      <c r="C1176" s="255" t="s">
        <v>230</v>
      </c>
      <c r="D1176" s="244">
        <f t="shared" si="106"/>
        <v>0</v>
      </c>
    </row>
    <row r="1177" spans="1:4" ht="12" customHeight="1" collapsed="1" x14ac:dyDescent="0.3">
      <c r="A1177" s="256" t="s">
        <v>296</v>
      </c>
      <c r="B1177" s="257"/>
      <c r="C1177" s="258" t="s">
        <v>297</v>
      </c>
      <c r="D1177" s="259">
        <f t="shared" ref="D1177" si="107">D1178+D1194+D1207</f>
        <v>1120862</v>
      </c>
    </row>
    <row r="1178" spans="1:4" ht="12" customHeight="1" x14ac:dyDescent="0.3">
      <c r="A1178" s="227"/>
      <c r="B1178" s="228"/>
      <c r="C1178" s="229" t="s">
        <v>198</v>
      </c>
      <c r="D1178" s="230">
        <f t="shared" ref="D1178" si="108">D1179+D1182+D1188+D1191+D1198+D1203</f>
        <v>1063818</v>
      </c>
    </row>
    <row r="1179" spans="1:4" ht="12" customHeight="1" x14ac:dyDescent="0.3">
      <c r="A1179" s="227"/>
      <c r="B1179" s="231">
        <v>1000</v>
      </c>
      <c r="C1179" s="232" t="s">
        <v>199</v>
      </c>
      <c r="D1179" s="230">
        <f>SUM(D1180:D1181)</f>
        <v>2592</v>
      </c>
    </row>
    <row r="1180" spans="1:4" ht="12" customHeight="1" x14ac:dyDescent="0.3">
      <c r="A1180" s="227"/>
      <c r="B1180" s="234">
        <v>1100</v>
      </c>
      <c r="C1180" s="235" t="s">
        <v>200</v>
      </c>
      <c r="D1180" s="236">
        <v>2000</v>
      </c>
    </row>
    <row r="1181" spans="1:4" ht="12" customHeight="1" x14ac:dyDescent="0.3">
      <c r="A1181" s="227"/>
      <c r="B1181" s="234">
        <v>1200</v>
      </c>
      <c r="C1181" s="237" t="s">
        <v>201</v>
      </c>
      <c r="D1181" s="236">
        <v>592</v>
      </c>
    </row>
    <row r="1182" spans="1:4" ht="12" customHeight="1" x14ac:dyDescent="0.3">
      <c r="A1182" s="238"/>
      <c r="B1182" s="239">
        <v>2000</v>
      </c>
      <c r="C1182" s="240" t="s">
        <v>202</v>
      </c>
      <c r="D1182" s="260">
        <f>SUM(D1183:D1187)</f>
        <v>983018</v>
      </c>
    </row>
    <row r="1183" spans="1:4" ht="12" hidden="1" customHeight="1" outlineLevel="1" x14ac:dyDescent="0.3">
      <c r="A1183" s="238"/>
      <c r="B1183" s="242">
        <v>2100</v>
      </c>
      <c r="C1183" s="243" t="s">
        <v>203</v>
      </c>
      <c r="D1183" s="244"/>
    </row>
    <row r="1184" spans="1:4" ht="12" customHeight="1" collapsed="1" x14ac:dyDescent="0.3">
      <c r="A1184" s="238"/>
      <c r="B1184" s="242">
        <v>2200</v>
      </c>
      <c r="C1184" s="243" t="s">
        <v>204</v>
      </c>
      <c r="D1184" s="244">
        <f>863461+33642+57036-18344</f>
        <v>935795</v>
      </c>
    </row>
    <row r="1185" spans="1:4" ht="12" customHeight="1" x14ac:dyDescent="0.3">
      <c r="A1185" s="238"/>
      <c r="B1185" s="242">
        <v>2300</v>
      </c>
      <c r="C1185" s="243" t="s">
        <v>205</v>
      </c>
      <c r="D1185" s="244">
        <f>41539+14-10249-12375</f>
        <v>18929</v>
      </c>
    </row>
    <row r="1186" spans="1:4" ht="12" customHeight="1" x14ac:dyDescent="0.3">
      <c r="A1186" s="238"/>
      <c r="B1186" s="242">
        <v>2400</v>
      </c>
      <c r="C1186" s="243" t="s">
        <v>206</v>
      </c>
      <c r="D1186" s="244"/>
    </row>
    <row r="1187" spans="1:4" ht="12" customHeight="1" x14ac:dyDescent="0.3">
      <c r="A1187" s="238"/>
      <c r="B1187" s="242">
        <v>2500</v>
      </c>
      <c r="C1187" s="243" t="s">
        <v>207</v>
      </c>
      <c r="D1187" s="244">
        <f>23914+2089+2291</f>
        <v>28294</v>
      </c>
    </row>
    <row r="1188" spans="1:4" ht="12" customHeight="1" x14ac:dyDescent="0.3">
      <c r="A1188" s="238"/>
      <c r="B1188" s="199">
        <v>3000</v>
      </c>
      <c r="C1188" s="245" t="s">
        <v>208</v>
      </c>
      <c r="D1188" s="260">
        <f>SUM(D1189:D1190)</f>
        <v>78208</v>
      </c>
    </row>
    <row r="1189" spans="1:4" ht="12" customHeight="1" x14ac:dyDescent="0.3">
      <c r="A1189" s="238"/>
      <c r="B1189" s="242">
        <v>3200</v>
      </c>
      <c r="C1189" s="243" t="s">
        <v>209</v>
      </c>
      <c r="D1189" s="244">
        <f>97796+10000-29588</f>
        <v>78208</v>
      </c>
    </row>
    <row r="1190" spans="1:4" ht="12" hidden="1" customHeight="1" outlineLevel="1" x14ac:dyDescent="0.3">
      <c r="A1190" s="238"/>
      <c r="B1190" s="242">
        <v>3300</v>
      </c>
      <c r="C1190" s="243" t="s">
        <v>210</v>
      </c>
      <c r="D1190" s="244"/>
    </row>
    <row r="1191" spans="1:4" ht="12" hidden="1" customHeight="1" outlineLevel="1" x14ac:dyDescent="0.3">
      <c r="A1191" s="238"/>
      <c r="B1191" s="199">
        <v>4000</v>
      </c>
      <c r="C1191" s="246" t="s">
        <v>211</v>
      </c>
      <c r="D1191" s="260">
        <f>SUM(D1192:D1193)</f>
        <v>0</v>
      </c>
    </row>
    <row r="1192" spans="1:4" ht="12" hidden="1" customHeight="1" outlineLevel="1" x14ac:dyDescent="0.3">
      <c r="A1192" s="238"/>
      <c r="B1192" s="242">
        <v>4200</v>
      </c>
      <c r="C1192" s="247" t="s">
        <v>212</v>
      </c>
      <c r="D1192" s="244"/>
    </row>
    <row r="1193" spans="1:4" ht="12" hidden="1" customHeight="1" outlineLevel="1" x14ac:dyDescent="0.3">
      <c r="A1193" s="238"/>
      <c r="B1193" s="242">
        <v>4300</v>
      </c>
      <c r="C1193" s="247" t="s">
        <v>213</v>
      </c>
      <c r="D1193" s="244"/>
    </row>
    <row r="1194" spans="1:4" ht="12" customHeight="1" collapsed="1" x14ac:dyDescent="0.3">
      <c r="A1194" s="238"/>
      <c r="B1194" s="199">
        <v>5000</v>
      </c>
      <c r="C1194" s="200" t="s">
        <v>214</v>
      </c>
      <c r="D1194" s="260">
        <f>SUM(D1195:D1197)</f>
        <v>57044</v>
      </c>
    </row>
    <row r="1195" spans="1:4" ht="12" hidden="1" customHeight="1" outlineLevel="1" x14ac:dyDescent="0.3">
      <c r="A1195" s="238"/>
      <c r="B1195" s="242">
        <v>5100</v>
      </c>
      <c r="C1195" s="248" t="s">
        <v>215</v>
      </c>
      <c r="D1195" s="260"/>
    </row>
    <row r="1196" spans="1:4" ht="12" customHeight="1" collapsed="1" x14ac:dyDescent="0.3">
      <c r="A1196" s="238"/>
      <c r="B1196" s="242">
        <v>5200</v>
      </c>
      <c r="C1196" s="248" t="s">
        <v>216</v>
      </c>
      <c r="D1196" s="244">
        <f>36533-4387+24898</f>
        <v>57044</v>
      </c>
    </row>
    <row r="1197" spans="1:4" ht="12" hidden="1" customHeight="1" outlineLevel="1" x14ac:dyDescent="0.3">
      <c r="A1197" s="238"/>
      <c r="B1197" s="242">
        <v>5300</v>
      </c>
      <c r="C1197" s="249" t="s">
        <v>217</v>
      </c>
      <c r="D1197" s="260"/>
    </row>
    <row r="1198" spans="1:4" ht="12" hidden="1" customHeight="1" outlineLevel="1" x14ac:dyDescent="0.3">
      <c r="A1198" s="238"/>
      <c r="B1198" s="199">
        <v>6000</v>
      </c>
      <c r="C1198" s="200" t="s">
        <v>218</v>
      </c>
      <c r="D1198" s="260">
        <f>SUM(D1199:D1202)</f>
        <v>0</v>
      </c>
    </row>
    <row r="1199" spans="1:4" ht="12" hidden="1" customHeight="1" outlineLevel="1" x14ac:dyDescent="0.3">
      <c r="A1199" s="238"/>
      <c r="B1199" s="242">
        <v>6200</v>
      </c>
      <c r="C1199" s="248" t="s">
        <v>219</v>
      </c>
      <c r="D1199" s="244"/>
    </row>
    <row r="1200" spans="1:4" ht="12" hidden="1" customHeight="1" outlineLevel="1" x14ac:dyDescent="0.3">
      <c r="A1200" s="238"/>
      <c r="B1200" s="242">
        <v>6300</v>
      </c>
      <c r="C1200" s="248" t="s">
        <v>220</v>
      </c>
      <c r="D1200" s="244"/>
    </row>
    <row r="1201" spans="1:4" ht="12" hidden="1" customHeight="1" outlineLevel="1" x14ac:dyDescent="0.3">
      <c r="A1201" s="238"/>
      <c r="B1201" s="242">
        <v>6400</v>
      </c>
      <c r="C1201" s="248" t="s">
        <v>221</v>
      </c>
      <c r="D1201" s="244"/>
    </row>
    <row r="1202" spans="1:4" ht="12" hidden="1" customHeight="1" outlineLevel="1" x14ac:dyDescent="0.3">
      <c r="A1202" s="238"/>
      <c r="B1202" s="242">
        <v>6500</v>
      </c>
      <c r="C1202" s="249" t="s">
        <v>222</v>
      </c>
      <c r="D1202" s="244"/>
    </row>
    <row r="1203" spans="1:4" ht="12" hidden="1" customHeight="1" outlineLevel="1" x14ac:dyDescent="0.3">
      <c r="A1203" s="238"/>
      <c r="B1203" s="199">
        <v>7000</v>
      </c>
      <c r="C1203" s="200" t="s">
        <v>223</v>
      </c>
      <c r="D1203" s="260">
        <f>SUM(D1204:D1206)</f>
        <v>0</v>
      </c>
    </row>
    <row r="1204" spans="1:4" ht="12" hidden="1" customHeight="1" outlineLevel="1" x14ac:dyDescent="0.3">
      <c r="A1204" s="238"/>
      <c r="B1204" s="250">
        <v>7200</v>
      </c>
      <c r="C1204" s="251" t="s">
        <v>224</v>
      </c>
      <c r="D1204" s="244"/>
    </row>
    <row r="1205" spans="1:4" ht="12" hidden="1" customHeight="1" outlineLevel="1" x14ac:dyDescent="0.3">
      <c r="A1205" s="238"/>
      <c r="B1205" s="250">
        <v>7500</v>
      </c>
      <c r="C1205" s="251" t="s">
        <v>225</v>
      </c>
      <c r="D1205" s="244"/>
    </row>
    <row r="1206" spans="1:4" ht="12" hidden="1" customHeight="1" outlineLevel="1" x14ac:dyDescent="0.3">
      <c r="A1206" s="238"/>
      <c r="B1206" s="250">
        <v>7700</v>
      </c>
      <c r="C1206" s="251" t="s">
        <v>226</v>
      </c>
      <c r="D1206" s="244"/>
    </row>
    <row r="1207" spans="1:4" ht="12" hidden="1" customHeight="1" outlineLevel="1" x14ac:dyDescent="0.3">
      <c r="A1207" s="238"/>
      <c r="B1207" s="252">
        <v>8000</v>
      </c>
      <c r="C1207" s="253" t="s">
        <v>227</v>
      </c>
      <c r="D1207" s="260">
        <f>SUM(D1208:D1210)</f>
        <v>0</v>
      </c>
    </row>
    <row r="1208" spans="1:4" ht="12" hidden="1" customHeight="1" outlineLevel="1" x14ac:dyDescent="0.3">
      <c r="A1208" s="238"/>
      <c r="B1208" s="254">
        <v>8100</v>
      </c>
      <c r="C1208" s="255" t="s">
        <v>228</v>
      </c>
      <c r="D1208" s="260"/>
    </row>
    <row r="1209" spans="1:4" ht="12" hidden="1" customHeight="1" outlineLevel="1" x14ac:dyDescent="0.3">
      <c r="A1209" s="238"/>
      <c r="B1209" s="254">
        <v>8600</v>
      </c>
      <c r="C1209" s="255" t="s">
        <v>229</v>
      </c>
      <c r="D1209" s="260"/>
    </row>
    <row r="1210" spans="1:4" ht="12" hidden="1" customHeight="1" outlineLevel="1" x14ac:dyDescent="0.3">
      <c r="A1210" s="238"/>
      <c r="B1210" s="254">
        <v>8900</v>
      </c>
      <c r="C1210" s="255" t="s">
        <v>230</v>
      </c>
      <c r="D1210" s="260"/>
    </row>
    <row r="1211" spans="1:4" ht="12" customHeight="1" collapsed="1" x14ac:dyDescent="0.3">
      <c r="A1211" s="256" t="s">
        <v>298</v>
      </c>
      <c r="B1211" s="257"/>
      <c r="C1211" s="258" t="s">
        <v>299</v>
      </c>
      <c r="D1211" s="259">
        <f t="shared" ref="D1211" si="109">D1212+D1228+D1241</f>
        <v>2096237</v>
      </c>
    </row>
    <row r="1212" spans="1:4" ht="12" customHeight="1" x14ac:dyDescent="0.3">
      <c r="A1212" s="227"/>
      <c r="B1212" s="228"/>
      <c r="C1212" s="229" t="s">
        <v>198</v>
      </c>
      <c r="D1212" s="230">
        <f t="shared" ref="D1212" si="110">D1213+D1216+D1222+D1225+D1232+D1237</f>
        <v>1453609</v>
      </c>
    </row>
    <row r="1213" spans="1:4" ht="12" customHeight="1" x14ac:dyDescent="0.3">
      <c r="A1213" s="227"/>
      <c r="B1213" s="231">
        <v>1000</v>
      </c>
      <c r="C1213" s="232" t="s">
        <v>199</v>
      </c>
      <c r="D1213" s="230">
        <f>SUM(D1214:D1215)</f>
        <v>745877</v>
      </c>
    </row>
    <row r="1214" spans="1:4" ht="12" customHeight="1" x14ac:dyDescent="0.3">
      <c r="A1214" s="227"/>
      <c r="B1214" s="234">
        <v>1100</v>
      </c>
      <c r="C1214" s="235" t="s">
        <v>200</v>
      </c>
      <c r="D1214" s="236">
        <f>595856-4635-22745</f>
        <v>568476</v>
      </c>
    </row>
    <row r="1215" spans="1:4" ht="12" customHeight="1" x14ac:dyDescent="0.3">
      <c r="A1215" s="227"/>
      <c r="B1215" s="234">
        <v>1200</v>
      </c>
      <c r="C1215" s="237" t="s">
        <v>201</v>
      </c>
      <c r="D1215" s="236">
        <f>176848+935-382</f>
        <v>177401</v>
      </c>
    </row>
    <row r="1216" spans="1:4" ht="12" customHeight="1" x14ac:dyDescent="0.3">
      <c r="A1216" s="238"/>
      <c r="B1216" s="239">
        <v>2000</v>
      </c>
      <c r="C1216" s="240" t="s">
        <v>202</v>
      </c>
      <c r="D1216" s="260">
        <f>SUM(D1217:D1221)</f>
        <v>479606</v>
      </c>
    </row>
    <row r="1217" spans="1:4" ht="12" customHeight="1" x14ac:dyDescent="0.3">
      <c r="A1217" s="238"/>
      <c r="B1217" s="242">
        <v>2100</v>
      </c>
      <c r="C1217" s="243" t="s">
        <v>203</v>
      </c>
      <c r="D1217" s="244">
        <f>29236-3343+1436</f>
        <v>27329</v>
      </c>
    </row>
    <row r="1218" spans="1:4" ht="12" customHeight="1" x14ac:dyDescent="0.3">
      <c r="A1218" s="238"/>
      <c r="B1218" s="242">
        <v>2200</v>
      </c>
      <c r="C1218" s="243" t="s">
        <v>204</v>
      </c>
      <c r="D1218" s="244">
        <f>519897-30000-104679+17950-5857</f>
        <v>397311</v>
      </c>
    </row>
    <row r="1219" spans="1:4" ht="12" customHeight="1" x14ac:dyDescent="0.3">
      <c r="A1219" s="238"/>
      <c r="B1219" s="242">
        <v>2300</v>
      </c>
      <c r="C1219" s="243" t="s">
        <v>205</v>
      </c>
      <c r="D1219" s="244">
        <f>42503+51+10557+453</f>
        <v>53564</v>
      </c>
    </row>
    <row r="1220" spans="1:4" ht="12" hidden="1" customHeight="1" outlineLevel="1" x14ac:dyDescent="0.3">
      <c r="A1220" s="238"/>
      <c r="B1220" s="242">
        <v>2400</v>
      </c>
      <c r="C1220" s="243" t="s">
        <v>206</v>
      </c>
      <c r="D1220" s="244"/>
    </row>
    <row r="1221" spans="1:4" ht="12" customHeight="1" collapsed="1" x14ac:dyDescent="0.3">
      <c r="A1221" s="238"/>
      <c r="B1221" s="242">
        <v>2500</v>
      </c>
      <c r="C1221" s="243" t="s">
        <v>207</v>
      </c>
      <c r="D1221" s="244">
        <f>309+1093</f>
        <v>1402</v>
      </c>
    </row>
    <row r="1222" spans="1:4" ht="12" customHeight="1" x14ac:dyDescent="0.3">
      <c r="A1222" s="238"/>
      <c r="B1222" s="199">
        <v>3000</v>
      </c>
      <c r="C1222" s="245" t="s">
        <v>208</v>
      </c>
      <c r="D1222" s="260">
        <f>SUM(D1223:D1224)</f>
        <v>197775</v>
      </c>
    </row>
    <row r="1223" spans="1:4" ht="12" customHeight="1" x14ac:dyDescent="0.3">
      <c r="A1223" s="238"/>
      <c r="B1223" s="242">
        <v>3200</v>
      </c>
      <c r="C1223" s="243" t="s">
        <v>209</v>
      </c>
      <c r="D1223" s="244">
        <f>213458+27007+2310-45000</f>
        <v>197775</v>
      </c>
    </row>
    <row r="1224" spans="1:4" ht="12" hidden="1" customHeight="1" outlineLevel="1" x14ac:dyDescent="0.3">
      <c r="A1224" s="238"/>
      <c r="B1224" s="242">
        <v>3300</v>
      </c>
      <c r="C1224" s="243" t="s">
        <v>210</v>
      </c>
      <c r="D1224" s="244"/>
    </row>
    <row r="1225" spans="1:4" ht="12" hidden="1" customHeight="1" outlineLevel="1" x14ac:dyDescent="0.3">
      <c r="A1225" s="238"/>
      <c r="B1225" s="199">
        <v>4000</v>
      </c>
      <c r="C1225" s="246" t="s">
        <v>211</v>
      </c>
      <c r="D1225" s="260">
        <f>SUM(D1226:D1227)</f>
        <v>0</v>
      </c>
    </row>
    <row r="1226" spans="1:4" ht="12" hidden="1" customHeight="1" outlineLevel="1" x14ac:dyDescent="0.3">
      <c r="A1226" s="238"/>
      <c r="B1226" s="242">
        <v>4200</v>
      </c>
      <c r="C1226" s="247" t="s">
        <v>212</v>
      </c>
      <c r="D1226" s="244"/>
    </row>
    <row r="1227" spans="1:4" ht="12" hidden="1" customHeight="1" outlineLevel="1" x14ac:dyDescent="0.3">
      <c r="A1227" s="238"/>
      <c r="B1227" s="242">
        <v>4300</v>
      </c>
      <c r="C1227" s="247" t="s">
        <v>213</v>
      </c>
      <c r="D1227" s="244"/>
    </row>
    <row r="1228" spans="1:4" ht="12" customHeight="1" collapsed="1" x14ac:dyDescent="0.3">
      <c r="A1228" s="238"/>
      <c r="B1228" s="199">
        <v>5000</v>
      </c>
      <c r="C1228" s="200" t="s">
        <v>214</v>
      </c>
      <c r="D1228" s="260">
        <f>SUM(D1229:D1231)</f>
        <v>642628</v>
      </c>
    </row>
    <row r="1229" spans="1:4" ht="12" customHeight="1" x14ac:dyDescent="0.3">
      <c r="A1229" s="238"/>
      <c r="B1229" s="242">
        <v>5100</v>
      </c>
      <c r="C1229" s="248" t="s">
        <v>215</v>
      </c>
      <c r="D1229" s="244">
        <f>97676-11500</f>
        <v>86176</v>
      </c>
    </row>
    <row r="1230" spans="1:4" ht="12" customHeight="1" x14ac:dyDescent="0.3">
      <c r="A1230" s="238"/>
      <c r="B1230" s="242">
        <v>5200</v>
      </c>
      <c r="C1230" s="248" t="s">
        <v>216</v>
      </c>
      <c r="D1230" s="244">
        <f>536388+29317-46569-7823+592+44547</f>
        <v>556452</v>
      </c>
    </row>
    <row r="1231" spans="1:4" ht="12" hidden="1" customHeight="1" outlineLevel="1" x14ac:dyDescent="0.3">
      <c r="A1231" s="238"/>
      <c r="B1231" s="242">
        <v>5300</v>
      </c>
      <c r="C1231" s="249" t="s">
        <v>217</v>
      </c>
      <c r="D1231" s="260"/>
    </row>
    <row r="1232" spans="1:4" ht="12" customHeight="1" collapsed="1" x14ac:dyDescent="0.3">
      <c r="A1232" s="238"/>
      <c r="B1232" s="199">
        <v>6000</v>
      </c>
      <c r="C1232" s="200" t="s">
        <v>218</v>
      </c>
      <c r="D1232" s="260">
        <f>SUM(D1233:D1236)</f>
        <v>30351</v>
      </c>
    </row>
    <row r="1233" spans="1:4" ht="12" customHeight="1" x14ac:dyDescent="0.3">
      <c r="A1233" s="238"/>
      <c r="B1233" s="242">
        <v>6200</v>
      </c>
      <c r="C1233" s="248" t="s">
        <v>219</v>
      </c>
      <c r="D1233" s="244">
        <v>30351</v>
      </c>
    </row>
    <row r="1234" spans="1:4" ht="12" hidden="1" customHeight="1" outlineLevel="1" x14ac:dyDescent="0.3">
      <c r="A1234" s="238"/>
      <c r="B1234" s="242">
        <v>6300</v>
      </c>
      <c r="C1234" s="248" t="s">
        <v>220</v>
      </c>
      <c r="D1234" s="244"/>
    </row>
    <row r="1235" spans="1:4" ht="12" hidden="1" customHeight="1" outlineLevel="1" x14ac:dyDescent="0.3">
      <c r="A1235" s="238"/>
      <c r="B1235" s="242">
        <v>6400</v>
      </c>
      <c r="C1235" s="248" t="s">
        <v>221</v>
      </c>
      <c r="D1235" s="244"/>
    </row>
    <row r="1236" spans="1:4" ht="12" hidden="1" customHeight="1" outlineLevel="1" x14ac:dyDescent="0.3">
      <c r="A1236" s="238"/>
      <c r="B1236" s="242">
        <v>6500</v>
      </c>
      <c r="C1236" s="249" t="s">
        <v>222</v>
      </c>
      <c r="D1236" s="244"/>
    </row>
    <row r="1237" spans="1:4" ht="12" hidden="1" customHeight="1" outlineLevel="1" collapsed="1" x14ac:dyDescent="0.3">
      <c r="A1237" s="238"/>
      <c r="B1237" s="199">
        <v>7000</v>
      </c>
      <c r="C1237" s="200" t="s">
        <v>223</v>
      </c>
      <c r="D1237" s="260">
        <f>SUM(D1238:D1240)</f>
        <v>0</v>
      </c>
    </row>
    <row r="1238" spans="1:4" ht="12" hidden="1" customHeight="1" outlineLevel="1" x14ac:dyDescent="0.3">
      <c r="A1238" s="238"/>
      <c r="B1238" s="250">
        <v>7200</v>
      </c>
      <c r="C1238" s="251" t="s">
        <v>224</v>
      </c>
      <c r="D1238" s="244"/>
    </row>
    <row r="1239" spans="1:4" ht="12" hidden="1" customHeight="1" outlineLevel="1" x14ac:dyDescent="0.3">
      <c r="A1239" s="238"/>
      <c r="B1239" s="250">
        <v>7500</v>
      </c>
      <c r="C1239" s="251" t="s">
        <v>225</v>
      </c>
      <c r="D1239" s="244"/>
    </row>
    <row r="1240" spans="1:4" ht="12" hidden="1" customHeight="1" outlineLevel="1" x14ac:dyDescent="0.3">
      <c r="A1240" s="238"/>
      <c r="B1240" s="250">
        <v>7700</v>
      </c>
      <c r="C1240" s="251" t="s">
        <v>226</v>
      </c>
      <c r="D1240" s="244"/>
    </row>
    <row r="1241" spans="1:4" ht="12" hidden="1" customHeight="1" outlineLevel="1" x14ac:dyDescent="0.3">
      <c r="A1241" s="238"/>
      <c r="B1241" s="252">
        <v>8000</v>
      </c>
      <c r="C1241" s="253" t="s">
        <v>227</v>
      </c>
      <c r="D1241" s="260">
        <f>SUM(D1242:D1244)</f>
        <v>0</v>
      </c>
    </row>
    <row r="1242" spans="1:4" ht="12" hidden="1" customHeight="1" outlineLevel="1" x14ac:dyDescent="0.3">
      <c r="A1242" s="238"/>
      <c r="B1242" s="254">
        <v>8100</v>
      </c>
      <c r="C1242" s="255" t="s">
        <v>228</v>
      </c>
      <c r="D1242" s="260"/>
    </row>
    <row r="1243" spans="1:4" ht="12" hidden="1" customHeight="1" outlineLevel="1" x14ac:dyDescent="0.3">
      <c r="A1243" s="238"/>
      <c r="B1243" s="254">
        <v>8600</v>
      </c>
      <c r="C1243" s="255" t="s">
        <v>229</v>
      </c>
      <c r="D1243" s="260"/>
    </row>
    <row r="1244" spans="1:4" ht="12" hidden="1" customHeight="1" outlineLevel="1" x14ac:dyDescent="0.3">
      <c r="A1244" s="238"/>
      <c r="B1244" s="254">
        <v>8900</v>
      </c>
      <c r="C1244" s="255" t="s">
        <v>230</v>
      </c>
      <c r="D1244" s="260"/>
    </row>
    <row r="1245" spans="1:4" ht="12" customHeight="1" collapsed="1" x14ac:dyDescent="0.3">
      <c r="A1245" s="256" t="s">
        <v>300</v>
      </c>
      <c r="B1245" s="257"/>
      <c r="C1245" s="258" t="s">
        <v>301</v>
      </c>
      <c r="D1245" s="259">
        <f t="shared" ref="D1245" si="111">D1246+D1262+D1275</f>
        <v>117405</v>
      </c>
    </row>
    <row r="1246" spans="1:4" ht="12" customHeight="1" x14ac:dyDescent="0.3">
      <c r="A1246" s="227"/>
      <c r="B1246" s="228"/>
      <c r="C1246" s="229" t="s">
        <v>198</v>
      </c>
      <c r="D1246" s="230">
        <f t="shared" ref="D1246" si="112">D1247+D1250+D1256+D1259+D1266+D1271</f>
        <v>116713</v>
      </c>
    </row>
    <row r="1247" spans="1:4" ht="12" hidden="1" customHeight="1" outlineLevel="1" x14ac:dyDescent="0.3">
      <c r="A1247" s="227"/>
      <c r="B1247" s="231">
        <v>1000</v>
      </c>
      <c r="C1247" s="232" t="s">
        <v>199</v>
      </c>
      <c r="D1247" s="230">
        <f>SUM(D1248:D1249)</f>
        <v>0</v>
      </c>
    </row>
    <row r="1248" spans="1:4" ht="12" hidden="1" customHeight="1" outlineLevel="1" x14ac:dyDescent="0.3">
      <c r="A1248" s="227"/>
      <c r="B1248" s="234">
        <v>1100</v>
      </c>
      <c r="C1248" s="235" t="s">
        <v>200</v>
      </c>
      <c r="D1248" s="236"/>
    </row>
    <row r="1249" spans="1:4" ht="12" hidden="1" customHeight="1" outlineLevel="1" x14ac:dyDescent="0.3">
      <c r="A1249" s="227"/>
      <c r="B1249" s="234">
        <v>1200</v>
      </c>
      <c r="C1249" s="237" t="s">
        <v>201</v>
      </c>
      <c r="D1249" s="236"/>
    </row>
    <row r="1250" spans="1:4" ht="12" customHeight="1" collapsed="1" x14ac:dyDescent="0.3">
      <c r="A1250" s="238"/>
      <c r="B1250" s="239">
        <v>2000</v>
      </c>
      <c r="C1250" s="240" t="s">
        <v>202</v>
      </c>
      <c r="D1250" s="260">
        <f>SUM(D1251:D1255)</f>
        <v>116713</v>
      </c>
    </row>
    <row r="1251" spans="1:4" ht="12" hidden="1" customHeight="1" outlineLevel="1" x14ac:dyDescent="0.3">
      <c r="A1251" s="238"/>
      <c r="B1251" s="242">
        <v>2100</v>
      </c>
      <c r="C1251" s="243" t="s">
        <v>203</v>
      </c>
      <c r="D1251" s="244"/>
    </row>
    <row r="1252" spans="1:4" ht="12" customHeight="1" collapsed="1" x14ac:dyDescent="0.3">
      <c r="A1252" s="238"/>
      <c r="B1252" s="242">
        <v>2200</v>
      </c>
      <c r="C1252" s="243" t="s">
        <v>204</v>
      </c>
      <c r="D1252" s="244">
        <f>76284+2000+9000-6507</f>
        <v>80777</v>
      </c>
    </row>
    <row r="1253" spans="1:4" ht="12" customHeight="1" x14ac:dyDescent="0.3">
      <c r="A1253" s="238"/>
      <c r="B1253" s="242">
        <v>2300</v>
      </c>
      <c r="C1253" s="243" t="s">
        <v>205</v>
      </c>
      <c r="D1253" s="244">
        <f>5150+4308-830</f>
        <v>8628</v>
      </c>
    </row>
    <row r="1254" spans="1:4" ht="12" hidden="1" customHeight="1" outlineLevel="1" x14ac:dyDescent="0.3">
      <c r="A1254" s="238"/>
      <c r="B1254" s="242">
        <v>2400</v>
      </c>
      <c r="C1254" s="243" t="s">
        <v>206</v>
      </c>
      <c r="D1254" s="244"/>
    </row>
    <row r="1255" spans="1:4" ht="12" customHeight="1" collapsed="1" x14ac:dyDescent="0.3">
      <c r="A1255" s="238"/>
      <c r="B1255" s="242">
        <v>2500</v>
      </c>
      <c r="C1255" s="243" t="s">
        <v>207</v>
      </c>
      <c r="D1255" s="244">
        <f>24353+2955</f>
        <v>27308</v>
      </c>
    </row>
    <row r="1256" spans="1:4" ht="12" hidden="1" customHeight="1" outlineLevel="1" x14ac:dyDescent="0.3">
      <c r="A1256" s="238"/>
      <c r="B1256" s="199">
        <v>3000</v>
      </c>
      <c r="C1256" s="245" t="s">
        <v>208</v>
      </c>
      <c r="D1256" s="260">
        <f>SUM(D1257:D1258)</f>
        <v>0</v>
      </c>
    </row>
    <row r="1257" spans="1:4" ht="12" hidden="1" customHeight="1" outlineLevel="1" x14ac:dyDescent="0.3">
      <c r="A1257" s="238"/>
      <c r="B1257" s="242">
        <v>3200</v>
      </c>
      <c r="C1257" s="243" t="s">
        <v>209</v>
      </c>
      <c r="D1257" s="244"/>
    </row>
    <row r="1258" spans="1:4" ht="12" hidden="1" customHeight="1" outlineLevel="1" x14ac:dyDescent="0.3">
      <c r="A1258" s="238"/>
      <c r="B1258" s="242">
        <v>3300</v>
      </c>
      <c r="C1258" s="243" t="s">
        <v>210</v>
      </c>
      <c r="D1258" s="244"/>
    </row>
    <row r="1259" spans="1:4" ht="12" hidden="1" customHeight="1" outlineLevel="1" x14ac:dyDescent="0.3">
      <c r="A1259" s="238"/>
      <c r="B1259" s="199">
        <v>4000</v>
      </c>
      <c r="C1259" s="246" t="s">
        <v>211</v>
      </c>
      <c r="D1259" s="260">
        <f>SUM(D1260:D1261)</f>
        <v>0</v>
      </c>
    </row>
    <row r="1260" spans="1:4" ht="12" hidden="1" customHeight="1" outlineLevel="1" x14ac:dyDescent="0.3">
      <c r="A1260" s="238"/>
      <c r="B1260" s="242">
        <v>4200</v>
      </c>
      <c r="C1260" s="247" t="s">
        <v>212</v>
      </c>
      <c r="D1260" s="244"/>
    </row>
    <row r="1261" spans="1:4" ht="12" hidden="1" customHeight="1" outlineLevel="1" x14ac:dyDescent="0.3">
      <c r="A1261" s="238"/>
      <c r="B1261" s="242">
        <v>4300</v>
      </c>
      <c r="C1261" s="247" t="s">
        <v>213</v>
      </c>
      <c r="D1261" s="244"/>
    </row>
    <row r="1262" spans="1:4" ht="12" customHeight="1" collapsed="1" x14ac:dyDescent="0.3">
      <c r="A1262" s="238"/>
      <c r="B1262" s="199">
        <v>5000</v>
      </c>
      <c r="C1262" s="200" t="s">
        <v>214</v>
      </c>
      <c r="D1262" s="260">
        <f>SUM(D1263:D1265)</f>
        <v>692</v>
      </c>
    </row>
    <row r="1263" spans="1:4" ht="12" hidden="1" customHeight="1" outlineLevel="1" x14ac:dyDescent="0.3">
      <c r="A1263" s="238"/>
      <c r="B1263" s="242">
        <v>5100</v>
      </c>
      <c r="C1263" s="248" t="s">
        <v>215</v>
      </c>
      <c r="D1263" s="260"/>
    </row>
    <row r="1264" spans="1:4" ht="12" customHeight="1" collapsed="1" x14ac:dyDescent="0.3">
      <c r="A1264" s="238"/>
      <c r="B1264" s="242">
        <v>5200</v>
      </c>
      <c r="C1264" s="248" t="s">
        <v>216</v>
      </c>
      <c r="D1264" s="244">
        <f>10000+692-3000-7000</f>
        <v>692</v>
      </c>
    </row>
    <row r="1265" spans="1:4" ht="12" hidden="1" customHeight="1" outlineLevel="1" x14ac:dyDescent="0.3">
      <c r="A1265" s="238"/>
      <c r="B1265" s="242">
        <v>5300</v>
      </c>
      <c r="C1265" s="249" t="s">
        <v>217</v>
      </c>
      <c r="D1265" s="260"/>
    </row>
    <row r="1266" spans="1:4" ht="12" hidden="1" customHeight="1" outlineLevel="1" x14ac:dyDescent="0.3">
      <c r="A1266" s="238"/>
      <c r="B1266" s="199">
        <v>6000</v>
      </c>
      <c r="C1266" s="200" t="s">
        <v>218</v>
      </c>
      <c r="D1266" s="260">
        <f>SUM(D1267:D1270)</f>
        <v>0</v>
      </c>
    </row>
    <row r="1267" spans="1:4" ht="12" hidden="1" customHeight="1" outlineLevel="1" x14ac:dyDescent="0.3">
      <c r="A1267" s="238"/>
      <c r="B1267" s="242">
        <v>6200</v>
      </c>
      <c r="C1267" s="248" t="s">
        <v>219</v>
      </c>
      <c r="D1267" s="244"/>
    </row>
    <row r="1268" spans="1:4" ht="12" hidden="1" customHeight="1" outlineLevel="1" x14ac:dyDescent="0.3">
      <c r="A1268" s="238"/>
      <c r="B1268" s="242">
        <v>6300</v>
      </c>
      <c r="C1268" s="248" t="s">
        <v>220</v>
      </c>
      <c r="D1268" s="244"/>
    </row>
    <row r="1269" spans="1:4" ht="12" hidden="1" customHeight="1" outlineLevel="1" x14ac:dyDescent="0.3">
      <c r="A1269" s="238"/>
      <c r="B1269" s="242">
        <v>6400</v>
      </c>
      <c r="C1269" s="248" t="s">
        <v>221</v>
      </c>
      <c r="D1269" s="244"/>
    </row>
    <row r="1270" spans="1:4" ht="12" hidden="1" customHeight="1" outlineLevel="1" x14ac:dyDescent="0.3">
      <c r="A1270" s="238"/>
      <c r="B1270" s="242">
        <v>6500</v>
      </c>
      <c r="C1270" s="249" t="s">
        <v>222</v>
      </c>
      <c r="D1270" s="244"/>
    </row>
    <row r="1271" spans="1:4" ht="12" hidden="1" customHeight="1" outlineLevel="1" x14ac:dyDescent="0.3">
      <c r="A1271" s="238"/>
      <c r="B1271" s="199">
        <v>7000</v>
      </c>
      <c r="C1271" s="200" t="s">
        <v>223</v>
      </c>
      <c r="D1271" s="260">
        <f>SUM(D1272:D1274)</f>
        <v>0</v>
      </c>
    </row>
    <row r="1272" spans="1:4" ht="12" hidden="1" customHeight="1" outlineLevel="1" x14ac:dyDescent="0.3">
      <c r="A1272" s="238"/>
      <c r="B1272" s="250">
        <v>7200</v>
      </c>
      <c r="C1272" s="251" t="s">
        <v>224</v>
      </c>
      <c r="D1272" s="244"/>
    </row>
    <row r="1273" spans="1:4" ht="12" hidden="1" customHeight="1" outlineLevel="1" x14ac:dyDescent="0.3">
      <c r="A1273" s="238"/>
      <c r="B1273" s="250">
        <v>7500</v>
      </c>
      <c r="C1273" s="251" t="s">
        <v>225</v>
      </c>
      <c r="D1273" s="244"/>
    </row>
    <row r="1274" spans="1:4" ht="12" hidden="1" customHeight="1" outlineLevel="1" x14ac:dyDescent="0.3">
      <c r="A1274" s="238"/>
      <c r="B1274" s="250">
        <v>7700</v>
      </c>
      <c r="C1274" s="251" t="s">
        <v>226</v>
      </c>
      <c r="D1274" s="244"/>
    </row>
    <row r="1275" spans="1:4" ht="12" hidden="1" customHeight="1" outlineLevel="1" x14ac:dyDescent="0.3">
      <c r="A1275" s="238"/>
      <c r="B1275" s="252">
        <v>8000</v>
      </c>
      <c r="C1275" s="253" t="s">
        <v>227</v>
      </c>
      <c r="D1275" s="260">
        <f>SUM(D1276:D1278)</f>
        <v>0</v>
      </c>
    </row>
    <row r="1276" spans="1:4" ht="12" hidden="1" customHeight="1" outlineLevel="1" x14ac:dyDescent="0.3">
      <c r="A1276" s="238"/>
      <c r="B1276" s="254">
        <v>8100</v>
      </c>
      <c r="C1276" s="255" t="s">
        <v>228</v>
      </c>
      <c r="D1276" s="260"/>
    </row>
    <row r="1277" spans="1:4" ht="12" hidden="1" customHeight="1" outlineLevel="1" x14ac:dyDescent="0.3">
      <c r="A1277" s="238"/>
      <c r="B1277" s="254">
        <v>8600</v>
      </c>
      <c r="C1277" s="255" t="s">
        <v>229</v>
      </c>
      <c r="D1277" s="260"/>
    </row>
    <row r="1278" spans="1:4" ht="12" hidden="1" customHeight="1" outlineLevel="1" x14ac:dyDescent="0.3">
      <c r="A1278" s="238"/>
      <c r="B1278" s="254">
        <v>8900</v>
      </c>
      <c r="C1278" s="255" t="s">
        <v>230</v>
      </c>
      <c r="D1278" s="260"/>
    </row>
    <row r="1279" spans="1:4" ht="12" customHeight="1" collapsed="1" x14ac:dyDescent="0.3">
      <c r="A1279" s="256" t="s">
        <v>302</v>
      </c>
      <c r="B1279" s="257"/>
      <c r="C1279" s="258" t="s">
        <v>303</v>
      </c>
      <c r="D1279" s="259">
        <f t="shared" ref="D1279" si="113">D1280+D1296+D1309</f>
        <v>1585070</v>
      </c>
    </row>
    <row r="1280" spans="1:4" ht="12" customHeight="1" x14ac:dyDescent="0.3">
      <c r="A1280" s="227"/>
      <c r="B1280" s="228"/>
      <c r="C1280" s="229" t="s">
        <v>198</v>
      </c>
      <c r="D1280" s="230">
        <f t="shared" ref="D1280" si="114">D1281+D1284+D1290+D1293+D1300+D1305</f>
        <v>764138</v>
      </c>
    </row>
    <row r="1281" spans="1:4" ht="12" hidden="1" customHeight="1" outlineLevel="1" x14ac:dyDescent="0.3">
      <c r="A1281" s="227"/>
      <c r="B1281" s="231">
        <v>1000</v>
      </c>
      <c r="C1281" s="232" t="s">
        <v>199</v>
      </c>
      <c r="D1281" s="230">
        <f>SUM(D1282:D1283)</f>
        <v>0</v>
      </c>
    </row>
    <row r="1282" spans="1:4" ht="12" hidden="1" customHeight="1" outlineLevel="1" x14ac:dyDescent="0.3">
      <c r="A1282" s="227"/>
      <c r="B1282" s="234">
        <v>1100</v>
      </c>
      <c r="C1282" s="235" t="s">
        <v>200</v>
      </c>
      <c r="D1282" s="236"/>
    </row>
    <row r="1283" spans="1:4" ht="12" hidden="1" customHeight="1" outlineLevel="1" x14ac:dyDescent="0.3">
      <c r="A1283" s="227"/>
      <c r="B1283" s="234">
        <v>1200</v>
      </c>
      <c r="C1283" s="237" t="s">
        <v>201</v>
      </c>
      <c r="D1283" s="236"/>
    </row>
    <row r="1284" spans="1:4" ht="12" customHeight="1" collapsed="1" x14ac:dyDescent="0.3">
      <c r="A1284" s="238"/>
      <c r="B1284" s="239">
        <v>2000</v>
      </c>
      <c r="C1284" s="240" t="s">
        <v>202</v>
      </c>
      <c r="D1284" s="260">
        <f>SUM(D1285:D1289)</f>
        <v>764138</v>
      </c>
    </row>
    <row r="1285" spans="1:4" ht="12" hidden="1" customHeight="1" outlineLevel="1" x14ac:dyDescent="0.3">
      <c r="A1285" s="238"/>
      <c r="B1285" s="242">
        <v>2100</v>
      </c>
      <c r="C1285" s="243" t="s">
        <v>203</v>
      </c>
      <c r="D1285" s="244"/>
    </row>
    <row r="1286" spans="1:4" ht="12" customHeight="1" collapsed="1" x14ac:dyDescent="0.3">
      <c r="A1286" s="238"/>
      <c r="B1286" s="242">
        <v>2200</v>
      </c>
      <c r="C1286" s="243" t="s">
        <v>204</v>
      </c>
      <c r="D1286" s="244">
        <f>581822+1314+167195+2616</f>
        <v>752947</v>
      </c>
    </row>
    <row r="1287" spans="1:4" ht="12" customHeight="1" x14ac:dyDescent="0.3">
      <c r="A1287" s="238"/>
      <c r="B1287" s="242">
        <v>2300</v>
      </c>
      <c r="C1287" s="243" t="s">
        <v>205</v>
      </c>
      <c r="D1287" s="244">
        <f>10514+846-174</f>
        <v>11186</v>
      </c>
    </row>
    <row r="1288" spans="1:4" ht="12" hidden="1" customHeight="1" outlineLevel="1" x14ac:dyDescent="0.3">
      <c r="A1288" s="238"/>
      <c r="B1288" s="242">
        <v>2400</v>
      </c>
      <c r="C1288" s="243" t="s">
        <v>206</v>
      </c>
      <c r="D1288" s="244"/>
    </row>
    <row r="1289" spans="1:4" ht="12" customHeight="1" collapsed="1" x14ac:dyDescent="0.3">
      <c r="A1289" s="238"/>
      <c r="B1289" s="242">
        <v>2500</v>
      </c>
      <c r="C1289" s="243" t="s">
        <v>207</v>
      </c>
      <c r="D1289" s="244">
        <v>5</v>
      </c>
    </row>
    <row r="1290" spans="1:4" ht="12" hidden="1" customHeight="1" outlineLevel="1" x14ac:dyDescent="0.3">
      <c r="A1290" s="238"/>
      <c r="B1290" s="199">
        <v>3000</v>
      </c>
      <c r="C1290" s="245" t="s">
        <v>208</v>
      </c>
      <c r="D1290" s="260">
        <f>SUM(D1291:D1292)</f>
        <v>0</v>
      </c>
    </row>
    <row r="1291" spans="1:4" ht="12" hidden="1" customHeight="1" outlineLevel="1" x14ac:dyDescent="0.3">
      <c r="A1291" s="238"/>
      <c r="B1291" s="242">
        <v>3200</v>
      </c>
      <c r="C1291" s="243" t="s">
        <v>209</v>
      </c>
      <c r="D1291" s="244"/>
    </row>
    <row r="1292" spans="1:4" ht="12" hidden="1" customHeight="1" outlineLevel="1" x14ac:dyDescent="0.3">
      <c r="A1292" s="238"/>
      <c r="B1292" s="242">
        <v>3300</v>
      </c>
      <c r="C1292" s="243" t="s">
        <v>210</v>
      </c>
      <c r="D1292" s="244"/>
    </row>
    <row r="1293" spans="1:4" ht="12" hidden="1" customHeight="1" outlineLevel="1" x14ac:dyDescent="0.3">
      <c r="A1293" s="238"/>
      <c r="B1293" s="199">
        <v>4000</v>
      </c>
      <c r="C1293" s="246" t="s">
        <v>211</v>
      </c>
      <c r="D1293" s="260">
        <f>SUM(D1294:D1295)</f>
        <v>0</v>
      </c>
    </row>
    <row r="1294" spans="1:4" ht="12" hidden="1" customHeight="1" outlineLevel="1" x14ac:dyDescent="0.3">
      <c r="A1294" s="238"/>
      <c r="B1294" s="242">
        <v>4200</v>
      </c>
      <c r="C1294" s="247" t="s">
        <v>212</v>
      </c>
      <c r="D1294" s="244"/>
    </row>
    <row r="1295" spans="1:4" ht="12" hidden="1" customHeight="1" outlineLevel="1" x14ac:dyDescent="0.3">
      <c r="A1295" s="238"/>
      <c r="B1295" s="242">
        <v>4300</v>
      </c>
      <c r="C1295" s="247" t="s">
        <v>213</v>
      </c>
      <c r="D1295" s="244"/>
    </row>
    <row r="1296" spans="1:4" ht="12" customHeight="1" collapsed="1" x14ac:dyDescent="0.3">
      <c r="A1296" s="238"/>
      <c r="B1296" s="199">
        <v>5000</v>
      </c>
      <c r="C1296" s="200" t="s">
        <v>214</v>
      </c>
      <c r="D1296" s="260">
        <f>SUM(D1297:D1299)</f>
        <v>820932</v>
      </c>
    </row>
    <row r="1297" spans="1:4" ht="12" hidden="1" customHeight="1" outlineLevel="1" x14ac:dyDescent="0.3">
      <c r="A1297" s="238"/>
      <c r="B1297" s="242">
        <v>5100</v>
      </c>
      <c r="C1297" s="248" t="s">
        <v>215</v>
      </c>
      <c r="D1297" s="260"/>
    </row>
    <row r="1298" spans="1:4" ht="12" customHeight="1" collapsed="1" x14ac:dyDescent="0.3">
      <c r="A1298" s="238"/>
      <c r="B1298" s="242">
        <v>5200</v>
      </c>
      <c r="C1298" s="248" t="s">
        <v>216</v>
      </c>
      <c r="D1298" s="244">
        <f>1325084-394858-109294</f>
        <v>820932</v>
      </c>
    </row>
    <row r="1299" spans="1:4" ht="12" hidden="1" customHeight="1" outlineLevel="1" x14ac:dyDescent="0.3">
      <c r="A1299" s="238"/>
      <c r="B1299" s="242">
        <v>5300</v>
      </c>
      <c r="C1299" s="249" t="s">
        <v>217</v>
      </c>
      <c r="D1299" s="260"/>
    </row>
    <row r="1300" spans="1:4" ht="12" hidden="1" customHeight="1" outlineLevel="1" x14ac:dyDescent="0.3">
      <c r="A1300" s="238"/>
      <c r="B1300" s="199">
        <v>6000</v>
      </c>
      <c r="C1300" s="200" t="s">
        <v>218</v>
      </c>
      <c r="D1300" s="260">
        <f>SUM(D1301:D1304)</f>
        <v>0</v>
      </c>
    </row>
    <row r="1301" spans="1:4" ht="12" hidden="1" customHeight="1" outlineLevel="1" x14ac:dyDescent="0.3">
      <c r="A1301" s="238"/>
      <c r="B1301" s="242">
        <v>6200</v>
      </c>
      <c r="C1301" s="248" t="s">
        <v>219</v>
      </c>
      <c r="D1301" s="244"/>
    </row>
    <row r="1302" spans="1:4" ht="12" hidden="1" customHeight="1" outlineLevel="1" x14ac:dyDescent="0.3">
      <c r="A1302" s="238"/>
      <c r="B1302" s="242">
        <v>6300</v>
      </c>
      <c r="C1302" s="248" t="s">
        <v>220</v>
      </c>
      <c r="D1302" s="244"/>
    </row>
    <row r="1303" spans="1:4" ht="12" hidden="1" customHeight="1" outlineLevel="1" x14ac:dyDescent="0.3">
      <c r="A1303" s="238"/>
      <c r="B1303" s="242">
        <v>6400</v>
      </c>
      <c r="C1303" s="248" t="s">
        <v>221</v>
      </c>
      <c r="D1303" s="244"/>
    </row>
    <row r="1304" spans="1:4" ht="12" hidden="1" customHeight="1" outlineLevel="1" x14ac:dyDescent="0.3">
      <c r="A1304" s="238"/>
      <c r="B1304" s="242">
        <v>6500</v>
      </c>
      <c r="C1304" s="249" t="s">
        <v>222</v>
      </c>
      <c r="D1304" s="244"/>
    </row>
    <row r="1305" spans="1:4" ht="12" hidden="1" customHeight="1" outlineLevel="1" x14ac:dyDescent="0.3">
      <c r="A1305" s="238"/>
      <c r="B1305" s="199">
        <v>7000</v>
      </c>
      <c r="C1305" s="200" t="s">
        <v>223</v>
      </c>
      <c r="D1305" s="260">
        <f>SUM(D1306:D1308)</f>
        <v>0</v>
      </c>
    </row>
    <row r="1306" spans="1:4" ht="12" hidden="1" customHeight="1" outlineLevel="1" x14ac:dyDescent="0.3">
      <c r="A1306" s="238"/>
      <c r="B1306" s="250">
        <v>7200</v>
      </c>
      <c r="C1306" s="251" t="s">
        <v>224</v>
      </c>
      <c r="D1306" s="244"/>
    </row>
    <row r="1307" spans="1:4" ht="12" hidden="1" customHeight="1" outlineLevel="1" x14ac:dyDescent="0.3">
      <c r="A1307" s="238"/>
      <c r="B1307" s="250">
        <v>7500</v>
      </c>
      <c r="C1307" s="251" t="s">
        <v>225</v>
      </c>
      <c r="D1307" s="244"/>
    </row>
    <row r="1308" spans="1:4" ht="12" hidden="1" customHeight="1" outlineLevel="1" x14ac:dyDescent="0.3">
      <c r="A1308" s="238"/>
      <c r="B1308" s="250">
        <v>7700</v>
      </c>
      <c r="C1308" s="251" t="s">
        <v>226</v>
      </c>
      <c r="D1308" s="244"/>
    </row>
    <row r="1309" spans="1:4" ht="12" hidden="1" customHeight="1" outlineLevel="1" x14ac:dyDescent="0.3">
      <c r="A1309" s="238"/>
      <c r="B1309" s="252">
        <v>8000</v>
      </c>
      <c r="C1309" s="253" t="s">
        <v>227</v>
      </c>
      <c r="D1309" s="260">
        <f>SUM(D1310:D1312)</f>
        <v>0</v>
      </c>
    </row>
    <row r="1310" spans="1:4" ht="12" hidden="1" customHeight="1" outlineLevel="1" x14ac:dyDescent="0.3">
      <c r="A1310" s="238"/>
      <c r="B1310" s="254">
        <v>8100</v>
      </c>
      <c r="C1310" s="255" t="s">
        <v>228</v>
      </c>
      <c r="D1310" s="260"/>
    </row>
    <row r="1311" spans="1:4" ht="12" hidden="1" customHeight="1" outlineLevel="1" x14ac:dyDescent="0.3">
      <c r="A1311" s="238"/>
      <c r="B1311" s="254">
        <v>8600</v>
      </c>
      <c r="C1311" s="255" t="s">
        <v>229</v>
      </c>
      <c r="D1311" s="260"/>
    </row>
    <row r="1312" spans="1:4" ht="12" hidden="1" customHeight="1" outlineLevel="1" x14ac:dyDescent="0.3">
      <c r="A1312" s="238"/>
      <c r="B1312" s="254">
        <v>8900</v>
      </c>
      <c r="C1312" s="255" t="s">
        <v>230</v>
      </c>
      <c r="D1312" s="260"/>
    </row>
    <row r="1313" spans="1:4" ht="28.5" customHeight="1" collapsed="1" x14ac:dyDescent="0.3">
      <c r="A1313" s="256" t="s">
        <v>304</v>
      </c>
      <c r="B1313" s="257"/>
      <c r="C1313" s="281" t="s">
        <v>305</v>
      </c>
      <c r="D1313" s="259">
        <f>D1314+D1330+D1343</f>
        <v>17518190</v>
      </c>
    </row>
    <row r="1314" spans="1:4" ht="12" customHeight="1" x14ac:dyDescent="0.3">
      <c r="A1314" s="227"/>
      <c r="B1314" s="228"/>
      <c r="C1314" s="229" t="s">
        <v>198</v>
      </c>
      <c r="D1314" s="230">
        <f>D1315+D1318+D1324+D1327+D1334+D1339</f>
        <v>8075731</v>
      </c>
    </row>
    <row r="1315" spans="1:4" ht="12" customHeight="1" x14ac:dyDescent="0.3">
      <c r="A1315" s="227"/>
      <c r="B1315" s="231">
        <v>1000</v>
      </c>
      <c r="C1315" s="232" t="s">
        <v>199</v>
      </c>
      <c r="D1315" s="230">
        <f>SUM(D1316:D1317)</f>
        <v>3924490</v>
      </c>
    </row>
    <row r="1316" spans="1:4" ht="12" customHeight="1" x14ac:dyDescent="0.3">
      <c r="A1316" s="227"/>
      <c r="B1316" s="234">
        <v>1100</v>
      </c>
      <c r="C1316" s="235" t="s">
        <v>200</v>
      </c>
      <c r="D1316" s="236">
        <f>3064834-7232-23022-35629</f>
        <v>2998951</v>
      </c>
    </row>
    <row r="1317" spans="1:4" ht="12" customHeight="1" x14ac:dyDescent="0.3">
      <c r="A1317" s="227"/>
      <c r="B1317" s="234">
        <v>1200</v>
      </c>
      <c r="C1317" s="237" t="s">
        <v>201</v>
      </c>
      <c r="D1317" s="236">
        <f>911916-2320+11564+4379</f>
        <v>925539</v>
      </c>
    </row>
    <row r="1318" spans="1:4" ht="12" customHeight="1" x14ac:dyDescent="0.3">
      <c r="A1318" s="238"/>
      <c r="B1318" s="239">
        <v>2000</v>
      </c>
      <c r="C1318" s="240" t="s">
        <v>202</v>
      </c>
      <c r="D1318" s="260">
        <f>SUM(D1319:D1323)</f>
        <v>3590206</v>
      </c>
    </row>
    <row r="1319" spans="1:4" ht="12" customHeight="1" x14ac:dyDescent="0.3">
      <c r="A1319" s="238"/>
      <c r="B1319" s="242">
        <v>2100</v>
      </c>
      <c r="C1319" s="243" t="s">
        <v>203</v>
      </c>
      <c r="D1319" s="244">
        <f>1778+240</f>
        <v>2018</v>
      </c>
    </row>
    <row r="1320" spans="1:4" ht="12" customHeight="1" x14ac:dyDescent="0.3">
      <c r="A1320" s="238"/>
      <c r="B1320" s="242">
        <v>2200</v>
      </c>
      <c r="C1320" s="243" t="s">
        <v>204</v>
      </c>
      <c r="D1320" s="244">
        <f>2788388-101156+57444+112246</f>
        <v>2856922</v>
      </c>
    </row>
    <row r="1321" spans="1:4" ht="12" customHeight="1" x14ac:dyDescent="0.3">
      <c r="A1321" s="238"/>
      <c r="B1321" s="242">
        <v>2300</v>
      </c>
      <c r="C1321" s="243" t="s">
        <v>205</v>
      </c>
      <c r="D1321" s="244">
        <f>585393-741+14931-23147</f>
        <v>576436</v>
      </c>
    </row>
    <row r="1322" spans="1:4" ht="12" hidden="1" customHeight="1" outlineLevel="1" x14ac:dyDescent="0.3">
      <c r="A1322" s="238"/>
      <c r="B1322" s="242">
        <v>2400</v>
      </c>
      <c r="C1322" s="243" t="s">
        <v>206</v>
      </c>
      <c r="D1322" s="244"/>
    </row>
    <row r="1323" spans="1:4" ht="12" customHeight="1" collapsed="1" x14ac:dyDescent="0.3">
      <c r="A1323" s="238"/>
      <c r="B1323" s="242">
        <v>2500</v>
      </c>
      <c r="C1323" s="243" t="s">
        <v>207</v>
      </c>
      <c r="D1323" s="244">
        <f>97186+50000-7222+14866</f>
        <v>154830</v>
      </c>
    </row>
    <row r="1324" spans="1:4" ht="12" customHeight="1" x14ac:dyDescent="0.3">
      <c r="A1324" s="238"/>
      <c r="B1324" s="199">
        <v>3000</v>
      </c>
      <c r="C1324" s="245" t="s">
        <v>208</v>
      </c>
      <c r="D1324" s="260">
        <f>SUM(D1325:D1326)</f>
        <v>435782</v>
      </c>
    </row>
    <row r="1325" spans="1:4" ht="12" customHeight="1" x14ac:dyDescent="0.3">
      <c r="A1325" s="238"/>
      <c r="B1325" s="242">
        <v>3200</v>
      </c>
      <c r="C1325" s="243" t="s">
        <v>209</v>
      </c>
      <c r="D1325" s="244">
        <f>458529-74153-320789+372195</f>
        <v>435782</v>
      </c>
    </row>
    <row r="1326" spans="1:4" ht="12" hidden="1" customHeight="1" outlineLevel="1" x14ac:dyDescent="0.3">
      <c r="A1326" s="238"/>
      <c r="B1326" s="242">
        <v>3300</v>
      </c>
      <c r="C1326" s="243" t="s">
        <v>210</v>
      </c>
      <c r="D1326" s="244"/>
    </row>
    <row r="1327" spans="1:4" ht="12" hidden="1" customHeight="1" outlineLevel="1" x14ac:dyDescent="0.3">
      <c r="A1327" s="238"/>
      <c r="B1327" s="199">
        <v>4000</v>
      </c>
      <c r="C1327" s="246" t="s">
        <v>211</v>
      </c>
      <c r="D1327" s="260">
        <f>SUM(D1328:D1329)</f>
        <v>0</v>
      </c>
    </row>
    <row r="1328" spans="1:4" ht="12" hidden="1" customHeight="1" outlineLevel="1" x14ac:dyDescent="0.3">
      <c r="A1328" s="238"/>
      <c r="B1328" s="242">
        <v>4200</v>
      </c>
      <c r="C1328" s="247" t="s">
        <v>212</v>
      </c>
      <c r="D1328" s="244"/>
    </row>
    <row r="1329" spans="1:4" ht="12" hidden="1" customHeight="1" outlineLevel="1" x14ac:dyDescent="0.3">
      <c r="A1329" s="238"/>
      <c r="B1329" s="242">
        <v>4300</v>
      </c>
      <c r="C1329" s="247" t="s">
        <v>213</v>
      </c>
      <c r="D1329" s="244"/>
    </row>
    <row r="1330" spans="1:4" ht="12" customHeight="1" collapsed="1" x14ac:dyDescent="0.3">
      <c r="A1330" s="238"/>
      <c r="B1330" s="199">
        <v>5000</v>
      </c>
      <c r="C1330" s="200" t="s">
        <v>214</v>
      </c>
      <c r="D1330" s="260">
        <f>SUM(D1331:D1333)</f>
        <v>9442459</v>
      </c>
    </row>
    <row r="1331" spans="1:4" ht="12" customHeight="1" x14ac:dyDescent="0.3">
      <c r="A1331" s="238"/>
      <c r="B1331" s="242">
        <v>5100</v>
      </c>
      <c r="C1331" s="248" t="s">
        <v>215</v>
      </c>
      <c r="D1331" s="244">
        <f>12500-1000</f>
        <v>11500</v>
      </c>
    </row>
    <row r="1332" spans="1:4" ht="12" customHeight="1" x14ac:dyDescent="0.3">
      <c r="A1332" s="238"/>
      <c r="B1332" s="242">
        <v>5200</v>
      </c>
      <c r="C1332" s="248" t="s">
        <v>216</v>
      </c>
      <c r="D1332" s="244">
        <f>7429086+55307+126990+1819576</f>
        <v>9430959</v>
      </c>
    </row>
    <row r="1333" spans="1:4" ht="12" customHeight="1" x14ac:dyDescent="0.3">
      <c r="A1333" s="238"/>
      <c r="B1333" s="242">
        <v>5300</v>
      </c>
      <c r="C1333" s="249" t="s">
        <v>217</v>
      </c>
      <c r="D1333" s="244">
        <v>0</v>
      </c>
    </row>
    <row r="1334" spans="1:4" ht="12" customHeight="1" x14ac:dyDescent="0.3">
      <c r="A1334" s="238"/>
      <c r="B1334" s="199">
        <v>6000</v>
      </c>
      <c r="C1334" s="200" t="s">
        <v>218</v>
      </c>
      <c r="D1334" s="260">
        <f>SUM(D1335:D1338)</f>
        <v>125253</v>
      </c>
    </row>
    <row r="1335" spans="1:4" ht="12" customHeight="1" x14ac:dyDescent="0.3">
      <c r="A1335" s="238"/>
      <c r="B1335" s="242">
        <v>6200</v>
      </c>
      <c r="C1335" s="248" t="s">
        <v>219</v>
      </c>
      <c r="D1335" s="244">
        <v>124423</v>
      </c>
    </row>
    <row r="1336" spans="1:4" ht="12" hidden="1" customHeight="1" outlineLevel="1" x14ac:dyDescent="0.3">
      <c r="A1336" s="238"/>
      <c r="B1336" s="242">
        <v>6300</v>
      </c>
      <c r="C1336" s="248" t="s">
        <v>220</v>
      </c>
      <c r="D1336" s="244"/>
    </row>
    <row r="1337" spans="1:4" ht="12" hidden="1" customHeight="1" outlineLevel="1" x14ac:dyDescent="0.3">
      <c r="A1337" s="238"/>
      <c r="B1337" s="242">
        <v>6400</v>
      </c>
      <c r="C1337" s="248" t="s">
        <v>221</v>
      </c>
      <c r="D1337" s="244"/>
    </row>
    <row r="1338" spans="1:4" ht="12" customHeight="1" collapsed="1" x14ac:dyDescent="0.3">
      <c r="A1338" s="238"/>
      <c r="B1338" s="242">
        <v>6500</v>
      </c>
      <c r="C1338" s="249" t="s">
        <v>222</v>
      </c>
      <c r="D1338" s="244">
        <v>830</v>
      </c>
    </row>
    <row r="1339" spans="1:4" ht="12" customHeight="1" x14ac:dyDescent="0.3">
      <c r="A1339" s="238"/>
      <c r="B1339" s="199">
        <v>7000</v>
      </c>
      <c r="C1339" s="200" t="s">
        <v>223</v>
      </c>
      <c r="D1339" s="260">
        <f>SUM(D1340:D1342)</f>
        <v>0</v>
      </c>
    </row>
    <row r="1340" spans="1:4" ht="12" customHeight="1" x14ac:dyDescent="0.3">
      <c r="A1340" s="238"/>
      <c r="B1340" s="250">
        <v>7200</v>
      </c>
      <c r="C1340" s="251" t="s">
        <v>224</v>
      </c>
      <c r="D1340" s="244">
        <f>1535340-1535340</f>
        <v>0</v>
      </c>
    </row>
    <row r="1341" spans="1:4" ht="12" hidden="1" customHeight="1" outlineLevel="1" x14ac:dyDescent="0.3">
      <c r="A1341" s="238"/>
      <c r="B1341" s="250">
        <v>7500</v>
      </c>
      <c r="C1341" s="251" t="s">
        <v>225</v>
      </c>
      <c r="D1341" s="244"/>
    </row>
    <row r="1342" spans="1:4" ht="12" hidden="1" customHeight="1" outlineLevel="1" x14ac:dyDescent="0.3">
      <c r="A1342" s="238"/>
      <c r="B1342" s="250">
        <v>7700</v>
      </c>
      <c r="C1342" s="251" t="s">
        <v>226</v>
      </c>
      <c r="D1342" s="244"/>
    </row>
    <row r="1343" spans="1:4" ht="12" hidden="1" customHeight="1" outlineLevel="1" x14ac:dyDescent="0.3">
      <c r="A1343" s="238"/>
      <c r="B1343" s="252">
        <v>8000</v>
      </c>
      <c r="C1343" s="253" t="s">
        <v>227</v>
      </c>
      <c r="D1343" s="260">
        <f>SUM(D1344:D1346)</f>
        <v>0</v>
      </c>
    </row>
    <row r="1344" spans="1:4" ht="12" hidden="1" customHeight="1" outlineLevel="1" x14ac:dyDescent="0.3">
      <c r="A1344" s="238"/>
      <c r="B1344" s="254">
        <v>8100</v>
      </c>
      <c r="C1344" s="255" t="s">
        <v>228</v>
      </c>
      <c r="D1344" s="260"/>
    </row>
    <row r="1345" spans="1:4" ht="12" hidden="1" customHeight="1" outlineLevel="1" x14ac:dyDescent="0.3">
      <c r="A1345" s="238"/>
      <c r="B1345" s="254">
        <v>8600</v>
      </c>
      <c r="C1345" s="255" t="s">
        <v>229</v>
      </c>
      <c r="D1345" s="260"/>
    </row>
    <row r="1346" spans="1:4" ht="12" hidden="1" customHeight="1" outlineLevel="1" x14ac:dyDescent="0.3">
      <c r="A1346" s="238"/>
      <c r="B1346" s="254">
        <v>8900</v>
      </c>
      <c r="C1346" s="255" t="s">
        <v>230</v>
      </c>
      <c r="D1346" s="260"/>
    </row>
    <row r="1347" spans="1:4" ht="14.25" customHeight="1" collapsed="1" x14ac:dyDescent="0.3">
      <c r="A1347" s="278" t="s">
        <v>306</v>
      </c>
      <c r="B1347" s="279"/>
      <c r="C1347" s="280" t="s">
        <v>307</v>
      </c>
      <c r="D1347" s="226">
        <f t="shared" ref="D1347" si="115">D1348+D1364+D1377</f>
        <v>207020</v>
      </c>
    </row>
    <row r="1348" spans="1:4" ht="12" customHeight="1" x14ac:dyDescent="0.3">
      <c r="A1348" s="227"/>
      <c r="B1348" s="228"/>
      <c r="C1348" s="229" t="s">
        <v>198</v>
      </c>
      <c r="D1348" s="230">
        <f t="shared" ref="D1348" si="116">D1349+D1352+D1358+D1361+D1368+D1373</f>
        <v>205820</v>
      </c>
    </row>
    <row r="1349" spans="1:4" ht="12" customHeight="1" x14ac:dyDescent="0.3">
      <c r="A1349" s="227"/>
      <c r="B1349" s="231">
        <v>1000</v>
      </c>
      <c r="C1349" s="232" t="s">
        <v>199</v>
      </c>
      <c r="D1349" s="230">
        <f>D1383+D1417+D1451</f>
        <v>130816</v>
      </c>
    </row>
    <row r="1350" spans="1:4" ht="12" customHeight="1" x14ac:dyDescent="0.3">
      <c r="A1350" s="227"/>
      <c r="B1350" s="234">
        <v>1100</v>
      </c>
      <c r="C1350" s="235" t="s">
        <v>200</v>
      </c>
      <c r="D1350" s="236">
        <f t="shared" ref="D1350:D1380" si="117">D1384+D1418+D1452</f>
        <v>99947</v>
      </c>
    </row>
    <row r="1351" spans="1:4" ht="12" customHeight="1" x14ac:dyDescent="0.3">
      <c r="A1351" s="227"/>
      <c r="B1351" s="234">
        <v>1200</v>
      </c>
      <c r="C1351" s="237" t="s">
        <v>201</v>
      </c>
      <c r="D1351" s="236">
        <f t="shared" si="117"/>
        <v>30869</v>
      </c>
    </row>
    <row r="1352" spans="1:4" ht="12" customHeight="1" x14ac:dyDescent="0.3">
      <c r="A1352" s="238"/>
      <c r="B1352" s="239">
        <v>2000</v>
      </c>
      <c r="C1352" s="240" t="s">
        <v>202</v>
      </c>
      <c r="D1352" s="230">
        <f t="shared" si="117"/>
        <v>40004</v>
      </c>
    </row>
    <row r="1353" spans="1:4" ht="12" customHeight="1" x14ac:dyDescent="0.3">
      <c r="A1353" s="238"/>
      <c r="B1353" s="242">
        <v>2100</v>
      </c>
      <c r="C1353" s="243" t="s">
        <v>203</v>
      </c>
      <c r="D1353" s="236">
        <f t="shared" si="117"/>
        <v>0</v>
      </c>
    </row>
    <row r="1354" spans="1:4" ht="12" customHeight="1" x14ac:dyDescent="0.3">
      <c r="A1354" s="238"/>
      <c r="B1354" s="242">
        <v>2200</v>
      </c>
      <c r="C1354" s="243" t="s">
        <v>204</v>
      </c>
      <c r="D1354" s="236">
        <f t="shared" si="117"/>
        <v>21809</v>
      </c>
    </row>
    <row r="1355" spans="1:4" ht="12" customHeight="1" x14ac:dyDescent="0.3">
      <c r="A1355" s="238"/>
      <c r="B1355" s="242">
        <v>2300</v>
      </c>
      <c r="C1355" s="243" t="s">
        <v>205</v>
      </c>
      <c r="D1355" s="236">
        <f t="shared" si="117"/>
        <v>18195</v>
      </c>
    </row>
    <row r="1356" spans="1:4" ht="12" customHeight="1" x14ac:dyDescent="0.3">
      <c r="A1356" s="238"/>
      <c r="B1356" s="242">
        <v>2400</v>
      </c>
      <c r="C1356" s="243" t="s">
        <v>206</v>
      </c>
      <c r="D1356" s="236">
        <f t="shared" si="117"/>
        <v>0</v>
      </c>
    </row>
    <row r="1357" spans="1:4" ht="12" customHeight="1" x14ac:dyDescent="0.3">
      <c r="A1357" s="238"/>
      <c r="B1357" s="242">
        <v>2500</v>
      </c>
      <c r="C1357" s="243" t="s">
        <v>207</v>
      </c>
      <c r="D1357" s="236">
        <f t="shared" si="117"/>
        <v>0</v>
      </c>
    </row>
    <row r="1358" spans="1:4" ht="12" customHeight="1" x14ac:dyDescent="0.3">
      <c r="A1358" s="238"/>
      <c r="B1358" s="199">
        <v>3000</v>
      </c>
      <c r="C1358" s="245" t="s">
        <v>208</v>
      </c>
      <c r="D1358" s="230">
        <f t="shared" si="117"/>
        <v>35000</v>
      </c>
    </row>
    <row r="1359" spans="1:4" ht="12" customHeight="1" x14ac:dyDescent="0.3">
      <c r="A1359" s="238"/>
      <c r="B1359" s="242">
        <v>3200</v>
      </c>
      <c r="C1359" s="243" t="s">
        <v>209</v>
      </c>
      <c r="D1359" s="236">
        <f t="shared" si="117"/>
        <v>35000</v>
      </c>
    </row>
    <row r="1360" spans="1:4" ht="12" customHeight="1" x14ac:dyDescent="0.3">
      <c r="A1360" s="238"/>
      <c r="B1360" s="242">
        <v>3300</v>
      </c>
      <c r="C1360" s="243" t="s">
        <v>210</v>
      </c>
      <c r="D1360" s="236">
        <f t="shared" si="117"/>
        <v>0</v>
      </c>
    </row>
    <row r="1361" spans="1:4" ht="12" hidden="1" customHeight="1" outlineLevel="1" x14ac:dyDescent="0.3">
      <c r="A1361" s="238"/>
      <c r="B1361" s="199">
        <v>4000</v>
      </c>
      <c r="C1361" s="246" t="s">
        <v>211</v>
      </c>
      <c r="D1361" s="236">
        <f t="shared" si="117"/>
        <v>0</v>
      </c>
    </row>
    <row r="1362" spans="1:4" ht="12" hidden="1" customHeight="1" outlineLevel="1" x14ac:dyDescent="0.3">
      <c r="A1362" s="238"/>
      <c r="B1362" s="242">
        <v>4200</v>
      </c>
      <c r="C1362" s="247" t="s">
        <v>212</v>
      </c>
      <c r="D1362" s="236">
        <f t="shared" si="117"/>
        <v>0</v>
      </c>
    </row>
    <row r="1363" spans="1:4" ht="12" hidden="1" customHeight="1" outlineLevel="1" x14ac:dyDescent="0.3">
      <c r="A1363" s="238"/>
      <c r="B1363" s="242">
        <v>4300</v>
      </c>
      <c r="C1363" s="247" t="s">
        <v>213</v>
      </c>
      <c r="D1363" s="236">
        <f t="shared" si="117"/>
        <v>0</v>
      </c>
    </row>
    <row r="1364" spans="1:4" ht="12" customHeight="1" collapsed="1" x14ac:dyDescent="0.3">
      <c r="A1364" s="238"/>
      <c r="B1364" s="199">
        <v>5000</v>
      </c>
      <c r="C1364" s="200" t="s">
        <v>214</v>
      </c>
      <c r="D1364" s="230">
        <f t="shared" si="117"/>
        <v>1200</v>
      </c>
    </row>
    <row r="1365" spans="1:4" ht="12" customHeight="1" x14ac:dyDescent="0.3">
      <c r="A1365" s="238"/>
      <c r="B1365" s="242">
        <v>5100</v>
      </c>
      <c r="C1365" s="248" t="s">
        <v>215</v>
      </c>
      <c r="D1365" s="236">
        <f t="shared" si="117"/>
        <v>0</v>
      </c>
    </row>
    <row r="1366" spans="1:4" ht="12" customHeight="1" x14ac:dyDescent="0.3">
      <c r="A1366" s="238"/>
      <c r="B1366" s="242">
        <v>5200</v>
      </c>
      <c r="C1366" s="248" t="s">
        <v>216</v>
      </c>
      <c r="D1366" s="236">
        <f t="shared" si="117"/>
        <v>1200</v>
      </c>
    </row>
    <row r="1367" spans="1:4" ht="12" customHeight="1" x14ac:dyDescent="0.3">
      <c r="A1367" s="238"/>
      <c r="B1367" s="242">
        <v>5300</v>
      </c>
      <c r="C1367" s="249" t="s">
        <v>217</v>
      </c>
      <c r="D1367" s="236">
        <f t="shared" si="117"/>
        <v>0</v>
      </c>
    </row>
    <row r="1368" spans="1:4" ht="12" hidden="1" customHeight="1" outlineLevel="1" x14ac:dyDescent="0.3">
      <c r="A1368" s="238"/>
      <c r="B1368" s="199">
        <v>6000</v>
      </c>
      <c r="C1368" s="200" t="s">
        <v>218</v>
      </c>
      <c r="D1368" s="236">
        <f t="shared" si="117"/>
        <v>0</v>
      </c>
    </row>
    <row r="1369" spans="1:4" ht="12" hidden="1" customHeight="1" outlineLevel="1" x14ac:dyDescent="0.3">
      <c r="A1369" s="238"/>
      <c r="B1369" s="242">
        <v>6200</v>
      </c>
      <c r="C1369" s="248" t="s">
        <v>219</v>
      </c>
      <c r="D1369" s="236">
        <f t="shared" si="117"/>
        <v>0</v>
      </c>
    </row>
    <row r="1370" spans="1:4" ht="12" hidden="1" customHeight="1" outlineLevel="1" x14ac:dyDescent="0.3">
      <c r="A1370" s="238"/>
      <c r="B1370" s="242">
        <v>6300</v>
      </c>
      <c r="C1370" s="248" t="s">
        <v>220</v>
      </c>
      <c r="D1370" s="236">
        <f t="shared" si="117"/>
        <v>0</v>
      </c>
    </row>
    <row r="1371" spans="1:4" ht="12" hidden="1" customHeight="1" outlineLevel="1" x14ac:dyDescent="0.3">
      <c r="A1371" s="238"/>
      <c r="B1371" s="242">
        <v>6400</v>
      </c>
      <c r="C1371" s="248" t="s">
        <v>221</v>
      </c>
      <c r="D1371" s="236">
        <f t="shared" si="117"/>
        <v>0</v>
      </c>
    </row>
    <row r="1372" spans="1:4" ht="12" hidden="1" customHeight="1" outlineLevel="1" x14ac:dyDescent="0.3">
      <c r="A1372" s="238"/>
      <c r="B1372" s="242">
        <v>6500</v>
      </c>
      <c r="C1372" s="249" t="s">
        <v>222</v>
      </c>
      <c r="D1372" s="236">
        <f t="shared" si="117"/>
        <v>0</v>
      </c>
    </row>
    <row r="1373" spans="1:4" ht="12" hidden="1" customHeight="1" outlineLevel="1" x14ac:dyDescent="0.3">
      <c r="A1373" s="238"/>
      <c r="B1373" s="199">
        <v>7000</v>
      </c>
      <c r="C1373" s="200" t="s">
        <v>223</v>
      </c>
      <c r="D1373" s="230">
        <f t="shared" si="117"/>
        <v>0</v>
      </c>
    </row>
    <row r="1374" spans="1:4" ht="12" hidden="1" customHeight="1" outlineLevel="1" x14ac:dyDescent="0.3">
      <c r="A1374" s="238"/>
      <c r="B1374" s="250">
        <v>7200</v>
      </c>
      <c r="C1374" s="251" t="s">
        <v>224</v>
      </c>
      <c r="D1374" s="236">
        <f t="shared" si="117"/>
        <v>0</v>
      </c>
    </row>
    <row r="1375" spans="1:4" ht="12" hidden="1" customHeight="1" outlineLevel="1" x14ac:dyDescent="0.3">
      <c r="A1375" s="238"/>
      <c r="B1375" s="250">
        <v>7500</v>
      </c>
      <c r="C1375" s="251" t="s">
        <v>225</v>
      </c>
      <c r="D1375" s="236">
        <f t="shared" si="117"/>
        <v>0</v>
      </c>
    </row>
    <row r="1376" spans="1:4" ht="12" hidden="1" customHeight="1" outlineLevel="1" x14ac:dyDescent="0.3">
      <c r="A1376" s="238"/>
      <c r="B1376" s="250">
        <v>7700</v>
      </c>
      <c r="C1376" s="251" t="s">
        <v>226</v>
      </c>
      <c r="D1376" s="236">
        <f t="shared" si="117"/>
        <v>0</v>
      </c>
    </row>
    <row r="1377" spans="1:4" ht="12" hidden="1" customHeight="1" outlineLevel="1" x14ac:dyDescent="0.3">
      <c r="A1377" s="238"/>
      <c r="B1377" s="252">
        <v>8000</v>
      </c>
      <c r="C1377" s="253" t="s">
        <v>227</v>
      </c>
      <c r="D1377" s="236">
        <f t="shared" si="117"/>
        <v>0</v>
      </c>
    </row>
    <row r="1378" spans="1:4" ht="12" hidden="1" customHeight="1" outlineLevel="1" x14ac:dyDescent="0.3">
      <c r="A1378" s="238"/>
      <c r="B1378" s="254">
        <v>8100</v>
      </c>
      <c r="C1378" s="255" t="s">
        <v>228</v>
      </c>
      <c r="D1378" s="236">
        <f t="shared" si="117"/>
        <v>0</v>
      </c>
    </row>
    <row r="1379" spans="1:4" ht="12" hidden="1" customHeight="1" outlineLevel="1" x14ac:dyDescent="0.3">
      <c r="A1379" s="238"/>
      <c r="B1379" s="254">
        <v>8600</v>
      </c>
      <c r="C1379" s="255" t="s">
        <v>229</v>
      </c>
      <c r="D1379" s="236">
        <f t="shared" si="117"/>
        <v>0</v>
      </c>
    </row>
    <row r="1380" spans="1:4" ht="12" hidden="1" customHeight="1" outlineLevel="1" x14ac:dyDescent="0.3">
      <c r="A1380" s="238"/>
      <c r="B1380" s="254">
        <v>8900</v>
      </c>
      <c r="C1380" s="255" t="s">
        <v>230</v>
      </c>
      <c r="D1380" s="236">
        <f t="shared" si="117"/>
        <v>0</v>
      </c>
    </row>
    <row r="1381" spans="1:4" ht="12" customHeight="1" collapsed="1" x14ac:dyDescent="0.3">
      <c r="A1381" s="256" t="s">
        <v>308</v>
      </c>
      <c r="B1381" s="257"/>
      <c r="C1381" s="258" t="s">
        <v>309</v>
      </c>
      <c r="D1381" s="259">
        <f t="shared" ref="D1381" si="118">D1382+D1398+D1411</f>
        <v>128861</v>
      </c>
    </row>
    <row r="1382" spans="1:4" ht="12" customHeight="1" x14ac:dyDescent="0.3">
      <c r="A1382" s="227"/>
      <c r="B1382" s="228"/>
      <c r="C1382" s="229" t="s">
        <v>198</v>
      </c>
      <c r="D1382" s="230">
        <f t="shared" ref="D1382" si="119">D1383+D1386+D1392+D1395+D1402+D1407</f>
        <v>128861</v>
      </c>
    </row>
    <row r="1383" spans="1:4" ht="12" customHeight="1" x14ac:dyDescent="0.3">
      <c r="A1383" s="227"/>
      <c r="B1383" s="231">
        <v>1000</v>
      </c>
      <c r="C1383" s="232" t="s">
        <v>199</v>
      </c>
      <c r="D1383" s="230">
        <f>SUM(D1384:D1385)</f>
        <v>94059</v>
      </c>
    </row>
    <row r="1384" spans="1:4" ht="12" customHeight="1" x14ac:dyDescent="0.3">
      <c r="A1384" s="227"/>
      <c r="B1384" s="234">
        <v>1100</v>
      </c>
      <c r="C1384" s="235" t="s">
        <v>200</v>
      </c>
      <c r="D1384" s="236">
        <f>72557-1902+1353</f>
        <v>72008</v>
      </c>
    </row>
    <row r="1385" spans="1:4" ht="12" customHeight="1" x14ac:dyDescent="0.3">
      <c r="A1385" s="227"/>
      <c r="B1385" s="234">
        <v>1200</v>
      </c>
      <c r="C1385" s="237" t="s">
        <v>201</v>
      </c>
      <c r="D1385" s="236">
        <f>21521-361+891</f>
        <v>22051</v>
      </c>
    </row>
    <row r="1386" spans="1:4" ht="12" customHeight="1" x14ac:dyDescent="0.3">
      <c r="A1386" s="238"/>
      <c r="B1386" s="239">
        <v>2000</v>
      </c>
      <c r="C1386" s="240" t="s">
        <v>202</v>
      </c>
      <c r="D1386" s="260">
        <f>SUM(D1387:D1391)</f>
        <v>34802</v>
      </c>
    </row>
    <row r="1387" spans="1:4" ht="12" customHeight="1" x14ac:dyDescent="0.3">
      <c r="A1387" s="238"/>
      <c r="B1387" s="242">
        <v>2100</v>
      </c>
      <c r="C1387" s="243" t="s">
        <v>203</v>
      </c>
      <c r="D1387" s="244">
        <v>0</v>
      </c>
    </row>
    <row r="1388" spans="1:4" ht="12" customHeight="1" x14ac:dyDescent="0.3">
      <c r="A1388" s="238"/>
      <c r="B1388" s="242">
        <v>2200</v>
      </c>
      <c r="C1388" s="243" t="s">
        <v>204</v>
      </c>
      <c r="D1388" s="244">
        <f>18232+722-1573</f>
        <v>17381</v>
      </c>
    </row>
    <row r="1389" spans="1:4" ht="12" customHeight="1" x14ac:dyDescent="0.3">
      <c r="A1389" s="238"/>
      <c r="B1389" s="242">
        <v>2300</v>
      </c>
      <c r="C1389" s="243" t="s">
        <v>205</v>
      </c>
      <c r="D1389" s="244">
        <f>15294+1541+586</f>
        <v>17421</v>
      </c>
    </row>
    <row r="1390" spans="1:4" ht="12" hidden="1" customHeight="1" outlineLevel="1" x14ac:dyDescent="0.3">
      <c r="A1390" s="238"/>
      <c r="B1390" s="242">
        <v>2400</v>
      </c>
      <c r="C1390" s="243" t="s">
        <v>206</v>
      </c>
      <c r="D1390" s="244"/>
    </row>
    <row r="1391" spans="1:4" ht="12" hidden="1" customHeight="1" outlineLevel="1" x14ac:dyDescent="0.3">
      <c r="A1391" s="238"/>
      <c r="B1391" s="242">
        <v>2500</v>
      </c>
      <c r="C1391" s="243" t="s">
        <v>207</v>
      </c>
      <c r="D1391" s="244"/>
    </row>
    <row r="1392" spans="1:4" ht="12" hidden="1" customHeight="1" outlineLevel="1" x14ac:dyDescent="0.3">
      <c r="A1392" s="238"/>
      <c r="B1392" s="199">
        <v>3000</v>
      </c>
      <c r="C1392" s="245" t="s">
        <v>208</v>
      </c>
      <c r="D1392" s="260">
        <f>SUM(D1393:D1394)</f>
        <v>0</v>
      </c>
    </row>
    <row r="1393" spans="1:4" ht="12" hidden="1" customHeight="1" outlineLevel="1" x14ac:dyDescent="0.3">
      <c r="A1393" s="238"/>
      <c r="B1393" s="242">
        <v>3200</v>
      </c>
      <c r="C1393" s="243" t="s">
        <v>209</v>
      </c>
      <c r="D1393" s="244"/>
    </row>
    <row r="1394" spans="1:4" ht="12" hidden="1" customHeight="1" outlineLevel="1" x14ac:dyDescent="0.3">
      <c r="A1394" s="238"/>
      <c r="B1394" s="242">
        <v>3300</v>
      </c>
      <c r="C1394" s="243" t="s">
        <v>210</v>
      </c>
      <c r="D1394" s="244"/>
    </row>
    <row r="1395" spans="1:4" ht="12" hidden="1" customHeight="1" outlineLevel="1" x14ac:dyDescent="0.3">
      <c r="A1395" s="238"/>
      <c r="B1395" s="199">
        <v>4000</v>
      </c>
      <c r="C1395" s="246" t="s">
        <v>211</v>
      </c>
      <c r="D1395" s="260">
        <f>SUM(D1396:D1397)</f>
        <v>0</v>
      </c>
    </row>
    <row r="1396" spans="1:4" ht="12" hidden="1" customHeight="1" outlineLevel="1" x14ac:dyDescent="0.3">
      <c r="A1396" s="238"/>
      <c r="B1396" s="242">
        <v>4200</v>
      </c>
      <c r="C1396" s="247" t="s">
        <v>212</v>
      </c>
      <c r="D1396" s="244"/>
    </row>
    <row r="1397" spans="1:4" ht="12" hidden="1" customHeight="1" outlineLevel="1" x14ac:dyDescent="0.3">
      <c r="A1397" s="238"/>
      <c r="B1397" s="242">
        <v>4300</v>
      </c>
      <c r="C1397" s="247" t="s">
        <v>213</v>
      </c>
      <c r="D1397" s="244"/>
    </row>
    <row r="1398" spans="1:4" ht="12" hidden="1" customHeight="1" outlineLevel="1" x14ac:dyDescent="0.3">
      <c r="A1398" s="238"/>
      <c r="B1398" s="199">
        <v>5000</v>
      </c>
      <c r="C1398" s="200" t="s">
        <v>214</v>
      </c>
      <c r="D1398" s="260">
        <f>SUM(D1399:D1401)</f>
        <v>0</v>
      </c>
    </row>
    <row r="1399" spans="1:4" ht="12" hidden="1" customHeight="1" outlineLevel="1" x14ac:dyDescent="0.3">
      <c r="A1399" s="238"/>
      <c r="B1399" s="242">
        <v>5100</v>
      </c>
      <c r="C1399" s="248" t="s">
        <v>215</v>
      </c>
      <c r="D1399" s="260"/>
    </row>
    <row r="1400" spans="1:4" ht="12" hidden="1" customHeight="1" outlineLevel="1" x14ac:dyDescent="0.3">
      <c r="A1400" s="238"/>
      <c r="B1400" s="242">
        <v>5200</v>
      </c>
      <c r="C1400" s="248" t="s">
        <v>216</v>
      </c>
      <c r="D1400" s="260"/>
    </row>
    <row r="1401" spans="1:4" ht="12" hidden="1" customHeight="1" outlineLevel="1" x14ac:dyDescent="0.3">
      <c r="A1401" s="238"/>
      <c r="B1401" s="242">
        <v>5300</v>
      </c>
      <c r="C1401" s="249" t="s">
        <v>217</v>
      </c>
      <c r="D1401" s="260"/>
    </row>
    <row r="1402" spans="1:4" ht="12" hidden="1" customHeight="1" outlineLevel="1" x14ac:dyDescent="0.3">
      <c r="A1402" s="238"/>
      <c r="B1402" s="199">
        <v>6000</v>
      </c>
      <c r="C1402" s="200" t="s">
        <v>218</v>
      </c>
      <c r="D1402" s="260">
        <f>SUM(D1403:D1406)</f>
        <v>0</v>
      </c>
    </row>
    <row r="1403" spans="1:4" ht="12" hidden="1" customHeight="1" outlineLevel="1" x14ac:dyDescent="0.3">
      <c r="A1403" s="238"/>
      <c r="B1403" s="242">
        <v>6200</v>
      </c>
      <c r="C1403" s="248" t="s">
        <v>219</v>
      </c>
      <c r="D1403" s="244"/>
    </row>
    <row r="1404" spans="1:4" ht="12" hidden="1" customHeight="1" outlineLevel="1" x14ac:dyDescent="0.3">
      <c r="A1404" s="238"/>
      <c r="B1404" s="242">
        <v>6300</v>
      </c>
      <c r="C1404" s="248" t="s">
        <v>220</v>
      </c>
      <c r="D1404" s="244"/>
    </row>
    <row r="1405" spans="1:4" ht="12" hidden="1" customHeight="1" outlineLevel="1" x14ac:dyDescent="0.3">
      <c r="A1405" s="238"/>
      <c r="B1405" s="242">
        <v>6400</v>
      </c>
      <c r="C1405" s="248" t="s">
        <v>221</v>
      </c>
      <c r="D1405" s="244"/>
    </row>
    <row r="1406" spans="1:4" ht="12" hidden="1" customHeight="1" outlineLevel="1" x14ac:dyDescent="0.3">
      <c r="A1406" s="238"/>
      <c r="B1406" s="242">
        <v>6500</v>
      </c>
      <c r="C1406" s="249" t="s">
        <v>222</v>
      </c>
      <c r="D1406" s="244"/>
    </row>
    <row r="1407" spans="1:4" ht="12" customHeight="1" collapsed="1" x14ac:dyDescent="0.3">
      <c r="A1407" s="238"/>
      <c r="B1407" s="199">
        <v>7000</v>
      </c>
      <c r="C1407" s="200" t="s">
        <v>223</v>
      </c>
      <c r="D1407" s="260">
        <f>SUM(D1408:D1410)</f>
        <v>0</v>
      </c>
    </row>
    <row r="1408" spans="1:4" ht="12" customHeight="1" x14ac:dyDescent="0.3">
      <c r="A1408" s="238"/>
      <c r="B1408" s="250">
        <v>7200</v>
      </c>
      <c r="C1408" s="251" t="s">
        <v>224</v>
      </c>
      <c r="D1408" s="244">
        <v>0</v>
      </c>
    </row>
    <row r="1409" spans="1:4" ht="12" hidden="1" customHeight="1" outlineLevel="1" x14ac:dyDescent="0.3">
      <c r="A1409" s="238"/>
      <c r="B1409" s="250">
        <v>7500</v>
      </c>
      <c r="C1409" s="251" t="s">
        <v>225</v>
      </c>
      <c r="D1409" s="244"/>
    </row>
    <row r="1410" spans="1:4" ht="12" hidden="1" customHeight="1" outlineLevel="1" x14ac:dyDescent="0.3">
      <c r="A1410" s="238"/>
      <c r="B1410" s="250">
        <v>7700</v>
      </c>
      <c r="C1410" s="251" t="s">
        <v>226</v>
      </c>
      <c r="D1410" s="244"/>
    </row>
    <row r="1411" spans="1:4" ht="12" hidden="1" customHeight="1" outlineLevel="1" x14ac:dyDescent="0.3">
      <c r="A1411" s="238"/>
      <c r="B1411" s="252">
        <v>8000</v>
      </c>
      <c r="C1411" s="253" t="s">
        <v>227</v>
      </c>
      <c r="D1411" s="260">
        <f>SUM(D1412:D1414)</f>
        <v>0</v>
      </c>
    </row>
    <row r="1412" spans="1:4" ht="12" hidden="1" customHeight="1" outlineLevel="1" x14ac:dyDescent="0.3">
      <c r="A1412" s="238"/>
      <c r="B1412" s="254">
        <v>8100</v>
      </c>
      <c r="C1412" s="255" t="s">
        <v>228</v>
      </c>
      <c r="D1412" s="260"/>
    </row>
    <row r="1413" spans="1:4" ht="12" hidden="1" customHeight="1" outlineLevel="1" x14ac:dyDescent="0.3">
      <c r="A1413" s="238"/>
      <c r="B1413" s="254">
        <v>8600</v>
      </c>
      <c r="C1413" s="255" t="s">
        <v>229</v>
      </c>
      <c r="D1413" s="260"/>
    </row>
    <row r="1414" spans="1:4" ht="12" hidden="1" customHeight="1" outlineLevel="1" x14ac:dyDescent="0.3">
      <c r="A1414" s="238"/>
      <c r="B1414" s="254">
        <v>8900</v>
      </c>
      <c r="C1414" s="255" t="s">
        <v>230</v>
      </c>
      <c r="D1414" s="260"/>
    </row>
    <row r="1415" spans="1:4" ht="12" hidden="1" customHeight="1" outlineLevel="1" collapsed="1" x14ac:dyDescent="0.3">
      <c r="A1415" s="256" t="s">
        <v>310</v>
      </c>
      <c r="B1415" s="257"/>
      <c r="C1415" s="258" t="s">
        <v>311</v>
      </c>
      <c r="D1415" s="259">
        <f t="shared" ref="D1415" si="120">D1416+D1432+D1445</f>
        <v>0</v>
      </c>
    </row>
    <row r="1416" spans="1:4" ht="12" hidden="1" customHeight="1" outlineLevel="1" x14ac:dyDescent="0.3">
      <c r="A1416" s="227"/>
      <c r="B1416" s="228"/>
      <c r="C1416" s="229" t="s">
        <v>198</v>
      </c>
      <c r="D1416" s="230">
        <f t="shared" ref="D1416" si="121">D1417+D1420+D1426+D1429+D1436+D1441</f>
        <v>0</v>
      </c>
    </row>
    <row r="1417" spans="1:4" ht="12" hidden="1" customHeight="1" outlineLevel="1" x14ac:dyDescent="0.3">
      <c r="A1417" s="227"/>
      <c r="B1417" s="231">
        <v>1000</v>
      </c>
      <c r="C1417" s="232" t="s">
        <v>199</v>
      </c>
      <c r="D1417" s="230">
        <f>SUM(D1418:D1419)</f>
        <v>0</v>
      </c>
    </row>
    <row r="1418" spans="1:4" ht="12" hidden="1" customHeight="1" outlineLevel="1" x14ac:dyDescent="0.3">
      <c r="A1418" s="227"/>
      <c r="B1418" s="234">
        <v>1100</v>
      </c>
      <c r="C1418" s="235" t="s">
        <v>200</v>
      </c>
      <c r="D1418" s="244"/>
    </row>
    <row r="1419" spans="1:4" ht="12" hidden="1" customHeight="1" outlineLevel="1" x14ac:dyDescent="0.3">
      <c r="A1419" s="227"/>
      <c r="B1419" s="234">
        <v>1200</v>
      </c>
      <c r="C1419" s="237" t="s">
        <v>201</v>
      </c>
      <c r="D1419" s="236"/>
    </row>
    <row r="1420" spans="1:4" ht="12" hidden="1" customHeight="1" outlineLevel="1" x14ac:dyDescent="0.3">
      <c r="A1420" s="238"/>
      <c r="B1420" s="239">
        <v>2000</v>
      </c>
      <c r="C1420" s="240" t="s">
        <v>202</v>
      </c>
      <c r="D1420" s="260">
        <f>SUM(D1421:D1425)</f>
        <v>0</v>
      </c>
    </row>
    <row r="1421" spans="1:4" ht="12" hidden="1" customHeight="1" outlineLevel="1" x14ac:dyDescent="0.3">
      <c r="A1421" s="238"/>
      <c r="B1421" s="242">
        <v>2100</v>
      </c>
      <c r="C1421" s="243" t="s">
        <v>203</v>
      </c>
      <c r="D1421" s="244"/>
    </row>
    <row r="1422" spans="1:4" ht="12" hidden="1" customHeight="1" outlineLevel="1" x14ac:dyDescent="0.3">
      <c r="A1422" s="238"/>
      <c r="B1422" s="242">
        <v>2200</v>
      </c>
      <c r="C1422" s="243" t="s">
        <v>204</v>
      </c>
      <c r="D1422" s="244"/>
    </row>
    <row r="1423" spans="1:4" ht="12" hidden="1" customHeight="1" outlineLevel="1" x14ac:dyDescent="0.3">
      <c r="A1423" s="238"/>
      <c r="B1423" s="242">
        <v>2300</v>
      </c>
      <c r="C1423" s="243" t="s">
        <v>205</v>
      </c>
      <c r="D1423" s="244"/>
    </row>
    <row r="1424" spans="1:4" ht="12" hidden="1" customHeight="1" outlineLevel="1" x14ac:dyDescent="0.3">
      <c r="A1424" s="238"/>
      <c r="B1424" s="242">
        <v>2400</v>
      </c>
      <c r="C1424" s="243" t="s">
        <v>206</v>
      </c>
      <c r="D1424" s="244"/>
    </row>
    <row r="1425" spans="1:4" ht="12" hidden="1" customHeight="1" outlineLevel="1" x14ac:dyDescent="0.3">
      <c r="A1425" s="238"/>
      <c r="B1425" s="242">
        <v>2500</v>
      </c>
      <c r="C1425" s="243" t="s">
        <v>207</v>
      </c>
      <c r="D1425" s="244"/>
    </row>
    <row r="1426" spans="1:4" ht="12" hidden="1" customHeight="1" outlineLevel="1" x14ac:dyDescent="0.3">
      <c r="A1426" s="238"/>
      <c r="B1426" s="199">
        <v>3000</v>
      </c>
      <c r="C1426" s="245" t="s">
        <v>208</v>
      </c>
      <c r="D1426" s="260">
        <f>SUM(D1427:D1428)</f>
        <v>0</v>
      </c>
    </row>
    <row r="1427" spans="1:4" ht="12" hidden="1" customHeight="1" outlineLevel="1" x14ac:dyDescent="0.3">
      <c r="A1427" s="238"/>
      <c r="B1427" s="242">
        <v>3200</v>
      </c>
      <c r="C1427" s="243" t="s">
        <v>209</v>
      </c>
      <c r="D1427" s="244"/>
    </row>
    <row r="1428" spans="1:4" ht="12" hidden="1" customHeight="1" outlineLevel="1" x14ac:dyDescent="0.3">
      <c r="A1428" s="238"/>
      <c r="B1428" s="242">
        <v>3300</v>
      </c>
      <c r="C1428" s="243" t="s">
        <v>210</v>
      </c>
      <c r="D1428" s="244"/>
    </row>
    <row r="1429" spans="1:4" ht="12" hidden="1" customHeight="1" outlineLevel="1" x14ac:dyDescent="0.3">
      <c r="A1429" s="238"/>
      <c r="B1429" s="199">
        <v>4000</v>
      </c>
      <c r="C1429" s="246" t="s">
        <v>211</v>
      </c>
      <c r="D1429" s="260">
        <f>SUM(D1430:D1431)</f>
        <v>0</v>
      </c>
    </row>
    <row r="1430" spans="1:4" ht="12" hidden="1" customHeight="1" outlineLevel="1" x14ac:dyDescent="0.3">
      <c r="A1430" s="238"/>
      <c r="B1430" s="242">
        <v>4200</v>
      </c>
      <c r="C1430" s="247" t="s">
        <v>212</v>
      </c>
      <c r="D1430" s="244"/>
    </row>
    <row r="1431" spans="1:4" ht="12" hidden="1" customHeight="1" outlineLevel="1" x14ac:dyDescent="0.3">
      <c r="A1431" s="238"/>
      <c r="B1431" s="242">
        <v>4300</v>
      </c>
      <c r="C1431" s="247" t="s">
        <v>213</v>
      </c>
      <c r="D1431" s="244"/>
    </row>
    <row r="1432" spans="1:4" ht="12" hidden="1" customHeight="1" outlineLevel="1" x14ac:dyDescent="0.3">
      <c r="A1432" s="238"/>
      <c r="B1432" s="199">
        <v>5000</v>
      </c>
      <c r="C1432" s="200" t="s">
        <v>214</v>
      </c>
      <c r="D1432" s="260">
        <f>SUM(D1433:D1435)</f>
        <v>0</v>
      </c>
    </row>
    <row r="1433" spans="1:4" ht="12" hidden="1" customHeight="1" outlineLevel="1" x14ac:dyDescent="0.3">
      <c r="A1433" s="238"/>
      <c r="B1433" s="242">
        <v>5100</v>
      </c>
      <c r="C1433" s="248" t="s">
        <v>215</v>
      </c>
      <c r="D1433" s="260"/>
    </row>
    <row r="1434" spans="1:4" ht="12" hidden="1" customHeight="1" outlineLevel="1" x14ac:dyDescent="0.3">
      <c r="A1434" s="238"/>
      <c r="B1434" s="242">
        <v>5200</v>
      </c>
      <c r="C1434" s="248" t="s">
        <v>216</v>
      </c>
      <c r="D1434" s="244"/>
    </row>
    <row r="1435" spans="1:4" ht="12" hidden="1" customHeight="1" outlineLevel="1" x14ac:dyDescent="0.3">
      <c r="A1435" s="238"/>
      <c r="B1435" s="242">
        <v>5300</v>
      </c>
      <c r="C1435" s="249" t="s">
        <v>217</v>
      </c>
      <c r="D1435" s="260"/>
    </row>
    <row r="1436" spans="1:4" ht="12" hidden="1" customHeight="1" outlineLevel="1" x14ac:dyDescent="0.3">
      <c r="A1436" s="238"/>
      <c r="B1436" s="199">
        <v>6000</v>
      </c>
      <c r="C1436" s="200" t="s">
        <v>218</v>
      </c>
      <c r="D1436" s="260">
        <f>SUM(D1437:D1440)</f>
        <v>0</v>
      </c>
    </row>
    <row r="1437" spans="1:4" ht="12" hidden="1" customHeight="1" outlineLevel="1" x14ac:dyDescent="0.3">
      <c r="A1437" s="238"/>
      <c r="B1437" s="242">
        <v>6200</v>
      </c>
      <c r="C1437" s="248" t="s">
        <v>219</v>
      </c>
      <c r="D1437" s="244"/>
    </row>
    <row r="1438" spans="1:4" ht="12" hidden="1" customHeight="1" outlineLevel="1" x14ac:dyDescent="0.3">
      <c r="A1438" s="238"/>
      <c r="B1438" s="242">
        <v>6300</v>
      </c>
      <c r="C1438" s="248" t="s">
        <v>220</v>
      </c>
      <c r="D1438" s="244"/>
    </row>
    <row r="1439" spans="1:4" ht="12" hidden="1" customHeight="1" outlineLevel="1" x14ac:dyDescent="0.3">
      <c r="A1439" s="238"/>
      <c r="B1439" s="242">
        <v>6400</v>
      </c>
      <c r="C1439" s="248" t="s">
        <v>221</v>
      </c>
      <c r="D1439" s="244"/>
    </row>
    <row r="1440" spans="1:4" ht="12" hidden="1" customHeight="1" outlineLevel="1" x14ac:dyDescent="0.3">
      <c r="A1440" s="238"/>
      <c r="B1440" s="242">
        <v>6500</v>
      </c>
      <c r="C1440" s="249" t="s">
        <v>222</v>
      </c>
      <c r="D1440" s="244"/>
    </row>
    <row r="1441" spans="1:4" ht="12" hidden="1" customHeight="1" outlineLevel="1" x14ac:dyDescent="0.3">
      <c r="A1441" s="238"/>
      <c r="B1441" s="199">
        <v>7000</v>
      </c>
      <c r="C1441" s="200" t="s">
        <v>223</v>
      </c>
      <c r="D1441" s="260">
        <f>SUM(D1442:D1444)</f>
        <v>0</v>
      </c>
    </row>
    <row r="1442" spans="1:4" ht="12" hidden="1" customHeight="1" outlineLevel="1" x14ac:dyDescent="0.3">
      <c r="A1442" s="238"/>
      <c r="B1442" s="250">
        <v>7200</v>
      </c>
      <c r="C1442" s="251" t="s">
        <v>224</v>
      </c>
      <c r="D1442" s="244"/>
    </row>
    <row r="1443" spans="1:4" ht="12" hidden="1" customHeight="1" outlineLevel="1" x14ac:dyDescent="0.3">
      <c r="A1443" s="238"/>
      <c r="B1443" s="250">
        <v>7500</v>
      </c>
      <c r="C1443" s="251" t="s">
        <v>225</v>
      </c>
      <c r="D1443" s="244"/>
    </row>
    <row r="1444" spans="1:4" ht="12" hidden="1" customHeight="1" outlineLevel="1" x14ac:dyDescent="0.3">
      <c r="A1444" s="238"/>
      <c r="B1444" s="250">
        <v>7700</v>
      </c>
      <c r="C1444" s="251" t="s">
        <v>226</v>
      </c>
      <c r="D1444" s="244"/>
    </row>
    <row r="1445" spans="1:4" ht="12" hidden="1" customHeight="1" outlineLevel="1" x14ac:dyDescent="0.3">
      <c r="A1445" s="238"/>
      <c r="B1445" s="252">
        <v>8000</v>
      </c>
      <c r="C1445" s="253" t="s">
        <v>227</v>
      </c>
      <c r="D1445" s="260">
        <f>SUM(D1446:D1448)</f>
        <v>0</v>
      </c>
    </row>
    <row r="1446" spans="1:4" ht="12" hidden="1" customHeight="1" outlineLevel="1" x14ac:dyDescent="0.3">
      <c r="A1446" s="238"/>
      <c r="B1446" s="254">
        <v>8100</v>
      </c>
      <c r="C1446" s="255" t="s">
        <v>228</v>
      </c>
      <c r="D1446" s="260"/>
    </row>
    <row r="1447" spans="1:4" ht="12" hidden="1" customHeight="1" outlineLevel="1" x14ac:dyDescent="0.3">
      <c r="A1447" s="238"/>
      <c r="B1447" s="254">
        <v>8600</v>
      </c>
      <c r="C1447" s="255" t="s">
        <v>229</v>
      </c>
      <c r="D1447" s="260"/>
    </row>
    <row r="1448" spans="1:4" ht="12" hidden="1" customHeight="1" outlineLevel="1" x14ac:dyDescent="0.3">
      <c r="A1448" s="238"/>
      <c r="B1448" s="254">
        <v>8900</v>
      </c>
      <c r="C1448" s="255" t="s">
        <v>230</v>
      </c>
      <c r="D1448" s="260"/>
    </row>
    <row r="1449" spans="1:4" ht="12" customHeight="1" collapsed="1" x14ac:dyDescent="0.3">
      <c r="A1449" s="256" t="s">
        <v>312</v>
      </c>
      <c r="B1449" s="257"/>
      <c r="C1449" s="258" t="s">
        <v>313</v>
      </c>
      <c r="D1449" s="259">
        <f t="shared" ref="D1449" si="122">D1450+D1466+D1479</f>
        <v>78159</v>
      </c>
    </row>
    <row r="1450" spans="1:4" ht="12" customHeight="1" x14ac:dyDescent="0.3">
      <c r="A1450" s="227"/>
      <c r="B1450" s="228"/>
      <c r="C1450" s="229" t="s">
        <v>198</v>
      </c>
      <c r="D1450" s="230">
        <f t="shared" ref="D1450" si="123">D1451+D1454+D1460+D1463+D1470+D1475</f>
        <v>76959</v>
      </c>
    </row>
    <row r="1451" spans="1:4" ht="12" customHeight="1" x14ac:dyDescent="0.3">
      <c r="A1451" s="227"/>
      <c r="B1451" s="231">
        <v>1000</v>
      </c>
      <c r="C1451" s="232" t="s">
        <v>199</v>
      </c>
      <c r="D1451" s="230">
        <f>SUM(D1452:D1453)</f>
        <v>36757</v>
      </c>
    </row>
    <row r="1452" spans="1:4" ht="12" customHeight="1" x14ac:dyDescent="0.3">
      <c r="A1452" s="227"/>
      <c r="B1452" s="234">
        <v>1100</v>
      </c>
      <c r="C1452" s="235" t="s">
        <v>200</v>
      </c>
      <c r="D1452" s="244">
        <f>27862+77</f>
        <v>27939</v>
      </c>
    </row>
    <row r="1453" spans="1:4" ht="12" customHeight="1" x14ac:dyDescent="0.3">
      <c r="A1453" s="227"/>
      <c r="B1453" s="234">
        <v>1200</v>
      </c>
      <c r="C1453" s="237" t="s">
        <v>201</v>
      </c>
      <c r="D1453" s="236">
        <v>8818</v>
      </c>
    </row>
    <row r="1454" spans="1:4" ht="12" customHeight="1" x14ac:dyDescent="0.3">
      <c r="A1454" s="238"/>
      <c r="B1454" s="239">
        <v>2000</v>
      </c>
      <c r="C1454" s="240" t="s">
        <v>202</v>
      </c>
      <c r="D1454" s="260">
        <f>SUM(D1455:D1459)</f>
        <v>5202</v>
      </c>
    </row>
    <row r="1455" spans="1:4" ht="12" customHeight="1" x14ac:dyDescent="0.3">
      <c r="A1455" s="238"/>
      <c r="B1455" s="242">
        <v>2100</v>
      </c>
      <c r="C1455" s="243" t="s">
        <v>203</v>
      </c>
      <c r="D1455" s="244"/>
    </row>
    <row r="1456" spans="1:4" ht="12" customHeight="1" x14ac:dyDescent="0.3">
      <c r="A1456" s="238"/>
      <c r="B1456" s="242">
        <v>2200</v>
      </c>
      <c r="C1456" s="243" t="s">
        <v>204</v>
      </c>
      <c r="D1456" s="244">
        <f>4370+58</f>
        <v>4428</v>
      </c>
    </row>
    <row r="1457" spans="1:4" ht="12" customHeight="1" x14ac:dyDescent="0.3">
      <c r="A1457" s="238"/>
      <c r="B1457" s="242">
        <v>2300</v>
      </c>
      <c r="C1457" s="243" t="s">
        <v>205</v>
      </c>
      <c r="D1457" s="244">
        <f>909-135</f>
        <v>774</v>
      </c>
    </row>
    <row r="1458" spans="1:4" ht="12" hidden="1" customHeight="1" outlineLevel="1" x14ac:dyDescent="0.3">
      <c r="A1458" s="238"/>
      <c r="B1458" s="242">
        <v>2400</v>
      </c>
      <c r="C1458" s="243" t="s">
        <v>206</v>
      </c>
      <c r="D1458" s="244"/>
    </row>
    <row r="1459" spans="1:4" ht="12" hidden="1" customHeight="1" outlineLevel="1" x14ac:dyDescent="0.3">
      <c r="A1459" s="238"/>
      <c r="B1459" s="242">
        <v>2500</v>
      </c>
      <c r="C1459" s="243" t="s">
        <v>207</v>
      </c>
      <c r="D1459" s="244"/>
    </row>
    <row r="1460" spans="1:4" ht="12" customHeight="1" collapsed="1" x14ac:dyDescent="0.3">
      <c r="A1460" s="238"/>
      <c r="B1460" s="199">
        <v>3000</v>
      </c>
      <c r="C1460" s="245" t="s">
        <v>208</v>
      </c>
      <c r="D1460" s="260">
        <f>SUM(D1461:D1462)</f>
        <v>35000</v>
      </c>
    </row>
    <row r="1461" spans="1:4" ht="12" customHeight="1" x14ac:dyDescent="0.3">
      <c r="A1461" s="238"/>
      <c r="B1461" s="242">
        <v>3200</v>
      </c>
      <c r="C1461" s="243" t="s">
        <v>209</v>
      </c>
      <c r="D1461" s="244">
        <v>35000</v>
      </c>
    </row>
    <row r="1462" spans="1:4" ht="12" hidden="1" customHeight="1" outlineLevel="1" x14ac:dyDescent="0.3">
      <c r="A1462" s="238"/>
      <c r="B1462" s="242">
        <v>3300</v>
      </c>
      <c r="C1462" s="243" t="s">
        <v>210</v>
      </c>
      <c r="D1462" s="244"/>
    </row>
    <row r="1463" spans="1:4" ht="12" hidden="1" customHeight="1" outlineLevel="1" x14ac:dyDescent="0.3">
      <c r="A1463" s="238"/>
      <c r="B1463" s="199">
        <v>4000</v>
      </c>
      <c r="C1463" s="246" t="s">
        <v>211</v>
      </c>
      <c r="D1463" s="260">
        <f>SUM(D1464:D1465)</f>
        <v>0</v>
      </c>
    </row>
    <row r="1464" spans="1:4" ht="12" hidden="1" customHeight="1" outlineLevel="1" x14ac:dyDescent="0.3">
      <c r="A1464" s="238"/>
      <c r="B1464" s="242">
        <v>4200</v>
      </c>
      <c r="C1464" s="247" t="s">
        <v>212</v>
      </c>
      <c r="D1464" s="244"/>
    </row>
    <row r="1465" spans="1:4" ht="12" hidden="1" customHeight="1" outlineLevel="1" x14ac:dyDescent="0.3">
      <c r="A1465" s="238"/>
      <c r="B1465" s="242">
        <v>4300</v>
      </c>
      <c r="C1465" s="247" t="s">
        <v>213</v>
      </c>
      <c r="D1465" s="244"/>
    </row>
    <row r="1466" spans="1:4" ht="12" customHeight="1" collapsed="1" x14ac:dyDescent="0.3">
      <c r="A1466" s="238"/>
      <c r="B1466" s="199">
        <v>5000</v>
      </c>
      <c r="C1466" s="200" t="s">
        <v>214</v>
      </c>
      <c r="D1466" s="260">
        <f>SUM(D1467:D1469)</f>
        <v>1200</v>
      </c>
    </row>
    <row r="1467" spans="1:4" ht="12" hidden="1" customHeight="1" outlineLevel="1" x14ac:dyDescent="0.3">
      <c r="A1467" s="238"/>
      <c r="B1467" s="242">
        <v>5100</v>
      </c>
      <c r="C1467" s="248" t="s">
        <v>215</v>
      </c>
      <c r="D1467" s="260"/>
    </row>
    <row r="1468" spans="1:4" ht="12" customHeight="1" collapsed="1" x14ac:dyDescent="0.3">
      <c r="A1468" s="238"/>
      <c r="B1468" s="242">
        <v>5200</v>
      </c>
      <c r="C1468" s="248" t="s">
        <v>216</v>
      </c>
      <c r="D1468" s="244">
        <v>1200</v>
      </c>
    </row>
    <row r="1469" spans="1:4" ht="12" hidden="1" customHeight="1" outlineLevel="1" x14ac:dyDescent="0.3">
      <c r="A1469" s="238"/>
      <c r="B1469" s="242">
        <v>5300</v>
      </c>
      <c r="C1469" s="249" t="s">
        <v>217</v>
      </c>
      <c r="D1469" s="260"/>
    </row>
    <row r="1470" spans="1:4" ht="12" hidden="1" customHeight="1" outlineLevel="1" x14ac:dyDescent="0.3">
      <c r="A1470" s="238"/>
      <c r="B1470" s="199">
        <v>6000</v>
      </c>
      <c r="C1470" s="200" t="s">
        <v>218</v>
      </c>
      <c r="D1470" s="260">
        <f>SUM(D1471:D1474)</f>
        <v>0</v>
      </c>
    </row>
    <row r="1471" spans="1:4" ht="12" hidden="1" customHeight="1" outlineLevel="1" x14ac:dyDescent="0.3">
      <c r="A1471" s="238"/>
      <c r="B1471" s="242">
        <v>6200</v>
      </c>
      <c r="C1471" s="248" t="s">
        <v>219</v>
      </c>
      <c r="D1471" s="244"/>
    </row>
    <row r="1472" spans="1:4" ht="12" hidden="1" customHeight="1" outlineLevel="1" x14ac:dyDescent="0.3">
      <c r="A1472" s="238"/>
      <c r="B1472" s="242">
        <v>6300</v>
      </c>
      <c r="C1472" s="248" t="s">
        <v>220</v>
      </c>
      <c r="D1472" s="244"/>
    </row>
    <row r="1473" spans="1:4" ht="12" hidden="1" customHeight="1" outlineLevel="1" x14ac:dyDescent="0.3">
      <c r="A1473" s="238"/>
      <c r="B1473" s="242">
        <v>6400</v>
      </c>
      <c r="C1473" s="248" t="s">
        <v>221</v>
      </c>
      <c r="D1473" s="244"/>
    </row>
    <row r="1474" spans="1:4" ht="12" hidden="1" customHeight="1" outlineLevel="1" x14ac:dyDescent="0.3">
      <c r="A1474" s="238"/>
      <c r="B1474" s="242">
        <v>6500</v>
      </c>
      <c r="C1474" s="249" t="s">
        <v>222</v>
      </c>
      <c r="D1474" s="244"/>
    </row>
    <row r="1475" spans="1:4" ht="12" hidden="1" customHeight="1" outlineLevel="1" x14ac:dyDescent="0.3">
      <c r="A1475" s="238"/>
      <c r="B1475" s="199">
        <v>7000</v>
      </c>
      <c r="C1475" s="200" t="s">
        <v>223</v>
      </c>
      <c r="D1475" s="260">
        <f>SUM(D1476:D1478)</f>
        <v>0</v>
      </c>
    </row>
    <row r="1476" spans="1:4" ht="12" hidden="1" customHeight="1" outlineLevel="1" x14ac:dyDescent="0.3">
      <c r="A1476" s="238"/>
      <c r="B1476" s="250">
        <v>7200</v>
      </c>
      <c r="C1476" s="251" t="s">
        <v>224</v>
      </c>
      <c r="D1476" s="244"/>
    </row>
    <row r="1477" spans="1:4" ht="12" hidden="1" customHeight="1" outlineLevel="1" x14ac:dyDescent="0.3">
      <c r="A1477" s="238"/>
      <c r="B1477" s="250">
        <v>7500</v>
      </c>
      <c r="C1477" s="251" t="s">
        <v>225</v>
      </c>
      <c r="D1477" s="244"/>
    </row>
    <row r="1478" spans="1:4" ht="12" hidden="1" customHeight="1" outlineLevel="1" x14ac:dyDescent="0.3">
      <c r="A1478" s="238"/>
      <c r="B1478" s="250">
        <v>7700</v>
      </c>
      <c r="C1478" s="251" t="s">
        <v>226</v>
      </c>
      <c r="D1478" s="244"/>
    </row>
    <row r="1479" spans="1:4" ht="12" hidden="1" customHeight="1" outlineLevel="1" x14ac:dyDescent="0.3">
      <c r="A1479" s="238"/>
      <c r="B1479" s="252">
        <v>8000</v>
      </c>
      <c r="C1479" s="253" t="s">
        <v>227</v>
      </c>
      <c r="D1479" s="260">
        <f>SUM(D1480:D1482)</f>
        <v>0</v>
      </c>
    </row>
    <row r="1480" spans="1:4" ht="12" hidden="1" customHeight="1" outlineLevel="1" x14ac:dyDescent="0.3">
      <c r="A1480" s="238"/>
      <c r="B1480" s="254">
        <v>8100</v>
      </c>
      <c r="C1480" s="255" t="s">
        <v>228</v>
      </c>
      <c r="D1480" s="260"/>
    </row>
    <row r="1481" spans="1:4" ht="12" hidden="1" customHeight="1" outlineLevel="1" x14ac:dyDescent="0.3">
      <c r="A1481" s="238"/>
      <c r="B1481" s="254">
        <v>8600</v>
      </c>
      <c r="C1481" s="255" t="s">
        <v>229</v>
      </c>
      <c r="D1481" s="260"/>
    </row>
    <row r="1482" spans="1:4" ht="12" hidden="1" customHeight="1" outlineLevel="1" x14ac:dyDescent="0.3">
      <c r="A1482" s="238"/>
      <c r="B1482" s="254">
        <v>8900</v>
      </c>
      <c r="C1482" s="255" t="s">
        <v>230</v>
      </c>
      <c r="D1482" s="260"/>
    </row>
    <row r="1483" spans="1:4" ht="17.100000000000001" customHeight="1" collapsed="1" x14ac:dyDescent="0.3">
      <c r="A1483" s="278" t="s">
        <v>314</v>
      </c>
      <c r="B1483" s="279"/>
      <c r="C1483" s="280" t="s">
        <v>315</v>
      </c>
      <c r="D1483" s="226">
        <f>D1484+D1500+D1513</f>
        <v>8741898</v>
      </c>
    </row>
    <row r="1484" spans="1:4" ht="12" customHeight="1" x14ac:dyDescent="0.3">
      <c r="A1484" s="227"/>
      <c r="B1484" s="228"/>
      <c r="C1484" s="229" t="s">
        <v>198</v>
      </c>
      <c r="D1484" s="230">
        <f>D1485+D1488+D1494+D1497+D1504+D1509</f>
        <v>8473711</v>
      </c>
    </row>
    <row r="1485" spans="1:4" ht="12" customHeight="1" x14ac:dyDescent="0.3">
      <c r="A1485" s="227"/>
      <c r="B1485" s="231">
        <v>1000</v>
      </c>
      <c r="C1485" s="232" t="s">
        <v>199</v>
      </c>
      <c r="D1485" s="233">
        <f>D1519+D1553+D1757+D1791</f>
        <v>3652175</v>
      </c>
    </row>
    <row r="1486" spans="1:4" ht="12" customHeight="1" x14ac:dyDescent="0.3">
      <c r="A1486" s="227"/>
      <c r="B1486" s="234">
        <v>1100</v>
      </c>
      <c r="C1486" s="235" t="s">
        <v>200</v>
      </c>
      <c r="D1486" s="236">
        <f t="shared" ref="D1486:D1487" si="124">D1520+D1554+D1758+D1792</f>
        <v>2845586</v>
      </c>
    </row>
    <row r="1487" spans="1:4" ht="12" customHeight="1" x14ac:dyDescent="0.3">
      <c r="A1487" s="227"/>
      <c r="B1487" s="234">
        <v>1200</v>
      </c>
      <c r="C1487" s="237" t="s">
        <v>201</v>
      </c>
      <c r="D1487" s="236">
        <f t="shared" si="124"/>
        <v>806589</v>
      </c>
    </row>
    <row r="1488" spans="1:4" ht="12" customHeight="1" x14ac:dyDescent="0.3">
      <c r="A1488" s="238"/>
      <c r="B1488" s="239">
        <v>2000</v>
      </c>
      <c r="C1488" s="240" t="s">
        <v>202</v>
      </c>
      <c r="D1488" s="241">
        <f>D1522+D1556+D1760+D1794</f>
        <v>2431581</v>
      </c>
    </row>
    <row r="1489" spans="1:4" ht="12" customHeight="1" x14ac:dyDescent="0.3">
      <c r="A1489" s="238"/>
      <c r="B1489" s="242">
        <v>2100</v>
      </c>
      <c r="C1489" s="243" t="s">
        <v>203</v>
      </c>
      <c r="D1489" s="244">
        <f t="shared" ref="D1489:D1493" si="125">D1523+D1557+D1761+D1795</f>
        <v>32902</v>
      </c>
    </row>
    <row r="1490" spans="1:4" ht="12" customHeight="1" x14ac:dyDescent="0.3">
      <c r="A1490" s="238"/>
      <c r="B1490" s="242">
        <v>2200</v>
      </c>
      <c r="C1490" s="243" t="s">
        <v>204</v>
      </c>
      <c r="D1490" s="244">
        <f t="shared" si="125"/>
        <v>1828944</v>
      </c>
    </row>
    <row r="1491" spans="1:4" ht="12" customHeight="1" x14ac:dyDescent="0.3">
      <c r="A1491" s="238"/>
      <c r="B1491" s="242">
        <v>2300</v>
      </c>
      <c r="C1491" s="243" t="s">
        <v>205</v>
      </c>
      <c r="D1491" s="244">
        <f t="shared" si="125"/>
        <v>511624</v>
      </c>
    </row>
    <row r="1492" spans="1:4" ht="12" customHeight="1" x14ac:dyDescent="0.3">
      <c r="A1492" s="238"/>
      <c r="B1492" s="242">
        <v>2400</v>
      </c>
      <c r="C1492" s="243" t="s">
        <v>206</v>
      </c>
      <c r="D1492" s="244">
        <f t="shared" si="125"/>
        <v>31576</v>
      </c>
    </row>
    <row r="1493" spans="1:4" ht="12" customHeight="1" x14ac:dyDescent="0.3">
      <c r="A1493" s="238"/>
      <c r="B1493" s="242">
        <v>2500</v>
      </c>
      <c r="C1493" s="243" t="s">
        <v>207</v>
      </c>
      <c r="D1493" s="244">
        <f t="shared" si="125"/>
        <v>26535</v>
      </c>
    </row>
    <row r="1494" spans="1:4" ht="12" customHeight="1" x14ac:dyDescent="0.3">
      <c r="A1494" s="238"/>
      <c r="B1494" s="199">
        <v>3000</v>
      </c>
      <c r="C1494" s="245" t="s">
        <v>208</v>
      </c>
      <c r="D1494" s="241">
        <f>D1528+D1562+D1766+D1800</f>
        <v>2252110</v>
      </c>
    </row>
    <row r="1495" spans="1:4" ht="12" customHeight="1" x14ac:dyDescent="0.3">
      <c r="A1495" s="238"/>
      <c r="B1495" s="242">
        <v>3200</v>
      </c>
      <c r="C1495" s="243" t="s">
        <v>209</v>
      </c>
      <c r="D1495" s="244">
        <f t="shared" ref="D1495:D1496" si="126">D1529+D1563+D1767+D1801</f>
        <v>2252110</v>
      </c>
    </row>
    <row r="1496" spans="1:4" ht="12" hidden="1" customHeight="1" outlineLevel="1" x14ac:dyDescent="0.3">
      <c r="A1496" s="238"/>
      <c r="B1496" s="242">
        <v>3300</v>
      </c>
      <c r="C1496" s="243" t="s">
        <v>210</v>
      </c>
      <c r="D1496" s="244">
        <f t="shared" si="126"/>
        <v>0</v>
      </c>
    </row>
    <row r="1497" spans="1:4" ht="12" hidden="1" customHeight="1" outlineLevel="1" x14ac:dyDescent="0.3">
      <c r="A1497" s="238"/>
      <c r="B1497" s="199">
        <v>4000</v>
      </c>
      <c r="C1497" s="246" t="s">
        <v>211</v>
      </c>
      <c r="D1497" s="241">
        <f>D1531+D1565+D1769+D1803</f>
        <v>0</v>
      </c>
    </row>
    <row r="1498" spans="1:4" ht="12" hidden="1" customHeight="1" outlineLevel="1" x14ac:dyDescent="0.3">
      <c r="A1498" s="238"/>
      <c r="B1498" s="242">
        <v>4200</v>
      </c>
      <c r="C1498" s="247" t="s">
        <v>212</v>
      </c>
      <c r="D1498" s="244">
        <f t="shared" ref="D1498:D1499" si="127">D1532+D1566+D1770+D1804</f>
        <v>0</v>
      </c>
    </row>
    <row r="1499" spans="1:4" ht="12" hidden="1" customHeight="1" outlineLevel="1" x14ac:dyDescent="0.3">
      <c r="A1499" s="238"/>
      <c r="B1499" s="242">
        <v>4300</v>
      </c>
      <c r="C1499" s="247" t="s">
        <v>213</v>
      </c>
      <c r="D1499" s="244">
        <f t="shared" si="127"/>
        <v>0</v>
      </c>
    </row>
    <row r="1500" spans="1:4" ht="12" customHeight="1" collapsed="1" x14ac:dyDescent="0.3">
      <c r="A1500" s="238"/>
      <c r="B1500" s="199">
        <v>5000</v>
      </c>
      <c r="C1500" s="200" t="s">
        <v>214</v>
      </c>
      <c r="D1500" s="241">
        <f>D1534+D1568+D1772+D1806</f>
        <v>268187</v>
      </c>
    </row>
    <row r="1501" spans="1:4" ht="12" customHeight="1" x14ac:dyDescent="0.3">
      <c r="A1501" s="238"/>
      <c r="B1501" s="242">
        <v>5100</v>
      </c>
      <c r="C1501" s="248" t="s">
        <v>215</v>
      </c>
      <c r="D1501" s="244">
        <f t="shared" ref="D1501:D1503" si="128">D1535+D1569+D1773+D1807</f>
        <v>153</v>
      </c>
    </row>
    <row r="1502" spans="1:4" ht="12" customHeight="1" x14ac:dyDescent="0.3">
      <c r="A1502" s="238"/>
      <c r="B1502" s="242">
        <v>5200</v>
      </c>
      <c r="C1502" s="248" t="s">
        <v>216</v>
      </c>
      <c r="D1502" s="244">
        <f t="shared" si="128"/>
        <v>268034</v>
      </c>
    </row>
    <row r="1503" spans="1:4" ht="12" hidden="1" customHeight="1" outlineLevel="1" x14ac:dyDescent="0.3">
      <c r="A1503" s="238"/>
      <c r="B1503" s="242">
        <v>5300</v>
      </c>
      <c r="C1503" s="249" t="s">
        <v>217</v>
      </c>
      <c r="D1503" s="244">
        <f t="shared" si="128"/>
        <v>0</v>
      </c>
    </row>
    <row r="1504" spans="1:4" ht="12" customHeight="1" collapsed="1" x14ac:dyDescent="0.3">
      <c r="A1504" s="238"/>
      <c r="B1504" s="199">
        <v>6000</v>
      </c>
      <c r="C1504" s="200" t="s">
        <v>218</v>
      </c>
      <c r="D1504" s="241">
        <f>D1538+D1572+D1776+D1810</f>
        <v>2734</v>
      </c>
    </row>
    <row r="1505" spans="1:4" ht="12" hidden="1" customHeight="1" outlineLevel="1" x14ac:dyDescent="0.3">
      <c r="A1505" s="238"/>
      <c r="B1505" s="242">
        <v>6200</v>
      </c>
      <c r="C1505" s="248" t="s">
        <v>219</v>
      </c>
      <c r="D1505" s="244">
        <f t="shared" ref="D1505:D1508" si="129">D1539+D1573+D1777+D1811</f>
        <v>784</v>
      </c>
    </row>
    <row r="1506" spans="1:4" ht="12" hidden="1" customHeight="1" outlineLevel="1" x14ac:dyDescent="0.3">
      <c r="A1506" s="238"/>
      <c r="B1506" s="242">
        <v>6300</v>
      </c>
      <c r="C1506" s="248" t="s">
        <v>220</v>
      </c>
      <c r="D1506" s="244">
        <f t="shared" si="129"/>
        <v>0</v>
      </c>
    </row>
    <row r="1507" spans="1:4" ht="12" customHeight="1" collapsed="1" x14ac:dyDescent="0.3">
      <c r="A1507" s="238"/>
      <c r="B1507" s="242">
        <v>6400</v>
      </c>
      <c r="C1507" s="248" t="s">
        <v>221</v>
      </c>
      <c r="D1507" s="244">
        <f t="shared" si="129"/>
        <v>1950</v>
      </c>
    </row>
    <row r="1508" spans="1:4" ht="12" hidden="1" customHeight="1" outlineLevel="1" x14ac:dyDescent="0.3">
      <c r="A1508" s="238"/>
      <c r="B1508" s="242">
        <v>6500</v>
      </c>
      <c r="C1508" s="249" t="s">
        <v>222</v>
      </c>
      <c r="D1508" s="244">
        <f t="shared" si="129"/>
        <v>0</v>
      </c>
    </row>
    <row r="1509" spans="1:4" ht="12" customHeight="1" collapsed="1" x14ac:dyDescent="0.3">
      <c r="A1509" s="238"/>
      <c r="B1509" s="199">
        <v>7000</v>
      </c>
      <c r="C1509" s="200" t="s">
        <v>223</v>
      </c>
      <c r="D1509" s="241">
        <f>D1543+D1577+D1781+D1815</f>
        <v>135111</v>
      </c>
    </row>
    <row r="1510" spans="1:4" ht="12" customHeight="1" x14ac:dyDescent="0.3">
      <c r="A1510" s="238"/>
      <c r="B1510" s="250">
        <v>7200</v>
      </c>
      <c r="C1510" s="251" t="s">
        <v>224</v>
      </c>
      <c r="D1510" s="244">
        <f t="shared" ref="D1510:D1512" si="130">D1544+D1578+D1782+D1816</f>
        <v>135111</v>
      </c>
    </row>
    <row r="1511" spans="1:4" ht="12" hidden="1" customHeight="1" outlineLevel="1" x14ac:dyDescent="0.3">
      <c r="A1511" s="238"/>
      <c r="B1511" s="250">
        <v>7500</v>
      </c>
      <c r="C1511" s="251" t="s">
        <v>225</v>
      </c>
      <c r="D1511" s="244">
        <f t="shared" si="130"/>
        <v>0</v>
      </c>
    </row>
    <row r="1512" spans="1:4" ht="12" hidden="1" customHeight="1" outlineLevel="1" x14ac:dyDescent="0.3">
      <c r="A1512" s="238"/>
      <c r="B1512" s="250">
        <v>7700</v>
      </c>
      <c r="C1512" s="251" t="s">
        <v>226</v>
      </c>
      <c r="D1512" s="244">
        <f t="shared" si="130"/>
        <v>0</v>
      </c>
    </row>
    <row r="1513" spans="1:4" ht="12" hidden="1" customHeight="1" outlineLevel="1" x14ac:dyDescent="0.3">
      <c r="A1513" s="238"/>
      <c r="B1513" s="252">
        <v>8000</v>
      </c>
      <c r="C1513" s="253" t="s">
        <v>227</v>
      </c>
      <c r="D1513" s="241">
        <f>D1547+D1581+D1785+D1819</f>
        <v>0</v>
      </c>
    </row>
    <row r="1514" spans="1:4" ht="12" hidden="1" customHeight="1" outlineLevel="1" x14ac:dyDescent="0.3">
      <c r="A1514" s="238"/>
      <c r="B1514" s="254">
        <v>8100</v>
      </c>
      <c r="C1514" s="255" t="s">
        <v>228</v>
      </c>
      <c r="D1514" s="244">
        <f t="shared" ref="D1514:D1516" si="131">D1548+D1582+D1786+D1820</f>
        <v>0</v>
      </c>
    </row>
    <row r="1515" spans="1:4" ht="12" hidden="1" customHeight="1" outlineLevel="1" x14ac:dyDescent="0.3">
      <c r="A1515" s="238"/>
      <c r="B1515" s="254">
        <v>8600</v>
      </c>
      <c r="C1515" s="255" t="s">
        <v>229</v>
      </c>
      <c r="D1515" s="244">
        <f t="shared" si="131"/>
        <v>0</v>
      </c>
    </row>
    <row r="1516" spans="1:4" ht="12" hidden="1" customHeight="1" outlineLevel="1" x14ac:dyDescent="0.3">
      <c r="A1516" s="238"/>
      <c r="B1516" s="254">
        <v>8900</v>
      </c>
      <c r="C1516" s="255" t="s">
        <v>230</v>
      </c>
      <c r="D1516" s="244">
        <f t="shared" si="131"/>
        <v>0</v>
      </c>
    </row>
    <row r="1517" spans="1:4" ht="12" customHeight="1" collapsed="1" x14ac:dyDescent="0.3">
      <c r="A1517" s="256" t="s">
        <v>156</v>
      </c>
      <c r="B1517" s="257"/>
      <c r="C1517" s="258" t="s">
        <v>316</v>
      </c>
      <c r="D1517" s="259">
        <f t="shared" ref="D1517" si="132">D1518+D1534+D1547</f>
        <v>2215977</v>
      </c>
    </row>
    <row r="1518" spans="1:4" ht="12" customHeight="1" x14ac:dyDescent="0.3">
      <c r="A1518" s="227"/>
      <c r="B1518" s="228"/>
      <c r="C1518" s="229" t="s">
        <v>198</v>
      </c>
      <c r="D1518" s="230">
        <f t="shared" ref="D1518" si="133">D1519+D1522+D1528+D1531+D1538+D1543</f>
        <v>2209677</v>
      </c>
    </row>
    <row r="1519" spans="1:4" ht="12" customHeight="1" x14ac:dyDescent="0.3">
      <c r="A1519" s="227"/>
      <c r="B1519" s="231">
        <v>1000</v>
      </c>
      <c r="C1519" s="232" t="s">
        <v>199</v>
      </c>
      <c r="D1519" s="230">
        <f>SUM(D1520:D1521)</f>
        <v>121306</v>
      </c>
    </row>
    <row r="1520" spans="1:4" ht="12" customHeight="1" x14ac:dyDescent="0.3">
      <c r="A1520" s="227"/>
      <c r="B1520" s="234">
        <v>1100</v>
      </c>
      <c r="C1520" s="235" t="s">
        <v>200</v>
      </c>
      <c r="D1520" s="236">
        <v>94467</v>
      </c>
    </row>
    <row r="1521" spans="1:4" ht="12" customHeight="1" x14ac:dyDescent="0.3">
      <c r="A1521" s="227"/>
      <c r="B1521" s="234">
        <v>1200</v>
      </c>
      <c r="C1521" s="237" t="s">
        <v>201</v>
      </c>
      <c r="D1521" s="236">
        <v>26839</v>
      </c>
    </row>
    <row r="1522" spans="1:4" ht="12" customHeight="1" x14ac:dyDescent="0.3">
      <c r="A1522" s="238"/>
      <c r="B1522" s="239">
        <v>2000</v>
      </c>
      <c r="C1522" s="240" t="s">
        <v>202</v>
      </c>
      <c r="D1522" s="260">
        <f>SUM(D1523:D1527)</f>
        <v>231991</v>
      </c>
    </row>
    <row r="1523" spans="1:4" ht="12" customHeight="1" x14ac:dyDescent="0.3">
      <c r="A1523" s="238"/>
      <c r="B1523" s="242">
        <v>2100</v>
      </c>
      <c r="C1523" s="243" t="s">
        <v>203</v>
      </c>
      <c r="D1523" s="244">
        <f>294+55+3252</f>
        <v>3601</v>
      </c>
    </row>
    <row r="1524" spans="1:4" ht="12" customHeight="1" x14ac:dyDescent="0.3">
      <c r="A1524" s="238"/>
      <c r="B1524" s="242">
        <v>2200</v>
      </c>
      <c r="C1524" s="243" t="s">
        <v>204</v>
      </c>
      <c r="D1524" s="244">
        <v>190072</v>
      </c>
    </row>
    <row r="1525" spans="1:4" ht="12" customHeight="1" x14ac:dyDescent="0.3">
      <c r="A1525" s="238"/>
      <c r="B1525" s="242">
        <v>2300</v>
      </c>
      <c r="C1525" s="243" t="s">
        <v>205</v>
      </c>
      <c r="D1525" s="244">
        <v>38155</v>
      </c>
    </row>
    <row r="1526" spans="1:4" ht="12" hidden="1" customHeight="1" outlineLevel="1" x14ac:dyDescent="0.3">
      <c r="A1526" s="238"/>
      <c r="B1526" s="242">
        <v>2400</v>
      </c>
      <c r="C1526" s="243" t="s">
        <v>206</v>
      </c>
      <c r="D1526" s="244"/>
    </row>
    <row r="1527" spans="1:4" ht="12" customHeight="1" collapsed="1" x14ac:dyDescent="0.3">
      <c r="A1527" s="238"/>
      <c r="B1527" s="242">
        <v>2500</v>
      </c>
      <c r="C1527" s="243" t="s">
        <v>207</v>
      </c>
      <c r="D1527" s="244">
        <f>78+2+83</f>
        <v>163</v>
      </c>
    </row>
    <row r="1528" spans="1:4" ht="12" customHeight="1" x14ac:dyDescent="0.3">
      <c r="A1528" s="238"/>
      <c r="B1528" s="199">
        <v>3000</v>
      </c>
      <c r="C1528" s="245" t="s">
        <v>208</v>
      </c>
      <c r="D1528" s="260">
        <f>SUM(D1529:D1530)</f>
        <v>1854496</v>
      </c>
    </row>
    <row r="1529" spans="1:4" ht="12" customHeight="1" x14ac:dyDescent="0.3">
      <c r="A1529" s="238"/>
      <c r="B1529" s="242">
        <v>3200</v>
      </c>
      <c r="C1529" s="243" t="s">
        <v>209</v>
      </c>
      <c r="D1529" s="244">
        <v>1854496</v>
      </c>
    </row>
    <row r="1530" spans="1:4" ht="12" hidden="1" customHeight="1" outlineLevel="1" x14ac:dyDescent="0.3">
      <c r="A1530" s="238"/>
      <c r="B1530" s="242">
        <v>3300</v>
      </c>
      <c r="C1530" s="243" t="s">
        <v>210</v>
      </c>
      <c r="D1530" s="244"/>
    </row>
    <row r="1531" spans="1:4" ht="12" hidden="1" customHeight="1" outlineLevel="1" x14ac:dyDescent="0.3">
      <c r="A1531" s="238"/>
      <c r="B1531" s="199">
        <v>4000</v>
      </c>
      <c r="C1531" s="246" t="s">
        <v>211</v>
      </c>
      <c r="D1531" s="260">
        <f>SUM(D1532:D1533)</f>
        <v>0</v>
      </c>
    </row>
    <row r="1532" spans="1:4" ht="12" hidden="1" customHeight="1" outlineLevel="1" x14ac:dyDescent="0.3">
      <c r="A1532" s="238"/>
      <c r="B1532" s="242">
        <v>4200</v>
      </c>
      <c r="C1532" s="247" t="s">
        <v>212</v>
      </c>
      <c r="D1532" s="244"/>
    </row>
    <row r="1533" spans="1:4" ht="12" hidden="1" customHeight="1" outlineLevel="1" x14ac:dyDescent="0.3">
      <c r="A1533" s="238"/>
      <c r="B1533" s="242">
        <v>4300</v>
      </c>
      <c r="C1533" s="247" t="s">
        <v>213</v>
      </c>
      <c r="D1533" s="244"/>
    </row>
    <row r="1534" spans="1:4" ht="12" customHeight="1" collapsed="1" x14ac:dyDescent="0.3">
      <c r="A1534" s="238"/>
      <c r="B1534" s="199">
        <v>5000</v>
      </c>
      <c r="C1534" s="200" t="s">
        <v>214</v>
      </c>
      <c r="D1534" s="260">
        <f>SUM(D1535:D1537)</f>
        <v>6300</v>
      </c>
    </row>
    <row r="1535" spans="1:4" ht="12" hidden="1" customHeight="1" outlineLevel="1" x14ac:dyDescent="0.3">
      <c r="A1535" s="238"/>
      <c r="B1535" s="242">
        <v>5100</v>
      </c>
      <c r="C1535" s="248" t="s">
        <v>215</v>
      </c>
      <c r="D1535" s="260"/>
    </row>
    <row r="1536" spans="1:4" ht="12" customHeight="1" collapsed="1" x14ac:dyDescent="0.3">
      <c r="A1536" s="238"/>
      <c r="B1536" s="242">
        <v>5200</v>
      </c>
      <c r="C1536" s="248" t="s">
        <v>216</v>
      </c>
      <c r="D1536" s="244">
        <v>6300</v>
      </c>
    </row>
    <row r="1537" spans="1:4" ht="12" hidden="1" customHeight="1" outlineLevel="1" x14ac:dyDescent="0.3">
      <c r="A1537" s="238"/>
      <c r="B1537" s="242">
        <v>5300</v>
      </c>
      <c r="C1537" s="249" t="s">
        <v>217</v>
      </c>
      <c r="D1537" s="260"/>
    </row>
    <row r="1538" spans="1:4" ht="12" customHeight="1" collapsed="1" x14ac:dyDescent="0.3">
      <c r="A1538" s="238"/>
      <c r="B1538" s="199">
        <v>6000</v>
      </c>
      <c r="C1538" s="200" t="s">
        <v>218</v>
      </c>
      <c r="D1538" s="260">
        <f>SUM(D1539:D1542)</f>
        <v>1884</v>
      </c>
    </row>
    <row r="1539" spans="1:4" ht="12" customHeight="1" x14ac:dyDescent="0.3">
      <c r="A1539" s="238"/>
      <c r="B1539" s="242">
        <v>6200</v>
      </c>
      <c r="C1539" s="248" t="s">
        <v>219</v>
      </c>
      <c r="D1539" s="244">
        <v>784</v>
      </c>
    </row>
    <row r="1540" spans="1:4" ht="12" hidden="1" customHeight="1" outlineLevel="1" x14ac:dyDescent="0.3">
      <c r="A1540" s="238"/>
      <c r="B1540" s="242">
        <v>6300</v>
      </c>
      <c r="C1540" s="248" t="s">
        <v>220</v>
      </c>
      <c r="D1540" s="244"/>
    </row>
    <row r="1541" spans="1:4" ht="12" customHeight="1" collapsed="1" x14ac:dyDescent="0.3">
      <c r="A1541" s="238"/>
      <c r="B1541" s="242">
        <v>6400</v>
      </c>
      <c r="C1541" s="248" t="s">
        <v>221</v>
      </c>
      <c r="D1541" s="244">
        <v>1100</v>
      </c>
    </row>
    <row r="1542" spans="1:4" ht="12" hidden="1" customHeight="1" outlineLevel="1" x14ac:dyDescent="0.3">
      <c r="A1542" s="238"/>
      <c r="B1542" s="242">
        <v>6500</v>
      </c>
      <c r="C1542" s="249" t="s">
        <v>222</v>
      </c>
      <c r="D1542" s="244"/>
    </row>
    <row r="1543" spans="1:4" ht="12" hidden="1" customHeight="1" outlineLevel="1" x14ac:dyDescent="0.3">
      <c r="A1543" s="238"/>
      <c r="B1543" s="199">
        <v>7000</v>
      </c>
      <c r="C1543" s="200" t="s">
        <v>223</v>
      </c>
      <c r="D1543" s="260">
        <f>SUM(D1544:D1546)</f>
        <v>0</v>
      </c>
    </row>
    <row r="1544" spans="1:4" ht="12" hidden="1" customHeight="1" outlineLevel="1" x14ac:dyDescent="0.3">
      <c r="A1544" s="238"/>
      <c r="B1544" s="250">
        <v>7200</v>
      </c>
      <c r="C1544" s="251" t="s">
        <v>224</v>
      </c>
      <c r="D1544" s="244"/>
    </row>
    <row r="1545" spans="1:4" ht="12" hidden="1" customHeight="1" outlineLevel="1" x14ac:dyDescent="0.3">
      <c r="A1545" s="238"/>
      <c r="B1545" s="250">
        <v>7500</v>
      </c>
      <c r="C1545" s="251" t="s">
        <v>225</v>
      </c>
      <c r="D1545" s="244"/>
    </row>
    <row r="1546" spans="1:4" ht="12" hidden="1" customHeight="1" outlineLevel="1" x14ac:dyDescent="0.3">
      <c r="A1546" s="238"/>
      <c r="B1546" s="250">
        <v>7700</v>
      </c>
      <c r="C1546" s="251" t="s">
        <v>226</v>
      </c>
      <c r="D1546" s="244"/>
    </row>
    <row r="1547" spans="1:4" ht="12" hidden="1" customHeight="1" outlineLevel="1" x14ac:dyDescent="0.3">
      <c r="A1547" s="238"/>
      <c r="B1547" s="252">
        <v>8000</v>
      </c>
      <c r="C1547" s="253" t="s">
        <v>227</v>
      </c>
      <c r="D1547" s="260">
        <f>SUM(D1548:D1550)</f>
        <v>0</v>
      </c>
    </row>
    <row r="1548" spans="1:4" ht="12" hidden="1" customHeight="1" outlineLevel="1" x14ac:dyDescent="0.3">
      <c r="A1548" s="238"/>
      <c r="B1548" s="254">
        <v>8100</v>
      </c>
      <c r="C1548" s="255" t="s">
        <v>228</v>
      </c>
      <c r="D1548" s="260"/>
    </row>
    <row r="1549" spans="1:4" ht="12" hidden="1" customHeight="1" outlineLevel="1" x14ac:dyDescent="0.3">
      <c r="A1549" s="238"/>
      <c r="B1549" s="254">
        <v>8600</v>
      </c>
      <c r="C1549" s="255" t="s">
        <v>229</v>
      </c>
      <c r="D1549" s="260"/>
    </row>
    <row r="1550" spans="1:4" ht="12" hidden="1" customHeight="1" outlineLevel="1" x14ac:dyDescent="0.3">
      <c r="A1550" s="238"/>
      <c r="B1550" s="254">
        <v>8900</v>
      </c>
      <c r="C1550" s="255" t="s">
        <v>230</v>
      </c>
      <c r="D1550" s="260"/>
    </row>
    <row r="1551" spans="1:4" ht="12" customHeight="1" collapsed="1" x14ac:dyDescent="0.3">
      <c r="A1551" s="256" t="s">
        <v>317</v>
      </c>
      <c r="B1551" s="257"/>
      <c r="C1551" s="258" t="s">
        <v>318</v>
      </c>
      <c r="D1551" s="259">
        <f t="shared" ref="D1551" si="134">D1552+D1568+D1581</f>
        <v>6261568</v>
      </c>
    </row>
    <row r="1552" spans="1:4" ht="12" customHeight="1" x14ac:dyDescent="0.3">
      <c r="A1552" s="238"/>
      <c r="B1552" s="228"/>
      <c r="C1552" s="229" t="s">
        <v>198</v>
      </c>
      <c r="D1552" s="230">
        <f t="shared" ref="D1552" si="135">D1553+D1556+D1562+D1565+D1572+D1577</f>
        <v>6002315</v>
      </c>
    </row>
    <row r="1553" spans="1:4" ht="12" customHeight="1" x14ac:dyDescent="0.3">
      <c r="A1553" s="238"/>
      <c r="B1553" s="231">
        <v>1000</v>
      </c>
      <c r="C1553" s="232" t="s">
        <v>199</v>
      </c>
      <c r="D1553" s="233">
        <f>D1587+D1621+D1655+D1689+D1723</f>
        <v>3385685</v>
      </c>
    </row>
    <row r="1554" spans="1:4" ht="12" customHeight="1" x14ac:dyDescent="0.3">
      <c r="A1554" s="238"/>
      <c r="B1554" s="234">
        <v>1100</v>
      </c>
      <c r="C1554" s="235" t="s">
        <v>200</v>
      </c>
      <c r="D1554" s="236">
        <f t="shared" ref="D1554:D1555" si="136">D1588+D1622+D1656+D1690+D1724</f>
        <v>2638667</v>
      </c>
    </row>
    <row r="1555" spans="1:4" ht="12" customHeight="1" x14ac:dyDescent="0.3">
      <c r="A1555" s="238"/>
      <c r="B1555" s="234">
        <v>1200</v>
      </c>
      <c r="C1555" s="237" t="s">
        <v>201</v>
      </c>
      <c r="D1555" s="236">
        <f t="shared" si="136"/>
        <v>747018</v>
      </c>
    </row>
    <row r="1556" spans="1:4" ht="12" customHeight="1" x14ac:dyDescent="0.3">
      <c r="A1556" s="238"/>
      <c r="B1556" s="239">
        <v>2000</v>
      </c>
      <c r="C1556" s="240" t="s">
        <v>202</v>
      </c>
      <c r="D1556" s="241">
        <f>D1590+D1624+D1658+D1692+D1726</f>
        <v>2162943</v>
      </c>
    </row>
    <row r="1557" spans="1:4" ht="12" customHeight="1" x14ac:dyDescent="0.3">
      <c r="A1557" s="238"/>
      <c r="B1557" s="242">
        <v>2100</v>
      </c>
      <c r="C1557" s="243" t="s">
        <v>203</v>
      </c>
      <c r="D1557" s="244">
        <f t="shared" ref="D1557:D1561" si="137">D1591+D1625+D1659+D1693+D1727</f>
        <v>27921</v>
      </c>
    </row>
    <row r="1558" spans="1:4" ht="12" customHeight="1" x14ac:dyDescent="0.3">
      <c r="A1558" s="238"/>
      <c r="B1558" s="242">
        <v>2200</v>
      </c>
      <c r="C1558" s="243" t="s">
        <v>204</v>
      </c>
      <c r="D1558" s="244">
        <f t="shared" si="137"/>
        <v>1631459</v>
      </c>
    </row>
    <row r="1559" spans="1:4" ht="12" customHeight="1" x14ac:dyDescent="0.3">
      <c r="A1559" s="238"/>
      <c r="B1559" s="242">
        <v>2300</v>
      </c>
      <c r="C1559" s="243" t="s">
        <v>205</v>
      </c>
      <c r="D1559" s="244">
        <f t="shared" si="137"/>
        <v>445615</v>
      </c>
    </row>
    <row r="1560" spans="1:4" ht="12" customHeight="1" x14ac:dyDescent="0.3">
      <c r="A1560" s="238"/>
      <c r="B1560" s="242">
        <v>2400</v>
      </c>
      <c r="C1560" s="243" t="s">
        <v>206</v>
      </c>
      <c r="D1560" s="244">
        <f t="shared" si="137"/>
        <v>31576</v>
      </c>
    </row>
    <row r="1561" spans="1:4" ht="12" customHeight="1" x14ac:dyDescent="0.3">
      <c r="A1561" s="238"/>
      <c r="B1561" s="242">
        <v>2500</v>
      </c>
      <c r="C1561" s="243" t="s">
        <v>207</v>
      </c>
      <c r="D1561" s="244">
        <f t="shared" si="137"/>
        <v>26372</v>
      </c>
    </row>
    <row r="1562" spans="1:4" ht="12" customHeight="1" x14ac:dyDescent="0.3">
      <c r="A1562" s="238"/>
      <c r="B1562" s="199">
        <v>3000</v>
      </c>
      <c r="C1562" s="245" t="s">
        <v>208</v>
      </c>
      <c r="D1562" s="241">
        <f>D1596+D1630+D1664+D1698+D1732</f>
        <v>317726</v>
      </c>
    </row>
    <row r="1563" spans="1:4" ht="12" customHeight="1" x14ac:dyDescent="0.3">
      <c r="A1563" s="238"/>
      <c r="B1563" s="242">
        <v>3200</v>
      </c>
      <c r="C1563" s="243" t="s">
        <v>209</v>
      </c>
      <c r="D1563" s="244">
        <f t="shared" ref="D1563:D1564" si="138">D1597+D1631+D1665+D1699+D1733</f>
        <v>317726</v>
      </c>
    </row>
    <row r="1564" spans="1:4" ht="12" hidden="1" customHeight="1" outlineLevel="1" x14ac:dyDescent="0.3">
      <c r="A1564" s="238"/>
      <c r="B1564" s="242">
        <v>3300</v>
      </c>
      <c r="C1564" s="243" t="s">
        <v>210</v>
      </c>
      <c r="D1564" s="244">
        <f t="shared" si="138"/>
        <v>0</v>
      </c>
    </row>
    <row r="1565" spans="1:4" ht="12" hidden="1" customHeight="1" outlineLevel="1" x14ac:dyDescent="0.3">
      <c r="A1565" s="238"/>
      <c r="B1565" s="199">
        <v>4000</v>
      </c>
      <c r="C1565" s="246" t="s">
        <v>211</v>
      </c>
      <c r="D1565" s="241">
        <f>D1599+D1633+D1667+D1701+D1735</f>
        <v>0</v>
      </c>
    </row>
    <row r="1566" spans="1:4" ht="12" hidden="1" customHeight="1" outlineLevel="1" x14ac:dyDescent="0.3">
      <c r="A1566" s="238"/>
      <c r="B1566" s="242">
        <v>4200</v>
      </c>
      <c r="C1566" s="247" t="s">
        <v>212</v>
      </c>
      <c r="D1566" s="244">
        <f t="shared" ref="D1566:D1567" si="139">D1600+D1634+D1668+D1702+D1736</f>
        <v>0</v>
      </c>
    </row>
    <row r="1567" spans="1:4" ht="12" hidden="1" customHeight="1" outlineLevel="1" x14ac:dyDescent="0.3">
      <c r="A1567" s="238"/>
      <c r="B1567" s="242">
        <v>4300</v>
      </c>
      <c r="C1567" s="247" t="s">
        <v>213</v>
      </c>
      <c r="D1567" s="244">
        <f t="shared" si="139"/>
        <v>0</v>
      </c>
    </row>
    <row r="1568" spans="1:4" ht="12" customHeight="1" collapsed="1" x14ac:dyDescent="0.3">
      <c r="A1568" s="238"/>
      <c r="B1568" s="199">
        <v>5000</v>
      </c>
      <c r="C1568" s="200" t="s">
        <v>214</v>
      </c>
      <c r="D1568" s="241">
        <f>D1602+D1636+D1670+D1704+D1738</f>
        <v>259253</v>
      </c>
    </row>
    <row r="1569" spans="1:4" ht="12" customHeight="1" x14ac:dyDescent="0.3">
      <c r="A1569" s="238"/>
      <c r="B1569" s="242">
        <v>5100</v>
      </c>
      <c r="C1569" s="248" t="s">
        <v>215</v>
      </c>
      <c r="D1569" s="244">
        <f t="shared" ref="D1569:D1571" si="140">D1603+D1637+D1671+D1705+D1739</f>
        <v>153</v>
      </c>
    </row>
    <row r="1570" spans="1:4" ht="12" customHeight="1" x14ac:dyDescent="0.3">
      <c r="A1570" s="238"/>
      <c r="B1570" s="242">
        <v>5200</v>
      </c>
      <c r="C1570" s="248" t="s">
        <v>216</v>
      </c>
      <c r="D1570" s="244">
        <f t="shared" si="140"/>
        <v>259100</v>
      </c>
    </row>
    <row r="1571" spans="1:4" ht="12" hidden="1" customHeight="1" outlineLevel="1" x14ac:dyDescent="0.3">
      <c r="A1571" s="238"/>
      <c r="B1571" s="242">
        <v>5300</v>
      </c>
      <c r="C1571" s="249" t="s">
        <v>217</v>
      </c>
      <c r="D1571" s="244">
        <f t="shared" si="140"/>
        <v>0</v>
      </c>
    </row>
    <row r="1572" spans="1:4" ht="12" customHeight="1" collapsed="1" x14ac:dyDescent="0.3">
      <c r="A1572" s="238"/>
      <c r="B1572" s="199">
        <v>6000</v>
      </c>
      <c r="C1572" s="200" t="s">
        <v>218</v>
      </c>
      <c r="D1572" s="241">
        <f>D1606+D1640+D1674+D1708+D1742</f>
        <v>850</v>
      </c>
    </row>
    <row r="1573" spans="1:4" ht="12" hidden="1" customHeight="1" outlineLevel="1" x14ac:dyDescent="0.3">
      <c r="A1573" s="238"/>
      <c r="B1573" s="242">
        <v>6200</v>
      </c>
      <c r="C1573" s="248" t="s">
        <v>219</v>
      </c>
      <c r="D1573" s="244">
        <f t="shared" ref="D1573:D1576" si="141">D1607+D1641+D1675+D1709+D1743</f>
        <v>0</v>
      </c>
    </row>
    <row r="1574" spans="1:4" ht="12" hidden="1" customHeight="1" outlineLevel="1" x14ac:dyDescent="0.3">
      <c r="A1574" s="238"/>
      <c r="B1574" s="242">
        <v>6300</v>
      </c>
      <c r="C1574" s="248" t="s">
        <v>220</v>
      </c>
      <c r="D1574" s="244">
        <f t="shared" si="141"/>
        <v>0</v>
      </c>
    </row>
    <row r="1575" spans="1:4" ht="12" customHeight="1" collapsed="1" x14ac:dyDescent="0.3">
      <c r="A1575" s="238"/>
      <c r="B1575" s="242">
        <v>6400</v>
      </c>
      <c r="C1575" s="248" t="s">
        <v>221</v>
      </c>
      <c r="D1575" s="244">
        <f t="shared" si="141"/>
        <v>850</v>
      </c>
    </row>
    <row r="1576" spans="1:4" ht="12" hidden="1" customHeight="1" outlineLevel="1" x14ac:dyDescent="0.3">
      <c r="A1576" s="238"/>
      <c r="B1576" s="242">
        <v>6500</v>
      </c>
      <c r="C1576" s="249" t="s">
        <v>222</v>
      </c>
      <c r="D1576" s="244">
        <f t="shared" si="141"/>
        <v>0</v>
      </c>
    </row>
    <row r="1577" spans="1:4" ht="12" customHeight="1" collapsed="1" x14ac:dyDescent="0.3">
      <c r="A1577" s="238"/>
      <c r="B1577" s="199">
        <v>7000</v>
      </c>
      <c r="C1577" s="200" t="s">
        <v>223</v>
      </c>
      <c r="D1577" s="241">
        <f>D1611+D1645+D1679+D1713+D1747</f>
        <v>135111</v>
      </c>
    </row>
    <row r="1578" spans="1:4" ht="12" customHeight="1" x14ac:dyDescent="0.3">
      <c r="A1578" s="238"/>
      <c r="B1578" s="250">
        <v>7200</v>
      </c>
      <c r="C1578" s="251" t="s">
        <v>224</v>
      </c>
      <c r="D1578" s="244">
        <f t="shared" ref="D1578:D1580" si="142">D1612+D1646+D1680+D1714+D1748</f>
        <v>135111</v>
      </c>
    </row>
    <row r="1579" spans="1:4" ht="12" hidden="1" customHeight="1" outlineLevel="1" x14ac:dyDescent="0.3">
      <c r="A1579" s="238"/>
      <c r="B1579" s="250">
        <v>7500</v>
      </c>
      <c r="C1579" s="251" t="s">
        <v>225</v>
      </c>
      <c r="D1579" s="244">
        <f t="shared" si="142"/>
        <v>0</v>
      </c>
    </row>
    <row r="1580" spans="1:4" ht="12" hidden="1" customHeight="1" outlineLevel="1" x14ac:dyDescent="0.3">
      <c r="A1580" s="238"/>
      <c r="B1580" s="250">
        <v>7700</v>
      </c>
      <c r="C1580" s="251" t="s">
        <v>226</v>
      </c>
      <c r="D1580" s="244">
        <f t="shared" si="142"/>
        <v>0</v>
      </c>
    </row>
    <row r="1581" spans="1:4" ht="12" hidden="1" customHeight="1" outlineLevel="1" x14ac:dyDescent="0.3">
      <c r="A1581" s="238"/>
      <c r="B1581" s="252">
        <v>8000</v>
      </c>
      <c r="C1581" s="253" t="s">
        <v>227</v>
      </c>
      <c r="D1581" s="241">
        <f>D1615+D1649+D1683+D1717+D1751</f>
        <v>0</v>
      </c>
    </row>
    <row r="1582" spans="1:4" ht="12" hidden="1" customHeight="1" outlineLevel="1" x14ac:dyDescent="0.3">
      <c r="A1582" s="238"/>
      <c r="B1582" s="254">
        <v>8100</v>
      </c>
      <c r="C1582" s="255" t="s">
        <v>228</v>
      </c>
      <c r="D1582" s="244">
        <f t="shared" ref="D1582:D1584" si="143">D1616+D1650+D1684+D1718+D1752</f>
        <v>0</v>
      </c>
    </row>
    <row r="1583" spans="1:4" ht="12" hidden="1" customHeight="1" outlineLevel="1" x14ac:dyDescent="0.3">
      <c r="A1583" s="238"/>
      <c r="B1583" s="254">
        <v>8600</v>
      </c>
      <c r="C1583" s="255" t="s">
        <v>229</v>
      </c>
      <c r="D1583" s="244">
        <f t="shared" si="143"/>
        <v>0</v>
      </c>
    </row>
    <row r="1584" spans="1:4" ht="12" hidden="1" customHeight="1" outlineLevel="1" x14ac:dyDescent="0.3">
      <c r="A1584" s="238"/>
      <c r="B1584" s="254">
        <v>8900</v>
      </c>
      <c r="C1584" s="255" t="s">
        <v>230</v>
      </c>
      <c r="D1584" s="244">
        <f t="shared" si="143"/>
        <v>0</v>
      </c>
    </row>
    <row r="1585" spans="1:4" ht="12" customHeight="1" collapsed="1" x14ac:dyDescent="0.3">
      <c r="A1585" s="272" t="s">
        <v>319</v>
      </c>
      <c r="B1585" s="273"/>
      <c r="C1585" s="274" t="s">
        <v>320</v>
      </c>
      <c r="D1585" s="275">
        <f t="shared" ref="D1585" si="144">D1586+D1602+D1615</f>
        <v>1625282</v>
      </c>
    </row>
    <row r="1586" spans="1:4" ht="12" customHeight="1" x14ac:dyDescent="0.3">
      <c r="A1586" s="227"/>
      <c r="B1586" s="228"/>
      <c r="C1586" s="229" t="s">
        <v>198</v>
      </c>
      <c r="D1586" s="230">
        <f t="shared" ref="D1586" si="145">D1587+D1590+D1596+D1599+D1606+D1611</f>
        <v>1520042</v>
      </c>
    </row>
    <row r="1587" spans="1:4" ht="12" customHeight="1" x14ac:dyDescent="0.3">
      <c r="A1587" s="227"/>
      <c r="B1587" s="231">
        <v>1000</v>
      </c>
      <c r="C1587" s="232" t="s">
        <v>199</v>
      </c>
      <c r="D1587" s="230">
        <f>SUM(D1588:D1589)</f>
        <v>1058821</v>
      </c>
    </row>
    <row r="1588" spans="1:4" ht="12" customHeight="1" x14ac:dyDescent="0.3">
      <c r="A1588" s="227"/>
      <c r="B1588" s="234">
        <v>1100</v>
      </c>
      <c r="C1588" s="235" t="s">
        <v>200</v>
      </c>
      <c r="D1588" s="236">
        <f>789855+6800+11872+239</f>
        <v>808766</v>
      </c>
    </row>
    <row r="1589" spans="1:4" ht="12" customHeight="1" x14ac:dyDescent="0.3">
      <c r="A1589" s="227"/>
      <c r="B1589" s="234">
        <v>1200</v>
      </c>
      <c r="C1589" s="237" t="s">
        <v>201</v>
      </c>
      <c r="D1589" s="236">
        <f>239246+2120+6766+1923</f>
        <v>250055</v>
      </c>
    </row>
    <row r="1590" spans="1:4" ht="12" customHeight="1" x14ac:dyDescent="0.3">
      <c r="A1590" s="238"/>
      <c r="B1590" s="239">
        <v>2000</v>
      </c>
      <c r="C1590" s="240" t="s">
        <v>202</v>
      </c>
      <c r="D1590" s="260">
        <f>SUM(D1591:D1595)</f>
        <v>327333</v>
      </c>
    </row>
    <row r="1591" spans="1:4" ht="12" customHeight="1" x14ac:dyDescent="0.3">
      <c r="A1591" s="238"/>
      <c r="B1591" s="242">
        <v>2100</v>
      </c>
      <c r="C1591" s="243" t="s">
        <v>203</v>
      </c>
      <c r="D1591" s="244">
        <f>15341+9669+947-2268</f>
        <v>23689</v>
      </c>
    </row>
    <row r="1592" spans="1:4" ht="12" customHeight="1" x14ac:dyDescent="0.3">
      <c r="A1592" s="238"/>
      <c r="B1592" s="242">
        <v>2200</v>
      </c>
      <c r="C1592" s="243" t="s">
        <v>204</v>
      </c>
      <c r="D1592" s="244">
        <f>172820+6414+2235-9280</f>
        <v>172189</v>
      </c>
    </row>
    <row r="1593" spans="1:4" ht="12" customHeight="1" x14ac:dyDescent="0.3">
      <c r="A1593" s="238"/>
      <c r="B1593" s="242">
        <v>2300</v>
      </c>
      <c r="C1593" s="243" t="s">
        <v>205</v>
      </c>
      <c r="D1593" s="244">
        <f>93671+1116+1717+2971</f>
        <v>99475</v>
      </c>
    </row>
    <row r="1594" spans="1:4" ht="12" customHeight="1" x14ac:dyDescent="0.3">
      <c r="A1594" s="238"/>
      <c r="B1594" s="242">
        <v>2400</v>
      </c>
      <c r="C1594" s="243" t="s">
        <v>206</v>
      </c>
      <c r="D1594" s="244">
        <f>16250+15231+95</f>
        <v>31576</v>
      </c>
    </row>
    <row r="1595" spans="1:4" ht="12" customHeight="1" x14ac:dyDescent="0.3">
      <c r="A1595" s="238"/>
      <c r="B1595" s="242">
        <v>2500</v>
      </c>
      <c r="C1595" s="243" t="s">
        <v>207</v>
      </c>
      <c r="D1595" s="244">
        <f>254+7+143</f>
        <v>404</v>
      </c>
    </row>
    <row r="1596" spans="1:4" ht="12" hidden="1" customHeight="1" outlineLevel="1" x14ac:dyDescent="0.3">
      <c r="A1596" s="238"/>
      <c r="B1596" s="199">
        <v>3000</v>
      </c>
      <c r="C1596" s="245" t="s">
        <v>208</v>
      </c>
      <c r="D1596" s="260">
        <f>SUM(D1597:D1598)</f>
        <v>0</v>
      </c>
    </row>
    <row r="1597" spans="1:4" ht="12" hidden="1" customHeight="1" outlineLevel="1" x14ac:dyDescent="0.3">
      <c r="A1597" s="238"/>
      <c r="B1597" s="242">
        <v>3200</v>
      </c>
      <c r="C1597" s="243" t="s">
        <v>209</v>
      </c>
      <c r="D1597" s="244"/>
    </row>
    <row r="1598" spans="1:4" ht="12" hidden="1" customHeight="1" outlineLevel="1" x14ac:dyDescent="0.3">
      <c r="A1598" s="238"/>
      <c r="B1598" s="242">
        <v>3300</v>
      </c>
      <c r="C1598" s="243" t="s">
        <v>210</v>
      </c>
      <c r="D1598" s="244"/>
    </row>
    <row r="1599" spans="1:4" ht="12" hidden="1" customHeight="1" outlineLevel="1" x14ac:dyDescent="0.3">
      <c r="A1599" s="238"/>
      <c r="B1599" s="199">
        <v>4000</v>
      </c>
      <c r="C1599" s="246" t="s">
        <v>211</v>
      </c>
      <c r="D1599" s="260">
        <f>SUM(D1600:D1601)</f>
        <v>0</v>
      </c>
    </row>
    <row r="1600" spans="1:4" ht="12" hidden="1" customHeight="1" outlineLevel="1" x14ac:dyDescent="0.3">
      <c r="A1600" s="238"/>
      <c r="B1600" s="242">
        <v>4200</v>
      </c>
      <c r="C1600" s="247" t="s">
        <v>212</v>
      </c>
      <c r="D1600" s="244"/>
    </row>
    <row r="1601" spans="1:4" ht="12" hidden="1" customHeight="1" outlineLevel="1" x14ac:dyDescent="0.3">
      <c r="A1601" s="238"/>
      <c r="B1601" s="242">
        <v>4300</v>
      </c>
      <c r="C1601" s="247" t="s">
        <v>213</v>
      </c>
      <c r="D1601" s="244"/>
    </row>
    <row r="1602" spans="1:4" ht="12" customHeight="1" collapsed="1" x14ac:dyDescent="0.3">
      <c r="A1602" s="238"/>
      <c r="B1602" s="199">
        <v>5000</v>
      </c>
      <c r="C1602" s="200" t="s">
        <v>214</v>
      </c>
      <c r="D1602" s="260">
        <f>SUM(D1603:D1605)</f>
        <v>105240</v>
      </c>
    </row>
    <row r="1603" spans="1:4" ht="12" customHeight="1" x14ac:dyDescent="0.3">
      <c r="A1603" s="238"/>
      <c r="B1603" s="242">
        <v>5100</v>
      </c>
      <c r="C1603" s="248" t="s">
        <v>215</v>
      </c>
      <c r="D1603" s="244"/>
    </row>
    <row r="1604" spans="1:4" ht="12" customHeight="1" x14ac:dyDescent="0.3">
      <c r="A1604" s="238"/>
      <c r="B1604" s="242">
        <v>5200</v>
      </c>
      <c r="C1604" s="248" t="s">
        <v>216</v>
      </c>
      <c r="D1604" s="244">
        <f>108953-789+870-3794</f>
        <v>105240</v>
      </c>
    </row>
    <row r="1605" spans="1:4" ht="12" hidden="1" customHeight="1" outlineLevel="1" x14ac:dyDescent="0.3">
      <c r="A1605" s="238"/>
      <c r="B1605" s="242">
        <v>5300</v>
      </c>
      <c r="C1605" s="249" t="s">
        <v>217</v>
      </c>
      <c r="D1605" s="260"/>
    </row>
    <row r="1606" spans="1:4" ht="12" hidden="1" customHeight="1" outlineLevel="1" x14ac:dyDescent="0.3">
      <c r="A1606" s="238"/>
      <c r="B1606" s="199">
        <v>6000</v>
      </c>
      <c r="C1606" s="200" t="s">
        <v>218</v>
      </c>
      <c r="D1606" s="260">
        <f>SUM(D1607:D1610)</f>
        <v>0</v>
      </c>
    </row>
    <row r="1607" spans="1:4" ht="12" hidden="1" customHeight="1" outlineLevel="1" x14ac:dyDescent="0.3">
      <c r="A1607" s="238"/>
      <c r="B1607" s="242">
        <v>6200</v>
      </c>
      <c r="C1607" s="248" t="s">
        <v>219</v>
      </c>
      <c r="D1607" s="244"/>
    </row>
    <row r="1608" spans="1:4" ht="12" hidden="1" customHeight="1" outlineLevel="1" x14ac:dyDescent="0.3">
      <c r="A1608" s="238"/>
      <c r="B1608" s="242">
        <v>6300</v>
      </c>
      <c r="C1608" s="248" t="s">
        <v>220</v>
      </c>
      <c r="D1608" s="244"/>
    </row>
    <row r="1609" spans="1:4" ht="12" hidden="1" customHeight="1" outlineLevel="1" x14ac:dyDescent="0.3">
      <c r="A1609" s="238"/>
      <c r="B1609" s="242">
        <v>6400</v>
      </c>
      <c r="C1609" s="248" t="s">
        <v>221</v>
      </c>
      <c r="D1609" s="244"/>
    </row>
    <row r="1610" spans="1:4" ht="12" hidden="1" customHeight="1" outlineLevel="1" x14ac:dyDescent="0.3">
      <c r="A1610" s="238"/>
      <c r="B1610" s="242">
        <v>6500</v>
      </c>
      <c r="C1610" s="249" t="s">
        <v>222</v>
      </c>
      <c r="D1610" s="244"/>
    </row>
    <row r="1611" spans="1:4" ht="12" customHeight="1" collapsed="1" x14ac:dyDescent="0.3">
      <c r="A1611" s="238"/>
      <c r="B1611" s="199">
        <v>7000</v>
      </c>
      <c r="C1611" s="200" t="s">
        <v>223</v>
      </c>
      <c r="D1611" s="260">
        <f>SUM(D1612:D1614)</f>
        <v>133888</v>
      </c>
    </row>
    <row r="1612" spans="1:4" ht="12" customHeight="1" x14ac:dyDescent="0.3">
      <c r="A1612" s="238"/>
      <c r="B1612" s="250">
        <v>7200</v>
      </c>
      <c r="C1612" s="251" t="s">
        <v>224</v>
      </c>
      <c r="D1612" s="244">
        <f>144105-10217</f>
        <v>133888</v>
      </c>
    </row>
    <row r="1613" spans="1:4" ht="12" hidden="1" customHeight="1" outlineLevel="1" x14ac:dyDescent="0.3">
      <c r="A1613" s="238"/>
      <c r="B1613" s="250">
        <v>7500</v>
      </c>
      <c r="C1613" s="251" t="s">
        <v>225</v>
      </c>
      <c r="D1613" s="244"/>
    </row>
    <row r="1614" spans="1:4" ht="12" hidden="1" customHeight="1" outlineLevel="1" x14ac:dyDescent="0.3">
      <c r="A1614" s="238"/>
      <c r="B1614" s="250">
        <v>7700</v>
      </c>
      <c r="C1614" s="251" t="s">
        <v>226</v>
      </c>
      <c r="D1614" s="244"/>
    </row>
    <row r="1615" spans="1:4" ht="12" hidden="1" customHeight="1" outlineLevel="1" x14ac:dyDescent="0.3">
      <c r="A1615" s="238"/>
      <c r="B1615" s="252">
        <v>8000</v>
      </c>
      <c r="C1615" s="253" t="s">
        <v>227</v>
      </c>
      <c r="D1615" s="260">
        <f>SUM(D1616:D1618)</f>
        <v>0</v>
      </c>
    </row>
    <row r="1616" spans="1:4" ht="12" hidden="1" customHeight="1" outlineLevel="1" x14ac:dyDescent="0.3">
      <c r="A1616" s="238"/>
      <c r="B1616" s="254">
        <v>8100</v>
      </c>
      <c r="C1616" s="255" t="s">
        <v>228</v>
      </c>
      <c r="D1616" s="260"/>
    </row>
    <row r="1617" spans="1:4" ht="12" hidden="1" customHeight="1" outlineLevel="1" x14ac:dyDescent="0.3">
      <c r="A1617" s="238"/>
      <c r="B1617" s="254">
        <v>8600</v>
      </c>
      <c r="C1617" s="255" t="s">
        <v>229</v>
      </c>
      <c r="D1617" s="260"/>
    </row>
    <row r="1618" spans="1:4" ht="12" hidden="1" customHeight="1" outlineLevel="1" x14ac:dyDescent="0.3">
      <c r="A1618" s="238"/>
      <c r="B1618" s="254">
        <v>8900</v>
      </c>
      <c r="C1618" s="255" t="s">
        <v>230</v>
      </c>
      <c r="D1618" s="260"/>
    </row>
    <row r="1619" spans="1:4" ht="12" customHeight="1" collapsed="1" x14ac:dyDescent="0.3">
      <c r="A1619" s="272" t="s">
        <v>321</v>
      </c>
      <c r="B1619" s="273"/>
      <c r="C1619" s="274" t="s">
        <v>322</v>
      </c>
      <c r="D1619" s="275">
        <f t="shared" ref="D1619" si="146">D1620+D1636+D1649</f>
        <v>651969</v>
      </c>
    </row>
    <row r="1620" spans="1:4" ht="12" customHeight="1" x14ac:dyDescent="0.3">
      <c r="A1620" s="227"/>
      <c r="B1620" s="228"/>
      <c r="C1620" s="229" t="s">
        <v>198</v>
      </c>
      <c r="D1620" s="230">
        <f t="shared" ref="D1620" si="147">D1621+D1624+D1630+D1633+D1640+D1645</f>
        <v>631500</v>
      </c>
    </row>
    <row r="1621" spans="1:4" ht="12" customHeight="1" x14ac:dyDescent="0.3">
      <c r="A1621" s="227"/>
      <c r="B1621" s="231">
        <v>1000</v>
      </c>
      <c r="C1621" s="232" t="s">
        <v>199</v>
      </c>
      <c r="D1621" s="230">
        <f>SUM(D1622:D1623)</f>
        <v>463581</v>
      </c>
    </row>
    <row r="1622" spans="1:4" ht="12" customHeight="1" x14ac:dyDescent="0.3">
      <c r="A1622" s="227"/>
      <c r="B1622" s="234">
        <v>1100</v>
      </c>
      <c r="C1622" s="235" t="s">
        <v>200</v>
      </c>
      <c r="D1622" s="236">
        <f>356104+1700-4282+255</f>
        <v>353777</v>
      </c>
    </row>
    <row r="1623" spans="1:4" ht="12" customHeight="1" x14ac:dyDescent="0.3">
      <c r="A1623" s="227"/>
      <c r="B1623" s="234">
        <v>1200</v>
      </c>
      <c r="C1623" s="237" t="s">
        <v>201</v>
      </c>
      <c r="D1623" s="236">
        <f>105007+3582+1215</f>
        <v>109804</v>
      </c>
    </row>
    <row r="1624" spans="1:4" ht="12" customHeight="1" x14ac:dyDescent="0.3">
      <c r="A1624" s="238"/>
      <c r="B1624" s="239">
        <v>2000</v>
      </c>
      <c r="C1624" s="240" t="s">
        <v>202</v>
      </c>
      <c r="D1624" s="260">
        <f>SUM(D1625:D1629)</f>
        <v>167919</v>
      </c>
    </row>
    <row r="1625" spans="1:4" ht="12" customHeight="1" x14ac:dyDescent="0.3">
      <c r="A1625" s="238"/>
      <c r="B1625" s="242">
        <v>2100</v>
      </c>
      <c r="C1625" s="243" t="s">
        <v>203</v>
      </c>
      <c r="D1625" s="244">
        <f>1339+187+50</f>
        <v>1576</v>
      </c>
    </row>
    <row r="1626" spans="1:4" ht="12" customHeight="1" x14ac:dyDescent="0.3">
      <c r="A1626" s="238"/>
      <c r="B1626" s="242">
        <v>2200</v>
      </c>
      <c r="C1626" s="243" t="s">
        <v>204</v>
      </c>
      <c r="D1626" s="244">
        <f>127676-5000+313-5396</f>
        <v>117593</v>
      </c>
    </row>
    <row r="1627" spans="1:4" ht="12" customHeight="1" x14ac:dyDescent="0.3">
      <c r="A1627" s="238"/>
      <c r="B1627" s="242">
        <v>2300</v>
      </c>
      <c r="C1627" s="243" t="s">
        <v>205</v>
      </c>
      <c r="D1627" s="244">
        <f>40305+5000+420+1455</f>
        <v>47180</v>
      </c>
    </row>
    <row r="1628" spans="1:4" ht="12" customHeight="1" x14ac:dyDescent="0.3">
      <c r="A1628" s="238"/>
      <c r="B1628" s="242">
        <v>2400</v>
      </c>
      <c r="C1628" s="243" t="s">
        <v>206</v>
      </c>
      <c r="D1628" s="244">
        <v>0</v>
      </c>
    </row>
    <row r="1629" spans="1:4" ht="12" customHeight="1" x14ac:dyDescent="0.3">
      <c r="A1629" s="238"/>
      <c r="B1629" s="242">
        <v>2500</v>
      </c>
      <c r="C1629" s="243" t="s">
        <v>207</v>
      </c>
      <c r="D1629" s="244">
        <f>1020+550</f>
        <v>1570</v>
      </c>
    </row>
    <row r="1630" spans="1:4" ht="12" hidden="1" customHeight="1" outlineLevel="1" x14ac:dyDescent="0.3">
      <c r="A1630" s="238"/>
      <c r="B1630" s="199">
        <v>3000</v>
      </c>
      <c r="C1630" s="245" t="s">
        <v>208</v>
      </c>
      <c r="D1630" s="260">
        <f>SUM(D1631:D1632)</f>
        <v>0</v>
      </c>
    </row>
    <row r="1631" spans="1:4" ht="12" hidden="1" customHeight="1" outlineLevel="1" x14ac:dyDescent="0.3">
      <c r="A1631" s="238"/>
      <c r="B1631" s="242">
        <v>3200</v>
      </c>
      <c r="C1631" s="243" t="s">
        <v>209</v>
      </c>
      <c r="D1631" s="244"/>
    </row>
    <row r="1632" spans="1:4" ht="12" hidden="1" customHeight="1" outlineLevel="1" x14ac:dyDescent="0.3">
      <c r="A1632" s="238"/>
      <c r="B1632" s="242">
        <v>3300</v>
      </c>
      <c r="C1632" s="243" t="s">
        <v>210</v>
      </c>
      <c r="D1632" s="244"/>
    </row>
    <row r="1633" spans="1:4" ht="12" hidden="1" customHeight="1" outlineLevel="1" x14ac:dyDescent="0.3">
      <c r="A1633" s="238"/>
      <c r="B1633" s="199">
        <v>4000</v>
      </c>
      <c r="C1633" s="246" t="s">
        <v>211</v>
      </c>
      <c r="D1633" s="260">
        <f>SUM(D1634:D1635)</f>
        <v>0</v>
      </c>
    </row>
    <row r="1634" spans="1:4" ht="12" hidden="1" customHeight="1" outlineLevel="1" x14ac:dyDescent="0.3">
      <c r="A1634" s="238"/>
      <c r="B1634" s="242">
        <v>4200</v>
      </c>
      <c r="C1634" s="247" t="s">
        <v>212</v>
      </c>
      <c r="D1634" s="244"/>
    </row>
    <row r="1635" spans="1:4" ht="12" hidden="1" customHeight="1" outlineLevel="1" x14ac:dyDescent="0.3">
      <c r="A1635" s="238"/>
      <c r="B1635" s="242">
        <v>4300</v>
      </c>
      <c r="C1635" s="247" t="s">
        <v>213</v>
      </c>
      <c r="D1635" s="244"/>
    </row>
    <row r="1636" spans="1:4" ht="12" customHeight="1" collapsed="1" x14ac:dyDescent="0.3">
      <c r="A1636" s="238"/>
      <c r="B1636" s="199">
        <v>5000</v>
      </c>
      <c r="C1636" s="200" t="s">
        <v>214</v>
      </c>
      <c r="D1636" s="260">
        <f>SUM(D1637:D1639)</f>
        <v>20469</v>
      </c>
    </row>
    <row r="1637" spans="1:4" ht="12" customHeight="1" x14ac:dyDescent="0.3">
      <c r="A1637" s="238"/>
      <c r="B1637" s="242">
        <v>5100</v>
      </c>
      <c r="C1637" s="248" t="s">
        <v>215</v>
      </c>
      <c r="D1637" s="244">
        <f>1858-1705</f>
        <v>153</v>
      </c>
    </row>
    <row r="1638" spans="1:4" ht="12" customHeight="1" x14ac:dyDescent="0.3">
      <c r="A1638" s="238"/>
      <c r="B1638" s="242">
        <v>5200</v>
      </c>
      <c r="C1638" s="248" t="s">
        <v>216</v>
      </c>
      <c r="D1638" s="244">
        <f>16450-220+4086</f>
        <v>20316</v>
      </c>
    </row>
    <row r="1639" spans="1:4" ht="12" hidden="1" customHeight="1" outlineLevel="1" x14ac:dyDescent="0.3">
      <c r="A1639" s="238"/>
      <c r="B1639" s="242">
        <v>5300</v>
      </c>
      <c r="C1639" s="249" t="s">
        <v>217</v>
      </c>
      <c r="D1639" s="260"/>
    </row>
    <row r="1640" spans="1:4" ht="12" hidden="1" customHeight="1" outlineLevel="1" x14ac:dyDescent="0.3">
      <c r="A1640" s="238"/>
      <c r="B1640" s="199">
        <v>6000</v>
      </c>
      <c r="C1640" s="200" t="s">
        <v>218</v>
      </c>
      <c r="D1640" s="260">
        <f>SUM(D1641:D1644)</f>
        <v>0</v>
      </c>
    </row>
    <row r="1641" spans="1:4" ht="12" hidden="1" customHeight="1" outlineLevel="1" x14ac:dyDescent="0.3">
      <c r="A1641" s="238"/>
      <c r="B1641" s="242">
        <v>6200</v>
      </c>
      <c r="C1641" s="248" t="s">
        <v>219</v>
      </c>
      <c r="D1641" s="244"/>
    </row>
    <row r="1642" spans="1:4" ht="12" hidden="1" customHeight="1" outlineLevel="1" x14ac:dyDescent="0.3">
      <c r="A1642" s="238"/>
      <c r="B1642" s="242">
        <v>6300</v>
      </c>
      <c r="C1642" s="248" t="s">
        <v>220</v>
      </c>
      <c r="D1642" s="244"/>
    </row>
    <row r="1643" spans="1:4" ht="12" hidden="1" customHeight="1" outlineLevel="1" x14ac:dyDescent="0.3">
      <c r="A1643" s="238"/>
      <c r="B1643" s="242">
        <v>6400</v>
      </c>
      <c r="C1643" s="248" t="s">
        <v>221</v>
      </c>
      <c r="D1643" s="244"/>
    </row>
    <row r="1644" spans="1:4" ht="12" hidden="1" customHeight="1" outlineLevel="1" x14ac:dyDescent="0.3">
      <c r="A1644" s="238"/>
      <c r="B1644" s="242">
        <v>6500</v>
      </c>
      <c r="C1644" s="249" t="s">
        <v>222</v>
      </c>
      <c r="D1644" s="244"/>
    </row>
    <row r="1645" spans="1:4" ht="12" hidden="1" customHeight="1" outlineLevel="1" x14ac:dyDescent="0.3">
      <c r="A1645" s="238"/>
      <c r="B1645" s="199">
        <v>7000</v>
      </c>
      <c r="C1645" s="200" t="s">
        <v>223</v>
      </c>
      <c r="D1645" s="260">
        <f>SUM(D1646:D1648)</f>
        <v>0</v>
      </c>
    </row>
    <row r="1646" spans="1:4" ht="12" hidden="1" customHeight="1" outlineLevel="1" x14ac:dyDescent="0.3">
      <c r="A1646" s="238"/>
      <c r="B1646" s="250">
        <v>7200</v>
      </c>
      <c r="C1646" s="251" t="s">
        <v>224</v>
      </c>
      <c r="D1646" s="244"/>
    </row>
    <row r="1647" spans="1:4" ht="12" hidden="1" customHeight="1" outlineLevel="1" x14ac:dyDescent="0.3">
      <c r="A1647" s="238"/>
      <c r="B1647" s="250">
        <v>7500</v>
      </c>
      <c r="C1647" s="251" t="s">
        <v>225</v>
      </c>
      <c r="D1647" s="244"/>
    </row>
    <row r="1648" spans="1:4" ht="12" hidden="1" customHeight="1" outlineLevel="1" x14ac:dyDescent="0.3">
      <c r="A1648" s="238"/>
      <c r="B1648" s="250">
        <v>7700</v>
      </c>
      <c r="C1648" s="251" t="s">
        <v>226</v>
      </c>
      <c r="D1648" s="244"/>
    </row>
    <row r="1649" spans="1:4" ht="12" hidden="1" customHeight="1" outlineLevel="1" x14ac:dyDescent="0.3">
      <c r="A1649" s="238"/>
      <c r="B1649" s="252">
        <v>8000</v>
      </c>
      <c r="C1649" s="253" t="s">
        <v>227</v>
      </c>
      <c r="D1649" s="260">
        <f>SUM(D1650:D1652)</f>
        <v>0</v>
      </c>
    </row>
    <row r="1650" spans="1:4" ht="12" hidden="1" customHeight="1" outlineLevel="1" x14ac:dyDescent="0.3">
      <c r="A1650" s="238"/>
      <c r="B1650" s="254">
        <v>8100</v>
      </c>
      <c r="C1650" s="255" t="s">
        <v>228</v>
      </c>
      <c r="D1650" s="260"/>
    </row>
    <row r="1651" spans="1:4" ht="12" hidden="1" customHeight="1" outlineLevel="1" x14ac:dyDescent="0.3">
      <c r="A1651" s="238"/>
      <c r="B1651" s="254">
        <v>8600</v>
      </c>
      <c r="C1651" s="255" t="s">
        <v>229</v>
      </c>
      <c r="D1651" s="260"/>
    </row>
    <row r="1652" spans="1:4" ht="12" hidden="1" customHeight="1" outlineLevel="1" x14ac:dyDescent="0.3">
      <c r="A1652" s="238"/>
      <c r="B1652" s="254">
        <v>8900</v>
      </c>
      <c r="C1652" s="255" t="s">
        <v>230</v>
      </c>
      <c r="D1652" s="260"/>
    </row>
    <row r="1653" spans="1:4" ht="12" customHeight="1" collapsed="1" x14ac:dyDescent="0.3">
      <c r="A1653" s="272" t="s">
        <v>323</v>
      </c>
      <c r="B1653" s="273"/>
      <c r="C1653" s="274" t="s">
        <v>324</v>
      </c>
      <c r="D1653" s="275">
        <f t="shared" ref="D1653" si="148">D1654+D1670+D1683</f>
        <v>2986326</v>
      </c>
    </row>
    <row r="1654" spans="1:4" ht="12" customHeight="1" x14ac:dyDescent="0.3">
      <c r="A1654" s="227"/>
      <c r="B1654" s="228"/>
      <c r="C1654" s="229" t="s">
        <v>198</v>
      </c>
      <c r="D1654" s="230">
        <f t="shared" ref="D1654" si="149">D1655+D1658+D1664+D1667+D1674+D1679</f>
        <v>2887621</v>
      </c>
    </row>
    <row r="1655" spans="1:4" ht="12" customHeight="1" x14ac:dyDescent="0.3">
      <c r="A1655" s="227"/>
      <c r="B1655" s="231">
        <v>1000</v>
      </c>
      <c r="C1655" s="232" t="s">
        <v>199</v>
      </c>
      <c r="D1655" s="230">
        <f>SUM(D1656:D1657)</f>
        <v>1807600</v>
      </c>
    </row>
    <row r="1656" spans="1:4" ht="12" customHeight="1" x14ac:dyDescent="0.3">
      <c r="A1656" s="227"/>
      <c r="B1656" s="234">
        <v>1100</v>
      </c>
      <c r="C1656" s="235" t="s">
        <v>200</v>
      </c>
      <c r="D1656" s="236">
        <f>1342992+20819+23097+34070</f>
        <v>1420978</v>
      </c>
    </row>
    <row r="1657" spans="1:4" ht="12" customHeight="1" x14ac:dyDescent="0.3">
      <c r="A1657" s="227"/>
      <c r="B1657" s="234">
        <v>1200</v>
      </c>
      <c r="C1657" s="237" t="s">
        <v>201</v>
      </c>
      <c r="D1657" s="236">
        <f>372175+76+3777+10594</f>
        <v>386622</v>
      </c>
    </row>
    <row r="1658" spans="1:4" ht="12" customHeight="1" x14ac:dyDescent="0.3">
      <c r="A1658" s="238"/>
      <c r="B1658" s="239">
        <v>2000</v>
      </c>
      <c r="C1658" s="240" t="s">
        <v>202</v>
      </c>
      <c r="D1658" s="260">
        <f>SUM(D1659:D1663)</f>
        <v>1078798</v>
      </c>
    </row>
    <row r="1659" spans="1:4" ht="12" customHeight="1" x14ac:dyDescent="0.3">
      <c r="A1659" s="238"/>
      <c r="B1659" s="242">
        <v>2100</v>
      </c>
      <c r="C1659" s="243" t="s">
        <v>203</v>
      </c>
      <c r="D1659" s="244">
        <f>4774-168-1950</f>
        <v>2656</v>
      </c>
    </row>
    <row r="1660" spans="1:4" ht="12" customHeight="1" x14ac:dyDescent="0.3">
      <c r="A1660" s="238"/>
      <c r="B1660" s="242">
        <v>2200</v>
      </c>
      <c r="C1660" s="243" t="s">
        <v>204</v>
      </c>
      <c r="D1660" s="244">
        <f>850664-37336+1087-14411</f>
        <v>800004</v>
      </c>
    </row>
    <row r="1661" spans="1:4" ht="12" customHeight="1" x14ac:dyDescent="0.3">
      <c r="A1661" s="238"/>
      <c r="B1661" s="242">
        <v>2300</v>
      </c>
      <c r="C1661" s="243" t="s">
        <v>205</v>
      </c>
      <c r="D1661" s="244">
        <f>207914+16441+16994+14254</f>
        <v>255603</v>
      </c>
    </row>
    <row r="1662" spans="1:4" ht="12" customHeight="1" x14ac:dyDescent="0.3">
      <c r="A1662" s="238"/>
      <c r="B1662" s="242">
        <v>2400</v>
      </c>
      <c r="C1662" s="243" t="s">
        <v>206</v>
      </c>
      <c r="D1662" s="244">
        <v>0</v>
      </c>
    </row>
    <row r="1663" spans="1:4" ht="12" customHeight="1" x14ac:dyDescent="0.3">
      <c r="A1663" s="238"/>
      <c r="B1663" s="242">
        <v>2500</v>
      </c>
      <c r="C1663" s="243" t="s">
        <v>207</v>
      </c>
      <c r="D1663" s="244">
        <f>19666+70+799</f>
        <v>20535</v>
      </c>
    </row>
    <row r="1664" spans="1:4" ht="12" hidden="1" customHeight="1" outlineLevel="1" x14ac:dyDescent="0.3">
      <c r="A1664" s="238"/>
      <c r="B1664" s="199">
        <v>3000</v>
      </c>
      <c r="C1664" s="245" t="s">
        <v>208</v>
      </c>
      <c r="D1664" s="260">
        <f>SUM(D1665:D1666)</f>
        <v>0</v>
      </c>
    </row>
    <row r="1665" spans="1:4" ht="12" hidden="1" customHeight="1" outlineLevel="1" x14ac:dyDescent="0.3">
      <c r="A1665" s="238"/>
      <c r="B1665" s="242">
        <v>3200</v>
      </c>
      <c r="C1665" s="243" t="s">
        <v>209</v>
      </c>
      <c r="D1665" s="244"/>
    </row>
    <row r="1666" spans="1:4" ht="12" hidden="1" customHeight="1" outlineLevel="1" x14ac:dyDescent="0.3">
      <c r="A1666" s="238"/>
      <c r="B1666" s="242">
        <v>3300</v>
      </c>
      <c r="C1666" s="243" t="s">
        <v>210</v>
      </c>
      <c r="D1666" s="244"/>
    </row>
    <row r="1667" spans="1:4" ht="12" hidden="1" customHeight="1" outlineLevel="1" x14ac:dyDescent="0.3">
      <c r="A1667" s="238"/>
      <c r="B1667" s="199">
        <v>4000</v>
      </c>
      <c r="C1667" s="246" t="s">
        <v>211</v>
      </c>
      <c r="D1667" s="260">
        <f>SUM(D1668:D1669)</f>
        <v>0</v>
      </c>
    </row>
    <row r="1668" spans="1:4" ht="12" hidden="1" customHeight="1" outlineLevel="1" x14ac:dyDescent="0.3">
      <c r="A1668" s="238"/>
      <c r="B1668" s="242">
        <v>4200</v>
      </c>
      <c r="C1668" s="247" t="s">
        <v>212</v>
      </c>
      <c r="D1668" s="244"/>
    </row>
    <row r="1669" spans="1:4" ht="12" hidden="1" customHeight="1" outlineLevel="1" x14ac:dyDescent="0.3">
      <c r="A1669" s="238"/>
      <c r="B1669" s="242">
        <v>4300</v>
      </c>
      <c r="C1669" s="247" t="s">
        <v>213</v>
      </c>
      <c r="D1669" s="244"/>
    </row>
    <row r="1670" spans="1:4" ht="12" customHeight="1" collapsed="1" x14ac:dyDescent="0.3">
      <c r="A1670" s="238"/>
      <c r="B1670" s="199">
        <v>5000</v>
      </c>
      <c r="C1670" s="200" t="s">
        <v>214</v>
      </c>
      <c r="D1670" s="260">
        <f>SUM(D1671:D1673)</f>
        <v>98705</v>
      </c>
    </row>
    <row r="1671" spans="1:4" ht="12" customHeight="1" x14ac:dyDescent="0.3">
      <c r="A1671" s="238"/>
      <c r="B1671" s="242">
        <v>5100</v>
      </c>
      <c r="C1671" s="248" t="s">
        <v>215</v>
      </c>
      <c r="D1671" s="244"/>
    </row>
    <row r="1672" spans="1:4" ht="12" customHeight="1" x14ac:dyDescent="0.3">
      <c r="A1672" s="238"/>
      <c r="B1672" s="242">
        <v>5200</v>
      </c>
      <c r="C1672" s="248" t="s">
        <v>216</v>
      </c>
      <c r="D1672" s="244">
        <f>132658-18620-15333</f>
        <v>98705</v>
      </c>
    </row>
    <row r="1673" spans="1:4" ht="12" hidden="1" customHeight="1" outlineLevel="1" x14ac:dyDescent="0.3">
      <c r="A1673" s="238"/>
      <c r="B1673" s="242">
        <v>5300</v>
      </c>
      <c r="C1673" s="249" t="s">
        <v>217</v>
      </c>
      <c r="D1673" s="260"/>
    </row>
    <row r="1674" spans="1:4" ht="12" hidden="1" customHeight="1" outlineLevel="1" x14ac:dyDescent="0.3">
      <c r="A1674" s="238"/>
      <c r="B1674" s="199">
        <v>6000</v>
      </c>
      <c r="C1674" s="200" t="s">
        <v>218</v>
      </c>
      <c r="D1674" s="260">
        <f>SUM(D1675:D1678)</f>
        <v>0</v>
      </c>
    </row>
    <row r="1675" spans="1:4" ht="12" hidden="1" customHeight="1" outlineLevel="1" x14ac:dyDescent="0.3">
      <c r="A1675" s="238"/>
      <c r="B1675" s="242">
        <v>6200</v>
      </c>
      <c r="C1675" s="248" t="s">
        <v>219</v>
      </c>
      <c r="D1675" s="244"/>
    </row>
    <row r="1676" spans="1:4" ht="12" hidden="1" customHeight="1" outlineLevel="1" x14ac:dyDescent="0.3">
      <c r="A1676" s="238"/>
      <c r="B1676" s="242">
        <v>6300</v>
      </c>
      <c r="C1676" s="248" t="s">
        <v>220</v>
      </c>
      <c r="D1676" s="244"/>
    </row>
    <row r="1677" spans="1:4" ht="12" hidden="1" customHeight="1" outlineLevel="1" x14ac:dyDescent="0.3">
      <c r="A1677" s="238"/>
      <c r="B1677" s="242">
        <v>6400</v>
      </c>
      <c r="C1677" s="248" t="s">
        <v>221</v>
      </c>
      <c r="D1677" s="244"/>
    </row>
    <row r="1678" spans="1:4" ht="12" hidden="1" customHeight="1" outlineLevel="1" x14ac:dyDescent="0.3">
      <c r="A1678" s="238"/>
      <c r="B1678" s="242">
        <v>6500</v>
      </c>
      <c r="C1678" s="249" t="s">
        <v>222</v>
      </c>
      <c r="D1678" s="244"/>
    </row>
    <row r="1679" spans="1:4" ht="12" customHeight="1" collapsed="1" x14ac:dyDescent="0.3">
      <c r="A1679" s="238"/>
      <c r="B1679" s="199">
        <v>7000</v>
      </c>
      <c r="C1679" s="200" t="s">
        <v>223</v>
      </c>
      <c r="D1679" s="260">
        <f>SUM(D1680:D1682)</f>
        <v>1223</v>
      </c>
    </row>
    <row r="1680" spans="1:4" ht="12" customHeight="1" x14ac:dyDescent="0.3">
      <c r="A1680" s="238"/>
      <c r="B1680" s="250">
        <v>7200</v>
      </c>
      <c r="C1680" s="251" t="s">
        <v>224</v>
      </c>
      <c r="D1680" s="244">
        <f>1213+10</f>
        <v>1223</v>
      </c>
    </row>
    <row r="1681" spans="1:4" ht="12" hidden="1" customHeight="1" outlineLevel="1" x14ac:dyDescent="0.3">
      <c r="A1681" s="238"/>
      <c r="B1681" s="250">
        <v>7500</v>
      </c>
      <c r="C1681" s="251" t="s">
        <v>225</v>
      </c>
      <c r="D1681" s="244"/>
    </row>
    <row r="1682" spans="1:4" ht="12" hidden="1" customHeight="1" outlineLevel="1" x14ac:dyDescent="0.3">
      <c r="A1682" s="238"/>
      <c r="B1682" s="250">
        <v>7700</v>
      </c>
      <c r="C1682" s="251" t="s">
        <v>226</v>
      </c>
      <c r="D1682" s="244"/>
    </row>
    <row r="1683" spans="1:4" ht="12" hidden="1" customHeight="1" outlineLevel="1" x14ac:dyDescent="0.3">
      <c r="A1683" s="238"/>
      <c r="B1683" s="252">
        <v>8000</v>
      </c>
      <c r="C1683" s="253" t="s">
        <v>227</v>
      </c>
      <c r="D1683" s="260">
        <f>SUM(D1684:D1686)</f>
        <v>0</v>
      </c>
    </row>
    <row r="1684" spans="1:4" ht="12" hidden="1" customHeight="1" outlineLevel="1" x14ac:dyDescent="0.3">
      <c r="A1684" s="238"/>
      <c r="B1684" s="254">
        <v>8100</v>
      </c>
      <c r="C1684" s="255" t="s">
        <v>228</v>
      </c>
      <c r="D1684" s="260"/>
    </row>
    <row r="1685" spans="1:4" ht="12" hidden="1" customHeight="1" outlineLevel="1" x14ac:dyDescent="0.3">
      <c r="A1685" s="238"/>
      <c r="B1685" s="254">
        <v>8600</v>
      </c>
      <c r="C1685" s="255" t="s">
        <v>229</v>
      </c>
      <c r="D1685" s="260"/>
    </row>
    <row r="1686" spans="1:4" ht="12" hidden="1" customHeight="1" outlineLevel="1" x14ac:dyDescent="0.3">
      <c r="A1686" s="238"/>
      <c r="B1686" s="254">
        <v>8900</v>
      </c>
      <c r="C1686" s="255" t="s">
        <v>230</v>
      </c>
      <c r="D1686" s="260"/>
    </row>
    <row r="1687" spans="1:4" ht="12" customHeight="1" collapsed="1" x14ac:dyDescent="0.3">
      <c r="A1687" s="272" t="s">
        <v>325</v>
      </c>
      <c r="B1687" s="273"/>
      <c r="C1687" s="274" t="s">
        <v>326</v>
      </c>
      <c r="D1687" s="275">
        <f t="shared" ref="D1687" si="150">D1688+D1704+D1717</f>
        <v>142000</v>
      </c>
    </row>
    <row r="1688" spans="1:4" ht="10.5" customHeight="1" x14ac:dyDescent="0.3">
      <c r="A1688" s="227"/>
      <c r="B1688" s="228"/>
      <c r="C1688" s="229" t="s">
        <v>198</v>
      </c>
      <c r="D1688" s="230">
        <f t="shared" ref="D1688" si="151">D1689+D1692+D1698+D1701+D1708+D1713</f>
        <v>142000</v>
      </c>
    </row>
    <row r="1689" spans="1:4" ht="12" hidden="1" customHeight="1" outlineLevel="1" x14ac:dyDescent="0.3">
      <c r="A1689" s="227"/>
      <c r="B1689" s="231">
        <v>1000</v>
      </c>
      <c r="C1689" s="232" t="s">
        <v>199</v>
      </c>
      <c r="D1689" s="230">
        <f>SUM(D1690:D1691)</f>
        <v>0</v>
      </c>
    </row>
    <row r="1690" spans="1:4" ht="12" hidden="1" customHeight="1" outlineLevel="1" x14ac:dyDescent="0.3">
      <c r="A1690" s="227"/>
      <c r="B1690" s="234">
        <v>1100</v>
      </c>
      <c r="C1690" s="235" t="s">
        <v>200</v>
      </c>
      <c r="D1690" s="236"/>
    </row>
    <row r="1691" spans="1:4" ht="12" hidden="1" customHeight="1" outlineLevel="1" x14ac:dyDescent="0.3">
      <c r="A1691" s="227"/>
      <c r="B1691" s="234">
        <v>1200</v>
      </c>
      <c r="C1691" s="237" t="s">
        <v>201</v>
      </c>
      <c r="D1691" s="236"/>
    </row>
    <row r="1692" spans="1:4" ht="12" hidden="1" customHeight="1" outlineLevel="1" x14ac:dyDescent="0.3">
      <c r="A1692" s="238"/>
      <c r="B1692" s="239">
        <v>2000</v>
      </c>
      <c r="C1692" s="240" t="s">
        <v>202</v>
      </c>
      <c r="D1692" s="260">
        <f>SUM(D1693:D1697)</f>
        <v>0</v>
      </c>
    </row>
    <row r="1693" spans="1:4" ht="12" hidden="1" customHeight="1" outlineLevel="1" x14ac:dyDescent="0.3">
      <c r="A1693" s="238"/>
      <c r="B1693" s="242">
        <v>2100</v>
      </c>
      <c r="C1693" s="243" t="s">
        <v>203</v>
      </c>
      <c r="D1693" s="244"/>
    </row>
    <row r="1694" spans="1:4" ht="12" hidden="1" customHeight="1" outlineLevel="1" x14ac:dyDescent="0.3">
      <c r="A1694" s="238"/>
      <c r="B1694" s="242">
        <v>2200</v>
      </c>
      <c r="C1694" s="243" t="s">
        <v>204</v>
      </c>
      <c r="D1694" s="244"/>
    </row>
    <row r="1695" spans="1:4" ht="12" hidden="1" customHeight="1" outlineLevel="1" x14ac:dyDescent="0.3">
      <c r="A1695" s="238"/>
      <c r="B1695" s="242">
        <v>2300</v>
      </c>
      <c r="C1695" s="243" t="s">
        <v>205</v>
      </c>
      <c r="D1695" s="244"/>
    </row>
    <row r="1696" spans="1:4" ht="12" hidden="1" customHeight="1" outlineLevel="1" x14ac:dyDescent="0.3">
      <c r="A1696" s="238"/>
      <c r="B1696" s="242">
        <v>2400</v>
      </c>
      <c r="C1696" s="243" t="s">
        <v>206</v>
      </c>
      <c r="D1696" s="244"/>
    </row>
    <row r="1697" spans="1:4" ht="12" hidden="1" customHeight="1" outlineLevel="1" x14ac:dyDescent="0.3">
      <c r="A1697" s="238"/>
      <c r="B1697" s="242">
        <v>2500</v>
      </c>
      <c r="C1697" s="243" t="s">
        <v>207</v>
      </c>
      <c r="D1697" s="244"/>
    </row>
    <row r="1698" spans="1:4" ht="12" customHeight="1" collapsed="1" x14ac:dyDescent="0.3">
      <c r="A1698" s="238"/>
      <c r="B1698" s="199">
        <v>3000</v>
      </c>
      <c r="C1698" s="245" t="s">
        <v>208</v>
      </c>
      <c r="D1698" s="260">
        <f>SUM(D1699:D1700)</f>
        <v>142000</v>
      </c>
    </row>
    <row r="1699" spans="1:4" ht="12" customHeight="1" x14ac:dyDescent="0.3">
      <c r="A1699" s="238"/>
      <c r="B1699" s="242">
        <v>3200</v>
      </c>
      <c r="C1699" s="243" t="s">
        <v>209</v>
      </c>
      <c r="D1699" s="244">
        <f>122000+20000</f>
        <v>142000</v>
      </c>
    </row>
    <row r="1700" spans="1:4" ht="12" hidden="1" customHeight="1" outlineLevel="1" x14ac:dyDescent="0.3">
      <c r="A1700" s="238"/>
      <c r="B1700" s="242">
        <v>3300</v>
      </c>
      <c r="C1700" s="243" t="s">
        <v>210</v>
      </c>
      <c r="D1700" s="244"/>
    </row>
    <row r="1701" spans="1:4" ht="12" hidden="1" customHeight="1" outlineLevel="1" x14ac:dyDescent="0.3">
      <c r="A1701" s="238"/>
      <c r="B1701" s="199">
        <v>4000</v>
      </c>
      <c r="C1701" s="246" t="s">
        <v>211</v>
      </c>
      <c r="D1701" s="260">
        <f>SUM(D1702:D1703)</f>
        <v>0</v>
      </c>
    </row>
    <row r="1702" spans="1:4" ht="12" hidden="1" customHeight="1" outlineLevel="1" x14ac:dyDescent="0.3">
      <c r="A1702" s="238"/>
      <c r="B1702" s="242">
        <v>4200</v>
      </c>
      <c r="C1702" s="247" t="s">
        <v>212</v>
      </c>
      <c r="D1702" s="244"/>
    </row>
    <row r="1703" spans="1:4" ht="12" hidden="1" customHeight="1" outlineLevel="1" x14ac:dyDescent="0.3">
      <c r="A1703" s="238"/>
      <c r="B1703" s="242">
        <v>4300</v>
      </c>
      <c r="C1703" s="247" t="s">
        <v>213</v>
      </c>
      <c r="D1703" s="244"/>
    </row>
    <row r="1704" spans="1:4" ht="12" hidden="1" customHeight="1" outlineLevel="1" x14ac:dyDescent="0.3">
      <c r="A1704" s="238"/>
      <c r="B1704" s="199">
        <v>5000</v>
      </c>
      <c r="C1704" s="200" t="s">
        <v>214</v>
      </c>
      <c r="D1704" s="260">
        <f>SUM(D1705:D1707)</f>
        <v>0</v>
      </c>
    </row>
    <row r="1705" spans="1:4" ht="12" hidden="1" customHeight="1" outlineLevel="1" x14ac:dyDescent="0.3">
      <c r="A1705" s="238"/>
      <c r="B1705" s="242">
        <v>5100</v>
      </c>
      <c r="C1705" s="248" t="s">
        <v>215</v>
      </c>
      <c r="D1705" s="260"/>
    </row>
    <row r="1706" spans="1:4" ht="12" hidden="1" customHeight="1" outlineLevel="1" x14ac:dyDescent="0.3">
      <c r="A1706" s="238"/>
      <c r="B1706" s="242">
        <v>5200</v>
      </c>
      <c r="C1706" s="248" t="s">
        <v>216</v>
      </c>
      <c r="D1706" s="260"/>
    </row>
    <row r="1707" spans="1:4" ht="12" hidden="1" customHeight="1" outlineLevel="1" x14ac:dyDescent="0.3">
      <c r="A1707" s="238"/>
      <c r="B1707" s="242">
        <v>5300</v>
      </c>
      <c r="C1707" s="249" t="s">
        <v>217</v>
      </c>
      <c r="D1707" s="260"/>
    </row>
    <row r="1708" spans="1:4" ht="12" hidden="1" customHeight="1" outlineLevel="1" x14ac:dyDescent="0.3">
      <c r="A1708" s="238"/>
      <c r="B1708" s="199">
        <v>6000</v>
      </c>
      <c r="C1708" s="200" t="s">
        <v>218</v>
      </c>
      <c r="D1708" s="260">
        <f>SUM(D1709:D1712)</f>
        <v>0</v>
      </c>
    </row>
    <row r="1709" spans="1:4" ht="12" hidden="1" customHeight="1" outlineLevel="1" x14ac:dyDescent="0.3">
      <c r="A1709" s="238"/>
      <c r="B1709" s="242">
        <v>6200</v>
      </c>
      <c r="C1709" s="248" t="s">
        <v>219</v>
      </c>
      <c r="D1709" s="244"/>
    </row>
    <row r="1710" spans="1:4" ht="12" hidden="1" customHeight="1" outlineLevel="1" x14ac:dyDescent="0.3">
      <c r="A1710" s="238"/>
      <c r="B1710" s="242">
        <v>6300</v>
      </c>
      <c r="C1710" s="248" t="s">
        <v>220</v>
      </c>
      <c r="D1710" s="244"/>
    </row>
    <row r="1711" spans="1:4" ht="12" hidden="1" customHeight="1" outlineLevel="1" x14ac:dyDescent="0.3">
      <c r="A1711" s="238"/>
      <c r="B1711" s="242">
        <v>6400</v>
      </c>
      <c r="C1711" s="248" t="s">
        <v>221</v>
      </c>
      <c r="D1711" s="244"/>
    </row>
    <row r="1712" spans="1:4" ht="12" hidden="1" customHeight="1" outlineLevel="1" x14ac:dyDescent="0.3">
      <c r="A1712" s="238"/>
      <c r="B1712" s="242">
        <v>6500</v>
      </c>
      <c r="C1712" s="249" t="s">
        <v>222</v>
      </c>
      <c r="D1712" s="244"/>
    </row>
    <row r="1713" spans="1:4" ht="12" hidden="1" customHeight="1" outlineLevel="1" x14ac:dyDescent="0.3">
      <c r="A1713" s="238"/>
      <c r="B1713" s="199">
        <v>7000</v>
      </c>
      <c r="C1713" s="200" t="s">
        <v>223</v>
      </c>
      <c r="D1713" s="260">
        <f>SUM(D1714:D1716)</f>
        <v>0</v>
      </c>
    </row>
    <row r="1714" spans="1:4" ht="12" hidden="1" customHeight="1" outlineLevel="1" x14ac:dyDescent="0.3">
      <c r="A1714" s="238"/>
      <c r="B1714" s="250">
        <v>7200</v>
      </c>
      <c r="C1714" s="251" t="s">
        <v>224</v>
      </c>
      <c r="D1714" s="244"/>
    </row>
    <row r="1715" spans="1:4" ht="12" hidden="1" customHeight="1" outlineLevel="1" x14ac:dyDescent="0.3">
      <c r="A1715" s="238"/>
      <c r="B1715" s="250">
        <v>7500</v>
      </c>
      <c r="C1715" s="251" t="s">
        <v>225</v>
      </c>
      <c r="D1715" s="244"/>
    </row>
    <row r="1716" spans="1:4" ht="12" hidden="1" customHeight="1" outlineLevel="1" x14ac:dyDescent="0.3">
      <c r="A1716" s="238"/>
      <c r="B1716" s="250">
        <v>7700</v>
      </c>
      <c r="C1716" s="251" t="s">
        <v>226</v>
      </c>
      <c r="D1716" s="244"/>
    </row>
    <row r="1717" spans="1:4" ht="12" hidden="1" customHeight="1" outlineLevel="1" x14ac:dyDescent="0.3">
      <c r="A1717" s="238"/>
      <c r="B1717" s="252">
        <v>8000</v>
      </c>
      <c r="C1717" s="253" t="s">
        <v>227</v>
      </c>
      <c r="D1717" s="260">
        <f>SUM(D1718:D1720)</f>
        <v>0</v>
      </c>
    </row>
    <row r="1718" spans="1:4" ht="12" hidden="1" customHeight="1" outlineLevel="1" x14ac:dyDescent="0.3">
      <c r="A1718" s="238"/>
      <c r="B1718" s="254">
        <v>8100</v>
      </c>
      <c r="C1718" s="255" t="s">
        <v>228</v>
      </c>
      <c r="D1718" s="260"/>
    </row>
    <row r="1719" spans="1:4" ht="12" hidden="1" customHeight="1" outlineLevel="1" x14ac:dyDescent="0.3">
      <c r="A1719" s="238"/>
      <c r="B1719" s="254">
        <v>8600</v>
      </c>
      <c r="C1719" s="255" t="s">
        <v>229</v>
      </c>
      <c r="D1719" s="260"/>
    </row>
    <row r="1720" spans="1:4" ht="12" hidden="1" customHeight="1" outlineLevel="1" x14ac:dyDescent="0.3">
      <c r="A1720" s="238"/>
      <c r="B1720" s="254">
        <v>8900</v>
      </c>
      <c r="C1720" s="255" t="s">
        <v>230</v>
      </c>
      <c r="D1720" s="260"/>
    </row>
    <row r="1721" spans="1:4" ht="12" customHeight="1" collapsed="1" x14ac:dyDescent="0.3">
      <c r="A1721" s="272" t="s">
        <v>327</v>
      </c>
      <c r="B1721" s="273"/>
      <c r="C1721" s="274" t="s">
        <v>328</v>
      </c>
      <c r="D1721" s="275">
        <f>D1722+D1738+D1751</f>
        <v>855991</v>
      </c>
    </row>
    <row r="1722" spans="1:4" ht="12" customHeight="1" x14ac:dyDescent="0.3">
      <c r="A1722" s="227"/>
      <c r="B1722" s="228"/>
      <c r="C1722" s="229" t="s">
        <v>198</v>
      </c>
      <c r="D1722" s="230">
        <f t="shared" ref="D1722" si="152">D1723+D1726+D1732+D1735+D1742+D1747</f>
        <v>821152</v>
      </c>
    </row>
    <row r="1723" spans="1:4" ht="12.75" customHeight="1" x14ac:dyDescent="0.3">
      <c r="A1723" s="227"/>
      <c r="B1723" s="231">
        <v>1000</v>
      </c>
      <c r="C1723" s="232" t="s">
        <v>199</v>
      </c>
      <c r="D1723" s="230">
        <f>SUM(D1724:D1725)</f>
        <v>55683</v>
      </c>
    </row>
    <row r="1724" spans="1:4" ht="12.75" customHeight="1" x14ac:dyDescent="0.3">
      <c r="A1724" s="227"/>
      <c r="B1724" s="234">
        <v>1100</v>
      </c>
      <c r="C1724" s="235" t="s">
        <v>200</v>
      </c>
      <c r="D1724" s="236">
        <f>18000+15691+16151+5304</f>
        <v>55146</v>
      </c>
    </row>
    <row r="1725" spans="1:4" ht="12.75" customHeight="1" x14ac:dyDescent="0.3">
      <c r="A1725" s="227"/>
      <c r="B1725" s="234">
        <v>1200</v>
      </c>
      <c r="C1725" s="237" t="s">
        <v>201</v>
      </c>
      <c r="D1725" s="236">
        <f>188+349</f>
        <v>537</v>
      </c>
    </row>
    <row r="1726" spans="1:4" ht="12" customHeight="1" x14ac:dyDescent="0.3">
      <c r="A1726" s="238"/>
      <c r="B1726" s="239">
        <v>2000</v>
      </c>
      <c r="C1726" s="240" t="s">
        <v>202</v>
      </c>
      <c r="D1726" s="260">
        <f>SUM(D1727:D1731)</f>
        <v>588893</v>
      </c>
    </row>
    <row r="1727" spans="1:4" ht="12" customHeight="1" x14ac:dyDescent="0.3">
      <c r="A1727" s="238"/>
      <c r="B1727" s="242">
        <v>2100</v>
      </c>
      <c r="C1727" s="243" t="s">
        <v>203</v>
      </c>
      <c r="D1727" s="244">
        <v>0</v>
      </c>
    </row>
    <row r="1728" spans="1:4" ht="12" customHeight="1" x14ac:dyDescent="0.3">
      <c r="A1728" s="238"/>
      <c r="B1728" s="242">
        <v>2200</v>
      </c>
      <c r="C1728" s="243" t="s">
        <v>204</v>
      </c>
      <c r="D1728" s="244">
        <f>685650-67654-22066-54257</f>
        <v>541673</v>
      </c>
    </row>
    <row r="1729" spans="1:4" ht="12" customHeight="1" x14ac:dyDescent="0.3">
      <c r="A1729" s="238"/>
      <c r="B1729" s="242">
        <v>2300</v>
      </c>
      <c r="C1729" s="243" t="s">
        <v>205</v>
      </c>
      <c r="D1729" s="244">
        <f>2163+12778+28416</f>
        <v>43357</v>
      </c>
    </row>
    <row r="1730" spans="1:4" ht="12" hidden="1" customHeight="1" outlineLevel="1" x14ac:dyDescent="0.3">
      <c r="A1730" s="238"/>
      <c r="B1730" s="242">
        <v>2400</v>
      </c>
      <c r="C1730" s="243" t="s">
        <v>206</v>
      </c>
      <c r="D1730" s="244"/>
    </row>
    <row r="1731" spans="1:4" ht="12" customHeight="1" collapsed="1" x14ac:dyDescent="0.3">
      <c r="A1731" s="238"/>
      <c r="B1731" s="242">
        <v>2500</v>
      </c>
      <c r="C1731" s="243" t="s">
        <v>207</v>
      </c>
      <c r="D1731" s="244">
        <v>3863</v>
      </c>
    </row>
    <row r="1732" spans="1:4" ht="12" customHeight="1" x14ac:dyDescent="0.3">
      <c r="A1732" s="238"/>
      <c r="B1732" s="199">
        <v>3000</v>
      </c>
      <c r="C1732" s="245" t="s">
        <v>208</v>
      </c>
      <c r="D1732" s="260">
        <f>SUM(D1733:D1734)</f>
        <v>175726</v>
      </c>
    </row>
    <row r="1733" spans="1:4" ht="12" customHeight="1" x14ac:dyDescent="0.3">
      <c r="A1733" s="238"/>
      <c r="B1733" s="242">
        <v>3200</v>
      </c>
      <c r="C1733" s="243" t="s">
        <v>209</v>
      </c>
      <c r="D1733" s="244">
        <f>122946+60800-5065-2955</f>
        <v>175726</v>
      </c>
    </row>
    <row r="1734" spans="1:4" ht="12" hidden="1" customHeight="1" outlineLevel="1" x14ac:dyDescent="0.3">
      <c r="A1734" s="238"/>
      <c r="B1734" s="242">
        <v>3300</v>
      </c>
      <c r="C1734" s="243" t="s">
        <v>210</v>
      </c>
      <c r="D1734" s="244"/>
    </row>
    <row r="1735" spans="1:4" ht="12" hidden="1" customHeight="1" outlineLevel="1" x14ac:dyDescent="0.3">
      <c r="A1735" s="238"/>
      <c r="B1735" s="199">
        <v>4000</v>
      </c>
      <c r="C1735" s="246" t="s">
        <v>211</v>
      </c>
      <c r="D1735" s="260">
        <f>SUM(D1736:D1737)</f>
        <v>0</v>
      </c>
    </row>
    <row r="1736" spans="1:4" ht="12" hidden="1" customHeight="1" outlineLevel="1" x14ac:dyDescent="0.3">
      <c r="A1736" s="238"/>
      <c r="B1736" s="242">
        <v>4200</v>
      </c>
      <c r="C1736" s="247" t="s">
        <v>212</v>
      </c>
      <c r="D1736" s="244"/>
    </row>
    <row r="1737" spans="1:4" ht="12" hidden="1" customHeight="1" outlineLevel="1" x14ac:dyDescent="0.3">
      <c r="A1737" s="238"/>
      <c r="B1737" s="242">
        <v>4300</v>
      </c>
      <c r="C1737" s="247" t="s">
        <v>213</v>
      </c>
      <c r="D1737" s="244"/>
    </row>
    <row r="1738" spans="1:4" ht="12" customHeight="1" collapsed="1" x14ac:dyDescent="0.3">
      <c r="A1738" s="238"/>
      <c r="B1738" s="199">
        <v>5000</v>
      </c>
      <c r="C1738" s="200" t="s">
        <v>214</v>
      </c>
      <c r="D1738" s="260">
        <f>SUM(D1739:D1741)</f>
        <v>34839</v>
      </c>
    </row>
    <row r="1739" spans="1:4" ht="12" customHeight="1" x14ac:dyDescent="0.3">
      <c r="A1739" s="238"/>
      <c r="B1739" s="242">
        <v>5100</v>
      </c>
      <c r="C1739" s="248" t="s">
        <v>215</v>
      </c>
      <c r="D1739" s="260"/>
    </row>
    <row r="1740" spans="1:4" ht="12" customHeight="1" x14ac:dyDescent="0.3">
      <c r="A1740" s="238"/>
      <c r="B1740" s="242">
        <v>5200</v>
      </c>
      <c r="C1740" s="248" t="s">
        <v>216</v>
      </c>
      <c r="D1740" s="244">
        <f>17420+17420-1</f>
        <v>34839</v>
      </c>
    </row>
    <row r="1741" spans="1:4" ht="12" hidden="1" customHeight="1" outlineLevel="1" x14ac:dyDescent="0.3">
      <c r="A1741" s="238"/>
      <c r="B1741" s="242">
        <v>5300</v>
      </c>
      <c r="C1741" s="249" t="s">
        <v>217</v>
      </c>
      <c r="D1741" s="260"/>
    </row>
    <row r="1742" spans="1:4" ht="12" customHeight="1" collapsed="1" x14ac:dyDescent="0.3">
      <c r="A1742" s="238"/>
      <c r="B1742" s="199">
        <v>6000</v>
      </c>
      <c r="C1742" s="200" t="s">
        <v>218</v>
      </c>
      <c r="D1742" s="260">
        <f>SUM(D1743:D1746)</f>
        <v>850</v>
      </c>
    </row>
    <row r="1743" spans="1:4" ht="12" hidden="1" customHeight="1" outlineLevel="1" x14ac:dyDescent="0.3">
      <c r="A1743" s="238"/>
      <c r="B1743" s="242">
        <v>6200</v>
      </c>
      <c r="C1743" s="248" t="s">
        <v>219</v>
      </c>
      <c r="D1743" s="244"/>
    </row>
    <row r="1744" spans="1:4" ht="12" hidden="1" customHeight="1" outlineLevel="1" x14ac:dyDescent="0.3">
      <c r="A1744" s="238"/>
      <c r="B1744" s="242">
        <v>6300</v>
      </c>
      <c r="C1744" s="248" t="s">
        <v>220</v>
      </c>
      <c r="D1744" s="244"/>
    </row>
    <row r="1745" spans="1:4" ht="12" customHeight="1" collapsed="1" x14ac:dyDescent="0.3">
      <c r="A1745" s="238"/>
      <c r="B1745" s="242">
        <v>6400</v>
      </c>
      <c r="C1745" s="248" t="s">
        <v>221</v>
      </c>
      <c r="D1745" s="244">
        <v>850</v>
      </c>
    </row>
    <row r="1746" spans="1:4" ht="12" hidden="1" customHeight="1" outlineLevel="1" x14ac:dyDescent="0.3">
      <c r="A1746" s="238"/>
      <c r="B1746" s="242">
        <v>6500</v>
      </c>
      <c r="C1746" s="249" t="s">
        <v>222</v>
      </c>
      <c r="D1746" s="244"/>
    </row>
    <row r="1747" spans="1:4" ht="12" hidden="1" customHeight="1" outlineLevel="1" x14ac:dyDescent="0.3">
      <c r="A1747" s="238"/>
      <c r="B1747" s="199">
        <v>7000</v>
      </c>
      <c r="C1747" s="200" t="s">
        <v>223</v>
      </c>
      <c r="D1747" s="260">
        <f>SUM(D1748:D1750)</f>
        <v>0</v>
      </c>
    </row>
    <row r="1748" spans="1:4" ht="12" hidden="1" customHeight="1" outlineLevel="1" x14ac:dyDescent="0.3">
      <c r="A1748" s="238"/>
      <c r="B1748" s="250">
        <v>7200</v>
      </c>
      <c r="C1748" s="251" t="s">
        <v>224</v>
      </c>
      <c r="D1748" s="244"/>
    </row>
    <row r="1749" spans="1:4" ht="12" hidden="1" customHeight="1" outlineLevel="1" x14ac:dyDescent="0.3">
      <c r="A1749" s="238"/>
      <c r="B1749" s="250">
        <v>7500</v>
      </c>
      <c r="C1749" s="251" t="s">
        <v>225</v>
      </c>
      <c r="D1749" s="244"/>
    </row>
    <row r="1750" spans="1:4" ht="12" hidden="1" customHeight="1" outlineLevel="1" x14ac:dyDescent="0.3">
      <c r="A1750" s="238"/>
      <c r="B1750" s="250">
        <v>7700</v>
      </c>
      <c r="C1750" s="251" t="s">
        <v>226</v>
      </c>
      <c r="D1750" s="244"/>
    </row>
    <row r="1751" spans="1:4" ht="12" hidden="1" customHeight="1" outlineLevel="1" x14ac:dyDescent="0.3">
      <c r="A1751" s="238"/>
      <c r="B1751" s="252">
        <v>8000</v>
      </c>
      <c r="C1751" s="253" t="s">
        <v>227</v>
      </c>
      <c r="D1751" s="260">
        <f>SUM(D1752:D1754)</f>
        <v>0</v>
      </c>
    </row>
    <row r="1752" spans="1:4" ht="12" hidden="1" customHeight="1" outlineLevel="1" x14ac:dyDescent="0.3">
      <c r="A1752" s="238"/>
      <c r="B1752" s="254">
        <v>8100</v>
      </c>
      <c r="C1752" s="255" t="s">
        <v>228</v>
      </c>
      <c r="D1752" s="260"/>
    </row>
    <row r="1753" spans="1:4" ht="12" hidden="1" customHeight="1" outlineLevel="1" x14ac:dyDescent="0.3">
      <c r="A1753" s="238"/>
      <c r="B1753" s="254">
        <v>8600</v>
      </c>
      <c r="C1753" s="255" t="s">
        <v>229</v>
      </c>
      <c r="D1753" s="260"/>
    </row>
    <row r="1754" spans="1:4" ht="12" hidden="1" customHeight="1" outlineLevel="1" x14ac:dyDescent="0.3">
      <c r="A1754" s="238"/>
      <c r="B1754" s="254">
        <v>8900</v>
      </c>
      <c r="C1754" s="255" t="s">
        <v>230</v>
      </c>
      <c r="D1754" s="260"/>
    </row>
    <row r="1755" spans="1:4" ht="28.5" customHeight="1" collapsed="1" x14ac:dyDescent="0.3">
      <c r="A1755" s="256" t="s">
        <v>160</v>
      </c>
      <c r="B1755" s="257"/>
      <c r="C1755" s="281" t="s">
        <v>329</v>
      </c>
      <c r="D1755" s="259">
        <f>D1756+D1772+D1785</f>
        <v>79888</v>
      </c>
    </row>
    <row r="1756" spans="1:4" ht="12" customHeight="1" x14ac:dyDescent="0.3">
      <c r="A1756" s="227"/>
      <c r="B1756" s="228"/>
      <c r="C1756" s="229" t="s">
        <v>198</v>
      </c>
      <c r="D1756" s="230">
        <f t="shared" ref="D1756" si="153">D1757+D1760+D1766+D1769+D1776+D1781</f>
        <v>79888</v>
      </c>
    </row>
    <row r="1757" spans="1:4" ht="12" hidden="1" customHeight="1" outlineLevel="1" x14ac:dyDescent="0.3">
      <c r="A1757" s="227"/>
      <c r="B1757" s="231">
        <v>1000</v>
      </c>
      <c r="C1757" s="232" t="s">
        <v>199</v>
      </c>
      <c r="D1757" s="230">
        <f>SUM(D1758:D1759)</f>
        <v>0</v>
      </c>
    </row>
    <row r="1758" spans="1:4" ht="12" hidden="1" customHeight="1" outlineLevel="1" x14ac:dyDescent="0.3">
      <c r="A1758" s="227"/>
      <c r="B1758" s="234">
        <v>1100</v>
      </c>
      <c r="C1758" s="235" t="s">
        <v>200</v>
      </c>
      <c r="D1758" s="236"/>
    </row>
    <row r="1759" spans="1:4" ht="12" hidden="1" customHeight="1" outlineLevel="1" x14ac:dyDescent="0.3">
      <c r="A1759" s="227"/>
      <c r="B1759" s="234">
        <v>1200</v>
      </c>
      <c r="C1759" s="237" t="s">
        <v>201</v>
      </c>
      <c r="D1759" s="236"/>
    </row>
    <row r="1760" spans="1:4" ht="12" hidden="1" customHeight="1" outlineLevel="1" x14ac:dyDescent="0.3">
      <c r="A1760" s="238"/>
      <c r="B1760" s="239">
        <v>2000</v>
      </c>
      <c r="C1760" s="240" t="s">
        <v>202</v>
      </c>
      <c r="D1760" s="260">
        <f>SUM(D1761:D1765)</f>
        <v>0</v>
      </c>
    </row>
    <row r="1761" spans="1:4" ht="12" hidden="1" customHeight="1" outlineLevel="1" x14ac:dyDescent="0.3">
      <c r="A1761" s="238"/>
      <c r="B1761" s="242">
        <v>2100</v>
      </c>
      <c r="C1761" s="243" t="s">
        <v>203</v>
      </c>
      <c r="D1761" s="244"/>
    </row>
    <row r="1762" spans="1:4" ht="12" hidden="1" customHeight="1" outlineLevel="1" x14ac:dyDescent="0.3">
      <c r="A1762" s="238"/>
      <c r="B1762" s="242">
        <v>2200</v>
      </c>
      <c r="C1762" s="243" t="s">
        <v>204</v>
      </c>
      <c r="D1762" s="244"/>
    </row>
    <row r="1763" spans="1:4" ht="12" hidden="1" customHeight="1" outlineLevel="1" x14ac:dyDescent="0.3">
      <c r="A1763" s="238"/>
      <c r="B1763" s="242">
        <v>2300</v>
      </c>
      <c r="C1763" s="243" t="s">
        <v>205</v>
      </c>
      <c r="D1763" s="244"/>
    </row>
    <row r="1764" spans="1:4" ht="12" hidden="1" customHeight="1" outlineLevel="1" x14ac:dyDescent="0.3">
      <c r="A1764" s="238"/>
      <c r="B1764" s="242">
        <v>2400</v>
      </c>
      <c r="C1764" s="243" t="s">
        <v>206</v>
      </c>
      <c r="D1764" s="244"/>
    </row>
    <row r="1765" spans="1:4" ht="12" hidden="1" customHeight="1" outlineLevel="1" x14ac:dyDescent="0.3">
      <c r="A1765" s="238"/>
      <c r="B1765" s="242">
        <v>2500</v>
      </c>
      <c r="C1765" s="243" t="s">
        <v>207</v>
      </c>
      <c r="D1765" s="244"/>
    </row>
    <row r="1766" spans="1:4" ht="12" customHeight="1" collapsed="1" x14ac:dyDescent="0.3">
      <c r="A1766" s="238"/>
      <c r="B1766" s="199">
        <v>3000</v>
      </c>
      <c r="C1766" s="245" t="s">
        <v>208</v>
      </c>
      <c r="D1766" s="260">
        <f>SUM(D1767:D1768)</f>
        <v>79888</v>
      </c>
    </row>
    <row r="1767" spans="1:4" ht="12" customHeight="1" x14ac:dyDescent="0.3">
      <c r="A1767" s="238"/>
      <c r="B1767" s="242">
        <v>3200</v>
      </c>
      <c r="C1767" s="243" t="s">
        <v>209</v>
      </c>
      <c r="D1767" s="244">
        <f>75000+4888</f>
        <v>79888</v>
      </c>
    </row>
    <row r="1768" spans="1:4" ht="12" hidden="1" customHeight="1" outlineLevel="1" x14ac:dyDescent="0.3">
      <c r="A1768" s="238"/>
      <c r="B1768" s="242">
        <v>3300</v>
      </c>
      <c r="C1768" s="243" t="s">
        <v>210</v>
      </c>
      <c r="D1768" s="244"/>
    </row>
    <row r="1769" spans="1:4" ht="12" hidden="1" customHeight="1" outlineLevel="1" x14ac:dyDescent="0.3">
      <c r="A1769" s="238"/>
      <c r="B1769" s="199">
        <v>4000</v>
      </c>
      <c r="C1769" s="246" t="s">
        <v>211</v>
      </c>
      <c r="D1769" s="260">
        <f>SUM(D1770:D1771)</f>
        <v>0</v>
      </c>
    </row>
    <row r="1770" spans="1:4" ht="12" hidden="1" customHeight="1" outlineLevel="1" x14ac:dyDescent="0.3">
      <c r="A1770" s="238"/>
      <c r="B1770" s="242">
        <v>4200</v>
      </c>
      <c r="C1770" s="247" t="s">
        <v>212</v>
      </c>
      <c r="D1770" s="244"/>
    </row>
    <row r="1771" spans="1:4" ht="12" hidden="1" customHeight="1" outlineLevel="1" x14ac:dyDescent="0.3">
      <c r="A1771" s="238"/>
      <c r="B1771" s="242">
        <v>4300</v>
      </c>
      <c r="C1771" s="247" t="s">
        <v>213</v>
      </c>
      <c r="D1771" s="244"/>
    </row>
    <row r="1772" spans="1:4" ht="12" hidden="1" customHeight="1" outlineLevel="1" x14ac:dyDescent="0.3">
      <c r="A1772" s="238"/>
      <c r="B1772" s="199">
        <v>5000</v>
      </c>
      <c r="C1772" s="200" t="s">
        <v>214</v>
      </c>
      <c r="D1772" s="260">
        <f>SUM(D1773:D1775)</f>
        <v>0</v>
      </c>
    </row>
    <row r="1773" spans="1:4" ht="12" hidden="1" customHeight="1" outlineLevel="1" x14ac:dyDescent="0.3">
      <c r="A1773" s="238"/>
      <c r="B1773" s="242">
        <v>5100</v>
      </c>
      <c r="C1773" s="248" t="s">
        <v>215</v>
      </c>
      <c r="D1773" s="260"/>
    </row>
    <row r="1774" spans="1:4" ht="12" hidden="1" customHeight="1" outlineLevel="1" x14ac:dyDescent="0.3">
      <c r="A1774" s="238"/>
      <c r="B1774" s="242">
        <v>5200</v>
      </c>
      <c r="C1774" s="248" t="s">
        <v>216</v>
      </c>
      <c r="D1774" s="260"/>
    </row>
    <row r="1775" spans="1:4" ht="12" hidden="1" customHeight="1" outlineLevel="1" x14ac:dyDescent="0.3">
      <c r="A1775" s="238"/>
      <c r="B1775" s="242">
        <v>5300</v>
      </c>
      <c r="C1775" s="249" t="s">
        <v>217</v>
      </c>
      <c r="D1775" s="260"/>
    </row>
    <row r="1776" spans="1:4" ht="12" hidden="1" customHeight="1" outlineLevel="1" x14ac:dyDescent="0.3">
      <c r="A1776" s="238"/>
      <c r="B1776" s="199">
        <v>6000</v>
      </c>
      <c r="C1776" s="200" t="s">
        <v>218</v>
      </c>
      <c r="D1776" s="260">
        <f>SUM(D1777:D1780)</f>
        <v>0</v>
      </c>
    </row>
    <row r="1777" spans="1:4" ht="12" hidden="1" customHeight="1" outlineLevel="1" x14ac:dyDescent="0.3">
      <c r="A1777" s="238"/>
      <c r="B1777" s="242">
        <v>6200</v>
      </c>
      <c r="C1777" s="248" t="s">
        <v>219</v>
      </c>
      <c r="D1777" s="244"/>
    </row>
    <row r="1778" spans="1:4" ht="12" hidden="1" customHeight="1" outlineLevel="1" x14ac:dyDescent="0.3">
      <c r="A1778" s="238"/>
      <c r="B1778" s="242">
        <v>6300</v>
      </c>
      <c r="C1778" s="248" t="s">
        <v>220</v>
      </c>
      <c r="D1778" s="244"/>
    </row>
    <row r="1779" spans="1:4" ht="12" hidden="1" customHeight="1" outlineLevel="1" x14ac:dyDescent="0.3">
      <c r="A1779" s="238"/>
      <c r="B1779" s="242">
        <v>6400</v>
      </c>
      <c r="C1779" s="248" t="s">
        <v>221</v>
      </c>
      <c r="D1779" s="244"/>
    </row>
    <row r="1780" spans="1:4" ht="12" hidden="1" customHeight="1" outlineLevel="1" x14ac:dyDescent="0.3">
      <c r="A1780" s="238"/>
      <c r="B1780" s="242">
        <v>6500</v>
      </c>
      <c r="C1780" s="249" t="s">
        <v>222</v>
      </c>
      <c r="D1780" s="244"/>
    </row>
    <row r="1781" spans="1:4" ht="12" hidden="1" customHeight="1" outlineLevel="1" x14ac:dyDescent="0.3">
      <c r="A1781" s="238"/>
      <c r="B1781" s="199">
        <v>7000</v>
      </c>
      <c r="C1781" s="200" t="s">
        <v>223</v>
      </c>
      <c r="D1781" s="260">
        <f>SUM(D1782:D1784)</f>
        <v>0</v>
      </c>
    </row>
    <row r="1782" spans="1:4" ht="12" hidden="1" customHeight="1" outlineLevel="1" x14ac:dyDescent="0.3">
      <c r="A1782" s="238"/>
      <c r="B1782" s="250">
        <v>7200</v>
      </c>
      <c r="C1782" s="251" t="s">
        <v>224</v>
      </c>
      <c r="D1782" s="244"/>
    </row>
    <row r="1783" spans="1:4" ht="12" hidden="1" customHeight="1" outlineLevel="1" x14ac:dyDescent="0.3">
      <c r="A1783" s="238"/>
      <c r="B1783" s="250">
        <v>7500</v>
      </c>
      <c r="C1783" s="251" t="s">
        <v>225</v>
      </c>
      <c r="D1783" s="244"/>
    </row>
    <row r="1784" spans="1:4" ht="12" hidden="1" customHeight="1" outlineLevel="1" x14ac:dyDescent="0.3">
      <c r="A1784" s="238"/>
      <c r="B1784" s="250">
        <v>7700</v>
      </c>
      <c r="C1784" s="251" t="s">
        <v>226</v>
      </c>
      <c r="D1784" s="244"/>
    </row>
    <row r="1785" spans="1:4" ht="12" hidden="1" customHeight="1" outlineLevel="1" x14ac:dyDescent="0.3">
      <c r="A1785" s="238"/>
      <c r="B1785" s="252">
        <v>8000</v>
      </c>
      <c r="C1785" s="253" t="s">
        <v>227</v>
      </c>
      <c r="D1785" s="260">
        <f>SUM(D1786:D1788)</f>
        <v>0</v>
      </c>
    </row>
    <row r="1786" spans="1:4" ht="12" hidden="1" customHeight="1" outlineLevel="1" x14ac:dyDescent="0.3">
      <c r="A1786" s="238"/>
      <c r="B1786" s="254">
        <v>8100</v>
      </c>
      <c r="C1786" s="255" t="s">
        <v>228</v>
      </c>
      <c r="D1786" s="260"/>
    </row>
    <row r="1787" spans="1:4" ht="12" hidden="1" customHeight="1" outlineLevel="1" x14ac:dyDescent="0.3">
      <c r="A1787" s="238"/>
      <c r="B1787" s="254">
        <v>8600</v>
      </c>
      <c r="C1787" s="255" t="s">
        <v>229</v>
      </c>
      <c r="D1787" s="260"/>
    </row>
    <row r="1788" spans="1:4" ht="12" hidden="1" customHeight="1" outlineLevel="1" x14ac:dyDescent="0.3">
      <c r="A1788" s="238"/>
      <c r="B1788" s="254">
        <v>8900</v>
      </c>
      <c r="C1788" s="255" t="s">
        <v>230</v>
      </c>
      <c r="D1788" s="260"/>
    </row>
    <row r="1789" spans="1:4" ht="12" customHeight="1" collapsed="1" x14ac:dyDescent="0.3">
      <c r="A1789" s="256" t="s">
        <v>162</v>
      </c>
      <c r="B1789" s="257"/>
      <c r="C1789" s="258" t="s">
        <v>330</v>
      </c>
      <c r="D1789" s="259">
        <f t="shared" ref="D1789" si="154">D1790+D1806+D1819</f>
        <v>184465</v>
      </c>
    </row>
    <row r="1790" spans="1:4" ht="12" customHeight="1" x14ac:dyDescent="0.3">
      <c r="A1790" s="227"/>
      <c r="B1790" s="228"/>
      <c r="C1790" s="229" t="s">
        <v>198</v>
      </c>
      <c r="D1790" s="230">
        <f t="shared" ref="D1790" si="155">D1791+D1794+D1800+D1803+D1810+D1815</f>
        <v>181831</v>
      </c>
    </row>
    <row r="1791" spans="1:4" ht="12" customHeight="1" x14ac:dyDescent="0.3">
      <c r="A1791" s="227"/>
      <c r="B1791" s="231">
        <v>1000</v>
      </c>
      <c r="C1791" s="232" t="s">
        <v>199</v>
      </c>
      <c r="D1791" s="230">
        <f>SUM(D1792:D1793)</f>
        <v>145184</v>
      </c>
    </row>
    <row r="1792" spans="1:4" ht="12" customHeight="1" x14ac:dyDescent="0.3">
      <c r="A1792" s="227"/>
      <c r="B1792" s="234">
        <v>1100</v>
      </c>
      <c r="C1792" s="235" t="s">
        <v>200</v>
      </c>
      <c r="D1792" s="236">
        <f>109377+3075</f>
        <v>112452</v>
      </c>
    </row>
    <row r="1793" spans="1:4" ht="12" customHeight="1" x14ac:dyDescent="0.3">
      <c r="A1793" s="227"/>
      <c r="B1793" s="234">
        <v>1200</v>
      </c>
      <c r="C1793" s="237" t="s">
        <v>201</v>
      </c>
      <c r="D1793" s="236">
        <f>32007+725</f>
        <v>32732</v>
      </c>
    </row>
    <row r="1794" spans="1:4" ht="12" customHeight="1" x14ac:dyDescent="0.3">
      <c r="A1794" s="238"/>
      <c r="B1794" s="239">
        <v>2000</v>
      </c>
      <c r="C1794" s="240" t="s">
        <v>202</v>
      </c>
      <c r="D1794" s="260">
        <f>SUM(D1795:D1799)</f>
        <v>36647</v>
      </c>
    </row>
    <row r="1795" spans="1:4" ht="12" customHeight="1" x14ac:dyDescent="0.3">
      <c r="A1795" s="238"/>
      <c r="B1795" s="242">
        <v>2100</v>
      </c>
      <c r="C1795" s="243" t="s">
        <v>203</v>
      </c>
      <c r="D1795" s="244">
        <v>1380</v>
      </c>
    </row>
    <row r="1796" spans="1:4" ht="12" customHeight="1" x14ac:dyDescent="0.3">
      <c r="A1796" s="238"/>
      <c r="B1796" s="242">
        <v>2200</v>
      </c>
      <c r="C1796" s="243" t="s">
        <v>204</v>
      </c>
      <c r="D1796" s="244">
        <f>4927+2000+486</f>
        <v>7413</v>
      </c>
    </row>
    <row r="1797" spans="1:4" ht="12" customHeight="1" x14ac:dyDescent="0.3">
      <c r="A1797" s="238"/>
      <c r="B1797" s="242">
        <v>2300</v>
      </c>
      <c r="C1797" s="243" t="s">
        <v>205</v>
      </c>
      <c r="D1797" s="244">
        <f>1726+26103+25</f>
        <v>27854</v>
      </c>
    </row>
    <row r="1798" spans="1:4" ht="12" hidden="1" customHeight="1" outlineLevel="1" x14ac:dyDescent="0.3">
      <c r="A1798" s="238"/>
      <c r="B1798" s="242">
        <v>2400</v>
      </c>
      <c r="C1798" s="243" t="s">
        <v>206</v>
      </c>
      <c r="D1798" s="244"/>
    </row>
    <row r="1799" spans="1:4" ht="12" hidden="1" customHeight="1" outlineLevel="1" x14ac:dyDescent="0.3">
      <c r="A1799" s="238"/>
      <c r="B1799" s="242">
        <v>2500</v>
      </c>
      <c r="C1799" s="243" t="s">
        <v>207</v>
      </c>
      <c r="D1799" s="244"/>
    </row>
    <row r="1800" spans="1:4" ht="12" hidden="1" customHeight="1" outlineLevel="1" x14ac:dyDescent="0.3">
      <c r="A1800" s="238"/>
      <c r="B1800" s="199">
        <v>3000</v>
      </c>
      <c r="C1800" s="245" t="s">
        <v>208</v>
      </c>
      <c r="D1800" s="260">
        <f>SUM(D1801:D1802)</f>
        <v>0</v>
      </c>
    </row>
    <row r="1801" spans="1:4" ht="12" hidden="1" customHeight="1" outlineLevel="1" x14ac:dyDescent="0.3">
      <c r="A1801" s="238"/>
      <c r="B1801" s="242">
        <v>3200</v>
      </c>
      <c r="C1801" s="243" t="s">
        <v>209</v>
      </c>
      <c r="D1801" s="244"/>
    </row>
    <row r="1802" spans="1:4" ht="12" hidden="1" customHeight="1" outlineLevel="1" x14ac:dyDescent="0.3">
      <c r="A1802" s="238"/>
      <c r="B1802" s="242">
        <v>3300</v>
      </c>
      <c r="C1802" s="243" t="s">
        <v>210</v>
      </c>
      <c r="D1802" s="244"/>
    </row>
    <row r="1803" spans="1:4" ht="12" hidden="1" customHeight="1" outlineLevel="1" x14ac:dyDescent="0.3">
      <c r="A1803" s="238"/>
      <c r="B1803" s="199">
        <v>4000</v>
      </c>
      <c r="C1803" s="246" t="s">
        <v>211</v>
      </c>
      <c r="D1803" s="260">
        <f>SUM(D1804:D1805)</f>
        <v>0</v>
      </c>
    </row>
    <row r="1804" spans="1:4" ht="12" hidden="1" customHeight="1" outlineLevel="1" x14ac:dyDescent="0.3">
      <c r="A1804" s="238"/>
      <c r="B1804" s="242">
        <v>4200</v>
      </c>
      <c r="C1804" s="247" t="s">
        <v>212</v>
      </c>
      <c r="D1804" s="244"/>
    </row>
    <row r="1805" spans="1:4" ht="12" hidden="1" customHeight="1" outlineLevel="1" x14ac:dyDescent="0.3">
      <c r="A1805" s="238"/>
      <c r="B1805" s="242">
        <v>4300</v>
      </c>
      <c r="C1805" s="247" t="s">
        <v>213</v>
      </c>
      <c r="D1805" s="244"/>
    </row>
    <row r="1806" spans="1:4" ht="12" customHeight="1" collapsed="1" x14ac:dyDescent="0.3">
      <c r="A1806" s="238"/>
      <c r="B1806" s="199">
        <v>5000</v>
      </c>
      <c r="C1806" s="200" t="s">
        <v>214</v>
      </c>
      <c r="D1806" s="260">
        <f>SUM(D1807:D1809)</f>
        <v>2634</v>
      </c>
    </row>
    <row r="1807" spans="1:4" ht="12" hidden="1" customHeight="1" outlineLevel="1" x14ac:dyDescent="0.3">
      <c r="A1807" s="238"/>
      <c r="B1807" s="242">
        <v>5100</v>
      </c>
      <c r="C1807" s="248" t="s">
        <v>215</v>
      </c>
      <c r="D1807" s="260"/>
    </row>
    <row r="1808" spans="1:4" ht="12" customHeight="1" collapsed="1" x14ac:dyDescent="0.3">
      <c r="A1808" s="238"/>
      <c r="B1808" s="242">
        <v>5200</v>
      </c>
      <c r="C1808" s="248" t="s">
        <v>216</v>
      </c>
      <c r="D1808" s="244">
        <f>39248-36103-511</f>
        <v>2634</v>
      </c>
    </row>
    <row r="1809" spans="1:4" ht="12" hidden="1" customHeight="1" outlineLevel="1" x14ac:dyDescent="0.3">
      <c r="A1809" s="238"/>
      <c r="B1809" s="242">
        <v>5300</v>
      </c>
      <c r="C1809" s="249" t="s">
        <v>217</v>
      </c>
      <c r="D1809" s="260"/>
    </row>
    <row r="1810" spans="1:4" ht="12" hidden="1" customHeight="1" outlineLevel="1" x14ac:dyDescent="0.3">
      <c r="A1810" s="238"/>
      <c r="B1810" s="199">
        <v>6000</v>
      </c>
      <c r="C1810" s="200" t="s">
        <v>218</v>
      </c>
      <c r="D1810" s="260">
        <f>SUM(D1811:D1814)</f>
        <v>0</v>
      </c>
    </row>
    <row r="1811" spans="1:4" ht="12" hidden="1" customHeight="1" outlineLevel="1" x14ac:dyDescent="0.3">
      <c r="A1811" s="238"/>
      <c r="B1811" s="242">
        <v>6200</v>
      </c>
      <c r="C1811" s="248" t="s">
        <v>219</v>
      </c>
      <c r="D1811" s="244"/>
    </row>
    <row r="1812" spans="1:4" ht="12" hidden="1" customHeight="1" outlineLevel="1" x14ac:dyDescent="0.3">
      <c r="A1812" s="238"/>
      <c r="B1812" s="242">
        <v>6300</v>
      </c>
      <c r="C1812" s="248" t="s">
        <v>220</v>
      </c>
      <c r="D1812" s="244"/>
    </row>
    <row r="1813" spans="1:4" ht="12" hidden="1" customHeight="1" outlineLevel="1" x14ac:dyDescent="0.3">
      <c r="A1813" s="238"/>
      <c r="B1813" s="242">
        <v>6400</v>
      </c>
      <c r="C1813" s="248" t="s">
        <v>221</v>
      </c>
      <c r="D1813" s="244"/>
    </row>
    <row r="1814" spans="1:4" ht="12" hidden="1" customHeight="1" outlineLevel="1" x14ac:dyDescent="0.3">
      <c r="A1814" s="238"/>
      <c r="B1814" s="242">
        <v>6500</v>
      </c>
      <c r="C1814" s="249" t="s">
        <v>222</v>
      </c>
      <c r="D1814" s="244"/>
    </row>
    <row r="1815" spans="1:4" ht="12" hidden="1" customHeight="1" outlineLevel="1" x14ac:dyDescent="0.3">
      <c r="A1815" s="238"/>
      <c r="B1815" s="199">
        <v>7000</v>
      </c>
      <c r="C1815" s="200" t="s">
        <v>223</v>
      </c>
      <c r="D1815" s="260">
        <f>SUM(D1816:D1818)</f>
        <v>0</v>
      </c>
    </row>
    <row r="1816" spans="1:4" ht="12" hidden="1" customHeight="1" outlineLevel="1" x14ac:dyDescent="0.3">
      <c r="A1816" s="238"/>
      <c r="B1816" s="250">
        <v>7200</v>
      </c>
      <c r="C1816" s="251" t="s">
        <v>224</v>
      </c>
      <c r="D1816" s="244"/>
    </row>
    <row r="1817" spans="1:4" ht="12" hidden="1" customHeight="1" outlineLevel="1" x14ac:dyDescent="0.3">
      <c r="A1817" s="238"/>
      <c r="B1817" s="250">
        <v>7500</v>
      </c>
      <c r="C1817" s="251" t="s">
        <v>225</v>
      </c>
      <c r="D1817" s="244"/>
    </row>
    <row r="1818" spans="1:4" ht="12" hidden="1" customHeight="1" outlineLevel="1" x14ac:dyDescent="0.3">
      <c r="A1818" s="238"/>
      <c r="B1818" s="250">
        <v>7700</v>
      </c>
      <c r="C1818" s="251" t="s">
        <v>226</v>
      </c>
      <c r="D1818" s="244"/>
    </row>
    <row r="1819" spans="1:4" ht="12" hidden="1" customHeight="1" outlineLevel="1" x14ac:dyDescent="0.3">
      <c r="A1819" s="238"/>
      <c r="B1819" s="252">
        <v>8000</v>
      </c>
      <c r="C1819" s="253" t="s">
        <v>227</v>
      </c>
      <c r="D1819" s="260">
        <f>SUM(D1820:D1822)</f>
        <v>0</v>
      </c>
    </row>
    <row r="1820" spans="1:4" ht="12" hidden="1" customHeight="1" outlineLevel="1" x14ac:dyDescent="0.3">
      <c r="A1820" s="238"/>
      <c r="B1820" s="254">
        <v>8100</v>
      </c>
      <c r="C1820" s="255" t="s">
        <v>228</v>
      </c>
      <c r="D1820" s="260"/>
    </row>
    <row r="1821" spans="1:4" ht="12" hidden="1" customHeight="1" outlineLevel="1" x14ac:dyDescent="0.3">
      <c r="A1821" s="238"/>
      <c r="B1821" s="254">
        <v>8600</v>
      </c>
      <c r="C1821" s="255" t="s">
        <v>229</v>
      </c>
      <c r="D1821" s="260"/>
    </row>
    <row r="1822" spans="1:4" ht="12" hidden="1" customHeight="1" outlineLevel="1" x14ac:dyDescent="0.3">
      <c r="A1822" s="238"/>
      <c r="B1822" s="254">
        <v>8900</v>
      </c>
      <c r="C1822" s="255" t="s">
        <v>230</v>
      </c>
      <c r="D1822" s="260"/>
    </row>
    <row r="1823" spans="1:4" ht="17.100000000000001" customHeight="1" collapsed="1" x14ac:dyDescent="0.3">
      <c r="A1823" s="278" t="s">
        <v>331</v>
      </c>
      <c r="B1823" s="279"/>
      <c r="C1823" s="280" t="s">
        <v>332</v>
      </c>
      <c r="D1823" s="226">
        <f>D1824+D1840+D1853</f>
        <v>59888126</v>
      </c>
    </row>
    <row r="1824" spans="1:4" ht="12" customHeight="1" x14ac:dyDescent="0.3">
      <c r="A1824" s="227"/>
      <c r="B1824" s="228"/>
      <c r="C1824" s="229" t="s">
        <v>198</v>
      </c>
      <c r="D1824" s="230">
        <f t="shared" ref="D1824" si="156">D1825+D1828+D1834+D1837+D1844+D1849</f>
        <v>57812740</v>
      </c>
    </row>
    <row r="1825" spans="1:4" ht="12" customHeight="1" x14ac:dyDescent="0.3">
      <c r="A1825" s="227"/>
      <c r="B1825" s="231">
        <v>1000</v>
      </c>
      <c r="C1825" s="232" t="s">
        <v>199</v>
      </c>
      <c r="D1825" s="233">
        <f>D1859+D1893+D2029+D2063+D2267+D2097+D1995</f>
        <v>44195860</v>
      </c>
    </row>
    <row r="1826" spans="1:4" ht="12" customHeight="1" x14ac:dyDescent="0.3">
      <c r="A1826" s="227"/>
      <c r="B1826" s="234">
        <v>1100</v>
      </c>
      <c r="C1826" s="235" t="s">
        <v>200</v>
      </c>
      <c r="D1826" s="236">
        <f t="shared" ref="D1826:D1827" si="157">D1860+D1894+D2030+D2064+D2268+D2098+D1996</f>
        <v>34952327</v>
      </c>
    </row>
    <row r="1827" spans="1:4" ht="12" customHeight="1" x14ac:dyDescent="0.3">
      <c r="A1827" s="227"/>
      <c r="B1827" s="234">
        <v>1200</v>
      </c>
      <c r="C1827" s="237" t="s">
        <v>201</v>
      </c>
      <c r="D1827" s="236">
        <f t="shared" si="157"/>
        <v>9243533</v>
      </c>
    </row>
    <row r="1828" spans="1:4" ht="12" customHeight="1" x14ac:dyDescent="0.3">
      <c r="A1828" s="238"/>
      <c r="B1828" s="239">
        <v>2000</v>
      </c>
      <c r="C1828" s="240" t="s">
        <v>202</v>
      </c>
      <c r="D1828" s="241">
        <f>D1862+D1896+D2032+D2066+D2270+D2100+D1998</f>
        <v>11975675</v>
      </c>
    </row>
    <row r="1829" spans="1:4" ht="12" customHeight="1" x14ac:dyDescent="0.3">
      <c r="A1829" s="238"/>
      <c r="B1829" s="242">
        <v>2100</v>
      </c>
      <c r="C1829" s="243" t="s">
        <v>203</v>
      </c>
      <c r="D1829" s="244">
        <f>D1863+D1897+D2033+D2067+D2271+D2101+D1999</f>
        <v>731796</v>
      </c>
    </row>
    <row r="1830" spans="1:4" ht="12" customHeight="1" x14ac:dyDescent="0.3">
      <c r="A1830" s="238"/>
      <c r="B1830" s="242">
        <v>2200</v>
      </c>
      <c r="C1830" s="243" t="s">
        <v>204</v>
      </c>
      <c r="D1830" s="244">
        <f t="shared" ref="D1830:D1833" si="158">D1864+D1898+D2034+D2068+D2272+D2102+D2000</f>
        <v>6217437</v>
      </c>
    </row>
    <row r="1831" spans="1:4" ht="12" customHeight="1" x14ac:dyDescent="0.3">
      <c r="A1831" s="238"/>
      <c r="B1831" s="242">
        <v>2300</v>
      </c>
      <c r="C1831" s="243" t="s">
        <v>205</v>
      </c>
      <c r="D1831" s="244">
        <f t="shared" si="158"/>
        <v>4962318</v>
      </c>
    </row>
    <row r="1832" spans="1:4" ht="12" customHeight="1" x14ac:dyDescent="0.3">
      <c r="A1832" s="238"/>
      <c r="B1832" s="242">
        <v>2400</v>
      </c>
      <c r="C1832" s="243" t="s">
        <v>206</v>
      </c>
      <c r="D1832" s="244">
        <f t="shared" si="158"/>
        <v>4191</v>
      </c>
    </row>
    <row r="1833" spans="1:4" ht="12" customHeight="1" x14ac:dyDescent="0.3">
      <c r="A1833" s="238"/>
      <c r="B1833" s="242">
        <v>2500</v>
      </c>
      <c r="C1833" s="243" t="s">
        <v>207</v>
      </c>
      <c r="D1833" s="244">
        <f t="shared" si="158"/>
        <v>59933</v>
      </c>
    </row>
    <row r="1834" spans="1:4" ht="12" customHeight="1" x14ac:dyDescent="0.3">
      <c r="A1834" s="238"/>
      <c r="B1834" s="199">
        <v>3000</v>
      </c>
      <c r="C1834" s="245" t="s">
        <v>208</v>
      </c>
      <c r="D1834" s="241">
        <f>D1868+D1902+D2038+D2072+D2276+D2106+D2004</f>
        <v>980277</v>
      </c>
    </row>
    <row r="1835" spans="1:4" ht="12" customHeight="1" x14ac:dyDescent="0.3">
      <c r="A1835" s="238"/>
      <c r="B1835" s="242">
        <v>3200</v>
      </c>
      <c r="C1835" s="243" t="s">
        <v>209</v>
      </c>
      <c r="D1835" s="244">
        <f t="shared" ref="D1835:D1836" si="159">D1869+D1903+D2039+D2073+D2277+D2107+D2005</f>
        <v>980277</v>
      </c>
    </row>
    <row r="1836" spans="1:4" ht="12" hidden="1" customHeight="1" outlineLevel="1" x14ac:dyDescent="0.3">
      <c r="A1836" s="238"/>
      <c r="B1836" s="242">
        <v>3300</v>
      </c>
      <c r="C1836" s="243" t="s">
        <v>210</v>
      </c>
      <c r="D1836" s="244">
        <f t="shared" si="159"/>
        <v>0</v>
      </c>
    </row>
    <row r="1837" spans="1:4" ht="12" hidden="1" customHeight="1" outlineLevel="1" x14ac:dyDescent="0.3">
      <c r="A1837" s="238"/>
      <c r="B1837" s="199">
        <v>4000</v>
      </c>
      <c r="C1837" s="246" t="s">
        <v>211</v>
      </c>
      <c r="D1837" s="241">
        <f>D1871+D1905+D2041+D2075+D2279+D2109+D2007</f>
        <v>0</v>
      </c>
    </row>
    <row r="1838" spans="1:4" ht="12" hidden="1" customHeight="1" outlineLevel="1" x14ac:dyDescent="0.3">
      <c r="A1838" s="238"/>
      <c r="B1838" s="242">
        <v>4200</v>
      </c>
      <c r="C1838" s="247" t="s">
        <v>212</v>
      </c>
      <c r="D1838" s="244">
        <f t="shared" ref="D1838:D1839" si="160">D1872+D1906+D2042+D2076+D2280+D2110+D2008</f>
        <v>0</v>
      </c>
    </row>
    <row r="1839" spans="1:4" ht="12" hidden="1" customHeight="1" outlineLevel="1" x14ac:dyDescent="0.3">
      <c r="A1839" s="238"/>
      <c r="B1839" s="242">
        <v>4300</v>
      </c>
      <c r="C1839" s="247" t="s">
        <v>213</v>
      </c>
      <c r="D1839" s="244">
        <f t="shared" si="160"/>
        <v>0</v>
      </c>
    </row>
    <row r="1840" spans="1:4" ht="12" customHeight="1" collapsed="1" x14ac:dyDescent="0.3">
      <c r="A1840" s="238"/>
      <c r="B1840" s="199">
        <v>5000</v>
      </c>
      <c r="C1840" s="200" t="s">
        <v>214</v>
      </c>
      <c r="D1840" s="241">
        <f>D1874+D1908+D2044+D2078+D2282+D2112+D2010</f>
        <v>2075386</v>
      </c>
    </row>
    <row r="1841" spans="1:4" ht="12" customHeight="1" x14ac:dyDescent="0.3">
      <c r="A1841" s="238"/>
      <c r="B1841" s="242">
        <v>5100</v>
      </c>
      <c r="C1841" s="248" t="s">
        <v>215</v>
      </c>
      <c r="D1841" s="244">
        <f t="shared" ref="D1841:D1843" si="161">D1875+D1909+D2045+D2079+D2283+D2113+D2011</f>
        <v>39049</v>
      </c>
    </row>
    <row r="1842" spans="1:4" ht="12" customHeight="1" x14ac:dyDescent="0.3">
      <c r="A1842" s="238"/>
      <c r="B1842" s="242">
        <v>5200</v>
      </c>
      <c r="C1842" s="248" t="s">
        <v>216</v>
      </c>
      <c r="D1842" s="244">
        <f t="shared" si="161"/>
        <v>2036337</v>
      </c>
    </row>
    <row r="1843" spans="1:4" ht="12" hidden="1" customHeight="1" outlineLevel="1" x14ac:dyDescent="0.3">
      <c r="A1843" s="238"/>
      <c r="B1843" s="242">
        <v>5300</v>
      </c>
      <c r="C1843" s="249" t="s">
        <v>217</v>
      </c>
      <c r="D1843" s="244">
        <f t="shared" si="161"/>
        <v>0</v>
      </c>
    </row>
    <row r="1844" spans="1:4" ht="12" customHeight="1" collapsed="1" x14ac:dyDescent="0.3">
      <c r="A1844" s="238"/>
      <c r="B1844" s="199">
        <v>6000</v>
      </c>
      <c r="C1844" s="200" t="s">
        <v>218</v>
      </c>
      <c r="D1844" s="241">
        <f>D1878+D1912+D2048+D2082+D2286+D2116+D2014</f>
        <v>137837</v>
      </c>
    </row>
    <row r="1845" spans="1:4" ht="12" customHeight="1" x14ac:dyDescent="0.3">
      <c r="A1845" s="238"/>
      <c r="B1845" s="242">
        <v>6200</v>
      </c>
      <c r="C1845" s="248" t="s">
        <v>219</v>
      </c>
      <c r="D1845" s="244">
        <f t="shared" ref="D1845:D1847" si="162">D1879+D1913+D2049+D2083+D2287+D2117+D2015</f>
        <v>49267</v>
      </c>
    </row>
    <row r="1846" spans="1:4" ht="12" customHeight="1" x14ac:dyDescent="0.3">
      <c r="A1846" s="238"/>
      <c r="B1846" s="242">
        <v>6300</v>
      </c>
      <c r="C1846" s="248" t="s">
        <v>220</v>
      </c>
      <c r="D1846" s="244">
        <f t="shared" si="162"/>
        <v>0</v>
      </c>
    </row>
    <row r="1847" spans="1:4" ht="12" customHeight="1" x14ac:dyDescent="0.3">
      <c r="A1847" s="238"/>
      <c r="B1847" s="242">
        <v>6400</v>
      </c>
      <c r="C1847" s="248" t="s">
        <v>221</v>
      </c>
      <c r="D1847" s="244">
        <f t="shared" si="162"/>
        <v>88570</v>
      </c>
    </row>
    <row r="1848" spans="1:4" ht="12" hidden="1" customHeight="1" outlineLevel="1" x14ac:dyDescent="0.3">
      <c r="A1848" s="238"/>
      <c r="B1848" s="242">
        <v>6500</v>
      </c>
      <c r="C1848" s="249" t="s">
        <v>222</v>
      </c>
      <c r="D1848" s="244">
        <f>D1882+D1916+D2052+D2086+D2290+D2120+D2018</f>
        <v>0</v>
      </c>
    </row>
    <row r="1849" spans="1:4" ht="12.75" customHeight="1" collapsed="1" x14ac:dyDescent="0.3">
      <c r="A1849" s="238"/>
      <c r="B1849" s="199">
        <v>7000</v>
      </c>
      <c r="C1849" s="200" t="s">
        <v>223</v>
      </c>
      <c r="D1849" s="241">
        <f>D1883+D1917+D2053+D2087+D2291+D2121+D2019</f>
        <v>523091</v>
      </c>
    </row>
    <row r="1850" spans="1:4" ht="14.25" customHeight="1" x14ac:dyDescent="0.3">
      <c r="A1850" s="238"/>
      <c r="B1850" s="250">
        <v>7200</v>
      </c>
      <c r="C1850" s="251" t="s">
        <v>224</v>
      </c>
      <c r="D1850" s="244">
        <f t="shared" ref="D1850:D1852" si="163">D1884+D1918+D2054+D2088+D2292+D2122+D2020</f>
        <v>431923</v>
      </c>
    </row>
    <row r="1851" spans="1:4" ht="14.25" hidden="1" customHeight="1" outlineLevel="1" x14ac:dyDescent="0.3">
      <c r="A1851" s="238"/>
      <c r="B1851" s="250">
        <v>7500</v>
      </c>
      <c r="C1851" s="251" t="s">
        <v>225</v>
      </c>
      <c r="D1851" s="244">
        <f t="shared" si="163"/>
        <v>0</v>
      </c>
    </row>
    <row r="1852" spans="1:4" ht="14.25" customHeight="1" collapsed="1" x14ac:dyDescent="0.3">
      <c r="A1852" s="238"/>
      <c r="B1852" s="250">
        <v>7700</v>
      </c>
      <c r="C1852" s="251" t="s">
        <v>226</v>
      </c>
      <c r="D1852" s="244">
        <f t="shared" si="163"/>
        <v>91168</v>
      </c>
    </row>
    <row r="1853" spans="1:4" ht="12" customHeight="1" x14ac:dyDescent="0.3">
      <c r="A1853" s="238"/>
      <c r="B1853" s="252">
        <v>8000</v>
      </c>
      <c r="C1853" s="253" t="s">
        <v>227</v>
      </c>
      <c r="D1853" s="241">
        <f>D1887+D1921+D2057+D2091+D2295+D2125+D2023</f>
        <v>0</v>
      </c>
    </row>
    <row r="1854" spans="1:4" ht="12" customHeight="1" x14ac:dyDescent="0.3">
      <c r="A1854" s="238"/>
      <c r="B1854" s="254">
        <v>8100</v>
      </c>
      <c r="C1854" s="255" t="s">
        <v>228</v>
      </c>
      <c r="D1854" s="244">
        <f t="shared" ref="D1854:D1855" si="164">D1888+D1922+D2058+D2092+D2296+D2126+D2024</f>
        <v>0</v>
      </c>
    </row>
    <row r="1855" spans="1:4" ht="12" hidden="1" customHeight="1" outlineLevel="1" x14ac:dyDescent="0.3">
      <c r="A1855" s="238"/>
      <c r="B1855" s="254">
        <v>8600</v>
      </c>
      <c r="C1855" s="255" t="s">
        <v>229</v>
      </c>
      <c r="D1855" s="244">
        <f t="shared" si="164"/>
        <v>0</v>
      </c>
    </row>
    <row r="1856" spans="1:4" ht="12" hidden="1" customHeight="1" outlineLevel="1" x14ac:dyDescent="0.3">
      <c r="A1856" s="238"/>
      <c r="B1856" s="254">
        <v>8900</v>
      </c>
      <c r="C1856" s="255" t="s">
        <v>230</v>
      </c>
      <c r="D1856" s="244">
        <f>D1890+D1924+D2060+D2094+D2298+D2128+D2026</f>
        <v>0</v>
      </c>
    </row>
    <row r="1857" spans="1:4" ht="12" customHeight="1" collapsed="1" x14ac:dyDescent="0.3">
      <c r="A1857" s="256" t="s">
        <v>166</v>
      </c>
      <c r="B1857" s="257"/>
      <c r="C1857" s="258" t="s">
        <v>333</v>
      </c>
      <c r="D1857" s="259">
        <f t="shared" ref="D1857" si="165">D1858+D1874+D1887</f>
        <v>11926378</v>
      </c>
    </row>
    <row r="1858" spans="1:4" ht="12" customHeight="1" x14ac:dyDescent="0.3">
      <c r="A1858" s="227"/>
      <c r="B1858" s="228"/>
      <c r="C1858" s="229" t="s">
        <v>198</v>
      </c>
      <c r="D1858" s="230">
        <f t="shared" ref="D1858" si="166">D1859+D1862+D1868+D1871+D1878+D1883</f>
        <v>11659706</v>
      </c>
    </row>
    <row r="1859" spans="1:4" ht="12" customHeight="1" x14ac:dyDescent="0.3">
      <c r="A1859" s="227"/>
      <c r="B1859" s="231">
        <v>1000</v>
      </c>
      <c r="C1859" s="232" t="s">
        <v>199</v>
      </c>
      <c r="D1859" s="230">
        <f>SUM(D1860:D1861)</f>
        <v>10326902</v>
      </c>
    </row>
    <row r="1860" spans="1:4" ht="12" customHeight="1" x14ac:dyDescent="0.3">
      <c r="A1860" s="227"/>
      <c r="B1860" s="234">
        <v>1100</v>
      </c>
      <c r="C1860" s="235" t="s">
        <v>200</v>
      </c>
      <c r="D1860" s="236">
        <f>7614480-5522+461985</f>
        <v>8070943</v>
      </c>
    </row>
    <row r="1861" spans="1:4" ht="12" customHeight="1" x14ac:dyDescent="0.3">
      <c r="A1861" s="227"/>
      <c r="B1861" s="234">
        <v>1200</v>
      </c>
      <c r="C1861" s="237" t="s">
        <v>201</v>
      </c>
      <c r="D1861" s="236">
        <f>2007364-1857+250452</f>
        <v>2255959</v>
      </c>
    </row>
    <row r="1862" spans="1:4" ht="12" customHeight="1" x14ac:dyDescent="0.3">
      <c r="A1862" s="238"/>
      <c r="B1862" s="239">
        <v>2000</v>
      </c>
      <c r="C1862" s="240" t="s">
        <v>202</v>
      </c>
      <c r="D1862" s="260">
        <f>SUM(D1863:D1867)</f>
        <v>1332682</v>
      </c>
    </row>
    <row r="1863" spans="1:4" ht="12" customHeight="1" x14ac:dyDescent="0.3">
      <c r="A1863" s="238"/>
      <c r="B1863" s="242">
        <v>2100</v>
      </c>
      <c r="C1863" s="243" t="s">
        <v>203</v>
      </c>
      <c r="D1863" s="244">
        <f>4991-551-773</f>
        <v>3667</v>
      </c>
    </row>
    <row r="1864" spans="1:4" ht="12" customHeight="1" x14ac:dyDescent="0.3">
      <c r="A1864" s="238"/>
      <c r="B1864" s="242">
        <v>2200</v>
      </c>
      <c r="C1864" s="243" t="s">
        <v>204</v>
      </c>
      <c r="D1864" s="244">
        <f>830072-1642+52213-9402</f>
        <v>871241</v>
      </c>
    </row>
    <row r="1865" spans="1:4" ht="12" customHeight="1" x14ac:dyDescent="0.3">
      <c r="A1865" s="238"/>
      <c r="B1865" s="242">
        <v>2300</v>
      </c>
      <c r="C1865" s="243" t="s">
        <v>205</v>
      </c>
      <c r="D1865" s="244">
        <f>413113-6610+22542+17055</f>
        <v>446100</v>
      </c>
    </row>
    <row r="1866" spans="1:4" ht="12" customHeight="1" x14ac:dyDescent="0.3">
      <c r="A1866" s="238"/>
      <c r="B1866" s="242">
        <v>2400</v>
      </c>
      <c r="C1866" s="243" t="s">
        <v>206</v>
      </c>
      <c r="D1866" s="244">
        <v>30</v>
      </c>
    </row>
    <row r="1867" spans="1:4" ht="12" customHeight="1" x14ac:dyDescent="0.3">
      <c r="A1867" s="238"/>
      <c r="B1867" s="242">
        <v>2500</v>
      </c>
      <c r="C1867" s="243" t="s">
        <v>207</v>
      </c>
      <c r="D1867" s="244">
        <f>10147+685+812</f>
        <v>11644</v>
      </c>
    </row>
    <row r="1868" spans="1:4" ht="12" hidden="1" customHeight="1" outlineLevel="1" x14ac:dyDescent="0.3">
      <c r="A1868" s="238"/>
      <c r="B1868" s="199">
        <v>3000</v>
      </c>
      <c r="C1868" s="245" t="s">
        <v>208</v>
      </c>
      <c r="D1868" s="260">
        <f>SUM(D1869:D1870)</f>
        <v>0</v>
      </c>
    </row>
    <row r="1869" spans="1:4" ht="12" hidden="1" customHeight="1" outlineLevel="1" x14ac:dyDescent="0.3">
      <c r="A1869" s="238"/>
      <c r="B1869" s="242">
        <v>3200</v>
      </c>
      <c r="C1869" s="243" t="s">
        <v>209</v>
      </c>
      <c r="D1869" s="244"/>
    </row>
    <row r="1870" spans="1:4" ht="12" hidden="1" customHeight="1" outlineLevel="1" x14ac:dyDescent="0.3">
      <c r="A1870" s="238"/>
      <c r="B1870" s="242">
        <v>3300</v>
      </c>
      <c r="C1870" s="243" t="s">
        <v>210</v>
      </c>
      <c r="D1870" s="244"/>
    </row>
    <row r="1871" spans="1:4" ht="12" hidden="1" customHeight="1" outlineLevel="1" x14ac:dyDescent="0.3">
      <c r="A1871" s="238"/>
      <c r="B1871" s="199">
        <v>4000</v>
      </c>
      <c r="C1871" s="246" t="s">
        <v>211</v>
      </c>
      <c r="D1871" s="260">
        <f>SUM(D1872:D1873)</f>
        <v>0</v>
      </c>
    </row>
    <row r="1872" spans="1:4" ht="12" hidden="1" customHeight="1" outlineLevel="1" x14ac:dyDescent="0.3">
      <c r="A1872" s="238"/>
      <c r="B1872" s="242">
        <v>4200</v>
      </c>
      <c r="C1872" s="247" t="s">
        <v>212</v>
      </c>
      <c r="D1872" s="244"/>
    </row>
    <row r="1873" spans="1:4" ht="12" hidden="1" customHeight="1" outlineLevel="1" x14ac:dyDescent="0.3">
      <c r="A1873" s="238"/>
      <c r="B1873" s="242">
        <v>4300</v>
      </c>
      <c r="C1873" s="247" t="s">
        <v>213</v>
      </c>
      <c r="D1873" s="244"/>
    </row>
    <row r="1874" spans="1:4" ht="12" customHeight="1" collapsed="1" x14ac:dyDescent="0.3">
      <c r="A1874" s="238"/>
      <c r="B1874" s="199">
        <v>5000</v>
      </c>
      <c r="C1874" s="200" t="s">
        <v>214</v>
      </c>
      <c r="D1874" s="260">
        <f>SUM(D1875:D1877)</f>
        <v>266672</v>
      </c>
    </row>
    <row r="1875" spans="1:4" ht="12" hidden="1" customHeight="1" outlineLevel="1" x14ac:dyDescent="0.3">
      <c r="A1875" s="238"/>
      <c r="B1875" s="242">
        <v>5100</v>
      </c>
      <c r="C1875" s="248" t="s">
        <v>215</v>
      </c>
      <c r="D1875" s="260"/>
    </row>
    <row r="1876" spans="1:4" ht="12" customHeight="1" collapsed="1" x14ac:dyDescent="0.3">
      <c r="A1876" s="238"/>
      <c r="B1876" s="242">
        <v>5200</v>
      </c>
      <c r="C1876" s="248" t="s">
        <v>216</v>
      </c>
      <c r="D1876" s="244">
        <f>327452+4034-39015-25799</f>
        <v>266672</v>
      </c>
    </row>
    <row r="1877" spans="1:4" ht="12" hidden="1" customHeight="1" outlineLevel="1" x14ac:dyDescent="0.3">
      <c r="A1877" s="238"/>
      <c r="B1877" s="242">
        <v>5300</v>
      </c>
      <c r="C1877" s="249" t="s">
        <v>217</v>
      </c>
      <c r="D1877" s="260"/>
    </row>
    <row r="1878" spans="1:4" ht="12" hidden="1" customHeight="1" outlineLevel="1" x14ac:dyDescent="0.3">
      <c r="A1878" s="238"/>
      <c r="B1878" s="199">
        <v>6000</v>
      </c>
      <c r="C1878" s="200" t="s">
        <v>218</v>
      </c>
      <c r="D1878" s="260">
        <f>SUM(D1879:D1882)</f>
        <v>0</v>
      </c>
    </row>
    <row r="1879" spans="1:4" ht="12" hidden="1" customHeight="1" outlineLevel="1" x14ac:dyDescent="0.3">
      <c r="A1879" s="238"/>
      <c r="B1879" s="242">
        <v>6200</v>
      </c>
      <c r="C1879" s="248" t="s">
        <v>219</v>
      </c>
      <c r="D1879" s="244"/>
    </row>
    <row r="1880" spans="1:4" ht="12" hidden="1" customHeight="1" outlineLevel="1" x14ac:dyDescent="0.3">
      <c r="A1880" s="238"/>
      <c r="B1880" s="242">
        <v>6300</v>
      </c>
      <c r="C1880" s="248" t="s">
        <v>220</v>
      </c>
      <c r="D1880" s="244"/>
    </row>
    <row r="1881" spans="1:4" ht="12" hidden="1" customHeight="1" outlineLevel="1" x14ac:dyDescent="0.3">
      <c r="A1881" s="238"/>
      <c r="B1881" s="242">
        <v>6400</v>
      </c>
      <c r="C1881" s="248" t="s">
        <v>221</v>
      </c>
      <c r="D1881" s="244"/>
    </row>
    <row r="1882" spans="1:4" ht="12" hidden="1" customHeight="1" outlineLevel="1" x14ac:dyDescent="0.3">
      <c r="A1882" s="238"/>
      <c r="B1882" s="242">
        <v>6500</v>
      </c>
      <c r="C1882" s="249" t="s">
        <v>222</v>
      </c>
      <c r="D1882" s="244"/>
    </row>
    <row r="1883" spans="1:4" ht="16.5" customHeight="1" collapsed="1" x14ac:dyDescent="0.3">
      <c r="A1883" s="238"/>
      <c r="B1883" s="199">
        <v>7000</v>
      </c>
      <c r="C1883" s="200" t="s">
        <v>223</v>
      </c>
      <c r="D1883" s="260">
        <f>SUM(D1884:D1886)</f>
        <v>122</v>
      </c>
    </row>
    <row r="1884" spans="1:4" ht="11.25" customHeight="1" x14ac:dyDescent="0.3">
      <c r="A1884" s="238"/>
      <c r="B1884" s="250">
        <v>7200</v>
      </c>
      <c r="C1884" s="251" t="s">
        <v>224</v>
      </c>
      <c r="D1884" s="244">
        <v>122</v>
      </c>
    </row>
    <row r="1885" spans="1:4" ht="12" hidden="1" customHeight="1" outlineLevel="1" x14ac:dyDescent="0.3">
      <c r="A1885" s="238"/>
      <c r="B1885" s="250">
        <v>7500</v>
      </c>
      <c r="C1885" s="251" t="s">
        <v>225</v>
      </c>
      <c r="D1885" s="244"/>
    </row>
    <row r="1886" spans="1:4" ht="16.5" hidden="1" customHeight="1" outlineLevel="1" x14ac:dyDescent="0.3">
      <c r="A1886" s="238"/>
      <c r="B1886" s="250">
        <v>7700</v>
      </c>
      <c r="C1886" s="251" t="s">
        <v>226</v>
      </c>
      <c r="D1886" s="244"/>
    </row>
    <row r="1887" spans="1:4" ht="12" hidden="1" customHeight="1" outlineLevel="1" x14ac:dyDescent="0.3">
      <c r="A1887" s="238"/>
      <c r="B1887" s="252">
        <v>8000</v>
      </c>
      <c r="C1887" s="253" t="s">
        <v>227</v>
      </c>
      <c r="D1887" s="260">
        <f>SUM(D1888:D1890)</f>
        <v>0</v>
      </c>
    </row>
    <row r="1888" spans="1:4" ht="12" hidden="1" customHeight="1" outlineLevel="1" x14ac:dyDescent="0.3">
      <c r="A1888" s="238"/>
      <c r="B1888" s="254">
        <v>8100</v>
      </c>
      <c r="C1888" s="255" t="s">
        <v>228</v>
      </c>
      <c r="D1888" s="260"/>
    </row>
    <row r="1889" spans="1:4" ht="12" hidden="1" customHeight="1" outlineLevel="1" x14ac:dyDescent="0.3">
      <c r="A1889" s="238"/>
      <c r="B1889" s="254">
        <v>8600</v>
      </c>
      <c r="C1889" s="255" t="s">
        <v>229</v>
      </c>
      <c r="D1889" s="260"/>
    </row>
    <row r="1890" spans="1:4" ht="12" hidden="1" customHeight="1" outlineLevel="1" x14ac:dyDescent="0.3">
      <c r="A1890" s="238"/>
      <c r="B1890" s="254">
        <v>8900</v>
      </c>
      <c r="C1890" s="255" t="s">
        <v>230</v>
      </c>
      <c r="D1890" s="260"/>
    </row>
    <row r="1891" spans="1:4" ht="12" customHeight="1" collapsed="1" x14ac:dyDescent="0.3">
      <c r="A1891" s="256" t="s">
        <v>334</v>
      </c>
      <c r="B1891" s="257"/>
      <c r="C1891" s="258" t="s">
        <v>335</v>
      </c>
      <c r="D1891" s="259">
        <f t="shared" ref="D1891" si="167">D1892+D1908+D1921</f>
        <v>33346759</v>
      </c>
    </row>
    <row r="1892" spans="1:4" ht="12" customHeight="1" x14ac:dyDescent="0.3">
      <c r="A1892" s="227"/>
      <c r="B1892" s="228"/>
      <c r="C1892" s="229" t="s">
        <v>198</v>
      </c>
      <c r="D1892" s="230">
        <f t="shared" ref="D1892" si="168">D1893+D1896+D1902+D1905+D1912+D1917</f>
        <v>31749601</v>
      </c>
    </row>
    <row r="1893" spans="1:4" ht="12" customHeight="1" x14ac:dyDescent="0.3">
      <c r="A1893" s="227"/>
      <c r="B1893" s="231">
        <v>1000</v>
      </c>
      <c r="C1893" s="232" t="s">
        <v>199</v>
      </c>
      <c r="D1893" s="233">
        <f>D1927+D1961</f>
        <v>27584002</v>
      </c>
    </row>
    <row r="1894" spans="1:4" ht="12" customHeight="1" x14ac:dyDescent="0.3">
      <c r="A1894" s="227"/>
      <c r="B1894" s="234">
        <v>1100</v>
      </c>
      <c r="C1894" s="235" t="s">
        <v>200</v>
      </c>
      <c r="D1894" s="236">
        <f t="shared" ref="D1894:D1895" si="169">D1928+D1962</f>
        <v>21892476</v>
      </c>
    </row>
    <row r="1895" spans="1:4" ht="12" customHeight="1" x14ac:dyDescent="0.3">
      <c r="A1895" s="227"/>
      <c r="B1895" s="234">
        <v>1200</v>
      </c>
      <c r="C1895" s="237" t="s">
        <v>201</v>
      </c>
      <c r="D1895" s="236">
        <f t="shared" si="169"/>
        <v>5691526</v>
      </c>
    </row>
    <row r="1896" spans="1:4" ht="12" customHeight="1" x14ac:dyDescent="0.3">
      <c r="A1896" s="238"/>
      <c r="B1896" s="239">
        <v>2000</v>
      </c>
      <c r="C1896" s="240" t="s">
        <v>202</v>
      </c>
      <c r="D1896" s="241">
        <f>D1930+D1964</f>
        <v>4160291</v>
      </c>
    </row>
    <row r="1897" spans="1:4" ht="12" customHeight="1" x14ac:dyDescent="0.3">
      <c r="A1897" s="238"/>
      <c r="B1897" s="242">
        <v>2100</v>
      </c>
      <c r="C1897" s="243" t="s">
        <v>203</v>
      </c>
      <c r="D1897" s="244">
        <f t="shared" ref="D1897:D1901" si="170">D1931+D1965</f>
        <v>22577</v>
      </c>
    </row>
    <row r="1898" spans="1:4" ht="12" customHeight="1" x14ac:dyDescent="0.3">
      <c r="A1898" s="238"/>
      <c r="B1898" s="242">
        <v>2200</v>
      </c>
      <c r="C1898" s="243" t="s">
        <v>204</v>
      </c>
      <c r="D1898" s="244">
        <f t="shared" si="170"/>
        <v>2758061</v>
      </c>
    </row>
    <row r="1899" spans="1:4" ht="12" customHeight="1" x14ac:dyDescent="0.3">
      <c r="A1899" s="238"/>
      <c r="B1899" s="242">
        <v>2300</v>
      </c>
      <c r="C1899" s="243" t="s">
        <v>205</v>
      </c>
      <c r="D1899" s="244">
        <f t="shared" si="170"/>
        <v>1339885</v>
      </c>
    </row>
    <row r="1900" spans="1:4" ht="12" customHeight="1" x14ac:dyDescent="0.3">
      <c r="A1900" s="238"/>
      <c r="B1900" s="242">
        <v>2400</v>
      </c>
      <c r="C1900" s="243" t="s">
        <v>206</v>
      </c>
      <c r="D1900" s="244">
        <f t="shared" si="170"/>
        <v>3844</v>
      </c>
    </row>
    <row r="1901" spans="1:4" ht="12" customHeight="1" x14ac:dyDescent="0.3">
      <c r="A1901" s="238"/>
      <c r="B1901" s="242">
        <v>2500</v>
      </c>
      <c r="C1901" s="243" t="s">
        <v>207</v>
      </c>
      <c r="D1901" s="244">
        <f t="shared" si="170"/>
        <v>35924</v>
      </c>
    </row>
    <row r="1902" spans="1:4" ht="12" hidden="1" customHeight="1" outlineLevel="1" x14ac:dyDescent="0.3">
      <c r="A1902" s="238"/>
      <c r="B1902" s="199">
        <v>3000</v>
      </c>
      <c r="C1902" s="245" t="s">
        <v>208</v>
      </c>
      <c r="D1902" s="241">
        <f>D1936+D1970</f>
        <v>0</v>
      </c>
    </row>
    <row r="1903" spans="1:4" ht="12" hidden="1" customHeight="1" outlineLevel="1" x14ac:dyDescent="0.3">
      <c r="A1903" s="238"/>
      <c r="B1903" s="242">
        <v>3200</v>
      </c>
      <c r="C1903" s="243" t="s">
        <v>209</v>
      </c>
      <c r="D1903" s="244">
        <f t="shared" ref="D1903:D1904" si="171">D1937+D1971</f>
        <v>0</v>
      </c>
    </row>
    <row r="1904" spans="1:4" ht="12" hidden="1" customHeight="1" outlineLevel="1" x14ac:dyDescent="0.3">
      <c r="A1904" s="238"/>
      <c r="B1904" s="242">
        <v>3300</v>
      </c>
      <c r="C1904" s="243" t="s">
        <v>210</v>
      </c>
      <c r="D1904" s="244">
        <f t="shared" si="171"/>
        <v>0</v>
      </c>
    </row>
    <row r="1905" spans="1:4" ht="12" hidden="1" customHeight="1" outlineLevel="1" x14ac:dyDescent="0.3">
      <c r="A1905" s="238"/>
      <c r="B1905" s="199">
        <v>4000</v>
      </c>
      <c r="C1905" s="246" t="s">
        <v>211</v>
      </c>
      <c r="D1905" s="241">
        <f>D1939+D1973</f>
        <v>0</v>
      </c>
    </row>
    <row r="1906" spans="1:4" ht="12" hidden="1" customHeight="1" outlineLevel="1" x14ac:dyDescent="0.3">
      <c r="A1906" s="238"/>
      <c r="B1906" s="242">
        <v>4200</v>
      </c>
      <c r="C1906" s="247" t="s">
        <v>212</v>
      </c>
      <c r="D1906" s="244">
        <f t="shared" ref="D1906:D1907" si="172">D1940+D1974</f>
        <v>0</v>
      </c>
    </row>
    <row r="1907" spans="1:4" ht="12" hidden="1" customHeight="1" outlineLevel="1" x14ac:dyDescent="0.3">
      <c r="A1907" s="238"/>
      <c r="B1907" s="242">
        <v>4300</v>
      </c>
      <c r="C1907" s="247" t="s">
        <v>213</v>
      </c>
      <c r="D1907" s="244">
        <f t="shared" si="172"/>
        <v>0</v>
      </c>
    </row>
    <row r="1908" spans="1:4" ht="12" customHeight="1" collapsed="1" x14ac:dyDescent="0.3">
      <c r="A1908" s="238"/>
      <c r="B1908" s="199">
        <v>5000</v>
      </c>
      <c r="C1908" s="200" t="s">
        <v>214</v>
      </c>
      <c r="D1908" s="241">
        <f>D1942+D1976</f>
        <v>1597158</v>
      </c>
    </row>
    <row r="1909" spans="1:4" ht="12" customHeight="1" x14ac:dyDescent="0.3">
      <c r="A1909" s="238"/>
      <c r="B1909" s="242">
        <v>5100</v>
      </c>
      <c r="C1909" s="248" t="s">
        <v>215</v>
      </c>
      <c r="D1909" s="244">
        <f t="shared" ref="D1909:D1911" si="173">D1943+D1977</f>
        <v>1347</v>
      </c>
    </row>
    <row r="1910" spans="1:4" ht="12" customHeight="1" x14ac:dyDescent="0.3">
      <c r="A1910" s="238"/>
      <c r="B1910" s="242">
        <v>5200</v>
      </c>
      <c r="C1910" s="248" t="s">
        <v>216</v>
      </c>
      <c r="D1910" s="244">
        <f t="shared" si="173"/>
        <v>1595811</v>
      </c>
    </row>
    <row r="1911" spans="1:4" ht="12" hidden="1" customHeight="1" outlineLevel="1" x14ac:dyDescent="0.3">
      <c r="A1911" s="238"/>
      <c r="B1911" s="242">
        <v>5300</v>
      </c>
      <c r="C1911" s="249" t="s">
        <v>217</v>
      </c>
      <c r="D1911" s="244">
        <f t="shared" si="173"/>
        <v>0</v>
      </c>
    </row>
    <row r="1912" spans="1:4" ht="12" customHeight="1" collapsed="1" x14ac:dyDescent="0.3">
      <c r="A1912" s="238"/>
      <c r="B1912" s="199">
        <v>6000</v>
      </c>
      <c r="C1912" s="200" t="s">
        <v>218</v>
      </c>
      <c r="D1912" s="241">
        <f>D1947+D1980</f>
        <v>1740</v>
      </c>
    </row>
    <row r="1913" spans="1:4" ht="12" customHeight="1" x14ac:dyDescent="0.3">
      <c r="A1913" s="238"/>
      <c r="B1913" s="242">
        <v>6200</v>
      </c>
      <c r="C1913" s="248" t="s">
        <v>219</v>
      </c>
      <c r="D1913" s="244">
        <f t="shared" ref="D1913:D1915" si="174">D1948+D1981</f>
        <v>1740</v>
      </c>
    </row>
    <row r="1914" spans="1:4" ht="12" hidden="1" customHeight="1" outlineLevel="1" x14ac:dyDescent="0.3">
      <c r="A1914" s="238"/>
      <c r="B1914" s="242">
        <v>6300</v>
      </c>
      <c r="C1914" s="248" t="s">
        <v>220</v>
      </c>
      <c r="D1914" s="244">
        <f t="shared" si="174"/>
        <v>0</v>
      </c>
    </row>
    <row r="1915" spans="1:4" ht="12" hidden="1" customHeight="1" outlineLevel="1" x14ac:dyDescent="0.3">
      <c r="A1915" s="238"/>
      <c r="B1915" s="242">
        <v>6400</v>
      </c>
      <c r="C1915" s="248" t="s">
        <v>221</v>
      </c>
      <c r="D1915" s="244">
        <f t="shared" si="174"/>
        <v>0</v>
      </c>
    </row>
    <row r="1916" spans="1:4" ht="12" hidden="1" customHeight="1" outlineLevel="1" x14ac:dyDescent="0.3">
      <c r="A1916" s="238"/>
      <c r="B1916" s="242">
        <v>6500</v>
      </c>
      <c r="C1916" s="249" t="s">
        <v>222</v>
      </c>
      <c r="D1916" s="244">
        <f>D1950+D1983</f>
        <v>0</v>
      </c>
    </row>
    <row r="1917" spans="1:4" ht="12" customHeight="1" collapsed="1" x14ac:dyDescent="0.3">
      <c r="A1917" s="238"/>
      <c r="B1917" s="199">
        <v>7000</v>
      </c>
      <c r="C1917" s="200" t="s">
        <v>223</v>
      </c>
      <c r="D1917" s="241">
        <f>D1952+D1985</f>
        <v>3568</v>
      </c>
    </row>
    <row r="1918" spans="1:4" ht="12" customHeight="1" x14ac:dyDescent="0.3">
      <c r="A1918" s="238"/>
      <c r="B1918" s="250">
        <v>7200</v>
      </c>
      <c r="C1918" s="251" t="s">
        <v>224</v>
      </c>
      <c r="D1918" s="244">
        <f>D1952+D1985</f>
        <v>3568</v>
      </c>
    </row>
    <row r="1919" spans="1:4" ht="12" hidden="1" customHeight="1" outlineLevel="1" x14ac:dyDescent="0.3">
      <c r="A1919" s="238"/>
      <c r="B1919" s="250">
        <v>7500</v>
      </c>
      <c r="C1919" s="251" t="s">
        <v>225</v>
      </c>
      <c r="D1919" s="244">
        <f t="shared" ref="D1919:D1920" si="175">D1954+D1987</f>
        <v>0</v>
      </c>
    </row>
    <row r="1920" spans="1:4" ht="12" hidden="1" customHeight="1" outlineLevel="1" x14ac:dyDescent="0.3">
      <c r="A1920" s="238"/>
      <c r="B1920" s="250">
        <v>7700</v>
      </c>
      <c r="C1920" s="251" t="s">
        <v>226</v>
      </c>
      <c r="D1920" s="244">
        <f t="shared" si="175"/>
        <v>0</v>
      </c>
    </row>
    <row r="1921" spans="1:4" ht="12" customHeight="1" collapsed="1" x14ac:dyDescent="0.3">
      <c r="A1921" s="238"/>
      <c r="B1921" s="252">
        <v>8000</v>
      </c>
      <c r="C1921" s="253" t="s">
        <v>227</v>
      </c>
      <c r="D1921" s="241">
        <f>D1956+D1989</f>
        <v>0</v>
      </c>
    </row>
    <row r="1922" spans="1:4" ht="12" customHeight="1" x14ac:dyDescent="0.3">
      <c r="A1922" s="238"/>
      <c r="B1922" s="254">
        <v>8100</v>
      </c>
      <c r="C1922" s="255" t="s">
        <v>228</v>
      </c>
      <c r="D1922" s="244">
        <f t="shared" ref="D1922:D1923" si="176">D1957+D1990</f>
        <v>0</v>
      </c>
    </row>
    <row r="1923" spans="1:4" ht="12" hidden="1" customHeight="1" outlineLevel="1" x14ac:dyDescent="0.3">
      <c r="A1923" s="238"/>
      <c r="B1923" s="254">
        <v>8600</v>
      </c>
      <c r="C1923" s="255" t="s">
        <v>229</v>
      </c>
      <c r="D1923" s="244">
        <f t="shared" si="176"/>
        <v>0</v>
      </c>
    </row>
    <row r="1924" spans="1:4" ht="12" hidden="1" customHeight="1" outlineLevel="1" x14ac:dyDescent="0.3">
      <c r="A1924" s="238"/>
      <c r="B1924" s="254">
        <v>8900</v>
      </c>
      <c r="C1924" s="255" t="s">
        <v>230</v>
      </c>
      <c r="D1924" s="244">
        <f>D1958+D1992</f>
        <v>0</v>
      </c>
    </row>
    <row r="1925" spans="1:4" ht="12" customHeight="1" collapsed="1" x14ac:dyDescent="0.3">
      <c r="A1925" s="272" t="s">
        <v>336</v>
      </c>
      <c r="B1925" s="273"/>
      <c r="C1925" s="274" t="s">
        <v>337</v>
      </c>
      <c r="D1925" s="275">
        <f>D1926+D1942+D1956</f>
        <v>3880164</v>
      </c>
    </row>
    <row r="1926" spans="1:4" ht="12" customHeight="1" x14ac:dyDescent="0.3">
      <c r="A1926" s="238"/>
      <c r="B1926" s="228"/>
      <c r="C1926" s="229" t="s">
        <v>198</v>
      </c>
      <c r="D1926" s="230">
        <f t="shared" ref="D1926" si="177">D1927+D1930+D1936+D1939+D1947+D1952</f>
        <v>3683370</v>
      </c>
    </row>
    <row r="1927" spans="1:4" ht="12" customHeight="1" x14ac:dyDescent="0.3">
      <c r="A1927" s="238"/>
      <c r="B1927" s="231">
        <v>1000</v>
      </c>
      <c r="C1927" s="232" t="s">
        <v>199</v>
      </c>
      <c r="D1927" s="230">
        <f>SUM(D1928:D1929)</f>
        <v>3182716</v>
      </c>
    </row>
    <row r="1928" spans="1:4" ht="12" customHeight="1" x14ac:dyDescent="0.3">
      <c r="A1928" s="238"/>
      <c r="B1928" s="234">
        <v>1100</v>
      </c>
      <c r="C1928" s="235" t="s">
        <v>200</v>
      </c>
      <c r="D1928" s="236">
        <f>1866379+19169+650701</f>
        <v>2536249</v>
      </c>
    </row>
    <row r="1929" spans="1:4" ht="12" customHeight="1" x14ac:dyDescent="0.3">
      <c r="A1929" s="238"/>
      <c r="B1929" s="234">
        <v>1200</v>
      </c>
      <c r="C1929" s="237" t="s">
        <v>201</v>
      </c>
      <c r="D1929" s="236">
        <f>477320+4775+164372</f>
        <v>646467</v>
      </c>
    </row>
    <row r="1930" spans="1:4" ht="12" customHeight="1" x14ac:dyDescent="0.3">
      <c r="A1930" s="238"/>
      <c r="B1930" s="239">
        <v>2000</v>
      </c>
      <c r="C1930" s="240" t="s">
        <v>202</v>
      </c>
      <c r="D1930" s="260">
        <f>SUM(D1931:D1935)</f>
        <v>500650</v>
      </c>
    </row>
    <row r="1931" spans="1:4" ht="12" customHeight="1" x14ac:dyDescent="0.3">
      <c r="A1931" s="238"/>
      <c r="B1931" s="242">
        <v>2100</v>
      </c>
      <c r="C1931" s="243" t="s">
        <v>203</v>
      </c>
      <c r="D1931" s="244">
        <f>1509+410+100</f>
        <v>2019</v>
      </c>
    </row>
    <row r="1932" spans="1:4" ht="12" customHeight="1" x14ac:dyDescent="0.3">
      <c r="A1932" s="238"/>
      <c r="B1932" s="242">
        <v>2200</v>
      </c>
      <c r="C1932" s="243" t="s">
        <v>204</v>
      </c>
      <c r="D1932" s="244">
        <f>290955+925+40537-6842</f>
        <v>325575</v>
      </c>
    </row>
    <row r="1933" spans="1:4" ht="12" customHeight="1" x14ac:dyDescent="0.3">
      <c r="A1933" s="238"/>
      <c r="B1933" s="242">
        <v>2300</v>
      </c>
      <c r="C1933" s="243" t="s">
        <v>205</v>
      </c>
      <c r="D1933" s="244">
        <f>151124+4075-9705+23968</f>
        <v>169462</v>
      </c>
    </row>
    <row r="1934" spans="1:4" ht="12" customHeight="1" x14ac:dyDescent="0.3">
      <c r="A1934" s="238"/>
      <c r="B1934" s="242">
        <v>2400</v>
      </c>
      <c r="C1934" s="243" t="s">
        <v>206</v>
      </c>
      <c r="D1934" s="244">
        <v>607</v>
      </c>
    </row>
    <row r="1935" spans="1:4" ht="12" customHeight="1" x14ac:dyDescent="0.3">
      <c r="A1935" s="238"/>
      <c r="B1935" s="242">
        <v>2500</v>
      </c>
      <c r="C1935" s="243" t="s">
        <v>207</v>
      </c>
      <c r="D1935" s="244">
        <f>1367+600+1020</f>
        <v>2987</v>
      </c>
    </row>
    <row r="1936" spans="1:4" ht="12" hidden="1" customHeight="1" outlineLevel="1" x14ac:dyDescent="0.3">
      <c r="A1936" s="238"/>
      <c r="B1936" s="199">
        <v>3000</v>
      </c>
      <c r="C1936" s="245" t="s">
        <v>208</v>
      </c>
      <c r="D1936" s="260">
        <f>SUM(D1937:D1938)</f>
        <v>0</v>
      </c>
    </row>
    <row r="1937" spans="1:4" ht="12" hidden="1" customHeight="1" outlineLevel="1" x14ac:dyDescent="0.3">
      <c r="A1937" s="238"/>
      <c r="B1937" s="242">
        <v>3200</v>
      </c>
      <c r="C1937" s="243" t="s">
        <v>209</v>
      </c>
      <c r="D1937" s="244"/>
    </row>
    <row r="1938" spans="1:4" ht="12" hidden="1" customHeight="1" outlineLevel="1" x14ac:dyDescent="0.3">
      <c r="A1938" s="238"/>
      <c r="B1938" s="242">
        <v>3300</v>
      </c>
      <c r="C1938" s="243" t="s">
        <v>210</v>
      </c>
      <c r="D1938" s="244"/>
    </row>
    <row r="1939" spans="1:4" ht="12" hidden="1" customHeight="1" outlineLevel="1" x14ac:dyDescent="0.3">
      <c r="A1939" s="238"/>
      <c r="B1939" s="199">
        <v>4000</v>
      </c>
      <c r="C1939" s="246" t="s">
        <v>211</v>
      </c>
      <c r="D1939" s="260">
        <f>SUM(D1940:D1941)</f>
        <v>0</v>
      </c>
    </row>
    <row r="1940" spans="1:4" ht="12" hidden="1" customHeight="1" outlineLevel="1" x14ac:dyDescent="0.3">
      <c r="A1940" s="238"/>
      <c r="B1940" s="242">
        <v>4200</v>
      </c>
      <c r="C1940" s="247" t="s">
        <v>212</v>
      </c>
      <c r="D1940" s="244"/>
    </row>
    <row r="1941" spans="1:4" ht="12" hidden="1" customHeight="1" outlineLevel="1" x14ac:dyDescent="0.3">
      <c r="A1941" s="238"/>
      <c r="B1941" s="242">
        <v>4300</v>
      </c>
      <c r="C1941" s="247" t="s">
        <v>213</v>
      </c>
      <c r="D1941" s="244"/>
    </row>
    <row r="1942" spans="1:4" ht="12" customHeight="1" collapsed="1" x14ac:dyDescent="0.3">
      <c r="A1942" s="238"/>
      <c r="B1942" s="199">
        <v>5000</v>
      </c>
      <c r="C1942" s="200" t="s">
        <v>214</v>
      </c>
      <c r="D1942" s="260">
        <f>SUM(D1943:D1945)</f>
        <v>196794</v>
      </c>
    </row>
    <row r="1943" spans="1:4" ht="12" customHeight="1" outlineLevel="1" x14ac:dyDescent="0.3">
      <c r="A1943" s="238"/>
      <c r="B1943" s="242">
        <v>5100</v>
      </c>
      <c r="C1943" s="248" t="s">
        <v>215</v>
      </c>
      <c r="D1943" s="260">
        <v>1000</v>
      </c>
    </row>
    <row r="1944" spans="1:4" ht="12" customHeight="1" x14ac:dyDescent="0.3">
      <c r="A1944" s="238"/>
      <c r="B1944" s="242">
        <v>5200</v>
      </c>
      <c r="C1944" s="248" t="s">
        <v>216</v>
      </c>
      <c r="D1944" s="244">
        <f>199821-19394+15367</f>
        <v>195794</v>
      </c>
    </row>
    <row r="1945" spans="1:4" ht="12" hidden="1" customHeight="1" outlineLevel="1" x14ac:dyDescent="0.3">
      <c r="A1945" s="238"/>
      <c r="B1945" s="242">
        <v>5300</v>
      </c>
      <c r="C1945" s="249" t="s">
        <v>217</v>
      </c>
      <c r="D1945" s="260"/>
    </row>
    <row r="1946" spans="1:4" ht="12" hidden="1" customHeight="1" outlineLevel="1" x14ac:dyDescent="0.3">
      <c r="A1946" s="238"/>
      <c r="B1946" s="199">
        <v>6000</v>
      </c>
      <c r="C1946" s="200" t="s">
        <v>218</v>
      </c>
      <c r="D1946" s="260">
        <f>SUM(D1947:D1950)</f>
        <v>0</v>
      </c>
    </row>
    <row r="1947" spans="1:4" ht="12" hidden="1" customHeight="1" outlineLevel="1" x14ac:dyDescent="0.3">
      <c r="A1947" s="238"/>
      <c r="B1947" s="242">
        <v>6200</v>
      </c>
      <c r="C1947" s="248" t="s">
        <v>219</v>
      </c>
      <c r="D1947" s="244"/>
    </row>
    <row r="1948" spans="1:4" ht="12" hidden="1" customHeight="1" outlineLevel="1" x14ac:dyDescent="0.3">
      <c r="A1948" s="238"/>
      <c r="B1948" s="242">
        <v>6300</v>
      </c>
      <c r="C1948" s="248" t="s">
        <v>220</v>
      </c>
      <c r="D1948" s="244"/>
    </row>
    <row r="1949" spans="1:4" ht="12" hidden="1" customHeight="1" outlineLevel="1" x14ac:dyDescent="0.3">
      <c r="A1949" s="238"/>
      <c r="B1949" s="242">
        <v>6400</v>
      </c>
      <c r="C1949" s="248" t="s">
        <v>221</v>
      </c>
      <c r="D1949" s="244"/>
    </row>
    <row r="1950" spans="1:4" ht="12" hidden="1" customHeight="1" outlineLevel="1" x14ac:dyDescent="0.3">
      <c r="A1950" s="238"/>
      <c r="B1950" s="242">
        <v>6500</v>
      </c>
      <c r="C1950" s="249" t="s">
        <v>222</v>
      </c>
      <c r="D1950" s="244"/>
    </row>
    <row r="1951" spans="1:4" ht="12" customHeight="1" collapsed="1" x14ac:dyDescent="0.3">
      <c r="A1951" s="238"/>
      <c r="B1951" s="199">
        <v>7000</v>
      </c>
      <c r="C1951" s="200" t="s">
        <v>223</v>
      </c>
      <c r="D1951" s="260">
        <f>SUM(D1952:D1954)</f>
        <v>4</v>
      </c>
    </row>
    <row r="1952" spans="1:4" ht="12" customHeight="1" x14ac:dyDescent="0.3">
      <c r="A1952" s="238"/>
      <c r="B1952" s="250">
        <v>7200</v>
      </c>
      <c r="C1952" s="251" t="s">
        <v>224</v>
      </c>
      <c r="D1952" s="244">
        <v>4</v>
      </c>
    </row>
    <row r="1953" spans="1:4" ht="12" hidden="1" customHeight="1" outlineLevel="1" x14ac:dyDescent="0.3">
      <c r="A1953" s="238"/>
      <c r="B1953" s="250">
        <v>7500</v>
      </c>
      <c r="C1953" s="251" t="s">
        <v>225</v>
      </c>
      <c r="D1953" s="244"/>
    </row>
    <row r="1954" spans="1:4" ht="12" hidden="1" customHeight="1" outlineLevel="1" x14ac:dyDescent="0.3">
      <c r="A1954" s="238"/>
      <c r="B1954" s="250">
        <v>7700</v>
      </c>
      <c r="C1954" s="251" t="s">
        <v>226</v>
      </c>
      <c r="D1954" s="244"/>
    </row>
    <row r="1955" spans="1:4" ht="12" hidden="1" customHeight="1" outlineLevel="1" x14ac:dyDescent="0.3">
      <c r="A1955" s="238"/>
      <c r="B1955" s="252">
        <v>8000</v>
      </c>
      <c r="C1955" s="253" t="s">
        <v>227</v>
      </c>
      <c r="D1955" s="260">
        <f>SUM(D1956:D1958)</f>
        <v>0</v>
      </c>
    </row>
    <row r="1956" spans="1:4" ht="12" hidden="1" customHeight="1" outlineLevel="1" x14ac:dyDescent="0.3">
      <c r="A1956" s="238"/>
      <c r="B1956" s="254">
        <v>8100</v>
      </c>
      <c r="C1956" s="255" t="s">
        <v>228</v>
      </c>
      <c r="D1956" s="260"/>
    </row>
    <row r="1957" spans="1:4" ht="12" hidden="1" customHeight="1" outlineLevel="1" x14ac:dyDescent="0.3">
      <c r="A1957" s="238"/>
      <c r="B1957" s="254">
        <v>8600</v>
      </c>
      <c r="C1957" s="255" t="s">
        <v>229</v>
      </c>
      <c r="D1957" s="260"/>
    </row>
    <row r="1958" spans="1:4" ht="12" hidden="1" customHeight="1" outlineLevel="1" x14ac:dyDescent="0.3">
      <c r="A1958" s="238"/>
      <c r="B1958" s="254">
        <v>8900</v>
      </c>
      <c r="C1958" s="255" t="s">
        <v>230</v>
      </c>
      <c r="D1958" s="260"/>
    </row>
    <row r="1959" spans="1:4" ht="25.5" customHeight="1" collapsed="1" x14ac:dyDescent="0.3">
      <c r="A1959" s="272" t="s">
        <v>338</v>
      </c>
      <c r="B1959" s="273"/>
      <c r="C1959" s="282" t="s">
        <v>339</v>
      </c>
      <c r="D1959" s="275">
        <f t="shared" ref="D1959" si="178">D1960+D1976+D1989</f>
        <v>29466595</v>
      </c>
    </row>
    <row r="1960" spans="1:4" ht="12" customHeight="1" x14ac:dyDescent="0.3">
      <c r="A1960" s="227"/>
      <c r="B1960" s="228"/>
      <c r="C1960" s="229" t="s">
        <v>198</v>
      </c>
      <c r="D1960" s="230">
        <f t="shared" ref="D1960" si="179">D1961+D1964+D1970+D1973+D1980+D1985</f>
        <v>28066231</v>
      </c>
    </row>
    <row r="1961" spans="1:4" ht="12" customHeight="1" x14ac:dyDescent="0.3">
      <c r="A1961" s="227"/>
      <c r="B1961" s="231">
        <v>1000</v>
      </c>
      <c r="C1961" s="232" t="s">
        <v>199</v>
      </c>
      <c r="D1961" s="230">
        <f>SUM(D1962:D1963)</f>
        <v>24401286</v>
      </c>
    </row>
    <row r="1962" spans="1:4" ht="12" customHeight="1" x14ac:dyDescent="0.3">
      <c r="A1962" s="227"/>
      <c r="B1962" s="234">
        <v>1100</v>
      </c>
      <c r="C1962" s="235" t="s">
        <v>200</v>
      </c>
      <c r="D1962" s="236">
        <f>15154378+13160-3042+4191731</f>
        <v>19356227</v>
      </c>
    </row>
    <row r="1963" spans="1:4" ht="12" customHeight="1" x14ac:dyDescent="0.3">
      <c r="A1963" s="227"/>
      <c r="B1963" s="234">
        <v>1200</v>
      </c>
      <c r="C1963" s="237" t="s">
        <v>201</v>
      </c>
      <c r="D1963" s="236">
        <f>3980391+4089-1120+1061699</f>
        <v>5045059</v>
      </c>
    </row>
    <row r="1964" spans="1:4" ht="12" customHeight="1" x14ac:dyDescent="0.3">
      <c r="A1964" s="238"/>
      <c r="B1964" s="239">
        <v>2000</v>
      </c>
      <c r="C1964" s="240" t="s">
        <v>202</v>
      </c>
      <c r="D1964" s="260">
        <f>SUM(D1965:D1969)</f>
        <v>3659641</v>
      </c>
    </row>
    <row r="1965" spans="1:4" ht="12" customHeight="1" x14ac:dyDescent="0.3">
      <c r="A1965" s="238"/>
      <c r="B1965" s="242">
        <v>2100</v>
      </c>
      <c r="C1965" s="243" t="s">
        <v>203</v>
      </c>
      <c r="D1965" s="244">
        <f>30756-784-9414</f>
        <v>20558</v>
      </c>
    </row>
    <row r="1966" spans="1:4" ht="12" customHeight="1" x14ac:dyDescent="0.3">
      <c r="A1966" s="238"/>
      <c r="B1966" s="242">
        <v>2200</v>
      </c>
      <c r="C1966" s="243" t="s">
        <v>204</v>
      </c>
      <c r="D1966" s="244">
        <f>2402789-9814+59752-20241</f>
        <v>2432486</v>
      </c>
    </row>
    <row r="1967" spans="1:4" ht="12" customHeight="1" x14ac:dyDescent="0.3">
      <c r="A1967" s="238"/>
      <c r="B1967" s="242">
        <v>2300</v>
      </c>
      <c r="C1967" s="243" t="s">
        <v>205</v>
      </c>
      <c r="D1967" s="244">
        <f>1050406+1796+34938+83283</f>
        <v>1170423</v>
      </c>
    </row>
    <row r="1968" spans="1:4" ht="12" customHeight="1" x14ac:dyDescent="0.3">
      <c r="A1968" s="238"/>
      <c r="B1968" s="242">
        <v>2400</v>
      </c>
      <c r="C1968" s="243" t="s">
        <v>206</v>
      </c>
      <c r="D1968" s="244">
        <f>3253-16</f>
        <v>3237</v>
      </c>
    </row>
    <row r="1969" spans="1:4" ht="12" customHeight="1" x14ac:dyDescent="0.3">
      <c r="A1969" s="238"/>
      <c r="B1969" s="242">
        <v>2500</v>
      </c>
      <c r="C1969" s="243" t="s">
        <v>207</v>
      </c>
      <c r="D1969" s="244">
        <f>31675-3933+3180+2015</f>
        <v>32937</v>
      </c>
    </row>
    <row r="1970" spans="1:4" ht="12" hidden="1" customHeight="1" outlineLevel="1" x14ac:dyDescent="0.3">
      <c r="A1970" s="238"/>
      <c r="B1970" s="199">
        <v>3000</v>
      </c>
      <c r="C1970" s="245" t="s">
        <v>208</v>
      </c>
      <c r="D1970" s="260">
        <f>SUM(D1971:D1972)</f>
        <v>0</v>
      </c>
    </row>
    <row r="1971" spans="1:4" ht="12" hidden="1" customHeight="1" outlineLevel="1" x14ac:dyDescent="0.3">
      <c r="A1971" s="238"/>
      <c r="B1971" s="242">
        <v>3200</v>
      </c>
      <c r="C1971" s="243" t="s">
        <v>209</v>
      </c>
      <c r="D1971" s="244"/>
    </row>
    <row r="1972" spans="1:4" ht="12" hidden="1" customHeight="1" outlineLevel="1" x14ac:dyDescent="0.3">
      <c r="A1972" s="238"/>
      <c r="B1972" s="242">
        <v>3300</v>
      </c>
      <c r="C1972" s="243" t="s">
        <v>210</v>
      </c>
      <c r="D1972" s="244"/>
    </row>
    <row r="1973" spans="1:4" ht="12" hidden="1" customHeight="1" outlineLevel="1" x14ac:dyDescent="0.3">
      <c r="A1973" s="238"/>
      <c r="B1973" s="199">
        <v>4000</v>
      </c>
      <c r="C1973" s="246" t="s">
        <v>211</v>
      </c>
      <c r="D1973" s="260">
        <f>SUM(D1974:D1975)</f>
        <v>0</v>
      </c>
    </row>
    <row r="1974" spans="1:4" ht="12" hidden="1" customHeight="1" outlineLevel="1" x14ac:dyDescent="0.3">
      <c r="A1974" s="238"/>
      <c r="B1974" s="242">
        <v>4200</v>
      </c>
      <c r="C1974" s="247" t="s">
        <v>212</v>
      </c>
      <c r="D1974" s="244"/>
    </row>
    <row r="1975" spans="1:4" ht="12" hidden="1" customHeight="1" outlineLevel="1" x14ac:dyDescent="0.3">
      <c r="A1975" s="238"/>
      <c r="B1975" s="242">
        <v>4300</v>
      </c>
      <c r="C1975" s="247" t="s">
        <v>213</v>
      </c>
      <c r="D1975" s="244"/>
    </row>
    <row r="1976" spans="1:4" ht="12" customHeight="1" collapsed="1" x14ac:dyDescent="0.3">
      <c r="A1976" s="238"/>
      <c r="B1976" s="199">
        <v>5000</v>
      </c>
      <c r="C1976" s="200" t="s">
        <v>214</v>
      </c>
      <c r="D1976" s="260">
        <f>SUM(D1977:D1979)</f>
        <v>1400364</v>
      </c>
    </row>
    <row r="1977" spans="1:4" ht="12" customHeight="1" x14ac:dyDescent="0.3">
      <c r="A1977" s="238"/>
      <c r="B1977" s="242">
        <v>5100</v>
      </c>
      <c r="C1977" s="248" t="s">
        <v>215</v>
      </c>
      <c r="D1977" s="244">
        <f>290+97-40</f>
        <v>347</v>
      </c>
    </row>
    <row r="1978" spans="1:4" ht="12" customHeight="1" x14ac:dyDescent="0.3">
      <c r="A1978" s="238"/>
      <c r="B1978" s="242">
        <v>5200</v>
      </c>
      <c r="C1978" s="248" t="s">
        <v>216</v>
      </c>
      <c r="D1978" s="244">
        <f>1312983+26439-8601+69196</f>
        <v>1400017</v>
      </c>
    </row>
    <row r="1979" spans="1:4" ht="12" hidden="1" customHeight="1" outlineLevel="1" x14ac:dyDescent="0.3">
      <c r="A1979" s="238"/>
      <c r="B1979" s="242">
        <v>5300</v>
      </c>
      <c r="C1979" s="249" t="s">
        <v>217</v>
      </c>
      <c r="D1979" s="260"/>
    </row>
    <row r="1980" spans="1:4" ht="12" customHeight="1" collapsed="1" x14ac:dyDescent="0.3">
      <c r="A1980" s="238"/>
      <c r="B1980" s="199">
        <v>6000</v>
      </c>
      <c r="C1980" s="200" t="s">
        <v>218</v>
      </c>
      <c r="D1980" s="260">
        <f>SUM(D1981:D1984)</f>
        <v>1740</v>
      </c>
    </row>
    <row r="1981" spans="1:4" ht="12" customHeight="1" x14ac:dyDescent="0.3">
      <c r="A1981" s="238"/>
      <c r="B1981" s="242">
        <v>6200</v>
      </c>
      <c r="C1981" s="248" t="s">
        <v>219</v>
      </c>
      <c r="D1981" s="244">
        <v>1740</v>
      </c>
    </row>
    <row r="1982" spans="1:4" ht="12" hidden="1" customHeight="1" outlineLevel="1" x14ac:dyDescent="0.3">
      <c r="A1982" s="238"/>
      <c r="B1982" s="242">
        <v>6300</v>
      </c>
      <c r="C1982" s="248" t="s">
        <v>220</v>
      </c>
      <c r="D1982" s="244"/>
    </row>
    <row r="1983" spans="1:4" ht="12" hidden="1" customHeight="1" outlineLevel="1" x14ac:dyDescent="0.3">
      <c r="A1983" s="238"/>
      <c r="B1983" s="242">
        <v>6400</v>
      </c>
      <c r="C1983" s="248" t="s">
        <v>221</v>
      </c>
      <c r="D1983" s="244"/>
    </row>
    <row r="1984" spans="1:4" ht="12" hidden="1" customHeight="1" outlineLevel="1" x14ac:dyDescent="0.3">
      <c r="A1984" s="238"/>
      <c r="B1984" s="242">
        <v>6500</v>
      </c>
      <c r="C1984" s="249" t="s">
        <v>222</v>
      </c>
      <c r="D1984" s="244"/>
    </row>
    <row r="1985" spans="1:4" ht="12" customHeight="1" collapsed="1" x14ac:dyDescent="0.3">
      <c r="A1985" s="238"/>
      <c r="B1985" s="199">
        <v>7000</v>
      </c>
      <c r="C1985" s="200" t="s">
        <v>223</v>
      </c>
      <c r="D1985" s="260">
        <f>SUM(D1986:D1988)</f>
        <v>3564</v>
      </c>
    </row>
    <row r="1986" spans="1:4" ht="12" customHeight="1" x14ac:dyDescent="0.3">
      <c r="A1986" s="238"/>
      <c r="B1986" s="250">
        <v>7200</v>
      </c>
      <c r="C1986" s="251" t="s">
        <v>224</v>
      </c>
      <c r="D1986" s="244">
        <v>3564</v>
      </c>
    </row>
    <row r="1987" spans="1:4" ht="12" hidden="1" customHeight="1" outlineLevel="1" x14ac:dyDescent="0.3">
      <c r="A1987" s="238"/>
      <c r="B1987" s="250">
        <v>7500</v>
      </c>
      <c r="C1987" s="251" t="s">
        <v>225</v>
      </c>
      <c r="D1987" s="244"/>
    </row>
    <row r="1988" spans="1:4" ht="12" hidden="1" customHeight="1" outlineLevel="1" x14ac:dyDescent="0.3">
      <c r="A1988" s="238"/>
      <c r="B1988" s="250">
        <v>7700</v>
      </c>
      <c r="C1988" s="251" t="s">
        <v>226</v>
      </c>
      <c r="D1988" s="244"/>
    </row>
    <row r="1989" spans="1:4" ht="12" customHeight="1" collapsed="1" x14ac:dyDescent="0.3">
      <c r="A1989" s="238"/>
      <c r="B1989" s="252">
        <v>8000</v>
      </c>
      <c r="C1989" s="253" t="s">
        <v>227</v>
      </c>
      <c r="D1989" s="260">
        <f>SUM(D1990:D1992)</f>
        <v>0</v>
      </c>
    </row>
    <row r="1990" spans="1:4" ht="12" customHeight="1" x14ac:dyDescent="0.3">
      <c r="A1990" s="238"/>
      <c r="B1990" s="254">
        <v>8100</v>
      </c>
      <c r="C1990" s="255" t="s">
        <v>228</v>
      </c>
      <c r="D1990" s="244">
        <v>0</v>
      </c>
    </row>
    <row r="1991" spans="1:4" ht="12" hidden="1" customHeight="1" outlineLevel="1" x14ac:dyDescent="0.3">
      <c r="A1991" s="238"/>
      <c r="B1991" s="254">
        <v>8600</v>
      </c>
      <c r="C1991" s="255" t="s">
        <v>229</v>
      </c>
      <c r="D1991" s="260"/>
    </row>
    <row r="1992" spans="1:4" ht="12" hidden="1" customHeight="1" outlineLevel="1" x14ac:dyDescent="0.3">
      <c r="A1992" s="238"/>
      <c r="B1992" s="254">
        <v>8900</v>
      </c>
      <c r="C1992" s="255" t="s">
        <v>230</v>
      </c>
      <c r="D1992" s="260"/>
    </row>
    <row r="1993" spans="1:4" ht="12" customHeight="1" collapsed="1" x14ac:dyDescent="0.3">
      <c r="A1993" s="256" t="s">
        <v>340</v>
      </c>
      <c r="B1993" s="257"/>
      <c r="C1993" s="258" t="s">
        <v>341</v>
      </c>
      <c r="D1993" s="259">
        <f t="shared" ref="D1993" si="180">D1994+D2010+D2023</f>
        <v>1690074</v>
      </c>
    </row>
    <row r="1994" spans="1:4" ht="12" customHeight="1" x14ac:dyDescent="0.3">
      <c r="A1994" s="227"/>
      <c r="B1994" s="228"/>
      <c r="C1994" s="229" t="s">
        <v>198</v>
      </c>
      <c r="D1994" s="230">
        <f t="shared" ref="D1994" si="181">D1995+D1998+D2004+D2007+D2014+D2019</f>
        <v>1642900</v>
      </c>
    </row>
    <row r="1995" spans="1:4" ht="12" customHeight="1" x14ac:dyDescent="0.3">
      <c r="A1995" s="227"/>
      <c r="B1995" s="231">
        <v>1000</v>
      </c>
      <c r="C1995" s="232" t="s">
        <v>199</v>
      </c>
      <c r="D1995" s="230">
        <f>SUM(D1996:D1997)</f>
        <v>1413737</v>
      </c>
    </row>
    <row r="1996" spans="1:4" ht="12" customHeight="1" x14ac:dyDescent="0.3">
      <c r="A1996" s="227"/>
      <c r="B1996" s="234">
        <v>1100</v>
      </c>
      <c r="C1996" s="235" t="s">
        <v>200</v>
      </c>
      <c r="D1996" s="236">
        <f>1094379+1231+27344</f>
        <v>1122954</v>
      </c>
    </row>
    <row r="1997" spans="1:4" ht="12" customHeight="1" x14ac:dyDescent="0.3">
      <c r="A1997" s="227"/>
      <c r="B1997" s="234">
        <v>1200</v>
      </c>
      <c r="C1997" s="237" t="s">
        <v>201</v>
      </c>
      <c r="D1997" s="236">
        <f>267894+8273+14616</f>
        <v>290783</v>
      </c>
    </row>
    <row r="1998" spans="1:4" ht="12" customHeight="1" x14ac:dyDescent="0.3">
      <c r="A1998" s="238"/>
      <c r="B1998" s="239">
        <v>2000</v>
      </c>
      <c r="C1998" s="240" t="s">
        <v>202</v>
      </c>
      <c r="D1998" s="260">
        <f>SUM(D1999:D2003)</f>
        <v>180953</v>
      </c>
    </row>
    <row r="1999" spans="1:4" ht="12" customHeight="1" x14ac:dyDescent="0.3">
      <c r="A1999" s="238"/>
      <c r="B1999" s="242">
        <v>2100</v>
      </c>
      <c r="C1999" s="243" t="s">
        <v>203</v>
      </c>
      <c r="D1999" s="244">
        <f>2107+546-850</f>
        <v>1803</v>
      </c>
    </row>
    <row r="2000" spans="1:4" ht="12" customHeight="1" x14ac:dyDescent="0.3">
      <c r="A2000" s="238"/>
      <c r="B2000" s="242">
        <v>2200</v>
      </c>
      <c r="C2000" s="243" t="s">
        <v>204</v>
      </c>
      <c r="D2000" s="244">
        <f>122764+9454-10952+2906</f>
        <v>124172</v>
      </c>
    </row>
    <row r="2001" spans="1:4" ht="12" customHeight="1" x14ac:dyDescent="0.3">
      <c r="A2001" s="238"/>
      <c r="B2001" s="242">
        <v>2300</v>
      </c>
      <c r="C2001" s="243" t="s">
        <v>205</v>
      </c>
      <c r="D2001" s="244">
        <f>45097+6115+3174</f>
        <v>54386</v>
      </c>
    </row>
    <row r="2002" spans="1:4" ht="12" customHeight="1" x14ac:dyDescent="0.3">
      <c r="A2002" s="238"/>
      <c r="B2002" s="242">
        <v>2400</v>
      </c>
      <c r="C2002" s="243" t="s">
        <v>206</v>
      </c>
      <c r="D2002" s="244">
        <v>232</v>
      </c>
    </row>
    <row r="2003" spans="1:4" ht="12" customHeight="1" x14ac:dyDescent="0.3">
      <c r="A2003" s="238"/>
      <c r="B2003" s="242">
        <v>2500</v>
      </c>
      <c r="C2003" s="243" t="s">
        <v>207</v>
      </c>
      <c r="D2003" s="244">
        <v>360</v>
      </c>
    </row>
    <row r="2004" spans="1:4" ht="12" hidden="1" customHeight="1" outlineLevel="1" x14ac:dyDescent="0.3">
      <c r="A2004" s="238"/>
      <c r="B2004" s="199">
        <v>3000</v>
      </c>
      <c r="C2004" s="245" t="s">
        <v>208</v>
      </c>
      <c r="D2004" s="260">
        <f>SUM(D2005:D2006)</f>
        <v>0</v>
      </c>
    </row>
    <row r="2005" spans="1:4" ht="12" hidden="1" customHeight="1" outlineLevel="1" x14ac:dyDescent="0.3">
      <c r="A2005" s="238"/>
      <c r="B2005" s="242">
        <v>3200</v>
      </c>
      <c r="C2005" s="243" t="s">
        <v>209</v>
      </c>
      <c r="D2005" s="244"/>
    </row>
    <row r="2006" spans="1:4" ht="12" hidden="1" customHeight="1" outlineLevel="1" x14ac:dyDescent="0.3">
      <c r="A2006" s="238"/>
      <c r="B2006" s="242">
        <v>3300</v>
      </c>
      <c r="C2006" s="243" t="s">
        <v>210</v>
      </c>
      <c r="D2006" s="244"/>
    </row>
    <row r="2007" spans="1:4" ht="12" hidden="1" customHeight="1" outlineLevel="1" x14ac:dyDescent="0.3">
      <c r="A2007" s="238"/>
      <c r="B2007" s="199">
        <v>4000</v>
      </c>
      <c r="C2007" s="246" t="s">
        <v>211</v>
      </c>
      <c r="D2007" s="260">
        <f>SUM(D2008:D2009)</f>
        <v>0</v>
      </c>
    </row>
    <row r="2008" spans="1:4" ht="12" hidden="1" customHeight="1" outlineLevel="1" x14ac:dyDescent="0.3">
      <c r="A2008" s="238"/>
      <c r="B2008" s="242">
        <v>4200</v>
      </c>
      <c r="C2008" s="247" t="s">
        <v>212</v>
      </c>
      <c r="D2008" s="244"/>
    </row>
    <row r="2009" spans="1:4" ht="12" hidden="1" customHeight="1" outlineLevel="1" x14ac:dyDescent="0.3">
      <c r="A2009" s="238"/>
      <c r="B2009" s="242">
        <v>4300</v>
      </c>
      <c r="C2009" s="247" t="s">
        <v>213</v>
      </c>
      <c r="D2009" s="244"/>
    </row>
    <row r="2010" spans="1:4" ht="12" customHeight="1" collapsed="1" x14ac:dyDescent="0.3">
      <c r="A2010" s="238"/>
      <c r="B2010" s="199">
        <v>5000</v>
      </c>
      <c r="C2010" s="200" t="s">
        <v>214</v>
      </c>
      <c r="D2010" s="260">
        <f>SUM(D2011:D2013)</f>
        <v>47174</v>
      </c>
    </row>
    <row r="2011" spans="1:4" ht="12" customHeight="1" x14ac:dyDescent="0.3">
      <c r="A2011" s="238"/>
      <c r="B2011" s="242">
        <v>5100</v>
      </c>
      <c r="C2011" s="248" t="s">
        <v>215</v>
      </c>
      <c r="D2011" s="244"/>
    </row>
    <row r="2012" spans="1:4" ht="12" customHeight="1" x14ac:dyDescent="0.3">
      <c r="A2012" s="238"/>
      <c r="B2012" s="242">
        <v>5200</v>
      </c>
      <c r="C2012" s="248" t="s">
        <v>216</v>
      </c>
      <c r="D2012" s="244">
        <f>55473-10000+357+1344</f>
        <v>47174</v>
      </c>
    </row>
    <row r="2013" spans="1:4" ht="12" customHeight="1" x14ac:dyDescent="0.3">
      <c r="A2013" s="238"/>
      <c r="B2013" s="242">
        <v>5300</v>
      </c>
      <c r="C2013" s="249" t="s">
        <v>217</v>
      </c>
      <c r="D2013" s="244">
        <v>0</v>
      </c>
    </row>
    <row r="2014" spans="1:4" ht="12" customHeight="1" x14ac:dyDescent="0.3">
      <c r="A2014" s="238"/>
      <c r="B2014" s="199">
        <v>6000</v>
      </c>
      <c r="C2014" s="200" t="s">
        <v>218</v>
      </c>
      <c r="D2014" s="260">
        <f>SUM(D2015:D2018)</f>
        <v>47527</v>
      </c>
    </row>
    <row r="2015" spans="1:4" ht="12" customHeight="1" x14ac:dyDescent="0.3">
      <c r="A2015" s="238"/>
      <c r="B2015" s="242">
        <v>6200</v>
      </c>
      <c r="C2015" s="248" t="s">
        <v>219</v>
      </c>
      <c r="D2015" s="244">
        <v>47527</v>
      </c>
    </row>
    <row r="2016" spans="1:4" ht="12" hidden="1" customHeight="1" outlineLevel="1" x14ac:dyDescent="0.3">
      <c r="A2016" s="238"/>
      <c r="B2016" s="242">
        <v>6300</v>
      </c>
      <c r="C2016" s="248" t="s">
        <v>220</v>
      </c>
      <c r="D2016" s="244"/>
    </row>
    <row r="2017" spans="1:4" ht="12" hidden="1" customHeight="1" outlineLevel="1" x14ac:dyDescent="0.3">
      <c r="A2017" s="238"/>
      <c r="B2017" s="242">
        <v>6400</v>
      </c>
      <c r="C2017" s="248" t="s">
        <v>221</v>
      </c>
      <c r="D2017" s="244"/>
    </row>
    <row r="2018" spans="1:4" ht="12" hidden="1" customHeight="1" outlineLevel="1" x14ac:dyDescent="0.3">
      <c r="A2018" s="238"/>
      <c r="B2018" s="242">
        <v>6500</v>
      </c>
      <c r="C2018" s="249" t="s">
        <v>222</v>
      </c>
      <c r="D2018" s="244"/>
    </row>
    <row r="2019" spans="1:4" ht="12" customHeight="1" collapsed="1" x14ac:dyDescent="0.3">
      <c r="A2019" s="238"/>
      <c r="B2019" s="199">
        <v>7000</v>
      </c>
      <c r="C2019" s="200" t="s">
        <v>223</v>
      </c>
      <c r="D2019" s="260">
        <f>SUM(D2020:D2022)</f>
        <v>683</v>
      </c>
    </row>
    <row r="2020" spans="1:4" ht="12" customHeight="1" x14ac:dyDescent="0.3">
      <c r="A2020" s="238"/>
      <c r="B2020" s="250">
        <v>7200</v>
      </c>
      <c r="C2020" s="251" t="s">
        <v>224</v>
      </c>
      <c r="D2020" s="244">
        <v>683</v>
      </c>
    </row>
    <row r="2021" spans="1:4" ht="12" hidden="1" customHeight="1" outlineLevel="1" x14ac:dyDescent="0.3">
      <c r="A2021" s="238"/>
      <c r="B2021" s="250">
        <v>7500</v>
      </c>
      <c r="C2021" s="251" t="s">
        <v>225</v>
      </c>
      <c r="D2021" s="244"/>
    </row>
    <row r="2022" spans="1:4" ht="12" hidden="1" customHeight="1" outlineLevel="1" x14ac:dyDescent="0.3">
      <c r="A2022" s="238"/>
      <c r="B2022" s="250">
        <v>7700</v>
      </c>
      <c r="C2022" s="251" t="s">
        <v>226</v>
      </c>
      <c r="D2022" s="244"/>
    </row>
    <row r="2023" spans="1:4" ht="12" hidden="1" customHeight="1" outlineLevel="1" x14ac:dyDescent="0.3">
      <c r="A2023" s="238"/>
      <c r="B2023" s="252">
        <v>8000</v>
      </c>
      <c r="C2023" s="253" t="s">
        <v>227</v>
      </c>
      <c r="D2023" s="260">
        <f>SUM(D2024:D2026)</f>
        <v>0</v>
      </c>
    </row>
    <row r="2024" spans="1:4" ht="12" hidden="1" customHeight="1" outlineLevel="1" x14ac:dyDescent="0.3">
      <c r="A2024" s="238"/>
      <c r="B2024" s="254">
        <v>8100</v>
      </c>
      <c r="C2024" s="255" t="s">
        <v>228</v>
      </c>
      <c r="D2024" s="260"/>
    </row>
    <row r="2025" spans="1:4" ht="12" hidden="1" customHeight="1" outlineLevel="1" x14ac:dyDescent="0.3">
      <c r="A2025" s="238"/>
      <c r="B2025" s="254">
        <v>8600</v>
      </c>
      <c r="C2025" s="255" t="s">
        <v>229</v>
      </c>
      <c r="D2025" s="260"/>
    </row>
    <row r="2026" spans="1:4" ht="12" hidden="1" customHeight="1" outlineLevel="1" x14ac:dyDescent="0.3">
      <c r="A2026" s="238"/>
      <c r="B2026" s="254">
        <v>8900</v>
      </c>
      <c r="C2026" s="255" t="s">
        <v>230</v>
      </c>
      <c r="D2026" s="260"/>
    </row>
    <row r="2027" spans="1:4" ht="14.25" customHeight="1" collapsed="1" x14ac:dyDescent="0.3">
      <c r="A2027" s="256" t="s">
        <v>342</v>
      </c>
      <c r="B2027" s="257"/>
      <c r="C2027" s="258" t="s">
        <v>343</v>
      </c>
      <c r="D2027" s="259">
        <f t="shared" ref="D2027" si="182">D2028+D2044+D2057</f>
        <v>54680</v>
      </c>
    </row>
    <row r="2028" spans="1:4" ht="12" customHeight="1" x14ac:dyDescent="0.3">
      <c r="A2028" s="227"/>
      <c r="B2028" s="228"/>
      <c r="C2028" s="229" t="s">
        <v>198</v>
      </c>
      <c r="D2028" s="230">
        <f t="shared" ref="D2028" si="183">D2029+D2032+D2038+D2041+D2048+D2053</f>
        <v>54680</v>
      </c>
    </row>
    <row r="2029" spans="1:4" ht="12" hidden="1" customHeight="1" outlineLevel="1" x14ac:dyDescent="0.3">
      <c r="A2029" s="227"/>
      <c r="B2029" s="231">
        <v>1000</v>
      </c>
      <c r="C2029" s="232" t="s">
        <v>199</v>
      </c>
      <c r="D2029" s="230">
        <f>SUM(D2030:D2031)</f>
        <v>0</v>
      </c>
    </row>
    <row r="2030" spans="1:4" ht="12" hidden="1" customHeight="1" outlineLevel="1" x14ac:dyDescent="0.3">
      <c r="A2030" s="227"/>
      <c r="B2030" s="234">
        <v>1100</v>
      </c>
      <c r="C2030" s="235" t="s">
        <v>200</v>
      </c>
      <c r="D2030" s="236"/>
    </row>
    <row r="2031" spans="1:4" ht="12" hidden="1" customHeight="1" outlineLevel="1" x14ac:dyDescent="0.3">
      <c r="A2031" s="227"/>
      <c r="B2031" s="234">
        <v>1200</v>
      </c>
      <c r="C2031" s="237" t="s">
        <v>201</v>
      </c>
      <c r="D2031" s="236"/>
    </row>
    <row r="2032" spans="1:4" ht="12" hidden="1" customHeight="1" outlineLevel="1" x14ac:dyDescent="0.3">
      <c r="A2032" s="238"/>
      <c r="B2032" s="239">
        <v>2000</v>
      </c>
      <c r="C2032" s="240" t="s">
        <v>202</v>
      </c>
      <c r="D2032" s="260">
        <f>SUM(D2033:D2037)</f>
        <v>0</v>
      </c>
    </row>
    <row r="2033" spans="1:4" ht="12" hidden="1" customHeight="1" outlineLevel="1" x14ac:dyDescent="0.3">
      <c r="A2033" s="238"/>
      <c r="B2033" s="242">
        <v>2100</v>
      </c>
      <c r="C2033" s="243" t="s">
        <v>203</v>
      </c>
      <c r="D2033" s="244"/>
    </row>
    <row r="2034" spans="1:4" ht="12" hidden="1" customHeight="1" outlineLevel="1" x14ac:dyDescent="0.3">
      <c r="A2034" s="238"/>
      <c r="B2034" s="242">
        <v>2200</v>
      </c>
      <c r="C2034" s="243" t="s">
        <v>204</v>
      </c>
      <c r="D2034" s="244"/>
    </row>
    <row r="2035" spans="1:4" ht="12" hidden="1" customHeight="1" outlineLevel="1" x14ac:dyDescent="0.3">
      <c r="A2035" s="238"/>
      <c r="B2035" s="242">
        <v>2300</v>
      </c>
      <c r="C2035" s="243" t="s">
        <v>205</v>
      </c>
      <c r="D2035" s="244"/>
    </row>
    <row r="2036" spans="1:4" ht="12" hidden="1" customHeight="1" outlineLevel="1" x14ac:dyDescent="0.3">
      <c r="A2036" s="238"/>
      <c r="B2036" s="242">
        <v>2400</v>
      </c>
      <c r="C2036" s="243" t="s">
        <v>206</v>
      </c>
      <c r="D2036" s="244"/>
    </row>
    <row r="2037" spans="1:4" ht="12" hidden="1" customHeight="1" outlineLevel="1" x14ac:dyDescent="0.3">
      <c r="A2037" s="238"/>
      <c r="B2037" s="242">
        <v>2500</v>
      </c>
      <c r="C2037" s="243" t="s">
        <v>207</v>
      </c>
      <c r="D2037" s="244"/>
    </row>
    <row r="2038" spans="1:4" ht="12" hidden="1" customHeight="1" outlineLevel="1" x14ac:dyDescent="0.3">
      <c r="A2038" s="238"/>
      <c r="B2038" s="199">
        <v>3000</v>
      </c>
      <c r="C2038" s="245" t="s">
        <v>208</v>
      </c>
      <c r="D2038" s="260">
        <f>SUM(D2039:D2040)</f>
        <v>0</v>
      </c>
    </row>
    <row r="2039" spans="1:4" ht="12" hidden="1" customHeight="1" outlineLevel="1" x14ac:dyDescent="0.3">
      <c r="A2039" s="238"/>
      <c r="B2039" s="242">
        <v>3200</v>
      </c>
      <c r="C2039" s="243" t="s">
        <v>209</v>
      </c>
      <c r="D2039" s="244"/>
    </row>
    <row r="2040" spans="1:4" ht="12" hidden="1" customHeight="1" outlineLevel="1" x14ac:dyDescent="0.3">
      <c r="A2040" s="238"/>
      <c r="B2040" s="242">
        <v>3300</v>
      </c>
      <c r="C2040" s="243" t="s">
        <v>210</v>
      </c>
      <c r="D2040" s="244"/>
    </row>
    <row r="2041" spans="1:4" ht="12" hidden="1" customHeight="1" outlineLevel="1" x14ac:dyDescent="0.3">
      <c r="A2041" s="238"/>
      <c r="B2041" s="199">
        <v>4000</v>
      </c>
      <c r="C2041" s="246" t="s">
        <v>211</v>
      </c>
      <c r="D2041" s="260">
        <f>SUM(D2042:D2043)</f>
        <v>0</v>
      </c>
    </row>
    <row r="2042" spans="1:4" ht="12" hidden="1" customHeight="1" outlineLevel="1" x14ac:dyDescent="0.3">
      <c r="A2042" s="238"/>
      <c r="B2042" s="242">
        <v>4200</v>
      </c>
      <c r="C2042" s="247" t="s">
        <v>212</v>
      </c>
      <c r="D2042" s="244"/>
    </row>
    <row r="2043" spans="1:4" ht="12" hidden="1" customHeight="1" outlineLevel="1" x14ac:dyDescent="0.3">
      <c r="A2043" s="238"/>
      <c r="B2043" s="242">
        <v>4300</v>
      </c>
      <c r="C2043" s="247" t="s">
        <v>213</v>
      </c>
      <c r="D2043" s="244"/>
    </row>
    <row r="2044" spans="1:4" ht="12" hidden="1" customHeight="1" outlineLevel="1" x14ac:dyDescent="0.3">
      <c r="A2044" s="238"/>
      <c r="B2044" s="199">
        <v>5000</v>
      </c>
      <c r="C2044" s="200" t="s">
        <v>214</v>
      </c>
      <c r="D2044" s="260">
        <f>SUM(D2045:D2047)</f>
        <v>0</v>
      </c>
    </row>
    <row r="2045" spans="1:4" ht="12" hidden="1" customHeight="1" outlineLevel="1" x14ac:dyDescent="0.3">
      <c r="A2045" s="238"/>
      <c r="B2045" s="242">
        <v>5100</v>
      </c>
      <c r="C2045" s="248" t="s">
        <v>215</v>
      </c>
      <c r="D2045" s="260"/>
    </row>
    <row r="2046" spans="1:4" ht="12" hidden="1" customHeight="1" outlineLevel="1" x14ac:dyDescent="0.3">
      <c r="A2046" s="238"/>
      <c r="B2046" s="242">
        <v>5200</v>
      </c>
      <c r="C2046" s="248" t="s">
        <v>216</v>
      </c>
      <c r="D2046" s="260"/>
    </row>
    <row r="2047" spans="1:4" ht="12" hidden="1" customHeight="1" outlineLevel="1" x14ac:dyDescent="0.3">
      <c r="A2047" s="238"/>
      <c r="B2047" s="242">
        <v>5300</v>
      </c>
      <c r="C2047" s="249" t="s">
        <v>217</v>
      </c>
      <c r="D2047" s="260"/>
    </row>
    <row r="2048" spans="1:4" ht="12" hidden="1" customHeight="1" outlineLevel="1" x14ac:dyDescent="0.3">
      <c r="A2048" s="238"/>
      <c r="B2048" s="199">
        <v>6000</v>
      </c>
      <c r="C2048" s="200" t="s">
        <v>218</v>
      </c>
      <c r="D2048" s="260">
        <f>SUM(D2049:D2052)</f>
        <v>0</v>
      </c>
    </row>
    <row r="2049" spans="1:4" ht="12" hidden="1" customHeight="1" outlineLevel="1" x14ac:dyDescent="0.3">
      <c r="A2049" s="238"/>
      <c r="B2049" s="242">
        <v>6200</v>
      </c>
      <c r="C2049" s="248" t="s">
        <v>219</v>
      </c>
      <c r="D2049" s="244"/>
    </row>
    <row r="2050" spans="1:4" ht="12" hidden="1" customHeight="1" outlineLevel="1" x14ac:dyDescent="0.3">
      <c r="A2050" s="238"/>
      <c r="B2050" s="242">
        <v>6300</v>
      </c>
      <c r="C2050" s="248" t="s">
        <v>220</v>
      </c>
      <c r="D2050" s="244"/>
    </row>
    <row r="2051" spans="1:4" ht="12" hidden="1" customHeight="1" outlineLevel="1" x14ac:dyDescent="0.3">
      <c r="A2051" s="238"/>
      <c r="B2051" s="242">
        <v>6400</v>
      </c>
      <c r="C2051" s="248" t="s">
        <v>221</v>
      </c>
      <c r="D2051" s="244"/>
    </row>
    <row r="2052" spans="1:4" ht="12" hidden="1" customHeight="1" outlineLevel="1" x14ac:dyDescent="0.3">
      <c r="A2052" s="238"/>
      <c r="B2052" s="242">
        <v>6500</v>
      </c>
      <c r="C2052" s="249" t="s">
        <v>222</v>
      </c>
      <c r="D2052" s="244"/>
    </row>
    <row r="2053" spans="1:4" ht="12" customHeight="1" collapsed="1" x14ac:dyDescent="0.3">
      <c r="A2053" s="238"/>
      <c r="B2053" s="199">
        <v>7000</v>
      </c>
      <c r="C2053" s="200" t="s">
        <v>223</v>
      </c>
      <c r="D2053" s="260">
        <f>SUM(D2054:D2056)</f>
        <v>54680</v>
      </c>
    </row>
    <row r="2054" spans="1:4" ht="12" customHeight="1" x14ac:dyDescent="0.3">
      <c r="A2054" s="238"/>
      <c r="B2054" s="250">
        <v>7200</v>
      </c>
      <c r="C2054" s="251" t="s">
        <v>224</v>
      </c>
      <c r="D2054" s="244">
        <v>54680</v>
      </c>
    </row>
    <row r="2055" spans="1:4" ht="12" hidden="1" customHeight="1" outlineLevel="1" x14ac:dyDescent="0.3">
      <c r="A2055" s="238"/>
      <c r="B2055" s="250">
        <v>7500</v>
      </c>
      <c r="C2055" s="251" t="s">
        <v>225</v>
      </c>
      <c r="D2055" s="244"/>
    </row>
    <row r="2056" spans="1:4" ht="12" hidden="1" customHeight="1" outlineLevel="1" x14ac:dyDescent="0.3">
      <c r="A2056" s="238"/>
      <c r="B2056" s="250">
        <v>7700</v>
      </c>
      <c r="C2056" s="251" t="s">
        <v>226</v>
      </c>
      <c r="D2056" s="244"/>
    </row>
    <row r="2057" spans="1:4" ht="12" hidden="1" customHeight="1" outlineLevel="1" x14ac:dyDescent="0.3">
      <c r="A2057" s="238"/>
      <c r="B2057" s="252">
        <v>8000</v>
      </c>
      <c r="C2057" s="253" t="s">
        <v>227</v>
      </c>
      <c r="D2057" s="260">
        <f>SUM(D2058:D2060)</f>
        <v>0</v>
      </c>
    </row>
    <row r="2058" spans="1:4" ht="12" hidden="1" customHeight="1" outlineLevel="1" x14ac:dyDescent="0.3">
      <c r="A2058" s="238"/>
      <c r="B2058" s="254">
        <v>8100</v>
      </c>
      <c r="C2058" s="255" t="s">
        <v>228</v>
      </c>
      <c r="D2058" s="260"/>
    </row>
    <row r="2059" spans="1:4" ht="12" hidden="1" customHeight="1" outlineLevel="1" x14ac:dyDescent="0.3">
      <c r="A2059" s="238"/>
      <c r="B2059" s="254">
        <v>8600</v>
      </c>
      <c r="C2059" s="255" t="s">
        <v>229</v>
      </c>
      <c r="D2059" s="260"/>
    </row>
    <row r="2060" spans="1:4" ht="12" hidden="1" customHeight="1" outlineLevel="1" x14ac:dyDescent="0.3">
      <c r="A2060" s="238"/>
      <c r="B2060" s="254">
        <v>8900</v>
      </c>
      <c r="C2060" s="255" t="s">
        <v>230</v>
      </c>
      <c r="D2060" s="260"/>
    </row>
    <row r="2061" spans="1:4" ht="12" customHeight="1" collapsed="1" x14ac:dyDescent="0.3">
      <c r="A2061" s="256" t="s">
        <v>344</v>
      </c>
      <c r="B2061" s="257"/>
      <c r="C2061" s="258" t="s">
        <v>345</v>
      </c>
      <c r="D2061" s="259">
        <f t="shared" ref="D2061" si="184">D2062+D2078+D2091</f>
        <v>5581770</v>
      </c>
    </row>
    <row r="2062" spans="1:4" ht="12" customHeight="1" x14ac:dyDescent="0.3">
      <c r="A2062" s="227"/>
      <c r="B2062" s="228"/>
      <c r="C2062" s="229" t="s">
        <v>198</v>
      </c>
      <c r="D2062" s="230">
        <f t="shared" ref="D2062" si="185">D2063+D2066+D2072+D2075+D2082+D2087</f>
        <v>5498636</v>
      </c>
    </row>
    <row r="2063" spans="1:4" ht="12" customHeight="1" x14ac:dyDescent="0.3">
      <c r="A2063" s="227"/>
      <c r="B2063" s="231">
        <v>1000</v>
      </c>
      <c r="C2063" s="232" t="s">
        <v>199</v>
      </c>
      <c r="D2063" s="230">
        <f>SUM(D2064:D2065)</f>
        <v>3909272</v>
      </c>
    </row>
    <row r="2064" spans="1:4" ht="12" customHeight="1" x14ac:dyDescent="0.3">
      <c r="A2064" s="227"/>
      <c r="B2064" s="234">
        <v>1100</v>
      </c>
      <c r="C2064" s="235" t="s">
        <v>200</v>
      </c>
      <c r="D2064" s="236">
        <f>2847905+1260+22107+244720</f>
        <v>3115992</v>
      </c>
    </row>
    <row r="2065" spans="1:4" ht="12" customHeight="1" x14ac:dyDescent="0.3">
      <c r="A2065" s="227"/>
      <c r="B2065" s="234">
        <v>1200</v>
      </c>
      <c r="C2065" s="237" t="s">
        <v>201</v>
      </c>
      <c r="D2065" s="236">
        <f>722263+297+5052+65668</f>
        <v>793280</v>
      </c>
    </row>
    <row r="2066" spans="1:4" ht="12" customHeight="1" x14ac:dyDescent="0.3">
      <c r="A2066" s="238"/>
      <c r="B2066" s="239">
        <v>2000</v>
      </c>
      <c r="C2066" s="240" t="s">
        <v>202</v>
      </c>
      <c r="D2066" s="260">
        <f>SUM(D2067:D2071)</f>
        <v>1303870</v>
      </c>
    </row>
    <row r="2067" spans="1:4" ht="12" customHeight="1" x14ac:dyDescent="0.3">
      <c r="A2067" s="238"/>
      <c r="B2067" s="242">
        <v>2100</v>
      </c>
      <c r="C2067" s="243" t="s">
        <v>203</v>
      </c>
      <c r="D2067" s="244">
        <f>84303+5682-3152</f>
        <v>86833</v>
      </c>
    </row>
    <row r="2068" spans="1:4" ht="12" customHeight="1" x14ac:dyDescent="0.3">
      <c r="A2068" s="238"/>
      <c r="B2068" s="242">
        <v>2200</v>
      </c>
      <c r="C2068" s="243" t="s">
        <v>204</v>
      </c>
      <c r="D2068" s="244">
        <f>847485+2141+5549-18695</f>
        <v>836480</v>
      </c>
    </row>
    <row r="2069" spans="1:4" ht="12" customHeight="1" x14ac:dyDescent="0.3">
      <c r="A2069" s="238"/>
      <c r="B2069" s="242">
        <v>2300</v>
      </c>
      <c r="C2069" s="243" t="s">
        <v>205</v>
      </c>
      <c r="D2069" s="244">
        <f>320685+2211+18466+27154</f>
        <v>368516</v>
      </c>
    </row>
    <row r="2070" spans="1:4" ht="12" customHeight="1" x14ac:dyDescent="0.3">
      <c r="A2070" s="238"/>
      <c r="B2070" s="242">
        <v>2400</v>
      </c>
      <c r="C2070" s="243" t="s">
        <v>206</v>
      </c>
      <c r="D2070" s="244">
        <v>85</v>
      </c>
    </row>
    <row r="2071" spans="1:4" ht="12" customHeight="1" x14ac:dyDescent="0.3">
      <c r="A2071" s="238"/>
      <c r="B2071" s="242">
        <v>2500</v>
      </c>
      <c r="C2071" s="243" t="s">
        <v>207</v>
      </c>
      <c r="D2071" s="244">
        <f>11357+459+140</f>
        <v>11956</v>
      </c>
    </row>
    <row r="2072" spans="1:4" ht="12" customHeight="1" x14ac:dyDescent="0.3">
      <c r="A2072" s="238"/>
      <c r="B2072" s="199">
        <v>3000</v>
      </c>
      <c r="C2072" s="245" t="s">
        <v>208</v>
      </c>
      <c r="D2072" s="260">
        <f>SUM(D2073:D2074)</f>
        <v>284908</v>
      </c>
    </row>
    <row r="2073" spans="1:4" ht="12" customHeight="1" x14ac:dyDescent="0.3">
      <c r="A2073" s="238"/>
      <c r="B2073" s="242">
        <v>3200</v>
      </c>
      <c r="C2073" s="243" t="s">
        <v>209</v>
      </c>
      <c r="D2073" s="244">
        <v>284908</v>
      </c>
    </row>
    <row r="2074" spans="1:4" ht="12" hidden="1" customHeight="1" outlineLevel="1" x14ac:dyDescent="0.3">
      <c r="A2074" s="238"/>
      <c r="B2074" s="242">
        <v>3300</v>
      </c>
      <c r="C2074" s="243" t="s">
        <v>210</v>
      </c>
      <c r="D2074" s="244"/>
    </row>
    <row r="2075" spans="1:4" ht="12" hidden="1" customHeight="1" outlineLevel="1" x14ac:dyDescent="0.3">
      <c r="A2075" s="238"/>
      <c r="B2075" s="199">
        <v>4000</v>
      </c>
      <c r="C2075" s="246" t="s">
        <v>211</v>
      </c>
      <c r="D2075" s="260">
        <f>SUM(D2076:D2077)</f>
        <v>0</v>
      </c>
    </row>
    <row r="2076" spans="1:4" ht="12" hidden="1" customHeight="1" outlineLevel="1" x14ac:dyDescent="0.3">
      <c r="A2076" s="238"/>
      <c r="B2076" s="242">
        <v>4200</v>
      </c>
      <c r="C2076" s="247" t="s">
        <v>212</v>
      </c>
      <c r="D2076" s="244"/>
    </row>
    <row r="2077" spans="1:4" ht="12" hidden="1" customHeight="1" outlineLevel="1" x14ac:dyDescent="0.3">
      <c r="A2077" s="238"/>
      <c r="B2077" s="242">
        <v>4300</v>
      </c>
      <c r="C2077" s="247" t="s">
        <v>213</v>
      </c>
      <c r="D2077" s="244"/>
    </row>
    <row r="2078" spans="1:4" ht="12" customHeight="1" collapsed="1" x14ac:dyDescent="0.3">
      <c r="A2078" s="238"/>
      <c r="B2078" s="199">
        <v>5000</v>
      </c>
      <c r="C2078" s="200" t="s">
        <v>214</v>
      </c>
      <c r="D2078" s="260">
        <f>SUM(D2079:D2081)</f>
        <v>83134</v>
      </c>
    </row>
    <row r="2079" spans="1:4" ht="12" customHeight="1" x14ac:dyDescent="0.3">
      <c r="A2079" s="238"/>
      <c r="B2079" s="242">
        <v>5100</v>
      </c>
      <c r="C2079" s="248" t="s">
        <v>215</v>
      </c>
      <c r="D2079" s="260">
        <v>0</v>
      </c>
    </row>
    <row r="2080" spans="1:4" ht="12" customHeight="1" x14ac:dyDescent="0.3">
      <c r="A2080" s="238"/>
      <c r="B2080" s="242">
        <v>5200</v>
      </c>
      <c r="C2080" s="248" t="s">
        <v>216</v>
      </c>
      <c r="D2080" s="244">
        <f>86888-1346-568-1840</f>
        <v>83134</v>
      </c>
    </row>
    <row r="2081" spans="1:4" ht="12" hidden="1" customHeight="1" outlineLevel="1" x14ac:dyDescent="0.3">
      <c r="A2081" s="238"/>
      <c r="B2081" s="242">
        <v>5300</v>
      </c>
      <c r="C2081" s="249" t="s">
        <v>217</v>
      </c>
      <c r="D2081" s="260"/>
    </row>
    <row r="2082" spans="1:4" ht="12" customHeight="1" collapsed="1" x14ac:dyDescent="0.3">
      <c r="A2082" s="238"/>
      <c r="B2082" s="199">
        <v>6000</v>
      </c>
      <c r="C2082" s="200" t="s">
        <v>218</v>
      </c>
      <c r="D2082" s="260">
        <f>SUM(D2083:D2086)</f>
        <v>380</v>
      </c>
    </row>
    <row r="2083" spans="1:4" ht="12" hidden="1" customHeight="1" outlineLevel="1" x14ac:dyDescent="0.3">
      <c r="A2083" s="238"/>
      <c r="B2083" s="242">
        <v>6200</v>
      </c>
      <c r="C2083" s="248" t="s">
        <v>219</v>
      </c>
      <c r="D2083" s="244"/>
    </row>
    <row r="2084" spans="1:4" ht="12" hidden="1" customHeight="1" outlineLevel="1" x14ac:dyDescent="0.3">
      <c r="A2084" s="238"/>
      <c r="B2084" s="242">
        <v>6300</v>
      </c>
      <c r="C2084" s="248" t="s">
        <v>220</v>
      </c>
      <c r="D2084" s="244"/>
    </row>
    <row r="2085" spans="1:4" ht="12" customHeight="1" collapsed="1" x14ac:dyDescent="0.3">
      <c r="A2085" s="238"/>
      <c r="B2085" s="242">
        <v>6400</v>
      </c>
      <c r="C2085" s="248" t="s">
        <v>221</v>
      </c>
      <c r="D2085" s="244">
        <v>380</v>
      </c>
    </row>
    <row r="2086" spans="1:4" ht="12" customHeight="1" outlineLevel="1" x14ac:dyDescent="0.3">
      <c r="A2086" s="238"/>
      <c r="B2086" s="242">
        <v>6500</v>
      </c>
      <c r="C2086" s="249" t="s">
        <v>222</v>
      </c>
      <c r="D2086" s="244"/>
    </row>
    <row r="2087" spans="1:4" ht="12" customHeight="1" x14ac:dyDescent="0.3">
      <c r="A2087" s="238"/>
      <c r="B2087" s="199">
        <v>7000</v>
      </c>
      <c r="C2087" s="200" t="s">
        <v>223</v>
      </c>
      <c r="D2087" s="260">
        <f>SUM(D2088:D2090)</f>
        <v>206</v>
      </c>
    </row>
    <row r="2088" spans="1:4" ht="12" customHeight="1" x14ac:dyDescent="0.3">
      <c r="A2088" s="238"/>
      <c r="B2088" s="250">
        <v>7200</v>
      </c>
      <c r="C2088" s="251" t="s">
        <v>224</v>
      </c>
      <c r="D2088" s="244">
        <v>206</v>
      </c>
    </row>
    <row r="2089" spans="1:4" ht="12" hidden="1" customHeight="1" outlineLevel="1" x14ac:dyDescent="0.3">
      <c r="A2089" s="238"/>
      <c r="B2089" s="250">
        <v>7500</v>
      </c>
      <c r="C2089" s="251" t="s">
        <v>225</v>
      </c>
      <c r="D2089" s="244"/>
    </row>
    <row r="2090" spans="1:4" ht="12" hidden="1" customHeight="1" outlineLevel="1" x14ac:dyDescent="0.3">
      <c r="A2090" s="238"/>
      <c r="B2090" s="250">
        <v>7700</v>
      </c>
      <c r="C2090" s="251" t="s">
        <v>226</v>
      </c>
      <c r="D2090" s="244"/>
    </row>
    <row r="2091" spans="1:4" ht="12" hidden="1" customHeight="1" outlineLevel="1" collapsed="1" x14ac:dyDescent="0.3">
      <c r="A2091" s="238"/>
      <c r="B2091" s="252">
        <v>8000</v>
      </c>
      <c r="C2091" s="253" t="s">
        <v>227</v>
      </c>
      <c r="D2091" s="260">
        <f>SUM(D2092:D2094)</f>
        <v>0</v>
      </c>
    </row>
    <row r="2092" spans="1:4" ht="12" hidden="1" customHeight="1" outlineLevel="1" x14ac:dyDescent="0.3">
      <c r="A2092" s="238"/>
      <c r="B2092" s="254">
        <v>8100</v>
      </c>
      <c r="C2092" s="255" t="s">
        <v>228</v>
      </c>
      <c r="D2092" s="244"/>
    </row>
    <row r="2093" spans="1:4" ht="12" hidden="1" customHeight="1" outlineLevel="1" x14ac:dyDescent="0.3">
      <c r="A2093" s="238"/>
      <c r="B2093" s="254">
        <v>8600</v>
      </c>
      <c r="C2093" s="255" t="s">
        <v>229</v>
      </c>
      <c r="D2093" s="260"/>
    </row>
    <row r="2094" spans="1:4" ht="12" hidden="1" customHeight="1" outlineLevel="1" x14ac:dyDescent="0.3">
      <c r="A2094" s="238"/>
      <c r="B2094" s="254">
        <v>8900</v>
      </c>
      <c r="C2094" s="255" t="s">
        <v>230</v>
      </c>
      <c r="D2094" s="260"/>
    </row>
    <row r="2095" spans="1:4" ht="12" customHeight="1" collapsed="1" x14ac:dyDescent="0.3">
      <c r="A2095" s="256" t="s">
        <v>346</v>
      </c>
      <c r="B2095" s="257"/>
      <c r="C2095" s="258" t="s">
        <v>347</v>
      </c>
      <c r="D2095" s="259">
        <f t="shared" ref="D2095" si="186">D2096+D2112+D2125</f>
        <v>4047516</v>
      </c>
    </row>
    <row r="2096" spans="1:4" ht="12" customHeight="1" x14ac:dyDescent="0.3">
      <c r="A2096" s="227"/>
      <c r="B2096" s="228"/>
      <c r="C2096" s="229" t="s">
        <v>198</v>
      </c>
      <c r="D2096" s="230">
        <f>D2130+D2164+D2198</f>
        <v>4003327</v>
      </c>
    </row>
    <row r="2097" spans="1:4" ht="12" customHeight="1" x14ac:dyDescent="0.3">
      <c r="A2097" s="227"/>
      <c r="B2097" s="231">
        <v>1000</v>
      </c>
      <c r="C2097" s="232" t="s">
        <v>199</v>
      </c>
      <c r="D2097" s="233">
        <f>D2131+D2165+D2199+D2233</f>
        <v>549881</v>
      </c>
    </row>
    <row r="2098" spans="1:4" ht="12" customHeight="1" x14ac:dyDescent="0.3">
      <c r="A2098" s="227"/>
      <c r="B2098" s="234">
        <v>1100</v>
      </c>
      <c r="C2098" s="235" t="s">
        <v>200</v>
      </c>
      <c r="D2098" s="236">
        <f t="shared" ref="D2098:D2099" si="187">D2132+D2166+D2200+D2234</f>
        <v>425284</v>
      </c>
    </row>
    <row r="2099" spans="1:4" ht="12" customHeight="1" x14ac:dyDescent="0.3">
      <c r="A2099" s="227"/>
      <c r="B2099" s="234">
        <v>1200</v>
      </c>
      <c r="C2099" s="237" t="s">
        <v>201</v>
      </c>
      <c r="D2099" s="236">
        <f t="shared" si="187"/>
        <v>124597</v>
      </c>
    </row>
    <row r="2100" spans="1:4" ht="12" customHeight="1" x14ac:dyDescent="0.3">
      <c r="A2100" s="238"/>
      <c r="B2100" s="239">
        <v>2000</v>
      </c>
      <c r="C2100" s="240" t="s">
        <v>202</v>
      </c>
      <c r="D2100" s="233">
        <f>D2134+D2168+D2202+D2236</f>
        <v>4585302</v>
      </c>
    </row>
    <row r="2101" spans="1:4" ht="12" customHeight="1" x14ac:dyDescent="0.3">
      <c r="A2101" s="238"/>
      <c r="B2101" s="242">
        <v>2100</v>
      </c>
      <c r="C2101" s="243" t="s">
        <v>203</v>
      </c>
      <c r="D2101" s="236">
        <f>D2135+D2169+D2203+D2237</f>
        <v>615047</v>
      </c>
    </row>
    <row r="2102" spans="1:4" ht="12" customHeight="1" x14ac:dyDescent="0.3">
      <c r="A2102" s="238"/>
      <c r="B2102" s="242">
        <v>2200</v>
      </c>
      <c r="C2102" s="243" t="s">
        <v>204</v>
      </c>
      <c r="D2102" s="236">
        <f t="shared" ref="D2102:D2105" si="188">D2136+D2170+D2204+D2238</f>
        <v>1237648</v>
      </c>
    </row>
    <row r="2103" spans="1:4" ht="12" customHeight="1" x14ac:dyDescent="0.3">
      <c r="A2103" s="238"/>
      <c r="B2103" s="242">
        <v>2300</v>
      </c>
      <c r="C2103" s="243" t="s">
        <v>205</v>
      </c>
      <c r="D2103" s="236">
        <f t="shared" si="188"/>
        <v>2732683</v>
      </c>
    </row>
    <row r="2104" spans="1:4" ht="12" customHeight="1" x14ac:dyDescent="0.3">
      <c r="A2104" s="238"/>
      <c r="B2104" s="242">
        <v>2400</v>
      </c>
      <c r="C2104" s="243" t="s">
        <v>206</v>
      </c>
      <c r="D2104" s="236">
        <f t="shared" si="188"/>
        <v>0</v>
      </c>
    </row>
    <row r="2105" spans="1:4" ht="12" customHeight="1" x14ac:dyDescent="0.3">
      <c r="A2105" s="238"/>
      <c r="B2105" s="242">
        <v>2500</v>
      </c>
      <c r="C2105" s="243" t="s">
        <v>207</v>
      </c>
      <c r="D2105" s="236">
        <f t="shared" si="188"/>
        <v>-76</v>
      </c>
    </row>
    <row r="2106" spans="1:4" ht="12" customHeight="1" x14ac:dyDescent="0.3">
      <c r="A2106" s="238"/>
      <c r="B2106" s="199">
        <v>3000</v>
      </c>
      <c r="C2106" s="245" t="s">
        <v>208</v>
      </c>
      <c r="D2106" s="233">
        <f>D2140+D2174+D2208+D2242</f>
        <v>65628</v>
      </c>
    </row>
    <row r="2107" spans="1:4" ht="12" customHeight="1" x14ac:dyDescent="0.3">
      <c r="A2107" s="238"/>
      <c r="B2107" s="242">
        <v>3200</v>
      </c>
      <c r="C2107" s="243" t="s">
        <v>209</v>
      </c>
      <c r="D2107" s="236">
        <f t="shared" ref="D2107:D2108" si="189">D2141+D2175+D2209+D2243</f>
        <v>65628</v>
      </c>
    </row>
    <row r="2108" spans="1:4" ht="12" hidden="1" customHeight="1" outlineLevel="1" x14ac:dyDescent="0.3">
      <c r="A2108" s="238"/>
      <c r="B2108" s="242">
        <v>3300</v>
      </c>
      <c r="C2108" s="243" t="s">
        <v>210</v>
      </c>
      <c r="D2108" s="236">
        <f t="shared" si="189"/>
        <v>0</v>
      </c>
    </row>
    <row r="2109" spans="1:4" ht="12" hidden="1" customHeight="1" outlineLevel="1" x14ac:dyDescent="0.3">
      <c r="A2109" s="238"/>
      <c r="B2109" s="199">
        <v>4000</v>
      </c>
      <c r="C2109" s="246" t="s">
        <v>211</v>
      </c>
      <c r="D2109" s="233">
        <f>D2143+D2177+D2211+D2245</f>
        <v>0</v>
      </c>
    </row>
    <row r="2110" spans="1:4" ht="12" hidden="1" customHeight="1" outlineLevel="1" x14ac:dyDescent="0.3">
      <c r="A2110" s="238"/>
      <c r="B2110" s="242">
        <v>4200</v>
      </c>
      <c r="C2110" s="247" t="s">
        <v>212</v>
      </c>
      <c r="D2110" s="236">
        <f t="shared" ref="D2110:D2111" si="190">D2144+D2178+D2212+D2246</f>
        <v>0</v>
      </c>
    </row>
    <row r="2111" spans="1:4" ht="12" hidden="1" customHeight="1" outlineLevel="1" x14ac:dyDescent="0.3">
      <c r="A2111" s="238"/>
      <c r="B2111" s="242">
        <v>4300</v>
      </c>
      <c r="C2111" s="247" t="s">
        <v>213</v>
      </c>
      <c r="D2111" s="236">
        <f t="shared" si="190"/>
        <v>0</v>
      </c>
    </row>
    <row r="2112" spans="1:4" ht="12" customHeight="1" collapsed="1" x14ac:dyDescent="0.3">
      <c r="A2112" s="238"/>
      <c r="B2112" s="199">
        <v>5000</v>
      </c>
      <c r="C2112" s="200" t="s">
        <v>214</v>
      </c>
      <c r="D2112" s="233">
        <f>D2146+D2180+D2214+D2248</f>
        <v>44189</v>
      </c>
    </row>
    <row r="2113" spans="1:4" ht="12" customHeight="1" x14ac:dyDescent="0.3">
      <c r="A2113" s="238"/>
      <c r="B2113" s="242">
        <v>5100</v>
      </c>
      <c r="C2113" s="248" t="s">
        <v>215</v>
      </c>
      <c r="D2113" s="236">
        <f t="shared" ref="D2113:D2115" si="191">D2147+D2181+D2215+D2249</f>
        <v>6000</v>
      </c>
    </row>
    <row r="2114" spans="1:4" ht="12" customHeight="1" x14ac:dyDescent="0.3">
      <c r="A2114" s="238"/>
      <c r="B2114" s="242">
        <v>5200</v>
      </c>
      <c r="C2114" s="248" t="s">
        <v>216</v>
      </c>
      <c r="D2114" s="236">
        <f t="shared" si="191"/>
        <v>38189</v>
      </c>
    </row>
    <row r="2115" spans="1:4" ht="12" hidden="1" customHeight="1" outlineLevel="1" x14ac:dyDescent="0.3">
      <c r="A2115" s="238"/>
      <c r="B2115" s="242">
        <v>5300</v>
      </c>
      <c r="C2115" s="249" t="s">
        <v>217</v>
      </c>
      <c r="D2115" s="236">
        <f t="shared" si="191"/>
        <v>0</v>
      </c>
    </row>
    <row r="2116" spans="1:4" ht="12" hidden="1" customHeight="1" outlineLevel="1" x14ac:dyDescent="0.3">
      <c r="A2116" s="238"/>
      <c r="B2116" s="199">
        <v>6000</v>
      </c>
      <c r="C2116" s="200" t="s">
        <v>218</v>
      </c>
      <c r="D2116" s="233">
        <f>D2150+D2184+D2218+D2252</f>
        <v>0</v>
      </c>
    </row>
    <row r="2117" spans="1:4" ht="12" hidden="1" customHeight="1" outlineLevel="1" x14ac:dyDescent="0.3">
      <c r="A2117" s="238"/>
      <c r="B2117" s="242">
        <v>6200</v>
      </c>
      <c r="C2117" s="248" t="s">
        <v>219</v>
      </c>
      <c r="D2117" s="236">
        <f t="shared" ref="D2117:D2120" si="192">D2151+D2185+D2219+D2253</f>
        <v>0</v>
      </c>
    </row>
    <row r="2118" spans="1:4" ht="12" hidden="1" customHeight="1" outlineLevel="1" x14ac:dyDescent="0.3">
      <c r="A2118" s="238"/>
      <c r="B2118" s="242">
        <v>6300</v>
      </c>
      <c r="C2118" s="248" t="s">
        <v>220</v>
      </c>
      <c r="D2118" s="236">
        <f t="shared" si="192"/>
        <v>0</v>
      </c>
    </row>
    <row r="2119" spans="1:4" ht="12" hidden="1" customHeight="1" outlineLevel="1" x14ac:dyDescent="0.3">
      <c r="A2119" s="238"/>
      <c r="B2119" s="242">
        <v>6400</v>
      </c>
      <c r="C2119" s="248" t="s">
        <v>221</v>
      </c>
      <c r="D2119" s="236">
        <f t="shared" si="192"/>
        <v>0</v>
      </c>
    </row>
    <row r="2120" spans="1:4" ht="12" hidden="1" customHeight="1" outlineLevel="1" x14ac:dyDescent="0.3">
      <c r="A2120" s="238"/>
      <c r="B2120" s="242">
        <v>6500</v>
      </c>
      <c r="C2120" s="249" t="s">
        <v>222</v>
      </c>
      <c r="D2120" s="236">
        <f t="shared" si="192"/>
        <v>0</v>
      </c>
    </row>
    <row r="2121" spans="1:4" ht="12" customHeight="1" collapsed="1" x14ac:dyDescent="0.3">
      <c r="A2121" s="238"/>
      <c r="B2121" s="199">
        <v>7000</v>
      </c>
      <c r="C2121" s="200" t="s">
        <v>223</v>
      </c>
      <c r="D2121" s="233">
        <f>D2155+D2189+D2223+D2257</f>
        <v>114998</v>
      </c>
    </row>
    <row r="2122" spans="1:4" ht="12" customHeight="1" x14ac:dyDescent="0.3">
      <c r="A2122" s="238"/>
      <c r="B2122" s="250">
        <v>7200</v>
      </c>
      <c r="C2122" s="251" t="s">
        <v>224</v>
      </c>
      <c r="D2122" s="236">
        <f t="shared" ref="D2122:D2124" si="193">D2156+D2190+D2224+D2258</f>
        <v>23830</v>
      </c>
    </row>
    <row r="2123" spans="1:4" ht="12" customHeight="1" x14ac:dyDescent="0.3">
      <c r="A2123" s="238"/>
      <c r="B2123" s="250">
        <v>7500</v>
      </c>
      <c r="C2123" s="251" t="s">
        <v>225</v>
      </c>
      <c r="D2123" s="236">
        <f t="shared" si="193"/>
        <v>0</v>
      </c>
    </row>
    <row r="2124" spans="1:4" ht="12" customHeight="1" x14ac:dyDescent="0.3">
      <c r="A2124" s="238"/>
      <c r="B2124" s="250">
        <v>7700</v>
      </c>
      <c r="C2124" s="251" t="s">
        <v>226</v>
      </c>
      <c r="D2124" s="236">
        <f t="shared" si="193"/>
        <v>91168</v>
      </c>
    </row>
    <row r="2125" spans="1:4" ht="15.75" customHeight="1" x14ac:dyDescent="0.3">
      <c r="A2125" s="238"/>
      <c r="B2125" s="252">
        <v>8000</v>
      </c>
      <c r="C2125" s="253" t="s">
        <v>227</v>
      </c>
      <c r="D2125" s="233">
        <f>D2159+D2193+D2227+D2261</f>
        <v>0</v>
      </c>
    </row>
    <row r="2126" spans="1:4" ht="15.75" customHeight="1" x14ac:dyDescent="0.3">
      <c r="A2126" s="238"/>
      <c r="B2126" s="254">
        <v>8100</v>
      </c>
      <c r="C2126" s="255" t="s">
        <v>228</v>
      </c>
      <c r="D2126" s="236">
        <f t="shared" ref="D2126:D2128" si="194">D2160+D2194+D2228+D2262</f>
        <v>0</v>
      </c>
    </row>
    <row r="2127" spans="1:4" ht="15.75" hidden="1" customHeight="1" outlineLevel="1" x14ac:dyDescent="0.3">
      <c r="A2127" s="238"/>
      <c r="B2127" s="254">
        <v>8600</v>
      </c>
      <c r="C2127" s="255" t="s">
        <v>229</v>
      </c>
      <c r="D2127" s="236">
        <f t="shared" si="194"/>
        <v>0</v>
      </c>
    </row>
    <row r="2128" spans="1:4" ht="15.75" hidden="1" customHeight="1" outlineLevel="1" x14ac:dyDescent="0.3">
      <c r="A2128" s="238"/>
      <c r="B2128" s="254">
        <v>8900</v>
      </c>
      <c r="C2128" s="255" t="s">
        <v>230</v>
      </c>
      <c r="D2128" s="236">
        <f t="shared" si="194"/>
        <v>0</v>
      </c>
    </row>
    <row r="2129" spans="1:4" ht="15.75" customHeight="1" collapsed="1" x14ac:dyDescent="0.3">
      <c r="A2129" s="272" t="s">
        <v>348</v>
      </c>
      <c r="B2129" s="273"/>
      <c r="C2129" s="274" t="s">
        <v>349</v>
      </c>
      <c r="D2129" s="275">
        <f>D2130+D2146+D2159</f>
        <v>697985</v>
      </c>
    </row>
    <row r="2130" spans="1:4" ht="12" customHeight="1" x14ac:dyDescent="0.3">
      <c r="A2130" s="238"/>
      <c r="B2130" s="228"/>
      <c r="C2130" s="229" t="s">
        <v>198</v>
      </c>
      <c r="D2130" s="230">
        <f>D2131+D2134+D2140+D2143+D2150+D2155</f>
        <v>697985</v>
      </c>
    </row>
    <row r="2131" spans="1:4" ht="12" hidden="1" customHeight="1" outlineLevel="1" x14ac:dyDescent="0.3">
      <c r="A2131" s="238"/>
      <c r="B2131" s="231">
        <v>1000</v>
      </c>
      <c r="C2131" s="232" t="s">
        <v>199</v>
      </c>
      <c r="D2131" s="230">
        <f>SUM(D2132:D2133)</f>
        <v>0</v>
      </c>
    </row>
    <row r="2132" spans="1:4" ht="12" hidden="1" customHeight="1" outlineLevel="1" x14ac:dyDescent="0.3">
      <c r="A2132" s="238"/>
      <c r="B2132" s="234">
        <v>1100</v>
      </c>
      <c r="C2132" s="235" t="s">
        <v>200</v>
      </c>
      <c r="D2132" s="236"/>
    </row>
    <row r="2133" spans="1:4" ht="12" hidden="1" customHeight="1" outlineLevel="1" x14ac:dyDescent="0.3">
      <c r="A2133" s="238"/>
      <c r="B2133" s="234">
        <v>1200</v>
      </c>
      <c r="C2133" s="237" t="s">
        <v>201</v>
      </c>
      <c r="D2133" s="236"/>
    </row>
    <row r="2134" spans="1:4" ht="12" customHeight="1" collapsed="1" x14ac:dyDescent="0.3">
      <c r="A2134" s="238"/>
      <c r="B2134" s="239">
        <v>2000</v>
      </c>
      <c r="C2134" s="240" t="s">
        <v>202</v>
      </c>
      <c r="D2134" s="260">
        <f>SUM(D2135:D2139)</f>
        <v>697985</v>
      </c>
    </row>
    <row r="2135" spans="1:4" ht="12" customHeight="1" x14ac:dyDescent="0.3">
      <c r="A2135" s="238"/>
      <c r="B2135" s="242">
        <v>2100</v>
      </c>
      <c r="C2135" s="243" t="s">
        <v>203</v>
      </c>
      <c r="D2135" s="244">
        <v>0</v>
      </c>
    </row>
    <row r="2136" spans="1:4" ht="12" customHeight="1" x14ac:dyDescent="0.3">
      <c r="A2136" s="238"/>
      <c r="B2136" s="242">
        <v>2200</v>
      </c>
      <c r="C2136" s="243" t="s">
        <v>204</v>
      </c>
      <c r="D2136" s="244">
        <f>555985+142000</f>
        <v>697985</v>
      </c>
    </row>
    <row r="2137" spans="1:4" ht="12" hidden="1" customHeight="1" outlineLevel="1" x14ac:dyDescent="0.3">
      <c r="A2137" s="238"/>
      <c r="B2137" s="242">
        <v>2300</v>
      </c>
      <c r="C2137" s="243" t="s">
        <v>205</v>
      </c>
      <c r="D2137" s="244"/>
    </row>
    <row r="2138" spans="1:4" ht="12" hidden="1" customHeight="1" outlineLevel="1" x14ac:dyDescent="0.3">
      <c r="A2138" s="238"/>
      <c r="B2138" s="242">
        <v>2400</v>
      </c>
      <c r="C2138" s="243" t="s">
        <v>206</v>
      </c>
      <c r="D2138" s="244"/>
    </row>
    <row r="2139" spans="1:4" ht="12" hidden="1" customHeight="1" outlineLevel="1" x14ac:dyDescent="0.3">
      <c r="A2139" s="238"/>
      <c r="B2139" s="242">
        <v>2500</v>
      </c>
      <c r="C2139" s="243" t="s">
        <v>207</v>
      </c>
      <c r="D2139" s="244"/>
    </row>
    <row r="2140" spans="1:4" ht="12" hidden="1" customHeight="1" outlineLevel="1" x14ac:dyDescent="0.3">
      <c r="A2140" s="238"/>
      <c r="B2140" s="199">
        <v>3000</v>
      </c>
      <c r="C2140" s="245" t="s">
        <v>208</v>
      </c>
      <c r="D2140" s="260">
        <f>SUM(D2141:D2142)</f>
        <v>0</v>
      </c>
    </row>
    <row r="2141" spans="1:4" ht="12" hidden="1" customHeight="1" outlineLevel="1" x14ac:dyDescent="0.3">
      <c r="A2141" s="238"/>
      <c r="B2141" s="242">
        <v>3200</v>
      </c>
      <c r="C2141" s="243" t="s">
        <v>209</v>
      </c>
      <c r="D2141" s="244"/>
    </row>
    <row r="2142" spans="1:4" ht="12" hidden="1" customHeight="1" outlineLevel="1" x14ac:dyDescent="0.3">
      <c r="A2142" s="238"/>
      <c r="B2142" s="242">
        <v>3300</v>
      </c>
      <c r="C2142" s="243" t="s">
        <v>210</v>
      </c>
      <c r="D2142" s="244"/>
    </row>
    <row r="2143" spans="1:4" ht="12" hidden="1" customHeight="1" outlineLevel="1" x14ac:dyDescent="0.3">
      <c r="A2143" s="238"/>
      <c r="B2143" s="199">
        <v>4000</v>
      </c>
      <c r="C2143" s="246" t="s">
        <v>211</v>
      </c>
      <c r="D2143" s="260">
        <f>SUM(D2144:D2145)</f>
        <v>0</v>
      </c>
    </row>
    <row r="2144" spans="1:4" ht="12" hidden="1" customHeight="1" outlineLevel="1" x14ac:dyDescent="0.3">
      <c r="A2144" s="238"/>
      <c r="B2144" s="242">
        <v>4200</v>
      </c>
      <c r="C2144" s="247" t="s">
        <v>212</v>
      </c>
      <c r="D2144" s="244"/>
    </row>
    <row r="2145" spans="1:4" ht="12" hidden="1" customHeight="1" outlineLevel="1" x14ac:dyDescent="0.3">
      <c r="A2145" s="238"/>
      <c r="B2145" s="242">
        <v>4300</v>
      </c>
      <c r="C2145" s="247" t="s">
        <v>213</v>
      </c>
      <c r="D2145" s="244"/>
    </row>
    <row r="2146" spans="1:4" ht="12" hidden="1" customHeight="1" outlineLevel="1" x14ac:dyDescent="0.3">
      <c r="A2146" s="238"/>
      <c r="B2146" s="199">
        <v>5000</v>
      </c>
      <c r="C2146" s="200" t="s">
        <v>214</v>
      </c>
      <c r="D2146" s="260">
        <f>SUM(D2147:D2149)</f>
        <v>0</v>
      </c>
    </row>
    <row r="2147" spans="1:4" ht="12" hidden="1" customHeight="1" outlineLevel="1" x14ac:dyDescent="0.3">
      <c r="A2147" s="238"/>
      <c r="B2147" s="242">
        <v>5100</v>
      </c>
      <c r="C2147" s="248" t="s">
        <v>215</v>
      </c>
      <c r="D2147" s="260"/>
    </row>
    <row r="2148" spans="1:4" ht="12" hidden="1" customHeight="1" outlineLevel="1" x14ac:dyDescent="0.3">
      <c r="A2148" s="238"/>
      <c r="B2148" s="242">
        <v>5200</v>
      </c>
      <c r="C2148" s="248" t="s">
        <v>216</v>
      </c>
      <c r="D2148" s="260"/>
    </row>
    <row r="2149" spans="1:4" ht="12" hidden="1" customHeight="1" outlineLevel="1" x14ac:dyDescent="0.3">
      <c r="A2149" s="238"/>
      <c r="B2149" s="242">
        <v>5300</v>
      </c>
      <c r="C2149" s="249" t="s">
        <v>217</v>
      </c>
      <c r="D2149" s="260"/>
    </row>
    <row r="2150" spans="1:4" ht="12" hidden="1" customHeight="1" outlineLevel="1" x14ac:dyDescent="0.3">
      <c r="A2150" s="238"/>
      <c r="B2150" s="199">
        <v>6000</v>
      </c>
      <c r="C2150" s="200" t="s">
        <v>218</v>
      </c>
      <c r="D2150" s="260">
        <f>SUM(D2151:D2154)</f>
        <v>0</v>
      </c>
    </row>
    <row r="2151" spans="1:4" ht="12" hidden="1" customHeight="1" outlineLevel="1" x14ac:dyDescent="0.3">
      <c r="A2151" s="238"/>
      <c r="B2151" s="242">
        <v>6200</v>
      </c>
      <c r="C2151" s="248" t="s">
        <v>219</v>
      </c>
      <c r="D2151" s="244"/>
    </row>
    <row r="2152" spans="1:4" ht="12" hidden="1" customHeight="1" outlineLevel="1" x14ac:dyDescent="0.3">
      <c r="A2152" s="238"/>
      <c r="B2152" s="242">
        <v>6300</v>
      </c>
      <c r="C2152" s="248" t="s">
        <v>220</v>
      </c>
      <c r="D2152" s="244"/>
    </row>
    <row r="2153" spans="1:4" ht="12" hidden="1" customHeight="1" outlineLevel="1" x14ac:dyDescent="0.3">
      <c r="A2153" s="238"/>
      <c r="B2153" s="242">
        <v>6400</v>
      </c>
      <c r="C2153" s="248" t="s">
        <v>221</v>
      </c>
      <c r="D2153" s="244"/>
    </row>
    <row r="2154" spans="1:4" ht="12" hidden="1" customHeight="1" outlineLevel="1" x14ac:dyDescent="0.3">
      <c r="A2154" s="238"/>
      <c r="B2154" s="242">
        <v>6500</v>
      </c>
      <c r="C2154" s="249" t="s">
        <v>222</v>
      </c>
      <c r="D2154" s="244"/>
    </row>
    <row r="2155" spans="1:4" ht="12" hidden="1" customHeight="1" outlineLevel="1" x14ac:dyDescent="0.3">
      <c r="A2155" s="238"/>
      <c r="B2155" s="199">
        <v>7000</v>
      </c>
      <c r="C2155" s="200" t="s">
        <v>223</v>
      </c>
      <c r="D2155" s="260">
        <f>SUM(D2156:D2158)</f>
        <v>0</v>
      </c>
    </row>
    <row r="2156" spans="1:4" ht="12" hidden="1" customHeight="1" outlineLevel="1" x14ac:dyDescent="0.3">
      <c r="A2156" s="238"/>
      <c r="B2156" s="250">
        <v>7200</v>
      </c>
      <c r="C2156" s="251" t="s">
        <v>224</v>
      </c>
      <c r="D2156" s="244"/>
    </row>
    <row r="2157" spans="1:4" ht="12" hidden="1" customHeight="1" outlineLevel="1" x14ac:dyDescent="0.3">
      <c r="A2157" s="238"/>
      <c r="B2157" s="250">
        <v>7500</v>
      </c>
      <c r="C2157" s="251" t="s">
        <v>225</v>
      </c>
      <c r="D2157" s="244"/>
    </row>
    <row r="2158" spans="1:4" ht="12" hidden="1" customHeight="1" outlineLevel="1" x14ac:dyDescent="0.3">
      <c r="A2158" s="238"/>
      <c r="B2158" s="250">
        <v>7700</v>
      </c>
      <c r="C2158" s="251" t="s">
        <v>226</v>
      </c>
      <c r="D2158" s="244"/>
    </row>
    <row r="2159" spans="1:4" ht="12" hidden="1" customHeight="1" outlineLevel="1" x14ac:dyDescent="0.3">
      <c r="A2159" s="238"/>
      <c r="B2159" s="252">
        <v>8000</v>
      </c>
      <c r="C2159" s="253" t="s">
        <v>227</v>
      </c>
      <c r="D2159" s="260">
        <f>SUM(D2160:D2162)</f>
        <v>0</v>
      </c>
    </row>
    <row r="2160" spans="1:4" ht="12" hidden="1" customHeight="1" outlineLevel="1" x14ac:dyDescent="0.3">
      <c r="A2160" s="238"/>
      <c r="B2160" s="254">
        <v>8100</v>
      </c>
      <c r="C2160" s="255" t="s">
        <v>228</v>
      </c>
      <c r="D2160" s="260"/>
    </row>
    <row r="2161" spans="1:4" ht="12" hidden="1" customHeight="1" outlineLevel="1" x14ac:dyDescent="0.3">
      <c r="A2161" s="238"/>
      <c r="B2161" s="254">
        <v>8600</v>
      </c>
      <c r="C2161" s="255" t="s">
        <v>229</v>
      </c>
      <c r="D2161" s="260"/>
    </row>
    <row r="2162" spans="1:4" ht="12" hidden="1" customHeight="1" outlineLevel="1" x14ac:dyDescent="0.3">
      <c r="A2162" s="238"/>
      <c r="B2162" s="254">
        <v>8900</v>
      </c>
      <c r="C2162" s="255" t="s">
        <v>230</v>
      </c>
      <c r="D2162" s="260"/>
    </row>
    <row r="2163" spans="1:4" ht="12" customHeight="1" collapsed="1" x14ac:dyDescent="0.3">
      <c r="A2163" s="272" t="s">
        <v>350</v>
      </c>
      <c r="B2163" s="273"/>
      <c r="C2163" s="274" t="s">
        <v>351</v>
      </c>
      <c r="D2163" s="275">
        <f t="shared" ref="D2163" si="195">D2164+D2180+D2193</f>
        <v>2760772</v>
      </c>
    </row>
    <row r="2164" spans="1:4" ht="12" customHeight="1" x14ac:dyDescent="0.3">
      <c r="A2164" s="238"/>
      <c r="B2164" s="228"/>
      <c r="C2164" s="229" t="s">
        <v>198</v>
      </c>
      <c r="D2164" s="230">
        <f t="shared" ref="D2164" si="196">D2165+D2168+D2174+D2177+D2184+D2189</f>
        <v>2760772</v>
      </c>
    </row>
    <row r="2165" spans="1:4" ht="12" customHeight="1" x14ac:dyDescent="0.3">
      <c r="A2165" s="238"/>
      <c r="B2165" s="231">
        <v>1000</v>
      </c>
      <c r="C2165" s="232" t="s">
        <v>199</v>
      </c>
      <c r="D2165" s="230">
        <f>SUM(D2166:D2167)</f>
        <v>76218</v>
      </c>
    </row>
    <row r="2166" spans="1:4" ht="12" customHeight="1" x14ac:dyDescent="0.3">
      <c r="A2166" s="238"/>
      <c r="B2166" s="234">
        <v>1100</v>
      </c>
      <c r="C2166" s="235" t="s">
        <v>200</v>
      </c>
      <c r="D2166" s="236">
        <f>39864+6940+2260</f>
        <v>49064</v>
      </c>
    </row>
    <row r="2167" spans="1:4" ht="12" customHeight="1" x14ac:dyDescent="0.3">
      <c r="A2167" s="238"/>
      <c r="B2167" s="234">
        <v>1200</v>
      </c>
      <c r="C2167" s="237" t="s">
        <v>201</v>
      </c>
      <c r="D2167" s="236">
        <f>12196+4218+10520+220</f>
        <v>27154</v>
      </c>
    </row>
    <row r="2168" spans="1:4" ht="12" customHeight="1" x14ac:dyDescent="0.3">
      <c r="A2168" s="238"/>
      <c r="B2168" s="239">
        <v>2000</v>
      </c>
      <c r="C2168" s="240" t="s">
        <v>202</v>
      </c>
      <c r="D2168" s="260">
        <f>SUM(D2169:D2173)</f>
        <v>2683764</v>
      </c>
    </row>
    <row r="2169" spans="1:4" ht="12" customHeight="1" x14ac:dyDescent="0.3">
      <c r="A2169" s="238"/>
      <c r="B2169" s="242">
        <v>2100</v>
      </c>
      <c r="C2169" s="243" t="s">
        <v>203</v>
      </c>
      <c r="D2169" s="244">
        <v>0</v>
      </c>
    </row>
    <row r="2170" spans="1:4" ht="12" customHeight="1" x14ac:dyDescent="0.3">
      <c r="A2170" s="238"/>
      <c r="B2170" s="242">
        <v>2200</v>
      </c>
      <c r="C2170" s="243" t="s">
        <v>204</v>
      </c>
      <c r="D2170" s="244">
        <v>0</v>
      </c>
    </row>
    <row r="2171" spans="1:4" ht="12" customHeight="1" x14ac:dyDescent="0.3">
      <c r="A2171" s="238"/>
      <c r="B2171" s="242">
        <v>2300</v>
      </c>
      <c r="C2171" s="243" t="s">
        <v>205</v>
      </c>
      <c r="D2171" s="244">
        <f>2628591-44767+46088+53852</f>
        <v>2683764</v>
      </c>
    </row>
    <row r="2172" spans="1:4" ht="12" hidden="1" customHeight="1" outlineLevel="1" x14ac:dyDescent="0.3">
      <c r="A2172" s="238"/>
      <c r="B2172" s="242">
        <v>2400</v>
      </c>
      <c r="C2172" s="243" t="s">
        <v>206</v>
      </c>
      <c r="D2172" s="244"/>
    </row>
    <row r="2173" spans="1:4" ht="12" hidden="1" customHeight="1" outlineLevel="1" x14ac:dyDescent="0.3">
      <c r="A2173" s="238"/>
      <c r="B2173" s="242">
        <v>2500</v>
      </c>
      <c r="C2173" s="243" t="s">
        <v>207</v>
      </c>
      <c r="D2173" s="244"/>
    </row>
    <row r="2174" spans="1:4" ht="12" hidden="1" customHeight="1" outlineLevel="1" x14ac:dyDescent="0.3">
      <c r="A2174" s="238"/>
      <c r="B2174" s="199">
        <v>3000</v>
      </c>
      <c r="C2174" s="245" t="s">
        <v>208</v>
      </c>
      <c r="D2174" s="260">
        <f>SUM(D2175:D2176)</f>
        <v>0</v>
      </c>
    </row>
    <row r="2175" spans="1:4" ht="12" hidden="1" customHeight="1" outlineLevel="1" x14ac:dyDescent="0.3">
      <c r="A2175" s="238"/>
      <c r="B2175" s="242">
        <v>3200</v>
      </c>
      <c r="C2175" s="243" t="s">
        <v>209</v>
      </c>
      <c r="D2175" s="244"/>
    </row>
    <row r="2176" spans="1:4" ht="12" hidden="1" customHeight="1" outlineLevel="1" x14ac:dyDescent="0.3">
      <c r="A2176" s="238"/>
      <c r="B2176" s="242">
        <v>3300</v>
      </c>
      <c r="C2176" s="243" t="s">
        <v>210</v>
      </c>
      <c r="D2176" s="244"/>
    </row>
    <row r="2177" spans="1:4" ht="12" hidden="1" customHeight="1" outlineLevel="1" x14ac:dyDescent="0.3">
      <c r="A2177" s="238"/>
      <c r="B2177" s="199">
        <v>4000</v>
      </c>
      <c r="C2177" s="246" t="s">
        <v>211</v>
      </c>
      <c r="D2177" s="260">
        <f>SUM(D2178:D2179)</f>
        <v>0</v>
      </c>
    </row>
    <row r="2178" spans="1:4" ht="12" hidden="1" customHeight="1" outlineLevel="1" x14ac:dyDescent="0.3">
      <c r="A2178" s="238"/>
      <c r="B2178" s="242">
        <v>4200</v>
      </c>
      <c r="C2178" s="247" t="s">
        <v>212</v>
      </c>
      <c r="D2178" s="244"/>
    </row>
    <row r="2179" spans="1:4" ht="12" hidden="1" customHeight="1" outlineLevel="1" x14ac:dyDescent="0.3">
      <c r="A2179" s="238"/>
      <c r="B2179" s="242">
        <v>4300</v>
      </c>
      <c r="C2179" s="247" t="s">
        <v>213</v>
      </c>
      <c r="D2179" s="244"/>
    </row>
    <row r="2180" spans="1:4" ht="12" hidden="1" customHeight="1" outlineLevel="1" x14ac:dyDescent="0.3">
      <c r="A2180" s="238"/>
      <c r="B2180" s="199">
        <v>5000</v>
      </c>
      <c r="C2180" s="200" t="s">
        <v>214</v>
      </c>
      <c r="D2180" s="260">
        <f>SUM(D2181:D2183)</f>
        <v>0</v>
      </c>
    </row>
    <row r="2181" spans="1:4" ht="12" hidden="1" customHeight="1" outlineLevel="1" x14ac:dyDescent="0.3">
      <c r="A2181" s="238"/>
      <c r="B2181" s="242">
        <v>5100</v>
      </c>
      <c r="C2181" s="248" t="s">
        <v>215</v>
      </c>
      <c r="D2181" s="260"/>
    </row>
    <row r="2182" spans="1:4" ht="12" hidden="1" customHeight="1" outlineLevel="1" x14ac:dyDescent="0.3">
      <c r="A2182" s="238"/>
      <c r="B2182" s="242">
        <v>5200</v>
      </c>
      <c r="C2182" s="248" t="s">
        <v>216</v>
      </c>
      <c r="D2182" s="260"/>
    </row>
    <row r="2183" spans="1:4" ht="12" hidden="1" customHeight="1" outlineLevel="1" x14ac:dyDescent="0.3">
      <c r="A2183" s="238"/>
      <c r="B2183" s="242">
        <v>5300</v>
      </c>
      <c r="C2183" s="249" t="s">
        <v>217</v>
      </c>
      <c r="D2183" s="260"/>
    </row>
    <row r="2184" spans="1:4" ht="12" hidden="1" customHeight="1" outlineLevel="1" x14ac:dyDescent="0.3">
      <c r="A2184" s="238"/>
      <c r="B2184" s="199">
        <v>6000</v>
      </c>
      <c r="C2184" s="200" t="s">
        <v>218</v>
      </c>
      <c r="D2184" s="260">
        <f>SUM(D2185:D2188)</f>
        <v>0</v>
      </c>
    </row>
    <row r="2185" spans="1:4" ht="12" hidden="1" customHeight="1" outlineLevel="1" x14ac:dyDescent="0.3">
      <c r="A2185" s="238"/>
      <c r="B2185" s="242">
        <v>6200</v>
      </c>
      <c r="C2185" s="248" t="s">
        <v>219</v>
      </c>
      <c r="D2185" s="244"/>
    </row>
    <row r="2186" spans="1:4" ht="12" hidden="1" customHeight="1" outlineLevel="1" x14ac:dyDescent="0.3">
      <c r="A2186" s="238"/>
      <c r="B2186" s="242">
        <v>6300</v>
      </c>
      <c r="C2186" s="248" t="s">
        <v>220</v>
      </c>
      <c r="D2186" s="244"/>
    </row>
    <row r="2187" spans="1:4" ht="12" hidden="1" customHeight="1" outlineLevel="1" x14ac:dyDescent="0.3">
      <c r="A2187" s="238"/>
      <c r="B2187" s="242">
        <v>6400</v>
      </c>
      <c r="C2187" s="248" t="s">
        <v>221</v>
      </c>
      <c r="D2187" s="244"/>
    </row>
    <row r="2188" spans="1:4" ht="12" hidden="1" customHeight="1" outlineLevel="1" x14ac:dyDescent="0.3">
      <c r="A2188" s="238"/>
      <c r="B2188" s="242">
        <v>6500</v>
      </c>
      <c r="C2188" s="249" t="s">
        <v>222</v>
      </c>
      <c r="D2188" s="244"/>
    </row>
    <row r="2189" spans="1:4" ht="12" customHeight="1" collapsed="1" x14ac:dyDescent="0.3">
      <c r="A2189" s="238"/>
      <c r="B2189" s="199">
        <v>7000</v>
      </c>
      <c r="C2189" s="200" t="s">
        <v>223</v>
      </c>
      <c r="D2189" s="260">
        <f>SUM(D2190:D2192)</f>
        <v>790</v>
      </c>
    </row>
    <row r="2190" spans="1:4" ht="12" customHeight="1" x14ac:dyDescent="0.3">
      <c r="A2190" s="238"/>
      <c r="B2190" s="250">
        <v>7200</v>
      </c>
      <c r="C2190" s="251" t="s">
        <v>224</v>
      </c>
      <c r="D2190" s="244">
        <f>6991-6201</f>
        <v>790</v>
      </c>
    </row>
    <row r="2191" spans="1:4" ht="12" hidden="1" customHeight="1" outlineLevel="1" x14ac:dyDescent="0.3">
      <c r="A2191" s="238"/>
      <c r="B2191" s="250">
        <v>7500</v>
      </c>
      <c r="C2191" s="251" t="s">
        <v>225</v>
      </c>
      <c r="D2191" s="244"/>
    </row>
    <row r="2192" spans="1:4" ht="12" hidden="1" customHeight="1" outlineLevel="1" x14ac:dyDescent="0.3">
      <c r="A2192" s="238"/>
      <c r="B2192" s="250">
        <v>7700</v>
      </c>
      <c r="C2192" s="251" t="s">
        <v>226</v>
      </c>
      <c r="D2192" s="244"/>
    </row>
    <row r="2193" spans="1:4" ht="12" hidden="1" customHeight="1" outlineLevel="1" x14ac:dyDescent="0.3">
      <c r="A2193" s="238"/>
      <c r="B2193" s="252">
        <v>8000</v>
      </c>
      <c r="C2193" s="253" t="s">
        <v>227</v>
      </c>
      <c r="D2193" s="260">
        <f>SUM(D2194:D2196)</f>
        <v>0</v>
      </c>
    </row>
    <row r="2194" spans="1:4" ht="12" hidden="1" customHeight="1" outlineLevel="1" x14ac:dyDescent="0.3">
      <c r="A2194" s="238"/>
      <c r="B2194" s="254">
        <v>8100</v>
      </c>
      <c r="C2194" s="255" t="s">
        <v>228</v>
      </c>
      <c r="D2194" s="260"/>
    </row>
    <row r="2195" spans="1:4" ht="12" hidden="1" customHeight="1" outlineLevel="1" x14ac:dyDescent="0.3">
      <c r="A2195" s="238"/>
      <c r="B2195" s="254">
        <v>8600</v>
      </c>
      <c r="C2195" s="255" t="s">
        <v>229</v>
      </c>
      <c r="D2195" s="260"/>
    </row>
    <row r="2196" spans="1:4" ht="12" hidden="1" customHeight="1" outlineLevel="1" x14ac:dyDescent="0.3">
      <c r="A2196" s="238"/>
      <c r="B2196" s="254">
        <v>8900</v>
      </c>
      <c r="C2196" s="255" t="s">
        <v>230</v>
      </c>
      <c r="D2196" s="260"/>
    </row>
    <row r="2197" spans="1:4" ht="12" customHeight="1" collapsed="1" x14ac:dyDescent="0.3">
      <c r="A2197" s="272" t="s">
        <v>352</v>
      </c>
      <c r="B2197" s="273"/>
      <c r="C2197" s="274" t="s">
        <v>353</v>
      </c>
      <c r="D2197" s="275">
        <f>D2198+D2214+D2227</f>
        <v>547510</v>
      </c>
    </row>
    <row r="2198" spans="1:4" ht="12" customHeight="1" x14ac:dyDescent="0.3">
      <c r="A2198" s="238"/>
      <c r="B2198" s="228"/>
      <c r="C2198" s="229" t="s">
        <v>198</v>
      </c>
      <c r="D2198" s="230">
        <f>D2199+D2202+D2208+D2211+D2218+D2223</f>
        <v>544570</v>
      </c>
    </row>
    <row r="2199" spans="1:4" ht="12" customHeight="1" x14ac:dyDescent="0.3">
      <c r="A2199" s="238"/>
      <c r="B2199" s="231">
        <v>1000</v>
      </c>
      <c r="C2199" s="232" t="s">
        <v>199</v>
      </c>
      <c r="D2199" s="230">
        <f>SUM(D2200:D2201)</f>
        <v>341649</v>
      </c>
    </row>
    <row r="2200" spans="1:4" ht="12" customHeight="1" x14ac:dyDescent="0.3">
      <c r="A2200" s="238"/>
      <c r="B2200" s="234">
        <v>1100</v>
      </c>
      <c r="C2200" s="235" t="s">
        <v>200</v>
      </c>
      <c r="D2200" s="236">
        <f>274330-8496-3641</f>
        <v>262193</v>
      </c>
    </row>
    <row r="2201" spans="1:4" ht="12" customHeight="1" x14ac:dyDescent="0.3">
      <c r="A2201" s="238"/>
      <c r="B2201" s="234">
        <v>1200</v>
      </c>
      <c r="C2201" s="237" t="s">
        <v>201</v>
      </c>
      <c r="D2201" s="236">
        <f>81419-2004+41</f>
        <v>79456</v>
      </c>
    </row>
    <row r="2202" spans="1:4" ht="12" customHeight="1" x14ac:dyDescent="0.3">
      <c r="A2202" s="238"/>
      <c r="B2202" s="239">
        <v>2000</v>
      </c>
      <c r="C2202" s="240" t="s">
        <v>202</v>
      </c>
      <c r="D2202" s="260">
        <f>SUM(D2203:D2207)</f>
        <v>202921</v>
      </c>
    </row>
    <row r="2203" spans="1:4" ht="12" customHeight="1" x14ac:dyDescent="0.3">
      <c r="A2203" s="238"/>
      <c r="B2203" s="242">
        <v>2100</v>
      </c>
      <c r="C2203" s="243" t="s">
        <v>203</v>
      </c>
      <c r="D2203" s="244">
        <v>0</v>
      </c>
    </row>
    <row r="2204" spans="1:4" ht="12" customHeight="1" x14ac:dyDescent="0.3">
      <c r="A2204" s="238"/>
      <c r="B2204" s="242">
        <v>2200</v>
      </c>
      <c r="C2204" s="243" t="s">
        <v>204</v>
      </c>
      <c r="D2204" s="244">
        <f>170217+2500+4040</f>
        <v>176757</v>
      </c>
    </row>
    <row r="2205" spans="1:4" ht="12" customHeight="1" x14ac:dyDescent="0.3">
      <c r="A2205" s="238"/>
      <c r="B2205" s="242">
        <v>2300</v>
      </c>
      <c r="C2205" s="243" t="s">
        <v>205</v>
      </c>
      <c r="D2205" s="244">
        <f>30604-4364</f>
        <v>26240</v>
      </c>
    </row>
    <row r="2206" spans="1:4" ht="12" hidden="1" customHeight="1" outlineLevel="1" x14ac:dyDescent="0.3">
      <c r="A2206" s="238"/>
      <c r="B2206" s="242">
        <v>2400</v>
      </c>
      <c r="C2206" s="243" t="s">
        <v>206</v>
      </c>
      <c r="D2206" s="244"/>
    </row>
    <row r="2207" spans="1:4" ht="12" hidden="1" customHeight="1" outlineLevel="1" x14ac:dyDescent="0.3">
      <c r="A2207" s="238"/>
      <c r="B2207" s="242">
        <v>2500</v>
      </c>
      <c r="C2207" s="243" t="s">
        <v>207</v>
      </c>
      <c r="D2207" s="244">
        <v>-76</v>
      </c>
    </row>
    <row r="2208" spans="1:4" ht="12" hidden="1" customHeight="1" outlineLevel="1" x14ac:dyDescent="0.3">
      <c r="A2208" s="238"/>
      <c r="B2208" s="199">
        <v>3000</v>
      </c>
      <c r="C2208" s="245" t="s">
        <v>208</v>
      </c>
      <c r="D2208" s="260">
        <f>SUM(D2209:D2210)</f>
        <v>0</v>
      </c>
    </row>
    <row r="2209" spans="1:4" ht="12" hidden="1" customHeight="1" outlineLevel="1" x14ac:dyDescent="0.3">
      <c r="A2209" s="238"/>
      <c r="B2209" s="242">
        <v>3200</v>
      </c>
      <c r="C2209" s="243" t="s">
        <v>209</v>
      </c>
      <c r="D2209" s="244"/>
    </row>
    <row r="2210" spans="1:4" ht="12" hidden="1" customHeight="1" outlineLevel="1" x14ac:dyDescent="0.3">
      <c r="A2210" s="238"/>
      <c r="B2210" s="242">
        <v>3300</v>
      </c>
      <c r="C2210" s="243" t="s">
        <v>210</v>
      </c>
      <c r="D2210" s="244"/>
    </row>
    <row r="2211" spans="1:4" ht="12" hidden="1" customHeight="1" outlineLevel="1" x14ac:dyDescent="0.3">
      <c r="A2211" s="238"/>
      <c r="B2211" s="199">
        <v>4000</v>
      </c>
      <c r="C2211" s="246" t="s">
        <v>211</v>
      </c>
      <c r="D2211" s="260">
        <f>SUM(D2212:D2213)</f>
        <v>0</v>
      </c>
    </row>
    <row r="2212" spans="1:4" ht="12" hidden="1" customHeight="1" outlineLevel="1" x14ac:dyDescent="0.3">
      <c r="A2212" s="238"/>
      <c r="B2212" s="242">
        <v>4200</v>
      </c>
      <c r="C2212" s="247" t="s">
        <v>212</v>
      </c>
      <c r="D2212" s="244"/>
    </row>
    <row r="2213" spans="1:4" ht="12" hidden="1" customHeight="1" outlineLevel="1" x14ac:dyDescent="0.3">
      <c r="A2213" s="238"/>
      <c r="B2213" s="242">
        <v>4300</v>
      </c>
      <c r="C2213" s="247" t="s">
        <v>213</v>
      </c>
      <c r="D2213" s="244"/>
    </row>
    <row r="2214" spans="1:4" ht="12" customHeight="1" collapsed="1" x14ac:dyDescent="0.3">
      <c r="A2214" s="238"/>
      <c r="B2214" s="199">
        <v>5000</v>
      </c>
      <c r="C2214" s="200" t="s">
        <v>214</v>
      </c>
      <c r="D2214" s="260">
        <f>SUM(D2215:D2217)</f>
        <v>2940</v>
      </c>
    </row>
    <row r="2215" spans="1:4" ht="12" customHeight="1" x14ac:dyDescent="0.3">
      <c r="A2215" s="238"/>
      <c r="B2215" s="242">
        <v>5100</v>
      </c>
      <c r="C2215" s="248" t="s">
        <v>215</v>
      </c>
      <c r="D2215" s="260">
        <v>0</v>
      </c>
    </row>
    <row r="2216" spans="1:4" ht="12" customHeight="1" x14ac:dyDescent="0.3">
      <c r="A2216" s="238"/>
      <c r="B2216" s="242">
        <v>5200</v>
      </c>
      <c r="C2216" s="248" t="s">
        <v>216</v>
      </c>
      <c r="D2216" s="244">
        <v>2940</v>
      </c>
    </row>
    <row r="2217" spans="1:4" ht="12" hidden="1" customHeight="1" outlineLevel="1" x14ac:dyDescent="0.3">
      <c r="A2217" s="238"/>
      <c r="B2217" s="242">
        <v>5300</v>
      </c>
      <c r="C2217" s="249" t="s">
        <v>217</v>
      </c>
      <c r="D2217" s="260"/>
    </row>
    <row r="2218" spans="1:4" ht="12" hidden="1" customHeight="1" outlineLevel="1" x14ac:dyDescent="0.3">
      <c r="A2218" s="238"/>
      <c r="B2218" s="199">
        <v>6000</v>
      </c>
      <c r="C2218" s="200" t="s">
        <v>218</v>
      </c>
      <c r="D2218" s="260">
        <f>SUM(D2219:D2222)</f>
        <v>0</v>
      </c>
    </row>
    <row r="2219" spans="1:4" ht="12" hidden="1" customHeight="1" outlineLevel="1" x14ac:dyDescent="0.3">
      <c r="A2219" s="238"/>
      <c r="B2219" s="242">
        <v>6200</v>
      </c>
      <c r="C2219" s="248" t="s">
        <v>219</v>
      </c>
      <c r="D2219" s="244"/>
    </row>
    <row r="2220" spans="1:4" ht="12" hidden="1" customHeight="1" outlineLevel="1" x14ac:dyDescent="0.3">
      <c r="A2220" s="238"/>
      <c r="B2220" s="242">
        <v>6300</v>
      </c>
      <c r="C2220" s="248" t="s">
        <v>220</v>
      </c>
      <c r="D2220" s="244"/>
    </row>
    <row r="2221" spans="1:4" ht="12" hidden="1" customHeight="1" outlineLevel="1" x14ac:dyDescent="0.3">
      <c r="A2221" s="238"/>
      <c r="B2221" s="242">
        <v>6400</v>
      </c>
      <c r="C2221" s="248" t="s">
        <v>221</v>
      </c>
      <c r="D2221" s="244"/>
    </row>
    <row r="2222" spans="1:4" ht="12" hidden="1" customHeight="1" outlineLevel="1" x14ac:dyDescent="0.3">
      <c r="A2222" s="238"/>
      <c r="B2222" s="242">
        <v>6500</v>
      </c>
      <c r="C2222" s="249" t="s">
        <v>222</v>
      </c>
      <c r="D2222" s="244"/>
    </row>
    <row r="2223" spans="1:4" ht="12" hidden="1" customHeight="1" outlineLevel="1" x14ac:dyDescent="0.3">
      <c r="A2223" s="238"/>
      <c r="B2223" s="199">
        <v>7000</v>
      </c>
      <c r="C2223" s="200" t="s">
        <v>223</v>
      </c>
      <c r="D2223" s="260">
        <f>SUM(D2224:D2226)</f>
        <v>0</v>
      </c>
    </row>
    <row r="2224" spans="1:4" ht="12" hidden="1" customHeight="1" outlineLevel="1" x14ac:dyDescent="0.3">
      <c r="A2224" s="238"/>
      <c r="B2224" s="250">
        <v>7200</v>
      </c>
      <c r="C2224" s="251" t="s">
        <v>224</v>
      </c>
      <c r="D2224" s="244"/>
    </row>
    <row r="2225" spans="1:4" ht="12" hidden="1" customHeight="1" outlineLevel="1" x14ac:dyDescent="0.3">
      <c r="A2225" s="238"/>
      <c r="B2225" s="250">
        <v>7500</v>
      </c>
      <c r="C2225" s="251" t="s">
        <v>225</v>
      </c>
      <c r="D2225" s="244"/>
    </row>
    <row r="2226" spans="1:4" ht="12" hidden="1" customHeight="1" outlineLevel="1" x14ac:dyDescent="0.3">
      <c r="A2226" s="238"/>
      <c r="B2226" s="250">
        <v>7700</v>
      </c>
      <c r="C2226" s="251" t="s">
        <v>226</v>
      </c>
      <c r="D2226" s="244"/>
    </row>
    <row r="2227" spans="1:4" ht="12" hidden="1" customHeight="1" outlineLevel="1" x14ac:dyDescent="0.3">
      <c r="A2227" s="238"/>
      <c r="B2227" s="252">
        <v>8000</v>
      </c>
      <c r="C2227" s="253" t="s">
        <v>227</v>
      </c>
      <c r="D2227" s="260">
        <f>SUM(D2228:D2230)</f>
        <v>0</v>
      </c>
    </row>
    <row r="2228" spans="1:4" ht="12" hidden="1" customHeight="1" outlineLevel="1" x14ac:dyDescent="0.3">
      <c r="A2228" s="238"/>
      <c r="B2228" s="254">
        <v>8100</v>
      </c>
      <c r="C2228" s="255" t="s">
        <v>228</v>
      </c>
      <c r="D2228" s="260"/>
    </row>
    <row r="2229" spans="1:4" ht="12" hidden="1" customHeight="1" outlineLevel="1" x14ac:dyDescent="0.3">
      <c r="A2229" s="238"/>
      <c r="B2229" s="254">
        <v>8600</v>
      </c>
      <c r="C2229" s="255" t="s">
        <v>229</v>
      </c>
      <c r="D2229" s="260"/>
    </row>
    <row r="2230" spans="1:4" ht="12" hidden="1" customHeight="1" outlineLevel="1" x14ac:dyDescent="0.3">
      <c r="A2230" s="238"/>
      <c r="B2230" s="254">
        <v>8900</v>
      </c>
      <c r="C2230" s="255" t="s">
        <v>230</v>
      </c>
      <c r="D2230" s="260"/>
    </row>
    <row r="2231" spans="1:4" ht="12" customHeight="1" collapsed="1" x14ac:dyDescent="0.3">
      <c r="A2231" s="272" t="s">
        <v>354</v>
      </c>
      <c r="B2231" s="273"/>
      <c r="C2231" s="274" t="s">
        <v>355</v>
      </c>
      <c r="D2231" s="275">
        <f t="shared" ref="D2231" si="197">D2232+D2248+D2261</f>
        <v>1353731</v>
      </c>
    </row>
    <row r="2232" spans="1:4" ht="12" customHeight="1" x14ac:dyDescent="0.3">
      <c r="A2232" s="238"/>
      <c r="B2232" s="228"/>
      <c r="C2232" s="229" t="s">
        <v>198</v>
      </c>
      <c r="D2232" s="230">
        <f t="shared" ref="D2232" si="198">D2233+D2236+D2242+D2245+D2252+D2257</f>
        <v>1312482</v>
      </c>
    </row>
    <row r="2233" spans="1:4" ht="12" customHeight="1" x14ac:dyDescent="0.3">
      <c r="A2233" s="238"/>
      <c r="B2233" s="231">
        <v>1000</v>
      </c>
      <c r="C2233" s="232" t="s">
        <v>199</v>
      </c>
      <c r="D2233" s="230">
        <f>SUM(D2234:D2235)</f>
        <v>132014</v>
      </c>
    </row>
    <row r="2234" spans="1:4" ht="12" customHeight="1" x14ac:dyDescent="0.3">
      <c r="A2234" s="238"/>
      <c r="B2234" s="234">
        <v>1100</v>
      </c>
      <c r="C2234" s="235" t="s">
        <v>200</v>
      </c>
      <c r="D2234" s="236">
        <f>95457-1900+7610+12860</f>
        <v>114027</v>
      </c>
    </row>
    <row r="2235" spans="1:4" ht="12" customHeight="1" x14ac:dyDescent="0.3">
      <c r="A2235" s="238"/>
      <c r="B2235" s="234">
        <v>1200</v>
      </c>
      <c r="C2235" s="237" t="s">
        <v>201</v>
      </c>
      <c r="D2235" s="236">
        <f>18289+387-689</f>
        <v>17987</v>
      </c>
    </row>
    <row r="2236" spans="1:4" ht="12" customHeight="1" x14ac:dyDescent="0.3">
      <c r="A2236" s="238"/>
      <c r="B2236" s="239">
        <v>2000</v>
      </c>
      <c r="C2236" s="240" t="s">
        <v>202</v>
      </c>
      <c r="D2236" s="260">
        <f>SUM(D2237:D2241)</f>
        <v>1000632</v>
      </c>
    </row>
    <row r="2237" spans="1:4" ht="12" customHeight="1" x14ac:dyDescent="0.3">
      <c r="A2237" s="238"/>
      <c r="B2237" s="242">
        <v>2100</v>
      </c>
      <c r="C2237" s="243" t="s">
        <v>203</v>
      </c>
      <c r="D2237" s="244">
        <f>228767+94072+222163+70045</f>
        <v>615047</v>
      </c>
    </row>
    <row r="2238" spans="1:4" ht="12" customHeight="1" x14ac:dyDescent="0.3">
      <c r="A2238" s="238"/>
      <c r="B2238" s="242">
        <v>2200</v>
      </c>
      <c r="C2238" s="243" t="s">
        <v>204</v>
      </c>
      <c r="D2238" s="244">
        <f>264887+142898+15881-60760</f>
        <v>362906</v>
      </c>
    </row>
    <row r="2239" spans="1:4" ht="12" customHeight="1" x14ac:dyDescent="0.3">
      <c r="A2239" s="238"/>
      <c r="B2239" s="242">
        <v>2300</v>
      </c>
      <c r="C2239" s="243" t="s">
        <v>205</v>
      </c>
      <c r="D2239" s="244">
        <f>15501+880-893+7191</f>
        <v>22679</v>
      </c>
    </row>
    <row r="2240" spans="1:4" ht="12" hidden="1" customHeight="1" outlineLevel="1" x14ac:dyDescent="0.3">
      <c r="A2240" s="238"/>
      <c r="B2240" s="242">
        <v>2400</v>
      </c>
      <c r="C2240" s="243" t="s">
        <v>206</v>
      </c>
      <c r="D2240" s="244"/>
    </row>
    <row r="2241" spans="1:4" ht="12" hidden="1" customHeight="1" outlineLevel="1" x14ac:dyDescent="0.3">
      <c r="A2241" s="238"/>
      <c r="B2241" s="242">
        <v>2500</v>
      </c>
      <c r="C2241" s="243" t="s">
        <v>207</v>
      </c>
      <c r="D2241" s="244"/>
    </row>
    <row r="2242" spans="1:4" ht="12" customHeight="1" collapsed="1" x14ac:dyDescent="0.3">
      <c r="A2242" s="238"/>
      <c r="B2242" s="199">
        <v>3000</v>
      </c>
      <c r="C2242" s="245" t="s">
        <v>208</v>
      </c>
      <c r="D2242" s="260">
        <f>SUM(D2243:D2244)</f>
        <v>65628</v>
      </c>
    </row>
    <row r="2243" spans="1:4" ht="12" customHeight="1" x14ac:dyDescent="0.3">
      <c r="A2243" s="238"/>
      <c r="B2243" s="242">
        <v>3200</v>
      </c>
      <c r="C2243" s="243" t="s">
        <v>209</v>
      </c>
      <c r="D2243" s="244">
        <f>61401+23197-11368-7602</f>
        <v>65628</v>
      </c>
    </row>
    <row r="2244" spans="1:4" ht="12" hidden="1" customHeight="1" outlineLevel="1" x14ac:dyDescent="0.3">
      <c r="A2244" s="238"/>
      <c r="B2244" s="242">
        <v>3300</v>
      </c>
      <c r="C2244" s="243" t="s">
        <v>210</v>
      </c>
      <c r="D2244" s="244"/>
    </row>
    <row r="2245" spans="1:4" ht="12" hidden="1" customHeight="1" outlineLevel="1" x14ac:dyDescent="0.3">
      <c r="A2245" s="238"/>
      <c r="B2245" s="199">
        <v>4000</v>
      </c>
      <c r="C2245" s="246" t="s">
        <v>211</v>
      </c>
      <c r="D2245" s="260">
        <f>SUM(D2246:D2247)</f>
        <v>0</v>
      </c>
    </row>
    <row r="2246" spans="1:4" ht="12" hidden="1" customHeight="1" outlineLevel="1" x14ac:dyDescent="0.3">
      <c r="A2246" s="238"/>
      <c r="B2246" s="242">
        <v>4200</v>
      </c>
      <c r="C2246" s="247" t="s">
        <v>212</v>
      </c>
      <c r="D2246" s="244"/>
    </row>
    <row r="2247" spans="1:4" ht="12" hidden="1" customHeight="1" outlineLevel="1" x14ac:dyDescent="0.3">
      <c r="A2247" s="238"/>
      <c r="B2247" s="242">
        <v>4300</v>
      </c>
      <c r="C2247" s="247" t="s">
        <v>213</v>
      </c>
      <c r="D2247" s="244"/>
    </row>
    <row r="2248" spans="1:4" ht="12" customHeight="1" collapsed="1" x14ac:dyDescent="0.3">
      <c r="A2248" s="238"/>
      <c r="B2248" s="199">
        <v>5000</v>
      </c>
      <c r="C2248" s="200" t="s">
        <v>214</v>
      </c>
      <c r="D2248" s="260">
        <f>SUM(D2249:D2251)</f>
        <v>41249</v>
      </c>
    </row>
    <row r="2249" spans="1:4" ht="12" customHeight="1" x14ac:dyDescent="0.3">
      <c r="A2249" s="238"/>
      <c r="B2249" s="242">
        <v>5100</v>
      </c>
      <c r="C2249" s="248" t="s">
        <v>215</v>
      </c>
      <c r="D2249" s="244">
        <v>6000</v>
      </c>
    </row>
    <row r="2250" spans="1:4" ht="12" customHeight="1" x14ac:dyDescent="0.3">
      <c r="A2250" s="238"/>
      <c r="B2250" s="242">
        <v>5200</v>
      </c>
      <c r="C2250" s="248" t="s">
        <v>216</v>
      </c>
      <c r="D2250" s="244">
        <f>9406+21470+5882-1509</f>
        <v>35249</v>
      </c>
    </row>
    <row r="2251" spans="1:4" ht="12" hidden="1" customHeight="1" outlineLevel="1" x14ac:dyDescent="0.3">
      <c r="A2251" s="238"/>
      <c r="B2251" s="242">
        <v>5300</v>
      </c>
      <c r="C2251" s="249" t="s">
        <v>217</v>
      </c>
      <c r="D2251" s="260"/>
    </row>
    <row r="2252" spans="1:4" ht="12" hidden="1" customHeight="1" outlineLevel="1" x14ac:dyDescent="0.3">
      <c r="A2252" s="238"/>
      <c r="B2252" s="199">
        <v>6000</v>
      </c>
      <c r="C2252" s="200" t="s">
        <v>218</v>
      </c>
      <c r="D2252" s="260">
        <f>SUM(D2253:D2256)</f>
        <v>0</v>
      </c>
    </row>
    <row r="2253" spans="1:4" ht="12" hidden="1" customHeight="1" outlineLevel="1" x14ac:dyDescent="0.3">
      <c r="A2253" s="238"/>
      <c r="B2253" s="242">
        <v>6200</v>
      </c>
      <c r="C2253" s="248" t="s">
        <v>219</v>
      </c>
      <c r="D2253" s="244"/>
    </row>
    <row r="2254" spans="1:4" ht="12" hidden="1" customHeight="1" outlineLevel="1" x14ac:dyDescent="0.3">
      <c r="A2254" s="238"/>
      <c r="B2254" s="242">
        <v>6300</v>
      </c>
      <c r="C2254" s="248" t="s">
        <v>220</v>
      </c>
      <c r="D2254" s="244"/>
    </row>
    <row r="2255" spans="1:4" ht="12" hidden="1" customHeight="1" outlineLevel="1" x14ac:dyDescent="0.3">
      <c r="A2255" s="238"/>
      <c r="B2255" s="242">
        <v>6400</v>
      </c>
      <c r="C2255" s="248" t="s">
        <v>221</v>
      </c>
      <c r="D2255" s="244"/>
    </row>
    <row r="2256" spans="1:4" ht="12" hidden="1" customHeight="1" outlineLevel="1" x14ac:dyDescent="0.3">
      <c r="A2256" s="238"/>
      <c r="B2256" s="242">
        <v>6500</v>
      </c>
      <c r="C2256" s="249" t="s">
        <v>222</v>
      </c>
      <c r="D2256" s="244"/>
    </row>
    <row r="2257" spans="1:4" ht="12" customHeight="1" collapsed="1" x14ac:dyDescent="0.3">
      <c r="A2257" s="238"/>
      <c r="B2257" s="199">
        <v>7000</v>
      </c>
      <c r="C2257" s="200" t="s">
        <v>223</v>
      </c>
      <c r="D2257" s="260">
        <f>SUM(D2258:D2260)</f>
        <v>114208</v>
      </c>
    </row>
    <row r="2258" spans="1:4" ht="12" customHeight="1" x14ac:dyDescent="0.3">
      <c r="A2258" s="238"/>
      <c r="B2258" s="250">
        <v>7200</v>
      </c>
      <c r="C2258" s="251" t="s">
        <v>224</v>
      </c>
      <c r="D2258" s="244">
        <f>22672+368</f>
        <v>23040</v>
      </c>
    </row>
    <row r="2259" spans="1:4" ht="12" customHeight="1" x14ac:dyDescent="0.3">
      <c r="A2259" s="238"/>
      <c r="B2259" s="250">
        <v>7500</v>
      </c>
      <c r="C2259" s="251" t="s">
        <v>225</v>
      </c>
      <c r="D2259" s="244"/>
    </row>
    <row r="2260" spans="1:4" ht="12" customHeight="1" x14ac:dyDescent="0.3">
      <c r="A2260" s="238"/>
      <c r="B2260" s="250">
        <v>7700</v>
      </c>
      <c r="C2260" s="251" t="s">
        <v>226</v>
      </c>
      <c r="D2260" s="244">
        <f>17360+73808</f>
        <v>91168</v>
      </c>
    </row>
    <row r="2261" spans="1:4" ht="12" customHeight="1" x14ac:dyDescent="0.3">
      <c r="A2261" s="238"/>
      <c r="B2261" s="252">
        <v>8000</v>
      </c>
      <c r="C2261" s="253" t="s">
        <v>227</v>
      </c>
      <c r="D2261" s="260">
        <f>SUM(D2262:D2264)</f>
        <v>0</v>
      </c>
    </row>
    <row r="2262" spans="1:4" ht="12" customHeight="1" x14ac:dyDescent="0.3">
      <c r="A2262" s="238"/>
      <c r="B2262" s="254">
        <v>8100</v>
      </c>
      <c r="C2262" s="255" t="s">
        <v>228</v>
      </c>
      <c r="D2262" s="260">
        <f>65-65</f>
        <v>0</v>
      </c>
    </row>
    <row r="2263" spans="1:4" ht="12" hidden="1" customHeight="1" outlineLevel="1" x14ac:dyDescent="0.3">
      <c r="A2263" s="238"/>
      <c r="B2263" s="254">
        <v>8600</v>
      </c>
      <c r="C2263" s="255" t="s">
        <v>229</v>
      </c>
      <c r="D2263" s="260"/>
    </row>
    <row r="2264" spans="1:4" ht="12" hidden="1" customHeight="1" outlineLevel="1" x14ac:dyDescent="0.3">
      <c r="A2264" s="238"/>
      <c r="B2264" s="254">
        <v>8900</v>
      </c>
      <c r="C2264" s="255" t="s">
        <v>230</v>
      </c>
      <c r="D2264" s="260"/>
    </row>
    <row r="2265" spans="1:4" ht="12" customHeight="1" collapsed="1" x14ac:dyDescent="0.3">
      <c r="A2265" s="256" t="s">
        <v>356</v>
      </c>
      <c r="B2265" s="257"/>
      <c r="C2265" s="258" t="s">
        <v>357</v>
      </c>
      <c r="D2265" s="259">
        <f t="shared" ref="D2265" si="199">D2266+D2282+D2295</f>
        <v>1928467</v>
      </c>
    </row>
    <row r="2266" spans="1:4" ht="12" customHeight="1" x14ac:dyDescent="0.3">
      <c r="A2266" s="227"/>
      <c r="B2266" s="228"/>
      <c r="C2266" s="229" t="s">
        <v>198</v>
      </c>
      <c r="D2266" s="230">
        <f t="shared" ref="D2266" si="200">D2267+D2270+D2276+D2279+D2286+D2291</f>
        <v>1891408</v>
      </c>
    </row>
    <row r="2267" spans="1:4" ht="12" customHeight="1" x14ac:dyDescent="0.3">
      <c r="A2267" s="227"/>
      <c r="B2267" s="231">
        <v>1000</v>
      </c>
      <c r="C2267" s="232" t="s">
        <v>199</v>
      </c>
      <c r="D2267" s="233">
        <f t="shared" ref="D2267:D2269" si="201">D2301+D2335</f>
        <v>412066</v>
      </c>
    </row>
    <row r="2268" spans="1:4" ht="12" customHeight="1" x14ac:dyDescent="0.3">
      <c r="A2268" s="227"/>
      <c r="B2268" s="234">
        <v>1100</v>
      </c>
      <c r="C2268" s="235" t="s">
        <v>200</v>
      </c>
      <c r="D2268" s="236">
        <f t="shared" si="201"/>
        <v>324678</v>
      </c>
    </row>
    <row r="2269" spans="1:4" ht="12" customHeight="1" x14ac:dyDescent="0.3">
      <c r="A2269" s="227"/>
      <c r="B2269" s="234">
        <v>1200</v>
      </c>
      <c r="C2269" s="237" t="s">
        <v>201</v>
      </c>
      <c r="D2269" s="236">
        <f t="shared" si="201"/>
        <v>87388</v>
      </c>
    </row>
    <row r="2270" spans="1:4" ht="12" customHeight="1" x14ac:dyDescent="0.3">
      <c r="A2270" s="238"/>
      <c r="B2270" s="239">
        <v>2000</v>
      </c>
      <c r="C2270" s="240" t="s">
        <v>202</v>
      </c>
      <c r="D2270" s="241">
        <f>D2304+D2338</f>
        <v>412577</v>
      </c>
    </row>
    <row r="2271" spans="1:4" ht="12" customHeight="1" x14ac:dyDescent="0.3">
      <c r="A2271" s="238"/>
      <c r="B2271" s="242">
        <v>2100</v>
      </c>
      <c r="C2271" s="243" t="s">
        <v>203</v>
      </c>
      <c r="D2271" s="244">
        <f t="shared" ref="D2271:D2275" si="202">D2305+D2339</f>
        <v>1869</v>
      </c>
    </row>
    <row r="2272" spans="1:4" ht="12" customHeight="1" x14ac:dyDescent="0.3">
      <c r="A2272" s="238"/>
      <c r="B2272" s="242">
        <v>2200</v>
      </c>
      <c r="C2272" s="243" t="s">
        <v>204</v>
      </c>
      <c r="D2272" s="244">
        <f t="shared" si="202"/>
        <v>389835</v>
      </c>
    </row>
    <row r="2273" spans="1:4" ht="12" customHeight="1" x14ac:dyDescent="0.3">
      <c r="A2273" s="238"/>
      <c r="B2273" s="242">
        <v>2300</v>
      </c>
      <c r="C2273" s="243" t="s">
        <v>205</v>
      </c>
      <c r="D2273" s="244">
        <f t="shared" si="202"/>
        <v>20748</v>
      </c>
    </row>
    <row r="2274" spans="1:4" ht="12" customHeight="1" x14ac:dyDescent="0.3">
      <c r="A2274" s="238"/>
      <c r="B2274" s="242">
        <v>2400</v>
      </c>
      <c r="C2274" s="243" t="s">
        <v>206</v>
      </c>
      <c r="D2274" s="244">
        <f t="shared" si="202"/>
        <v>0</v>
      </c>
    </row>
    <row r="2275" spans="1:4" ht="12" customHeight="1" x14ac:dyDescent="0.3">
      <c r="A2275" s="238"/>
      <c r="B2275" s="242">
        <v>2500</v>
      </c>
      <c r="C2275" s="243" t="s">
        <v>207</v>
      </c>
      <c r="D2275" s="244">
        <f t="shared" si="202"/>
        <v>125</v>
      </c>
    </row>
    <row r="2276" spans="1:4" ht="12.75" customHeight="1" x14ac:dyDescent="0.3">
      <c r="A2276" s="238"/>
      <c r="B2276" s="199">
        <v>3000</v>
      </c>
      <c r="C2276" s="245" t="s">
        <v>208</v>
      </c>
      <c r="D2276" s="241">
        <f>D2310+D2344</f>
        <v>629741</v>
      </c>
    </row>
    <row r="2277" spans="1:4" ht="12.75" customHeight="1" x14ac:dyDescent="0.3">
      <c r="A2277" s="238"/>
      <c r="B2277" s="242">
        <v>3200</v>
      </c>
      <c r="C2277" s="243" t="s">
        <v>209</v>
      </c>
      <c r="D2277" s="244">
        <f t="shared" ref="D2277:D2278" si="203">D2311+D2345</f>
        <v>629741</v>
      </c>
    </row>
    <row r="2278" spans="1:4" ht="12.75" hidden="1" customHeight="1" outlineLevel="1" x14ac:dyDescent="0.3">
      <c r="A2278" s="238"/>
      <c r="B2278" s="242">
        <v>3300</v>
      </c>
      <c r="C2278" s="243" t="s">
        <v>210</v>
      </c>
      <c r="D2278" s="244">
        <f t="shared" si="203"/>
        <v>0</v>
      </c>
    </row>
    <row r="2279" spans="1:4" ht="12" hidden="1" customHeight="1" outlineLevel="1" x14ac:dyDescent="0.3">
      <c r="A2279" s="238"/>
      <c r="B2279" s="199">
        <v>4000</v>
      </c>
      <c r="C2279" s="246" t="s">
        <v>211</v>
      </c>
      <c r="D2279" s="241">
        <f>D2313+D2347</f>
        <v>0</v>
      </c>
    </row>
    <row r="2280" spans="1:4" ht="12" hidden="1" customHeight="1" outlineLevel="1" x14ac:dyDescent="0.3">
      <c r="A2280" s="238"/>
      <c r="B2280" s="242">
        <v>4200</v>
      </c>
      <c r="C2280" s="247" t="s">
        <v>212</v>
      </c>
      <c r="D2280" s="244">
        <f t="shared" ref="D2280:D2281" si="204">D2314+D2348</f>
        <v>0</v>
      </c>
    </row>
    <row r="2281" spans="1:4" ht="12" hidden="1" customHeight="1" outlineLevel="1" x14ac:dyDescent="0.3">
      <c r="A2281" s="238"/>
      <c r="B2281" s="242">
        <v>4300</v>
      </c>
      <c r="C2281" s="247" t="s">
        <v>213</v>
      </c>
      <c r="D2281" s="244">
        <f t="shared" si="204"/>
        <v>0</v>
      </c>
    </row>
    <row r="2282" spans="1:4" ht="12" customHeight="1" collapsed="1" x14ac:dyDescent="0.3">
      <c r="A2282" s="238"/>
      <c r="B2282" s="199">
        <v>5000</v>
      </c>
      <c r="C2282" s="200" t="s">
        <v>214</v>
      </c>
      <c r="D2282" s="241">
        <f>D2316+D2350</f>
        <v>37059</v>
      </c>
    </row>
    <row r="2283" spans="1:4" ht="12" hidden="1" customHeight="1" outlineLevel="1" x14ac:dyDescent="0.3">
      <c r="A2283" s="238"/>
      <c r="B2283" s="242">
        <v>5100</v>
      </c>
      <c r="C2283" s="248" t="s">
        <v>215</v>
      </c>
      <c r="D2283" s="244">
        <f t="shared" ref="D2283:D2285" si="205">D2317+D2351</f>
        <v>31702</v>
      </c>
    </row>
    <row r="2284" spans="1:4" ht="12" customHeight="1" collapsed="1" x14ac:dyDescent="0.3">
      <c r="A2284" s="238"/>
      <c r="B2284" s="242">
        <v>5200</v>
      </c>
      <c r="C2284" s="248" t="s">
        <v>216</v>
      </c>
      <c r="D2284" s="244">
        <f t="shared" si="205"/>
        <v>5357</v>
      </c>
    </row>
    <row r="2285" spans="1:4" ht="12" hidden="1" customHeight="1" outlineLevel="1" x14ac:dyDescent="0.3">
      <c r="A2285" s="238"/>
      <c r="B2285" s="242">
        <v>5300</v>
      </c>
      <c r="C2285" s="249" t="s">
        <v>217</v>
      </c>
      <c r="D2285" s="244">
        <f t="shared" si="205"/>
        <v>0</v>
      </c>
    </row>
    <row r="2286" spans="1:4" ht="12" customHeight="1" collapsed="1" x14ac:dyDescent="0.3">
      <c r="A2286" s="238"/>
      <c r="B2286" s="199">
        <v>6000</v>
      </c>
      <c r="C2286" s="200" t="s">
        <v>218</v>
      </c>
      <c r="D2286" s="241">
        <f>D2320+D2354</f>
        <v>88190</v>
      </c>
    </row>
    <row r="2287" spans="1:4" ht="12" hidden="1" customHeight="1" outlineLevel="1" x14ac:dyDescent="0.3">
      <c r="A2287" s="238"/>
      <c r="B2287" s="242">
        <v>6200</v>
      </c>
      <c r="C2287" s="248" t="s">
        <v>219</v>
      </c>
      <c r="D2287" s="244">
        <f t="shared" ref="D2287:D2290" si="206">D2321+D2355</f>
        <v>0</v>
      </c>
    </row>
    <row r="2288" spans="1:4" ht="12" hidden="1" customHeight="1" outlineLevel="1" x14ac:dyDescent="0.3">
      <c r="A2288" s="238"/>
      <c r="B2288" s="242">
        <v>6300</v>
      </c>
      <c r="C2288" s="248" t="s">
        <v>220</v>
      </c>
      <c r="D2288" s="244">
        <f t="shared" si="206"/>
        <v>0</v>
      </c>
    </row>
    <row r="2289" spans="1:4" ht="12" customHeight="1" collapsed="1" x14ac:dyDescent="0.3">
      <c r="A2289" s="238"/>
      <c r="B2289" s="242">
        <v>6400</v>
      </c>
      <c r="C2289" s="248" t="s">
        <v>221</v>
      </c>
      <c r="D2289" s="244">
        <f t="shared" si="206"/>
        <v>88190</v>
      </c>
    </row>
    <row r="2290" spans="1:4" ht="12" customHeight="1" x14ac:dyDescent="0.3">
      <c r="A2290" s="238"/>
      <c r="B2290" s="242">
        <v>6500</v>
      </c>
      <c r="C2290" s="249" t="s">
        <v>222</v>
      </c>
      <c r="D2290" s="244">
        <f t="shared" si="206"/>
        <v>0</v>
      </c>
    </row>
    <row r="2291" spans="1:4" ht="12" customHeight="1" x14ac:dyDescent="0.3">
      <c r="A2291" s="238"/>
      <c r="B2291" s="199">
        <v>7000</v>
      </c>
      <c r="C2291" s="200" t="s">
        <v>223</v>
      </c>
      <c r="D2291" s="241">
        <f>D2325+D2359</f>
        <v>348834</v>
      </c>
    </row>
    <row r="2292" spans="1:4" ht="12" customHeight="1" x14ac:dyDescent="0.3">
      <c r="A2292" s="238"/>
      <c r="B2292" s="250">
        <v>7200</v>
      </c>
      <c r="C2292" s="251" t="s">
        <v>224</v>
      </c>
      <c r="D2292" s="244">
        <f t="shared" ref="D2292:D2294" si="207">D2326+D2360</f>
        <v>348834</v>
      </c>
    </row>
    <row r="2293" spans="1:4" ht="12" hidden="1" customHeight="1" outlineLevel="1" x14ac:dyDescent="0.3">
      <c r="A2293" s="238"/>
      <c r="B2293" s="250">
        <v>7500</v>
      </c>
      <c r="C2293" s="251" t="s">
        <v>225</v>
      </c>
      <c r="D2293" s="244">
        <f t="shared" si="207"/>
        <v>0</v>
      </c>
    </row>
    <row r="2294" spans="1:4" ht="12" hidden="1" customHeight="1" outlineLevel="1" x14ac:dyDescent="0.3">
      <c r="A2294" s="238"/>
      <c r="B2294" s="250">
        <v>7700</v>
      </c>
      <c r="C2294" s="251" t="s">
        <v>226</v>
      </c>
      <c r="D2294" s="244">
        <f t="shared" si="207"/>
        <v>0</v>
      </c>
    </row>
    <row r="2295" spans="1:4" ht="12" hidden="1" customHeight="1" outlineLevel="1" x14ac:dyDescent="0.3">
      <c r="A2295" s="238"/>
      <c r="B2295" s="252">
        <v>8000</v>
      </c>
      <c r="C2295" s="253" t="s">
        <v>227</v>
      </c>
      <c r="D2295" s="241">
        <f>D2329+D2363</f>
        <v>0</v>
      </c>
    </row>
    <row r="2296" spans="1:4" ht="12" hidden="1" customHeight="1" outlineLevel="1" x14ac:dyDescent="0.3">
      <c r="A2296" s="238"/>
      <c r="B2296" s="254">
        <v>8100</v>
      </c>
      <c r="C2296" s="255" t="s">
        <v>228</v>
      </c>
      <c r="D2296" s="244">
        <f t="shared" ref="D2296:D2298" si="208">D2330+D2364</f>
        <v>0</v>
      </c>
    </row>
    <row r="2297" spans="1:4" ht="12" hidden="1" customHeight="1" outlineLevel="1" x14ac:dyDescent="0.3">
      <c r="A2297" s="238"/>
      <c r="B2297" s="254">
        <v>8600</v>
      </c>
      <c r="C2297" s="255" t="s">
        <v>229</v>
      </c>
      <c r="D2297" s="244">
        <f t="shared" si="208"/>
        <v>0</v>
      </c>
    </row>
    <row r="2298" spans="1:4" ht="12" hidden="1" customHeight="1" outlineLevel="1" x14ac:dyDescent="0.3">
      <c r="A2298" s="238"/>
      <c r="B2298" s="254">
        <v>8900</v>
      </c>
      <c r="C2298" s="255" t="s">
        <v>230</v>
      </c>
      <c r="D2298" s="244">
        <f t="shared" si="208"/>
        <v>0</v>
      </c>
    </row>
    <row r="2299" spans="1:4" ht="12" customHeight="1" collapsed="1" x14ac:dyDescent="0.3">
      <c r="A2299" s="272" t="s">
        <v>358</v>
      </c>
      <c r="B2299" s="273"/>
      <c r="C2299" s="274" t="s">
        <v>359</v>
      </c>
      <c r="D2299" s="275">
        <f t="shared" ref="D2299" si="209">D2300+D2316+D2329</f>
        <v>361472</v>
      </c>
    </row>
    <row r="2300" spans="1:4" ht="12" customHeight="1" x14ac:dyDescent="0.3">
      <c r="A2300" s="227"/>
      <c r="B2300" s="228"/>
      <c r="C2300" s="229" t="s">
        <v>198</v>
      </c>
      <c r="D2300" s="230">
        <f t="shared" ref="D2300" si="210">D2301+D2304+D2310+D2313+D2320+D2325</f>
        <v>356937</v>
      </c>
    </row>
    <row r="2301" spans="1:4" ht="12" customHeight="1" x14ac:dyDescent="0.3">
      <c r="A2301" s="227"/>
      <c r="B2301" s="231">
        <v>1000</v>
      </c>
      <c r="C2301" s="232" t="s">
        <v>199</v>
      </c>
      <c r="D2301" s="230">
        <f>SUM(D2302:D2303)</f>
        <v>336963</v>
      </c>
    </row>
    <row r="2302" spans="1:4" ht="12" customHeight="1" x14ac:dyDescent="0.3">
      <c r="A2302" s="227"/>
      <c r="B2302" s="234">
        <v>1100</v>
      </c>
      <c r="C2302" s="235" t="s">
        <v>200</v>
      </c>
      <c r="D2302" s="236">
        <f>273748-891-12137</f>
        <v>260720</v>
      </c>
    </row>
    <row r="2303" spans="1:4" ht="12" customHeight="1" x14ac:dyDescent="0.3">
      <c r="A2303" s="227"/>
      <c r="B2303" s="234">
        <v>1200</v>
      </c>
      <c r="C2303" s="237" t="s">
        <v>201</v>
      </c>
      <c r="D2303" s="236">
        <f>79315-209-2863</f>
        <v>76243</v>
      </c>
    </row>
    <row r="2304" spans="1:4" ht="12" customHeight="1" x14ac:dyDescent="0.3">
      <c r="A2304" s="238"/>
      <c r="B2304" s="239">
        <v>2000</v>
      </c>
      <c r="C2304" s="240" t="s">
        <v>202</v>
      </c>
      <c r="D2304" s="260">
        <f>SUM(D2305:D2309)</f>
        <v>19974</v>
      </c>
    </row>
    <row r="2305" spans="1:4" ht="12" customHeight="1" x14ac:dyDescent="0.3">
      <c r="A2305" s="238"/>
      <c r="B2305" s="242">
        <v>2100</v>
      </c>
      <c r="C2305" s="243" t="s">
        <v>203</v>
      </c>
      <c r="D2305" s="244">
        <f>2145-276</f>
        <v>1869</v>
      </c>
    </row>
    <row r="2306" spans="1:4" ht="12" customHeight="1" x14ac:dyDescent="0.3">
      <c r="A2306" s="238"/>
      <c r="B2306" s="242">
        <v>2200</v>
      </c>
      <c r="C2306" s="243" t="s">
        <v>204</v>
      </c>
      <c r="D2306" s="244">
        <f>16095-473</f>
        <v>15622</v>
      </c>
    </row>
    <row r="2307" spans="1:4" ht="12" customHeight="1" x14ac:dyDescent="0.3">
      <c r="A2307" s="238"/>
      <c r="B2307" s="242">
        <v>2300</v>
      </c>
      <c r="C2307" s="243" t="s">
        <v>205</v>
      </c>
      <c r="D2307" s="244">
        <f>2074+284</f>
        <v>2358</v>
      </c>
    </row>
    <row r="2308" spans="1:4" ht="12" customHeight="1" x14ac:dyDescent="0.3">
      <c r="A2308" s="238"/>
      <c r="B2308" s="242">
        <v>2400</v>
      </c>
      <c r="C2308" s="243" t="s">
        <v>206</v>
      </c>
      <c r="D2308" s="244">
        <v>0</v>
      </c>
    </row>
    <row r="2309" spans="1:4" ht="12" customHeight="1" x14ac:dyDescent="0.3">
      <c r="A2309" s="238"/>
      <c r="B2309" s="242">
        <v>2500</v>
      </c>
      <c r="C2309" s="243" t="s">
        <v>207</v>
      </c>
      <c r="D2309" s="244">
        <f>115+10</f>
        <v>125</v>
      </c>
    </row>
    <row r="2310" spans="1:4" ht="12" hidden="1" customHeight="1" outlineLevel="1" x14ac:dyDescent="0.3">
      <c r="A2310" s="238"/>
      <c r="B2310" s="199">
        <v>3000</v>
      </c>
      <c r="C2310" s="245" t="s">
        <v>208</v>
      </c>
      <c r="D2310" s="260">
        <f>SUM(D2311:D2312)</f>
        <v>0</v>
      </c>
    </row>
    <row r="2311" spans="1:4" ht="12" hidden="1" customHeight="1" outlineLevel="1" x14ac:dyDescent="0.3">
      <c r="A2311" s="238"/>
      <c r="B2311" s="242">
        <v>3200</v>
      </c>
      <c r="C2311" s="243" t="s">
        <v>209</v>
      </c>
      <c r="D2311" s="244"/>
    </row>
    <row r="2312" spans="1:4" ht="12" hidden="1" customHeight="1" outlineLevel="1" x14ac:dyDescent="0.3">
      <c r="A2312" s="238"/>
      <c r="B2312" s="242">
        <v>3300</v>
      </c>
      <c r="C2312" s="243" t="s">
        <v>210</v>
      </c>
      <c r="D2312" s="244"/>
    </row>
    <row r="2313" spans="1:4" ht="12" hidden="1" customHeight="1" outlineLevel="1" x14ac:dyDescent="0.3">
      <c r="A2313" s="238"/>
      <c r="B2313" s="199">
        <v>4000</v>
      </c>
      <c r="C2313" s="246" t="s">
        <v>211</v>
      </c>
      <c r="D2313" s="260">
        <f>SUM(D2314:D2315)</f>
        <v>0</v>
      </c>
    </row>
    <row r="2314" spans="1:4" ht="12" hidden="1" customHeight="1" outlineLevel="1" x14ac:dyDescent="0.3">
      <c r="A2314" s="238"/>
      <c r="B2314" s="242">
        <v>4200</v>
      </c>
      <c r="C2314" s="247" t="s">
        <v>212</v>
      </c>
      <c r="D2314" s="244"/>
    </row>
    <row r="2315" spans="1:4" ht="12" hidden="1" customHeight="1" outlineLevel="1" x14ac:dyDescent="0.3">
      <c r="A2315" s="238"/>
      <c r="B2315" s="242">
        <v>4300</v>
      </c>
      <c r="C2315" s="247" t="s">
        <v>213</v>
      </c>
      <c r="D2315" s="244"/>
    </row>
    <row r="2316" spans="1:4" ht="12" customHeight="1" collapsed="1" x14ac:dyDescent="0.3">
      <c r="A2316" s="238"/>
      <c r="B2316" s="199">
        <v>5000</v>
      </c>
      <c r="C2316" s="200" t="s">
        <v>214</v>
      </c>
      <c r="D2316" s="260">
        <f>SUM(D2317:D2319)</f>
        <v>4535</v>
      </c>
    </row>
    <row r="2317" spans="1:4" ht="12" customHeight="1" x14ac:dyDescent="0.3">
      <c r="A2317" s="238"/>
      <c r="B2317" s="242">
        <v>5100</v>
      </c>
      <c r="C2317" s="248" t="s">
        <v>215</v>
      </c>
      <c r="D2317" s="260">
        <v>0</v>
      </c>
    </row>
    <row r="2318" spans="1:4" ht="12" customHeight="1" x14ac:dyDescent="0.3">
      <c r="A2318" s="238"/>
      <c r="B2318" s="242">
        <v>5200</v>
      </c>
      <c r="C2318" s="248" t="s">
        <v>216</v>
      </c>
      <c r="D2318" s="260">
        <f>4080+455</f>
        <v>4535</v>
      </c>
    </row>
    <row r="2319" spans="1:4" ht="12" hidden="1" customHeight="1" outlineLevel="1" x14ac:dyDescent="0.3">
      <c r="A2319" s="238"/>
      <c r="B2319" s="242">
        <v>5300</v>
      </c>
      <c r="C2319" s="249" t="s">
        <v>217</v>
      </c>
      <c r="D2319" s="260"/>
    </row>
    <row r="2320" spans="1:4" ht="12" hidden="1" customHeight="1" outlineLevel="1" x14ac:dyDescent="0.3">
      <c r="A2320" s="238"/>
      <c r="B2320" s="199">
        <v>6000</v>
      </c>
      <c r="C2320" s="200" t="s">
        <v>218</v>
      </c>
      <c r="D2320" s="260">
        <f>SUM(D2321:D2324)</f>
        <v>0</v>
      </c>
    </row>
    <row r="2321" spans="1:4" ht="12" hidden="1" customHeight="1" outlineLevel="1" x14ac:dyDescent="0.3">
      <c r="A2321" s="238"/>
      <c r="B2321" s="242">
        <v>6200</v>
      </c>
      <c r="C2321" s="248" t="s">
        <v>219</v>
      </c>
      <c r="D2321" s="244"/>
    </row>
    <row r="2322" spans="1:4" ht="12" hidden="1" customHeight="1" outlineLevel="1" x14ac:dyDescent="0.3">
      <c r="A2322" s="238"/>
      <c r="B2322" s="242">
        <v>6300</v>
      </c>
      <c r="C2322" s="248" t="s">
        <v>220</v>
      </c>
      <c r="D2322" s="244"/>
    </row>
    <row r="2323" spans="1:4" ht="12" hidden="1" customHeight="1" outlineLevel="1" x14ac:dyDescent="0.3">
      <c r="A2323" s="238"/>
      <c r="B2323" s="242">
        <v>6400</v>
      </c>
      <c r="C2323" s="248" t="s">
        <v>221</v>
      </c>
      <c r="D2323" s="244"/>
    </row>
    <row r="2324" spans="1:4" ht="12" hidden="1" customHeight="1" outlineLevel="1" x14ac:dyDescent="0.3">
      <c r="A2324" s="238"/>
      <c r="B2324" s="242">
        <v>6500</v>
      </c>
      <c r="C2324" s="249" t="s">
        <v>222</v>
      </c>
      <c r="D2324" s="244"/>
    </row>
    <row r="2325" spans="1:4" ht="12" hidden="1" customHeight="1" outlineLevel="1" x14ac:dyDescent="0.3">
      <c r="A2325" s="238"/>
      <c r="B2325" s="199">
        <v>7000</v>
      </c>
      <c r="C2325" s="200" t="s">
        <v>223</v>
      </c>
      <c r="D2325" s="260">
        <f>SUM(D2326:D2328)</f>
        <v>0</v>
      </c>
    </row>
    <row r="2326" spans="1:4" ht="12" hidden="1" customHeight="1" outlineLevel="1" x14ac:dyDescent="0.3">
      <c r="A2326" s="238"/>
      <c r="B2326" s="250">
        <v>7200</v>
      </c>
      <c r="C2326" s="251" t="s">
        <v>224</v>
      </c>
      <c r="D2326" s="244"/>
    </row>
    <row r="2327" spans="1:4" ht="12" hidden="1" customHeight="1" outlineLevel="1" x14ac:dyDescent="0.3">
      <c r="A2327" s="238"/>
      <c r="B2327" s="250">
        <v>7500</v>
      </c>
      <c r="C2327" s="251" t="s">
        <v>225</v>
      </c>
      <c r="D2327" s="244"/>
    </row>
    <row r="2328" spans="1:4" ht="12" hidden="1" customHeight="1" outlineLevel="1" x14ac:dyDescent="0.3">
      <c r="A2328" s="238"/>
      <c r="B2328" s="250">
        <v>7700</v>
      </c>
      <c r="C2328" s="251" t="s">
        <v>226</v>
      </c>
      <c r="D2328" s="244"/>
    </row>
    <row r="2329" spans="1:4" ht="12" hidden="1" customHeight="1" outlineLevel="1" x14ac:dyDescent="0.3">
      <c r="A2329" s="238"/>
      <c r="B2329" s="252">
        <v>8000</v>
      </c>
      <c r="C2329" s="253" t="s">
        <v>227</v>
      </c>
      <c r="D2329" s="260">
        <f>SUM(D2330:D2332)</f>
        <v>0</v>
      </c>
    </row>
    <row r="2330" spans="1:4" ht="12" hidden="1" customHeight="1" outlineLevel="1" x14ac:dyDescent="0.3">
      <c r="A2330" s="238"/>
      <c r="B2330" s="254">
        <v>8100</v>
      </c>
      <c r="C2330" s="255" t="s">
        <v>228</v>
      </c>
      <c r="D2330" s="260"/>
    </row>
    <row r="2331" spans="1:4" ht="12" hidden="1" customHeight="1" outlineLevel="1" x14ac:dyDescent="0.3">
      <c r="A2331" s="238"/>
      <c r="B2331" s="254">
        <v>8600</v>
      </c>
      <c r="C2331" s="255" t="s">
        <v>229</v>
      </c>
      <c r="D2331" s="260"/>
    </row>
    <row r="2332" spans="1:4" ht="12" hidden="1" customHeight="1" outlineLevel="1" x14ac:dyDescent="0.3">
      <c r="A2332" s="238"/>
      <c r="B2332" s="254">
        <v>8900</v>
      </c>
      <c r="C2332" s="255" t="s">
        <v>230</v>
      </c>
      <c r="D2332" s="260"/>
    </row>
    <row r="2333" spans="1:4" ht="12" customHeight="1" collapsed="1" x14ac:dyDescent="0.3">
      <c r="A2333" s="272" t="s">
        <v>360</v>
      </c>
      <c r="B2333" s="273"/>
      <c r="C2333" s="274" t="s">
        <v>361</v>
      </c>
      <c r="D2333" s="275">
        <f t="shared" ref="D2333" si="211">D2334+D2350+D2363</f>
        <v>1566995</v>
      </c>
    </row>
    <row r="2334" spans="1:4" ht="12" customHeight="1" x14ac:dyDescent="0.3">
      <c r="A2334" s="227"/>
      <c r="B2334" s="228"/>
      <c r="C2334" s="229" t="s">
        <v>198</v>
      </c>
      <c r="D2334" s="230">
        <f t="shared" ref="D2334" si="212">D2335+D2338+D2344+D2347+D2354+D2359</f>
        <v>1534471</v>
      </c>
    </row>
    <row r="2335" spans="1:4" ht="12" customHeight="1" x14ac:dyDescent="0.3">
      <c r="A2335" s="227"/>
      <c r="B2335" s="231">
        <v>1000</v>
      </c>
      <c r="C2335" s="232" t="s">
        <v>199</v>
      </c>
      <c r="D2335" s="230">
        <f>SUM(D2336:D2337)</f>
        <v>75103</v>
      </c>
    </row>
    <row r="2336" spans="1:4" ht="12" customHeight="1" x14ac:dyDescent="0.3">
      <c r="A2336" s="227"/>
      <c r="B2336" s="234">
        <v>1100</v>
      </c>
      <c r="C2336" s="235" t="s">
        <v>200</v>
      </c>
      <c r="D2336" s="236">
        <f>5964755+17680+267-5918744</f>
        <v>63958</v>
      </c>
    </row>
    <row r="2337" spans="1:4" ht="12" customHeight="1" x14ac:dyDescent="0.3">
      <c r="A2337" s="227"/>
      <c r="B2337" s="234">
        <v>1200</v>
      </c>
      <c r="C2337" s="237" t="s">
        <v>201</v>
      </c>
      <c r="D2337" s="236">
        <f>1402915+3817-1395587</f>
        <v>11145</v>
      </c>
    </row>
    <row r="2338" spans="1:4" ht="12" customHeight="1" x14ac:dyDescent="0.3">
      <c r="A2338" s="238"/>
      <c r="B2338" s="239">
        <v>2000</v>
      </c>
      <c r="C2338" s="240" t="s">
        <v>202</v>
      </c>
      <c r="D2338" s="260">
        <f>SUM(D2339:D2343)</f>
        <v>392603</v>
      </c>
    </row>
    <row r="2339" spans="1:4" ht="12" customHeight="1" x14ac:dyDescent="0.3">
      <c r="A2339" s="238"/>
      <c r="B2339" s="242">
        <v>2100</v>
      </c>
      <c r="C2339" s="243" t="s">
        <v>203</v>
      </c>
      <c r="D2339" s="244">
        <f>250-250</f>
        <v>0</v>
      </c>
    </row>
    <row r="2340" spans="1:4" ht="12" customHeight="1" x14ac:dyDescent="0.3">
      <c r="A2340" s="238"/>
      <c r="B2340" s="242">
        <v>2200</v>
      </c>
      <c r="C2340" s="243" t="s">
        <v>204</v>
      </c>
      <c r="D2340" s="244">
        <f>424874+20196-3183-67674</f>
        <v>374213</v>
      </c>
    </row>
    <row r="2341" spans="1:4" ht="12" customHeight="1" x14ac:dyDescent="0.3">
      <c r="A2341" s="238"/>
      <c r="B2341" s="242">
        <v>2300</v>
      </c>
      <c r="C2341" s="243" t="s">
        <v>205</v>
      </c>
      <c r="D2341" s="244">
        <f>19245+259753-2487-258121</f>
        <v>18390</v>
      </c>
    </row>
    <row r="2342" spans="1:4" ht="12" hidden="1" customHeight="1" outlineLevel="1" x14ac:dyDescent="0.3">
      <c r="A2342" s="238"/>
      <c r="B2342" s="242">
        <v>2400</v>
      </c>
      <c r="C2342" s="243" t="s">
        <v>206</v>
      </c>
      <c r="D2342" s="244"/>
    </row>
    <row r="2343" spans="1:4" ht="12" hidden="1" customHeight="1" outlineLevel="1" x14ac:dyDescent="0.3">
      <c r="A2343" s="238"/>
      <c r="B2343" s="242">
        <v>2500</v>
      </c>
      <c r="C2343" s="243" t="s">
        <v>207</v>
      </c>
      <c r="D2343" s="244"/>
    </row>
    <row r="2344" spans="1:4" ht="12" customHeight="1" collapsed="1" x14ac:dyDescent="0.3">
      <c r="A2344" s="238"/>
      <c r="B2344" s="199">
        <v>3000</v>
      </c>
      <c r="C2344" s="245" t="s">
        <v>208</v>
      </c>
      <c r="D2344" s="260">
        <f>SUM(D2345:D2346)</f>
        <v>629741</v>
      </c>
    </row>
    <row r="2345" spans="1:4" ht="12" customHeight="1" x14ac:dyDescent="0.3">
      <c r="A2345" s="238"/>
      <c r="B2345" s="242">
        <v>3200</v>
      </c>
      <c r="C2345" s="243" t="s">
        <v>209</v>
      </c>
      <c r="D2345" s="244">
        <f>482012+147729</f>
        <v>629741</v>
      </c>
    </row>
    <row r="2346" spans="1:4" ht="12" hidden="1" customHeight="1" outlineLevel="1" x14ac:dyDescent="0.3">
      <c r="A2346" s="238"/>
      <c r="B2346" s="242">
        <v>3300</v>
      </c>
      <c r="C2346" s="243" t="s">
        <v>210</v>
      </c>
      <c r="D2346" s="244"/>
    </row>
    <row r="2347" spans="1:4" ht="12" hidden="1" customHeight="1" outlineLevel="1" x14ac:dyDescent="0.3">
      <c r="A2347" s="238"/>
      <c r="B2347" s="199">
        <v>4000</v>
      </c>
      <c r="C2347" s="246" t="s">
        <v>211</v>
      </c>
      <c r="D2347" s="260">
        <f>SUM(D2348:D2349)</f>
        <v>0</v>
      </c>
    </row>
    <row r="2348" spans="1:4" ht="12" hidden="1" customHeight="1" outlineLevel="1" x14ac:dyDescent="0.3">
      <c r="A2348" s="238"/>
      <c r="B2348" s="242">
        <v>4200</v>
      </c>
      <c r="C2348" s="247" t="s">
        <v>212</v>
      </c>
      <c r="D2348" s="244"/>
    </row>
    <row r="2349" spans="1:4" ht="12" hidden="1" customHeight="1" outlineLevel="1" x14ac:dyDescent="0.3">
      <c r="A2349" s="238"/>
      <c r="B2349" s="242">
        <v>4300</v>
      </c>
      <c r="C2349" s="247" t="s">
        <v>213</v>
      </c>
      <c r="D2349" s="244"/>
    </row>
    <row r="2350" spans="1:4" ht="12" customHeight="1" collapsed="1" x14ac:dyDescent="0.3">
      <c r="A2350" s="238"/>
      <c r="B2350" s="199">
        <v>5000</v>
      </c>
      <c r="C2350" s="200" t="s">
        <v>214</v>
      </c>
      <c r="D2350" s="260">
        <f>SUM(D2351:D2353)</f>
        <v>32524</v>
      </c>
    </row>
    <row r="2351" spans="1:4" ht="12" customHeight="1" outlineLevel="1" x14ac:dyDescent="0.3">
      <c r="A2351" s="238"/>
      <c r="B2351" s="242">
        <v>5100</v>
      </c>
      <c r="C2351" s="248" t="s">
        <v>215</v>
      </c>
      <c r="D2351" s="260">
        <v>31702</v>
      </c>
    </row>
    <row r="2352" spans="1:4" ht="12" customHeight="1" x14ac:dyDescent="0.3">
      <c r="A2352" s="238"/>
      <c r="B2352" s="242">
        <v>5200</v>
      </c>
      <c r="C2352" s="248" t="s">
        <v>216</v>
      </c>
      <c r="D2352" s="260">
        <f>1900-1078</f>
        <v>822</v>
      </c>
    </row>
    <row r="2353" spans="1:4" ht="12" hidden="1" customHeight="1" outlineLevel="1" x14ac:dyDescent="0.3">
      <c r="A2353" s="238"/>
      <c r="B2353" s="242">
        <v>5300</v>
      </c>
      <c r="C2353" s="249" t="s">
        <v>217</v>
      </c>
      <c r="D2353" s="260"/>
    </row>
    <row r="2354" spans="1:4" ht="12" customHeight="1" collapsed="1" x14ac:dyDescent="0.3">
      <c r="A2354" s="238"/>
      <c r="B2354" s="199">
        <v>6000</v>
      </c>
      <c r="C2354" s="200" t="s">
        <v>218</v>
      </c>
      <c r="D2354" s="260">
        <f>SUM(D2355:D2358)</f>
        <v>88190</v>
      </c>
    </row>
    <row r="2355" spans="1:4" ht="12" hidden="1" customHeight="1" outlineLevel="1" x14ac:dyDescent="0.3">
      <c r="A2355" s="238"/>
      <c r="B2355" s="242">
        <v>6200</v>
      </c>
      <c r="C2355" s="248" t="s">
        <v>219</v>
      </c>
      <c r="D2355" s="244"/>
    </row>
    <row r="2356" spans="1:4" ht="12" hidden="1" customHeight="1" outlineLevel="1" x14ac:dyDescent="0.3">
      <c r="A2356" s="238"/>
      <c r="B2356" s="242">
        <v>6300</v>
      </c>
      <c r="C2356" s="248" t="s">
        <v>220</v>
      </c>
      <c r="D2356" s="244"/>
    </row>
    <row r="2357" spans="1:4" ht="12" customHeight="1" collapsed="1" x14ac:dyDescent="0.3">
      <c r="A2357" s="238"/>
      <c r="B2357" s="242">
        <v>6400</v>
      </c>
      <c r="C2357" s="248" t="s">
        <v>221</v>
      </c>
      <c r="D2357" s="244">
        <f>93900-4440-1270</f>
        <v>88190</v>
      </c>
    </row>
    <row r="2358" spans="1:4" ht="12" hidden="1" customHeight="1" outlineLevel="1" x14ac:dyDescent="0.3">
      <c r="A2358" s="238"/>
      <c r="B2358" s="242">
        <v>6500</v>
      </c>
      <c r="C2358" s="249" t="s">
        <v>222</v>
      </c>
      <c r="D2358" s="244"/>
    </row>
    <row r="2359" spans="1:4" ht="12" customHeight="1" collapsed="1" x14ac:dyDescent="0.3">
      <c r="A2359" s="238"/>
      <c r="B2359" s="199">
        <v>7000</v>
      </c>
      <c r="C2359" s="200" t="s">
        <v>223</v>
      </c>
      <c r="D2359" s="260">
        <f>SUM(D2360:D2362)</f>
        <v>348834</v>
      </c>
    </row>
    <row r="2360" spans="1:4" ht="12" customHeight="1" x14ac:dyDescent="0.3">
      <c r="A2360" s="238"/>
      <c r="B2360" s="250">
        <v>7200</v>
      </c>
      <c r="C2360" s="251" t="s">
        <v>224</v>
      </c>
      <c r="D2360" s="244">
        <f>346873+1961</f>
        <v>348834</v>
      </c>
    </row>
    <row r="2361" spans="1:4" ht="12" hidden="1" customHeight="1" outlineLevel="1" x14ac:dyDescent="0.3">
      <c r="A2361" s="238"/>
      <c r="B2361" s="250">
        <v>7500</v>
      </c>
      <c r="C2361" s="251" t="s">
        <v>225</v>
      </c>
      <c r="D2361" s="244"/>
    </row>
    <row r="2362" spans="1:4" ht="12" hidden="1" customHeight="1" outlineLevel="1" x14ac:dyDescent="0.3">
      <c r="A2362" s="238"/>
      <c r="B2362" s="250">
        <v>7700</v>
      </c>
      <c r="C2362" s="251" t="s">
        <v>226</v>
      </c>
      <c r="D2362" s="244"/>
    </row>
    <row r="2363" spans="1:4" ht="12" hidden="1" customHeight="1" outlineLevel="1" x14ac:dyDescent="0.3">
      <c r="A2363" s="238"/>
      <c r="B2363" s="252">
        <v>8000</v>
      </c>
      <c r="C2363" s="253" t="s">
        <v>227</v>
      </c>
      <c r="D2363" s="260">
        <f>SUM(D2364:D2366)</f>
        <v>0</v>
      </c>
    </row>
    <row r="2364" spans="1:4" ht="12" hidden="1" customHeight="1" outlineLevel="1" x14ac:dyDescent="0.3">
      <c r="A2364" s="238"/>
      <c r="B2364" s="254">
        <v>8100</v>
      </c>
      <c r="C2364" s="255" t="s">
        <v>228</v>
      </c>
      <c r="D2364" s="260"/>
    </row>
    <row r="2365" spans="1:4" ht="12" hidden="1" customHeight="1" outlineLevel="1" x14ac:dyDescent="0.3">
      <c r="A2365" s="238"/>
      <c r="B2365" s="254">
        <v>8600</v>
      </c>
      <c r="C2365" s="255" t="s">
        <v>229</v>
      </c>
      <c r="D2365" s="260"/>
    </row>
    <row r="2366" spans="1:4" ht="12" hidden="1" customHeight="1" outlineLevel="1" x14ac:dyDescent="0.3">
      <c r="A2366" s="238"/>
      <c r="B2366" s="254">
        <v>8900</v>
      </c>
      <c r="C2366" s="255" t="s">
        <v>230</v>
      </c>
      <c r="D2366" s="260"/>
    </row>
    <row r="2367" spans="1:4" ht="17.100000000000001" customHeight="1" collapsed="1" x14ac:dyDescent="0.3">
      <c r="A2367" s="278" t="s">
        <v>362</v>
      </c>
      <c r="B2367" s="279"/>
      <c r="C2367" s="280" t="s">
        <v>363</v>
      </c>
      <c r="D2367" s="226">
        <f t="shared" ref="D2367" si="213">D2368+D2384+D2397</f>
        <v>11361369</v>
      </c>
    </row>
    <row r="2368" spans="1:4" ht="12" customHeight="1" x14ac:dyDescent="0.3">
      <c r="A2368" s="227"/>
      <c r="B2368" s="228"/>
      <c r="C2368" s="229" t="s">
        <v>198</v>
      </c>
      <c r="D2368" s="230">
        <f t="shared" ref="D2368" si="214">D2369+D2372+D2378+D2381+D2388+D2393</f>
        <v>11320676</v>
      </c>
    </row>
    <row r="2369" spans="1:4" ht="12" customHeight="1" x14ac:dyDescent="0.3">
      <c r="A2369" s="227"/>
      <c r="B2369" s="231">
        <v>1000</v>
      </c>
      <c r="C2369" s="232" t="s">
        <v>199</v>
      </c>
      <c r="D2369" s="233">
        <f>D2403+D2437+D2471+D2505+D2539+D2573</f>
        <v>4402000</v>
      </c>
    </row>
    <row r="2370" spans="1:4" ht="12" customHeight="1" x14ac:dyDescent="0.3">
      <c r="A2370" s="227"/>
      <c r="B2370" s="234">
        <v>1100</v>
      </c>
      <c r="C2370" s="235" t="s">
        <v>200</v>
      </c>
      <c r="D2370" s="236">
        <f t="shared" ref="D2370:D2371" si="215">D2404+D2438+D2472+D2506+D2540+D2574</f>
        <v>3435216</v>
      </c>
    </row>
    <row r="2371" spans="1:4" ht="12" customHeight="1" x14ac:dyDescent="0.3">
      <c r="A2371" s="227"/>
      <c r="B2371" s="234">
        <v>1200</v>
      </c>
      <c r="C2371" s="237" t="s">
        <v>201</v>
      </c>
      <c r="D2371" s="236">
        <f t="shared" si="215"/>
        <v>966784</v>
      </c>
    </row>
    <row r="2372" spans="1:4" ht="12" customHeight="1" x14ac:dyDescent="0.3">
      <c r="A2372" s="238"/>
      <c r="B2372" s="239">
        <v>2000</v>
      </c>
      <c r="C2372" s="240" t="s">
        <v>202</v>
      </c>
      <c r="D2372" s="241">
        <f>D2406+D2440+D2474+D2508+D2542+D2576</f>
        <v>1890669</v>
      </c>
    </row>
    <row r="2373" spans="1:4" ht="12" customHeight="1" x14ac:dyDescent="0.3">
      <c r="A2373" s="238"/>
      <c r="B2373" s="242">
        <v>2100</v>
      </c>
      <c r="C2373" s="243" t="s">
        <v>203</v>
      </c>
      <c r="D2373" s="244">
        <f t="shared" ref="D2373:D2377" si="216">D2407+D2441+D2475+D2509+D2543+D2577</f>
        <v>3313</v>
      </c>
    </row>
    <row r="2374" spans="1:4" ht="12" customHeight="1" x14ac:dyDescent="0.3">
      <c r="A2374" s="238"/>
      <c r="B2374" s="242">
        <v>2200</v>
      </c>
      <c r="C2374" s="243" t="s">
        <v>204</v>
      </c>
      <c r="D2374" s="244">
        <f t="shared" si="216"/>
        <v>618205</v>
      </c>
    </row>
    <row r="2375" spans="1:4" ht="12" customHeight="1" x14ac:dyDescent="0.3">
      <c r="A2375" s="238"/>
      <c r="B2375" s="242">
        <v>2300</v>
      </c>
      <c r="C2375" s="243" t="s">
        <v>205</v>
      </c>
      <c r="D2375" s="244">
        <f t="shared" si="216"/>
        <v>1258909</v>
      </c>
    </row>
    <row r="2376" spans="1:4" ht="12" customHeight="1" x14ac:dyDescent="0.3">
      <c r="A2376" s="238"/>
      <c r="B2376" s="242">
        <v>2400</v>
      </c>
      <c r="C2376" s="243" t="s">
        <v>206</v>
      </c>
      <c r="D2376" s="244">
        <f t="shared" si="216"/>
        <v>1002</v>
      </c>
    </row>
    <row r="2377" spans="1:4" ht="12" customHeight="1" x14ac:dyDescent="0.3">
      <c r="A2377" s="238"/>
      <c r="B2377" s="242">
        <v>2500</v>
      </c>
      <c r="C2377" s="243" t="s">
        <v>207</v>
      </c>
      <c r="D2377" s="244">
        <f t="shared" si="216"/>
        <v>9240</v>
      </c>
    </row>
    <row r="2378" spans="1:4" ht="12" customHeight="1" x14ac:dyDescent="0.3">
      <c r="A2378" s="238"/>
      <c r="B2378" s="199">
        <v>3000</v>
      </c>
      <c r="C2378" s="245" t="s">
        <v>208</v>
      </c>
      <c r="D2378" s="241">
        <f>D2412+D2446+D2480+D2514+D2548+D2582</f>
        <v>70320</v>
      </c>
    </row>
    <row r="2379" spans="1:4" ht="12" customHeight="1" x14ac:dyDescent="0.3">
      <c r="A2379" s="238"/>
      <c r="B2379" s="242">
        <v>3200</v>
      </c>
      <c r="C2379" s="243" t="s">
        <v>209</v>
      </c>
      <c r="D2379" s="244">
        <f t="shared" ref="D2379:D2380" si="217">D2413+D2447+D2481+D2515+D2549+D2583</f>
        <v>70320</v>
      </c>
    </row>
    <row r="2380" spans="1:4" ht="12" hidden="1" customHeight="1" outlineLevel="1" x14ac:dyDescent="0.3">
      <c r="A2380" s="238"/>
      <c r="B2380" s="242">
        <v>3300</v>
      </c>
      <c r="C2380" s="243" t="s">
        <v>210</v>
      </c>
      <c r="D2380" s="244">
        <f t="shared" si="217"/>
        <v>0</v>
      </c>
    </row>
    <row r="2381" spans="1:4" ht="12" hidden="1" customHeight="1" outlineLevel="1" x14ac:dyDescent="0.3">
      <c r="A2381" s="238"/>
      <c r="B2381" s="199">
        <v>4000</v>
      </c>
      <c r="C2381" s="246" t="s">
        <v>211</v>
      </c>
      <c r="D2381" s="241">
        <f>D2415+D2449+D2483+D2517+D2551+D2585</f>
        <v>0</v>
      </c>
    </row>
    <row r="2382" spans="1:4" ht="12" hidden="1" customHeight="1" outlineLevel="1" x14ac:dyDescent="0.3">
      <c r="A2382" s="238"/>
      <c r="B2382" s="242">
        <v>4200</v>
      </c>
      <c r="C2382" s="247" t="s">
        <v>212</v>
      </c>
      <c r="D2382" s="244">
        <f t="shared" ref="D2382:D2383" si="218">D2416+D2450+D2484+D2518+D2552+D2586</f>
        <v>0</v>
      </c>
    </row>
    <row r="2383" spans="1:4" ht="12" hidden="1" customHeight="1" outlineLevel="1" x14ac:dyDescent="0.3">
      <c r="A2383" s="238"/>
      <c r="B2383" s="242">
        <v>4300</v>
      </c>
      <c r="C2383" s="247" t="s">
        <v>213</v>
      </c>
      <c r="D2383" s="244">
        <f t="shared" si="218"/>
        <v>0</v>
      </c>
    </row>
    <row r="2384" spans="1:4" ht="12" customHeight="1" collapsed="1" x14ac:dyDescent="0.3">
      <c r="A2384" s="238"/>
      <c r="B2384" s="199">
        <v>5000</v>
      </c>
      <c r="C2384" s="200" t="s">
        <v>214</v>
      </c>
      <c r="D2384" s="241">
        <f>D2418+D2452+D2486+D2520+D2554+D2588</f>
        <v>40693</v>
      </c>
    </row>
    <row r="2385" spans="1:4" ht="12" customHeight="1" x14ac:dyDescent="0.3">
      <c r="A2385" s="238"/>
      <c r="B2385" s="242">
        <v>5100</v>
      </c>
      <c r="C2385" s="248" t="s">
        <v>215</v>
      </c>
      <c r="D2385" s="244">
        <f t="shared" ref="D2385:D2387" si="219">D2419+D2453+D2487+D2521+D2555+D2589</f>
        <v>0</v>
      </c>
    </row>
    <row r="2386" spans="1:4" ht="12" customHeight="1" x14ac:dyDescent="0.3">
      <c r="A2386" s="238"/>
      <c r="B2386" s="242">
        <v>5200</v>
      </c>
      <c r="C2386" s="248" t="s">
        <v>216</v>
      </c>
      <c r="D2386" s="244">
        <f t="shared" si="219"/>
        <v>40693</v>
      </c>
    </row>
    <row r="2387" spans="1:4" ht="12" hidden="1" customHeight="1" outlineLevel="1" x14ac:dyDescent="0.3">
      <c r="A2387" s="238"/>
      <c r="B2387" s="242">
        <v>5300</v>
      </c>
      <c r="C2387" s="249" t="s">
        <v>217</v>
      </c>
      <c r="D2387" s="244">
        <f t="shared" si="219"/>
        <v>0</v>
      </c>
    </row>
    <row r="2388" spans="1:4" ht="12" customHeight="1" collapsed="1" x14ac:dyDescent="0.3">
      <c r="A2388" s="238"/>
      <c r="B2388" s="199">
        <v>6000</v>
      </c>
      <c r="C2388" s="200" t="s">
        <v>218</v>
      </c>
      <c r="D2388" s="241">
        <f>D2422+D2456+D2490+D2524+D2558+D2592</f>
        <v>4957687</v>
      </c>
    </row>
    <row r="2389" spans="1:4" ht="12" customHeight="1" x14ac:dyDescent="0.3">
      <c r="A2389" s="238"/>
      <c r="B2389" s="242">
        <v>6200</v>
      </c>
      <c r="C2389" s="248" t="s">
        <v>219</v>
      </c>
      <c r="D2389" s="244">
        <f t="shared" ref="D2389:D2392" si="220">D2423+D2457+D2491+D2525+D2559+D2593</f>
        <v>986226</v>
      </c>
    </row>
    <row r="2390" spans="1:4" ht="12" customHeight="1" x14ac:dyDescent="0.3">
      <c r="A2390" s="238"/>
      <c r="B2390" s="242">
        <v>6300</v>
      </c>
      <c r="C2390" s="248" t="s">
        <v>220</v>
      </c>
      <c r="D2390" s="244">
        <f t="shared" si="220"/>
        <v>1143907</v>
      </c>
    </row>
    <row r="2391" spans="1:4" ht="12" customHeight="1" x14ac:dyDescent="0.3">
      <c r="A2391" s="238"/>
      <c r="B2391" s="242">
        <v>6400</v>
      </c>
      <c r="C2391" s="248" t="s">
        <v>221</v>
      </c>
      <c r="D2391" s="244">
        <f t="shared" si="220"/>
        <v>2827554</v>
      </c>
    </row>
    <row r="2392" spans="1:4" ht="12" hidden="1" customHeight="1" outlineLevel="1" x14ac:dyDescent="0.3">
      <c r="A2392" s="238"/>
      <c r="B2392" s="242">
        <v>6500</v>
      </c>
      <c r="C2392" s="249" t="s">
        <v>222</v>
      </c>
      <c r="D2392" s="244">
        <f t="shared" si="220"/>
        <v>0</v>
      </c>
    </row>
    <row r="2393" spans="1:4" ht="12" hidden="1" customHeight="1" outlineLevel="1" collapsed="1" x14ac:dyDescent="0.3">
      <c r="A2393" s="238"/>
      <c r="B2393" s="199">
        <v>7000</v>
      </c>
      <c r="C2393" s="200" t="s">
        <v>223</v>
      </c>
      <c r="D2393" s="241">
        <f>D2427+D2461+D2495+D2529+D2564+D2597</f>
        <v>0</v>
      </c>
    </row>
    <row r="2394" spans="1:4" ht="12" hidden="1" customHeight="1" outlineLevel="1" x14ac:dyDescent="0.3">
      <c r="A2394" s="238"/>
      <c r="B2394" s="250">
        <v>7200</v>
      </c>
      <c r="C2394" s="251" t="s">
        <v>224</v>
      </c>
      <c r="D2394" s="244">
        <f t="shared" ref="D2394:D2396" si="221">D2428+D2462+D2496+D2530+D2565+D2598</f>
        <v>0</v>
      </c>
    </row>
    <row r="2395" spans="1:4" ht="12" hidden="1" customHeight="1" outlineLevel="1" x14ac:dyDescent="0.3">
      <c r="A2395" s="238"/>
      <c r="B2395" s="250">
        <v>7500</v>
      </c>
      <c r="C2395" s="251" t="s">
        <v>225</v>
      </c>
      <c r="D2395" s="244">
        <f t="shared" si="221"/>
        <v>0</v>
      </c>
    </row>
    <row r="2396" spans="1:4" ht="12" hidden="1" customHeight="1" outlineLevel="1" x14ac:dyDescent="0.3">
      <c r="A2396" s="238"/>
      <c r="B2396" s="250">
        <v>7700</v>
      </c>
      <c r="C2396" s="251" t="s">
        <v>226</v>
      </c>
      <c r="D2396" s="244">
        <f t="shared" si="221"/>
        <v>0</v>
      </c>
    </row>
    <row r="2397" spans="1:4" ht="12" hidden="1" customHeight="1" outlineLevel="1" x14ac:dyDescent="0.3">
      <c r="A2397" s="238"/>
      <c r="B2397" s="252">
        <v>8000</v>
      </c>
      <c r="C2397" s="253" t="s">
        <v>227</v>
      </c>
      <c r="D2397" s="241">
        <f>D2431+D2465+D2499+D2533+D2568+D2601</f>
        <v>0</v>
      </c>
    </row>
    <row r="2398" spans="1:4" ht="12" hidden="1" customHeight="1" outlineLevel="1" x14ac:dyDescent="0.3">
      <c r="A2398" s="238"/>
      <c r="B2398" s="254">
        <v>8100</v>
      </c>
      <c r="C2398" s="255" t="s">
        <v>228</v>
      </c>
      <c r="D2398" s="244">
        <f t="shared" ref="D2398:D2399" si="222">D2432+D2466+D2500+D2534+D2569+D2602</f>
        <v>0</v>
      </c>
    </row>
    <row r="2399" spans="1:4" ht="12" hidden="1" customHeight="1" outlineLevel="1" x14ac:dyDescent="0.3">
      <c r="A2399" s="238"/>
      <c r="B2399" s="254">
        <v>8600</v>
      </c>
      <c r="C2399" s="255" t="s">
        <v>229</v>
      </c>
      <c r="D2399" s="244">
        <f t="shared" si="222"/>
        <v>0</v>
      </c>
    </row>
    <row r="2400" spans="1:4" ht="12" hidden="1" customHeight="1" outlineLevel="1" x14ac:dyDescent="0.3">
      <c r="A2400" s="238"/>
      <c r="B2400" s="254">
        <v>8900</v>
      </c>
      <c r="C2400" s="255" t="s">
        <v>230</v>
      </c>
      <c r="D2400" s="244">
        <f>D2434+D2468+D2502+D2536+D2570+D2604</f>
        <v>0</v>
      </c>
    </row>
    <row r="2401" spans="1:4" ht="12" hidden="1" customHeight="1" outlineLevel="1" x14ac:dyDescent="0.3">
      <c r="A2401" s="283">
        <v>10.1</v>
      </c>
      <c r="B2401" s="257"/>
      <c r="C2401" s="258" t="s">
        <v>364</v>
      </c>
      <c r="D2401" s="259">
        <f t="shared" ref="D2401" si="223">D2402+D2418+D2431</f>
        <v>0</v>
      </c>
    </row>
    <row r="2402" spans="1:4" ht="12" hidden="1" customHeight="1" outlineLevel="1" x14ac:dyDescent="0.3">
      <c r="A2402" s="238"/>
      <c r="B2402" s="228"/>
      <c r="C2402" s="229" t="s">
        <v>198</v>
      </c>
      <c r="D2402" s="230">
        <f t="shared" ref="D2402" si="224">D2403+D2406+D2412+D2415+D2422+D2427</f>
        <v>0</v>
      </c>
    </row>
    <row r="2403" spans="1:4" ht="12" hidden="1" customHeight="1" outlineLevel="1" x14ac:dyDescent="0.3">
      <c r="A2403" s="238"/>
      <c r="B2403" s="231">
        <v>1000</v>
      </c>
      <c r="C2403" s="232" t="s">
        <v>199</v>
      </c>
      <c r="D2403" s="230">
        <f>SUM(D2404:D2405)</f>
        <v>0</v>
      </c>
    </row>
    <row r="2404" spans="1:4" ht="12" hidden="1" customHeight="1" outlineLevel="1" x14ac:dyDescent="0.3">
      <c r="A2404" s="238"/>
      <c r="B2404" s="234">
        <v>1100</v>
      </c>
      <c r="C2404" s="235" t="s">
        <v>200</v>
      </c>
      <c r="D2404" s="236"/>
    </row>
    <row r="2405" spans="1:4" ht="12" hidden="1" customHeight="1" outlineLevel="1" x14ac:dyDescent="0.3">
      <c r="A2405" s="238"/>
      <c r="B2405" s="234">
        <v>1200</v>
      </c>
      <c r="C2405" s="237" t="s">
        <v>201</v>
      </c>
      <c r="D2405" s="236"/>
    </row>
    <row r="2406" spans="1:4" ht="11.25" hidden="1" customHeight="1" outlineLevel="1" x14ac:dyDescent="0.3">
      <c r="A2406" s="238"/>
      <c r="B2406" s="239">
        <v>2000</v>
      </c>
      <c r="C2406" s="240" t="s">
        <v>202</v>
      </c>
      <c r="D2406" s="260">
        <f>SUM(D2407:D2411)</f>
        <v>0</v>
      </c>
    </row>
    <row r="2407" spans="1:4" ht="11.25" hidden="1" customHeight="1" outlineLevel="1" x14ac:dyDescent="0.3">
      <c r="A2407" s="238"/>
      <c r="B2407" s="242">
        <v>2100</v>
      </c>
      <c r="C2407" s="243" t="s">
        <v>203</v>
      </c>
      <c r="D2407" s="244"/>
    </row>
    <row r="2408" spans="1:4" ht="11.25" hidden="1" customHeight="1" outlineLevel="1" x14ac:dyDescent="0.3">
      <c r="A2408" s="238"/>
      <c r="B2408" s="242">
        <v>2200</v>
      </c>
      <c r="C2408" s="243" t="s">
        <v>204</v>
      </c>
      <c r="D2408" s="244"/>
    </row>
    <row r="2409" spans="1:4" ht="11.25" hidden="1" customHeight="1" outlineLevel="1" x14ac:dyDescent="0.3">
      <c r="A2409" s="238"/>
      <c r="B2409" s="242">
        <v>2300</v>
      </c>
      <c r="C2409" s="243" t="s">
        <v>205</v>
      </c>
      <c r="D2409" s="244"/>
    </row>
    <row r="2410" spans="1:4" ht="11.25" hidden="1" customHeight="1" outlineLevel="1" x14ac:dyDescent="0.3">
      <c r="A2410" s="238"/>
      <c r="B2410" s="242">
        <v>2400</v>
      </c>
      <c r="C2410" s="243" t="s">
        <v>206</v>
      </c>
      <c r="D2410" s="244"/>
    </row>
    <row r="2411" spans="1:4" ht="11.25" hidden="1" customHeight="1" outlineLevel="1" x14ac:dyDescent="0.3">
      <c r="A2411" s="238"/>
      <c r="B2411" s="242">
        <v>2500</v>
      </c>
      <c r="C2411" s="243" t="s">
        <v>207</v>
      </c>
      <c r="D2411" s="244"/>
    </row>
    <row r="2412" spans="1:4" ht="12" hidden="1" customHeight="1" outlineLevel="1" x14ac:dyDescent="0.3">
      <c r="A2412" s="238"/>
      <c r="B2412" s="199">
        <v>3000</v>
      </c>
      <c r="C2412" s="245" t="s">
        <v>208</v>
      </c>
      <c r="D2412" s="260">
        <f>SUM(D2413:D2414)</f>
        <v>0</v>
      </c>
    </row>
    <row r="2413" spans="1:4" ht="12" hidden="1" customHeight="1" outlineLevel="1" x14ac:dyDescent="0.3">
      <c r="A2413" s="238"/>
      <c r="B2413" s="242">
        <v>3200</v>
      </c>
      <c r="C2413" s="243" t="s">
        <v>209</v>
      </c>
      <c r="D2413" s="244"/>
    </row>
    <row r="2414" spans="1:4" ht="12" hidden="1" customHeight="1" outlineLevel="1" x14ac:dyDescent="0.3">
      <c r="A2414" s="238"/>
      <c r="B2414" s="242">
        <v>3300</v>
      </c>
      <c r="C2414" s="243" t="s">
        <v>210</v>
      </c>
      <c r="D2414" s="244"/>
    </row>
    <row r="2415" spans="1:4" ht="12" hidden="1" customHeight="1" outlineLevel="1" x14ac:dyDescent="0.3">
      <c r="A2415" s="238"/>
      <c r="B2415" s="199">
        <v>4000</v>
      </c>
      <c r="C2415" s="246" t="s">
        <v>211</v>
      </c>
      <c r="D2415" s="260">
        <f>SUM(D2416:D2417)</f>
        <v>0</v>
      </c>
    </row>
    <row r="2416" spans="1:4" ht="12" hidden="1" customHeight="1" outlineLevel="1" x14ac:dyDescent="0.3">
      <c r="A2416" s="238"/>
      <c r="B2416" s="242">
        <v>4200</v>
      </c>
      <c r="C2416" s="247" t="s">
        <v>212</v>
      </c>
      <c r="D2416" s="244"/>
    </row>
    <row r="2417" spans="1:4" ht="12" hidden="1" customHeight="1" outlineLevel="1" x14ac:dyDescent="0.3">
      <c r="A2417" s="238"/>
      <c r="B2417" s="242">
        <v>4300</v>
      </c>
      <c r="C2417" s="247" t="s">
        <v>213</v>
      </c>
      <c r="D2417" s="244"/>
    </row>
    <row r="2418" spans="1:4" ht="12" hidden="1" customHeight="1" outlineLevel="1" x14ac:dyDescent="0.3">
      <c r="A2418" s="238"/>
      <c r="B2418" s="199">
        <v>5000</v>
      </c>
      <c r="C2418" s="200" t="s">
        <v>214</v>
      </c>
      <c r="D2418" s="260">
        <f>SUM(D2419:D2421)</f>
        <v>0</v>
      </c>
    </row>
    <row r="2419" spans="1:4" ht="12" hidden="1" customHeight="1" outlineLevel="1" x14ac:dyDescent="0.3">
      <c r="A2419" s="238"/>
      <c r="B2419" s="242">
        <v>5100</v>
      </c>
      <c r="C2419" s="248" t="s">
        <v>215</v>
      </c>
      <c r="D2419" s="260"/>
    </row>
    <row r="2420" spans="1:4" ht="12" hidden="1" customHeight="1" outlineLevel="1" x14ac:dyDescent="0.3">
      <c r="A2420" s="238"/>
      <c r="B2420" s="242">
        <v>5200</v>
      </c>
      <c r="C2420" s="248" t="s">
        <v>216</v>
      </c>
      <c r="D2420" s="260"/>
    </row>
    <row r="2421" spans="1:4" ht="12" hidden="1" customHeight="1" outlineLevel="1" x14ac:dyDescent="0.3">
      <c r="A2421" s="238"/>
      <c r="B2421" s="242">
        <v>5300</v>
      </c>
      <c r="C2421" s="249" t="s">
        <v>217</v>
      </c>
      <c r="D2421" s="260"/>
    </row>
    <row r="2422" spans="1:4" ht="12" hidden="1" customHeight="1" outlineLevel="1" x14ac:dyDescent="0.3">
      <c r="A2422" s="238"/>
      <c r="B2422" s="199">
        <v>6000</v>
      </c>
      <c r="C2422" s="200" t="s">
        <v>218</v>
      </c>
      <c r="D2422" s="260">
        <f>SUM(D2423:D2426)</f>
        <v>0</v>
      </c>
    </row>
    <row r="2423" spans="1:4" ht="12" hidden="1" customHeight="1" outlineLevel="1" x14ac:dyDescent="0.3">
      <c r="A2423" s="238"/>
      <c r="B2423" s="242">
        <v>6200</v>
      </c>
      <c r="C2423" s="248" t="s">
        <v>219</v>
      </c>
      <c r="D2423" s="244"/>
    </row>
    <row r="2424" spans="1:4" ht="12" hidden="1" customHeight="1" outlineLevel="1" x14ac:dyDescent="0.3">
      <c r="A2424" s="238"/>
      <c r="B2424" s="242">
        <v>6300</v>
      </c>
      <c r="C2424" s="248" t="s">
        <v>220</v>
      </c>
      <c r="D2424" s="244"/>
    </row>
    <row r="2425" spans="1:4" ht="12" hidden="1" customHeight="1" outlineLevel="1" x14ac:dyDescent="0.3">
      <c r="A2425" s="238"/>
      <c r="B2425" s="242">
        <v>6400</v>
      </c>
      <c r="C2425" s="248" t="s">
        <v>221</v>
      </c>
      <c r="D2425" s="244"/>
    </row>
    <row r="2426" spans="1:4" ht="12" hidden="1" customHeight="1" outlineLevel="1" x14ac:dyDescent="0.3">
      <c r="A2426" s="238"/>
      <c r="B2426" s="242">
        <v>6500</v>
      </c>
      <c r="C2426" s="249" t="s">
        <v>222</v>
      </c>
      <c r="D2426" s="244"/>
    </row>
    <row r="2427" spans="1:4" ht="12" hidden="1" customHeight="1" outlineLevel="1" x14ac:dyDescent="0.3">
      <c r="A2427" s="238"/>
      <c r="B2427" s="199">
        <v>7000</v>
      </c>
      <c r="C2427" s="200" t="s">
        <v>223</v>
      </c>
      <c r="D2427" s="260">
        <f>SUM(D2428:D2430)</f>
        <v>0</v>
      </c>
    </row>
    <row r="2428" spans="1:4" ht="12" hidden="1" customHeight="1" outlineLevel="1" x14ac:dyDescent="0.3">
      <c r="A2428" s="238"/>
      <c r="B2428" s="250">
        <v>7200</v>
      </c>
      <c r="C2428" s="251" t="s">
        <v>224</v>
      </c>
      <c r="D2428" s="244"/>
    </row>
    <row r="2429" spans="1:4" ht="12" hidden="1" customHeight="1" outlineLevel="1" x14ac:dyDescent="0.3">
      <c r="A2429" s="238"/>
      <c r="B2429" s="250">
        <v>7500</v>
      </c>
      <c r="C2429" s="251" t="s">
        <v>225</v>
      </c>
      <c r="D2429" s="244"/>
    </row>
    <row r="2430" spans="1:4" ht="12" hidden="1" customHeight="1" outlineLevel="1" x14ac:dyDescent="0.3">
      <c r="A2430" s="238"/>
      <c r="B2430" s="250">
        <v>7700</v>
      </c>
      <c r="C2430" s="251" t="s">
        <v>226</v>
      </c>
      <c r="D2430" s="244"/>
    </row>
    <row r="2431" spans="1:4" ht="12" hidden="1" customHeight="1" outlineLevel="1" x14ac:dyDescent="0.3">
      <c r="A2431" s="238"/>
      <c r="B2431" s="252">
        <v>8000</v>
      </c>
      <c r="C2431" s="253" t="s">
        <v>227</v>
      </c>
      <c r="D2431" s="260">
        <f>SUM(D2432:D2434)</f>
        <v>0</v>
      </c>
    </row>
    <row r="2432" spans="1:4" ht="12" hidden="1" customHeight="1" outlineLevel="1" x14ac:dyDescent="0.3">
      <c r="A2432" s="238"/>
      <c r="B2432" s="254">
        <v>8100</v>
      </c>
      <c r="C2432" s="255" t="s">
        <v>228</v>
      </c>
      <c r="D2432" s="260"/>
    </row>
    <row r="2433" spans="1:4" ht="12" hidden="1" customHeight="1" outlineLevel="1" x14ac:dyDescent="0.3">
      <c r="A2433" s="238"/>
      <c r="B2433" s="254">
        <v>8600</v>
      </c>
      <c r="C2433" s="255" t="s">
        <v>229</v>
      </c>
      <c r="D2433" s="260"/>
    </row>
    <row r="2434" spans="1:4" ht="12" hidden="1" customHeight="1" outlineLevel="1" x14ac:dyDescent="0.3">
      <c r="A2434" s="238"/>
      <c r="B2434" s="254">
        <v>8900</v>
      </c>
      <c r="C2434" s="255" t="s">
        <v>230</v>
      </c>
      <c r="D2434" s="260"/>
    </row>
    <row r="2435" spans="1:4" ht="12" customHeight="1" collapsed="1" x14ac:dyDescent="0.3">
      <c r="A2435" s="256" t="s">
        <v>365</v>
      </c>
      <c r="B2435" s="257"/>
      <c r="C2435" s="258" t="s">
        <v>366</v>
      </c>
      <c r="D2435" s="259">
        <f t="shared" ref="D2435" si="225">D2436+D2452+D2465</f>
        <v>3533912</v>
      </c>
    </row>
    <row r="2436" spans="1:4" ht="12" customHeight="1" x14ac:dyDescent="0.3">
      <c r="A2436" s="227"/>
      <c r="B2436" s="228"/>
      <c r="C2436" s="229" t="s">
        <v>198</v>
      </c>
      <c r="D2436" s="230">
        <f t="shared" ref="D2436" si="226">D2437+D2440+D2446+D2449+D2456+D2461</f>
        <v>3498078</v>
      </c>
    </row>
    <row r="2437" spans="1:4" ht="12" customHeight="1" x14ac:dyDescent="0.3">
      <c r="A2437" s="227"/>
      <c r="B2437" s="231">
        <v>1000</v>
      </c>
      <c r="C2437" s="232" t="s">
        <v>199</v>
      </c>
      <c r="D2437" s="230">
        <f>SUM(D2438:D2439)</f>
        <v>1385995</v>
      </c>
    </row>
    <row r="2438" spans="1:4" ht="12" customHeight="1" x14ac:dyDescent="0.3">
      <c r="A2438" s="227"/>
      <c r="B2438" s="234">
        <v>1100</v>
      </c>
      <c r="C2438" s="235" t="s">
        <v>200</v>
      </c>
      <c r="D2438" s="236">
        <f>1026353+17474+11590+5964</f>
        <v>1061381</v>
      </c>
    </row>
    <row r="2439" spans="1:4" ht="12" customHeight="1" x14ac:dyDescent="0.3">
      <c r="A2439" s="227"/>
      <c r="B2439" s="234">
        <v>1200</v>
      </c>
      <c r="C2439" s="237" t="s">
        <v>201</v>
      </c>
      <c r="D2439" s="236">
        <f>311571+2734+10309</f>
        <v>324614</v>
      </c>
    </row>
    <row r="2440" spans="1:4" ht="12" customHeight="1" x14ac:dyDescent="0.3">
      <c r="A2440" s="238"/>
      <c r="B2440" s="239">
        <v>2000</v>
      </c>
      <c r="C2440" s="240" t="s">
        <v>202</v>
      </c>
      <c r="D2440" s="260">
        <f>SUM(D2441:D2445)</f>
        <v>1135511</v>
      </c>
    </row>
    <row r="2441" spans="1:4" ht="12" customHeight="1" x14ac:dyDescent="0.3">
      <c r="A2441" s="238"/>
      <c r="B2441" s="242">
        <v>2100</v>
      </c>
      <c r="C2441" s="243" t="s">
        <v>203</v>
      </c>
      <c r="D2441" s="244"/>
    </row>
    <row r="2442" spans="1:4" ht="12" customHeight="1" x14ac:dyDescent="0.3">
      <c r="A2442" s="238"/>
      <c r="B2442" s="242">
        <v>2200</v>
      </c>
      <c r="C2442" s="243" t="s">
        <v>204</v>
      </c>
      <c r="D2442" s="244">
        <f>308338-1884-510-4342</f>
        <v>301602</v>
      </c>
    </row>
    <row r="2443" spans="1:4" ht="12" customHeight="1" x14ac:dyDescent="0.3">
      <c r="A2443" s="238"/>
      <c r="B2443" s="242">
        <v>2300</v>
      </c>
      <c r="C2443" s="243" t="s">
        <v>205</v>
      </c>
      <c r="D2443" s="244">
        <f>827269-675+5167</f>
        <v>831761</v>
      </c>
    </row>
    <row r="2444" spans="1:4" ht="12" customHeight="1" x14ac:dyDescent="0.3">
      <c r="A2444" s="238"/>
      <c r="B2444" s="242">
        <v>2400</v>
      </c>
      <c r="C2444" s="243" t="s">
        <v>206</v>
      </c>
      <c r="D2444" s="244">
        <f>327+675</f>
        <v>1002</v>
      </c>
    </row>
    <row r="2445" spans="1:4" ht="12" customHeight="1" x14ac:dyDescent="0.3">
      <c r="A2445" s="238"/>
      <c r="B2445" s="242">
        <v>2500</v>
      </c>
      <c r="C2445" s="243" t="s">
        <v>207</v>
      </c>
      <c r="D2445" s="244">
        <f>1077+69</f>
        <v>1146</v>
      </c>
    </row>
    <row r="2446" spans="1:4" ht="12" hidden="1" customHeight="1" outlineLevel="1" x14ac:dyDescent="0.3">
      <c r="A2446" s="238"/>
      <c r="B2446" s="199">
        <v>3000</v>
      </c>
      <c r="C2446" s="245" t="s">
        <v>208</v>
      </c>
      <c r="D2446" s="260">
        <f>SUM(D2447:D2448)</f>
        <v>0</v>
      </c>
    </row>
    <row r="2447" spans="1:4" ht="12" hidden="1" customHeight="1" outlineLevel="1" x14ac:dyDescent="0.3">
      <c r="A2447" s="238"/>
      <c r="B2447" s="242">
        <v>3200</v>
      </c>
      <c r="C2447" s="243" t="s">
        <v>209</v>
      </c>
      <c r="D2447" s="244"/>
    </row>
    <row r="2448" spans="1:4" ht="12" hidden="1" customHeight="1" outlineLevel="1" x14ac:dyDescent="0.3">
      <c r="A2448" s="238"/>
      <c r="B2448" s="242">
        <v>3300</v>
      </c>
      <c r="C2448" s="243" t="s">
        <v>210</v>
      </c>
      <c r="D2448" s="244"/>
    </row>
    <row r="2449" spans="1:4" ht="12" hidden="1" customHeight="1" outlineLevel="1" x14ac:dyDescent="0.3">
      <c r="A2449" s="238"/>
      <c r="B2449" s="199">
        <v>4000</v>
      </c>
      <c r="C2449" s="246" t="s">
        <v>211</v>
      </c>
      <c r="D2449" s="260">
        <f>SUM(D2450:D2451)</f>
        <v>0</v>
      </c>
    </row>
    <row r="2450" spans="1:4" ht="12" hidden="1" customHeight="1" outlineLevel="1" x14ac:dyDescent="0.3">
      <c r="A2450" s="238"/>
      <c r="B2450" s="242">
        <v>4200</v>
      </c>
      <c r="C2450" s="247" t="s">
        <v>212</v>
      </c>
      <c r="D2450" s="244"/>
    </row>
    <row r="2451" spans="1:4" ht="12" hidden="1" customHeight="1" outlineLevel="1" x14ac:dyDescent="0.3">
      <c r="A2451" s="238"/>
      <c r="B2451" s="242">
        <v>4300</v>
      </c>
      <c r="C2451" s="247" t="s">
        <v>213</v>
      </c>
      <c r="D2451" s="244"/>
    </row>
    <row r="2452" spans="1:4" ht="12" customHeight="1" collapsed="1" x14ac:dyDescent="0.3">
      <c r="A2452" s="238"/>
      <c r="B2452" s="199">
        <v>5000</v>
      </c>
      <c r="C2452" s="200" t="s">
        <v>214</v>
      </c>
      <c r="D2452" s="260">
        <f>SUM(D2453:D2455)</f>
        <v>35834</v>
      </c>
    </row>
    <row r="2453" spans="1:4" ht="12" hidden="1" customHeight="1" outlineLevel="1" x14ac:dyDescent="0.3">
      <c r="A2453" s="238"/>
      <c r="B2453" s="242">
        <v>5100</v>
      </c>
      <c r="C2453" s="248" t="s">
        <v>215</v>
      </c>
      <c r="D2453" s="260"/>
    </row>
    <row r="2454" spans="1:4" ht="12" customHeight="1" collapsed="1" x14ac:dyDescent="0.3">
      <c r="A2454" s="238"/>
      <c r="B2454" s="242">
        <v>5200</v>
      </c>
      <c r="C2454" s="248" t="s">
        <v>216</v>
      </c>
      <c r="D2454" s="244">
        <f>29260+1884+4690</f>
        <v>35834</v>
      </c>
    </row>
    <row r="2455" spans="1:4" ht="12" hidden="1" customHeight="1" outlineLevel="1" x14ac:dyDescent="0.3">
      <c r="A2455" s="238"/>
      <c r="B2455" s="242">
        <v>5300</v>
      </c>
      <c r="C2455" s="249" t="s">
        <v>217</v>
      </c>
      <c r="D2455" s="260"/>
    </row>
    <row r="2456" spans="1:4" ht="12" customHeight="1" collapsed="1" x14ac:dyDescent="0.3">
      <c r="A2456" s="238"/>
      <c r="B2456" s="199">
        <v>6000</v>
      </c>
      <c r="C2456" s="200" t="s">
        <v>218</v>
      </c>
      <c r="D2456" s="260">
        <f>SUM(D2457:D2460)</f>
        <v>976572</v>
      </c>
    </row>
    <row r="2457" spans="1:4" ht="12" hidden="1" customHeight="1" outlineLevel="1" x14ac:dyDescent="0.3">
      <c r="A2457" s="238"/>
      <c r="B2457" s="242">
        <v>6200</v>
      </c>
      <c r="C2457" s="248" t="s">
        <v>219</v>
      </c>
      <c r="D2457" s="244"/>
    </row>
    <row r="2458" spans="1:4" ht="12" hidden="1" customHeight="1" outlineLevel="1" x14ac:dyDescent="0.3">
      <c r="A2458" s="238"/>
      <c r="B2458" s="242">
        <v>6300</v>
      </c>
      <c r="C2458" s="248" t="s">
        <v>220</v>
      </c>
      <c r="D2458" s="244"/>
    </row>
    <row r="2459" spans="1:4" ht="12" customHeight="1" collapsed="1" x14ac:dyDescent="0.3">
      <c r="A2459" s="238"/>
      <c r="B2459" s="242">
        <v>6400</v>
      </c>
      <c r="C2459" s="248" t="s">
        <v>221</v>
      </c>
      <c r="D2459" s="244">
        <f>833582+142990</f>
        <v>976572</v>
      </c>
    </row>
    <row r="2460" spans="1:4" ht="12" hidden="1" customHeight="1" outlineLevel="1" x14ac:dyDescent="0.3">
      <c r="A2460" s="238"/>
      <c r="B2460" s="242">
        <v>6500</v>
      </c>
      <c r="C2460" s="249" t="s">
        <v>222</v>
      </c>
      <c r="D2460" s="244"/>
    </row>
    <row r="2461" spans="1:4" ht="12" hidden="1" customHeight="1" outlineLevel="1" x14ac:dyDescent="0.3">
      <c r="A2461" s="238"/>
      <c r="B2461" s="199">
        <v>7000</v>
      </c>
      <c r="C2461" s="200" t="s">
        <v>223</v>
      </c>
      <c r="D2461" s="260">
        <f>SUM(D2462:D2464)</f>
        <v>0</v>
      </c>
    </row>
    <row r="2462" spans="1:4" ht="12" hidden="1" customHeight="1" outlineLevel="1" x14ac:dyDescent="0.3">
      <c r="A2462" s="238"/>
      <c r="B2462" s="250">
        <v>7200</v>
      </c>
      <c r="C2462" s="251" t="s">
        <v>224</v>
      </c>
      <c r="D2462" s="244"/>
    </row>
    <row r="2463" spans="1:4" ht="12" hidden="1" customHeight="1" outlineLevel="1" x14ac:dyDescent="0.3">
      <c r="A2463" s="238"/>
      <c r="B2463" s="250">
        <v>7500</v>
      </c>
      <c r="C2463" s="251" t="s">
        <v>225</v>
      </c>
      <c r="D2463" s="244"/>
    </row>
    <row r="2464" spans="1:4" ht="12" hidden="1" customHeight="1" outlineLevel="1" x14ac:dyDescent="0.3">
      <c r="A2464" s="238"/>
      <c r="B2464" s="250">
        <v>7700</v>
      </c>
      <c r="C2464" s="251" t="s">
        <v>226</v>
      </c>
      <c r="D2464" s="244"/>
    </row>
    <row r="2465" spans="1:4" ht="12" hidden="1" customHeight="1" outlineLevel="1" x14ac:dyDescent="0.3">
      <c r="A2465" s="238"/>
      <c r="B2465" s="252">
        <v>8000</v>
      </c>
      <c r="C2465" s="253" t="s">
        <v>227</v>
      </c>
      <c r="D2465" s="260">
        <f>SUM(D2466:D2468)</f>
        <v>0</v>
      </c>
    </row>
    <row r="2466" spans="1:4" ht="12" hidden="1" customHeight="1" outlineLevel="1" x14ac:dyDescent="0.3">
      <c r="A2466" s="238"/>
      <c r="B2466" s="254">
        <v>8100</v>
      </c>
      <c r="C2466" s="255" t="s">
        <v>228</v>
      </c>
      <c r="D2466" s="260"/>
    </row>
    <row r="2467" spans="1:4" ht="12" hidden="1" customHeight="1" outlineLevel="1" x14ac:dyDescent="0.3">
      <c r="A2467" s="238"/>
      <c r="B2467" s="254">
        <v>8600</v>
      </c>
      <c r="C2467" s="255" t="s">
        <v>229</v>
      </c>
      <c r="D2467" s="260"/>
    </row>
    <row r="2468" spans="1:4" ht="12" hidden="1" customHeight="1" outlineLevel="1" x14ac:dyDescent="0.3">
      <c r="A2468" s="238"/>
      <c r="B2468" s="254">
        <v>8900</v>
      </c>
      <c r="C2468" s="255" t="s">
        <v>230</v>
      </c>
      <c r="D2468" s="260"/>
    </row>
    <row r="2469" spans="1:4" ht="12" customHeight="1" collapsed="1" x14ac:dyDescent="0.3">
      <c r="A2469" s="256" t="s">
        <v>367</v>
      </c>
      <c r="B2469" s="257"/>
      <c r="C2469" s="258" t="s">
        <v>368</v>
      </c>
      <c r="D2469" s="259">
        <f t="shared" ref="D2469" si="227">D2470+D2486+D2499</f>
        <v>1379246</v>
      </c>
    </row>
    <row r="2470" spans="1:4" ht="12" customHeight="1" x14ac:dyDescent="0.3">
      <c r="A2470" s="227"/>
      <c r="B2470" s="228"/>
      <c r="C2470" s="229" t="s">
        <v>198</v>
      </c>
      <c r="D2470" s="230">
        <f t="shared" ref="D2470" si="228">D2471+D2474+D2480+D2483+D2490+D2495</f>
        <v>1379246</v>
      </c>
    </row>
    <row r="2471" spans="1:4" ht="12" customHeight="1" x14ac:dyDescent="0.3">
      <c r="A2471" s="227"/>
      <c r="B2471" s="231">
        <v>1000</v>
      </c>
      <c r="C2471" s="232" t="s">
        <v>199</v>
      </c>
      <c r="D2471" s="230">
        <f>SUM(D2472:D2473)</f>
        <v>424645</v>
      </c>
    </row>
    <row r="2472" spans="1:4" ht="12" customHeight="1" x14ac:dyDescent="0.3">
      <c r="A2472" s="227"/>
      <c r="B2472" s="234">
        <v>1100</v>
      </c>
      <c r="C2472" s="235" t="s">
        <v>200</v>
      </c>
      <c r="D2472" s="236">
        <f>434491-90236-20496</f>
        <v>323759</v>
      </c>
    </row>
    <row r="2473" spans="1:4" ht="12" customHeight="1" x14ac:dyDescent="0.3">
      <c r="A2473" s="227"/>
      <c r="B2473" s="234">
        <v>1200</v>
      </c>
      <c r="C2473" s="237" t="s">
        <v>201</v>
      </c>
      <c r="D2473" s="236">
        <f>121242-20764+408</f>
        <v>100886</v>
      </c>
    </row>
    <row r="2474" spans="1:4" ht="12" customHeight="1" x14ac:dyDescent="0.3">
      <c r="A2474" s="238"/>
      <c r="B2474" s="239">
        <v>2000</v>
      </c>
      <c r="C2474" s="240" t="s">
        <v>202</v>
      </c>
      <c r="D2474" s="260">
        <f>SUM(D2475:D2479)</f>
        <v>369096</v>
      </c>
    </row>
    <row r="2475" spans="1:4" ht="12" customHeight="1" x14ac:dyDescent="0.3">
      <c r="A2475" s="238"/>
      <c r="B2475" s="242">
        <v>2100</v>
      </c>
      <c r="C2475" s="243" t="s">
        <v>203</v>
      </c>
      <c r="D2475" s="244">
        <f>2880-87-1750</f>
        <v>1043</v>
      </c>
    </row>
    <row r="2476" spans="1:4" ht="12" customHeight="1" x14ac:dyDescent="0.3">
      <c r="A2476" s="238"/>
      <c r="B2476" s="242">
        <v>2200</v>
      </c>
      <c r="C2476" s="243" t="s">
        <v>204</v>
      </c>
      <c r="D2476" s="244">
        <f>27465+8000+452+12477</f>
        <v>48394</v>
      </c>
    </row>
    <row r="2477" spans="1:4" ht="12" customHeight="1" x14ac:dyDescent="0.3">
      <c r="A2477" s="238"/>
      <c r="B2477" s="242">
        <v>2300</v>
      </c>
      <c r="C2477" s="243" t="s">
        <v>205</v>
      </c>
      <c r="D2477" s="244">
        <f>320267-365-927</f>
        <v>318975</v>
      </c>
    </row>
    <row r="2478" spans="1:4" ht="12" hidden="1" customHeight="1" outlineLevel="1" x14ac:dyDescent="0.3">
      <c r="A2478" s="238"/>
      <c r="B2478" s="242">
        <v>2400</v>
      </c>
      <c r="C2478" s="243" t="s">
        <v>206</v>
      </c>
      <c r="D2478" s="244"/>
    </row>
    <row r="2479" spans="1:4" ht="12" customHeight="1" collapsed="1" x14ac:dyDescent="0.3">
      <c r="A2479" s="238"/>
      <c r="B2479" s="242">
        <v>2500</v>
      </c>
      <c r="C2479" s="243" t="s">
        <v>207</v>
      </c>
      <c r="D2479" s="244">
        <f>84+400+200</f>
        <v>684</v>
      </c>
    </row>
    <row r="2480" spans="1:4" ht="12" hidden="1" customHeight="1" outlineLevel="1" x14ac:dyDescent="0.3">
      <c r="A2480" s="238"/>
      <c r="B2480" s="199">
        <v>3000</v>
      </c>
      <c r="C2480" s="245" t="s">
        <v>208</v>
      </c>
      <c r="D2480" s="260">
        <f>SUM(D2481:D2482)</f>
        <v>0</v>
      </c>
    </row>
    <row r="2481" spans="1:4" ht="12" hidden="1" customHeight="1" outlineLevel="1" x14ac:dyDescent="0.3">
      <c r="A2481" s="238"/>
      <c r="B2481" s="242">
        <v>3200</v>
      </c>
      <c r="C2481" s="243" t="s">
        <v>209</v>
      </c>
      <c r="D2481" s="244"/>
    </row>
    <row r="2482" spans="1:4" ht="12" hidden="1" customHeight="1" outlineLevel="1" x14ac:dyDescent="0.3">
      <c r="A2482" s="238"/>
      <c r="B2482" s="242">
        <v>3300</v>
      </c>
      <c r="C2482" s="243" t="s">
        <v>210</v>
      </c>
      <c r="D2482" s="244"/>
    </row>
    <row r="2483" spans="1:4" ht="12" hidden="1" customHeight="1" outlineLevel="1" x14ac:dyDescent="0.3">
      <c r="A2483" s="238"/>
      <c r="B2483" s="199">
        <v>4000</v>
      </c>
      <c r="C2483" s="246" t="s">
        <v>211</v>
      </c>
      <c r="D2483" s="260">
        <f>SUM(D2484:D2485)</f>
        <v>0</v>
      </c>
    </row>
    <row r="2484" spans="1:4" ht="12" hidden="1" customHeight="1" outlineLevel="1" x14ac:dyDescent="0.3">
      <c r="A2484" s="238"/>
      <c r="B2484" s="242">
        <v>4200</v>
      </c>
      <c r="C2484" s="247" t="s">
        <v>212</v>
      </c>
      <c r="D2484" s="244"/>
    </row>
    <row r="2485" spans="1:4" ht="12" hidden="1" customHeight="1" outlineLevel="1" x14ac:dyDescent="0.3">
      <c r="A2485" s="238"/>
      <c r="B2485" s="242">
        <v>4300</v>
      </c>
      <c r="C2485" s="247" t="s">
        <v>213</v>
      </c>
      <c r="D2485" s="244"/>
    </row>
    <row r="2486" spans="1:4" ht="12" customHeight="1" collapsed="1" x14ac:dyDescent="0.3">
      <c r="A2486" s="238"/>
      <c r="B2486" s="199">
        <v>5000</v>
      </c>
      <c r="C2486" s="200" t="s">
        <v>214</v>
      </c>
      <c r="D2486" s="260">
        <f>SUM(D2487:D2489)</f>
        <v>0</v>
      </c>
    </row>
    <row r="2487" spans="1:4" ht="12" hidden="1" customHeight="1" outlineLevel="1" x14ac:dyDescent="0.3">
      <c r="A2487" s="238"/>
      <c r="B2487" s="242">
        <v>5100</v>
      </c>
      <c r="C2487" s="248" t="s">
        <v>215</v>
      </c>
      <c r="D2487" s="260"/>
    </row>
    <row r="2488" spans="1:4" ht="12" customHeight="1" collapsed="1" x14ac:dyDescent="0.3">
      <c r="A2488" s="238"/>
      <c r="B2488" s="242">
        <v>5200</v>
      </c>
      <c r="C2488" s="248" t="s">
        <v>216</v>
      </c>
      <c r="D2488" s="260">
        <v>0</v>
      </c>
    </row>
    <row r="2489" spans="1:4" ht="12" hidden="1" customHeight="1" outlineLevel="1" x14ac:dyDescent="0.3">
      <c r="A2489" s="238"/>
      <c r="B2489" s="242">
        <v>5300</v>
      </c>
      <c r="C2489" s="249" t="s">
        <v>217</v>
      </c>
      <c r="D2489" s="260"/>
    </row>
    <row r="2490" spans="1:4" ht="12" customHeight="1" collapsed="1" x14ac:dyDescent="0.3">
      <c r="A2490" s="238"/>
      <c r="B2490" s="199">
        <v>6000</v>
      </c>
      <c r="C2490" s="200" t="s">
        <v>218</v>
      </c>
      <c r="D2490" s="260">
        <f>SUM(D2491:D2494)</f>
        <v>585505</v>
      </c>
    </row>
    <row r="2491" spans="1:4" ht="12" customHeight="1" x14ac:dyDescent="0.3">
      <c r="A2491" s="238"/>
      <c r="B2491" s="242">
        <v>6200</v>
      </c>
      <c r="C2491" s="248" t="s">
        <v>219</v>
      </c>
      <c r="D2491" s="244">
        <f>208442-5000</f>
        <v>203442</v>
      </c>
    </row>
    <row r="2492" spans="1:4" ht="12" customHeight="1" x14ac:dyDescent="0.3">
      <c r="A2492" s="238"/>
      <c r="B2492" s="242">
        <v>6300</v>
      </c>
      <c r="C2492" s="248" t="s">
        <v>220</v>
      </c>
      <c r="D2492" s="244">
        <f>60920+5000</f>
        <v>65920</v>
      </c>
    </row>
    <row r="2493" spans="1:4" ht="12" customHeight="1" x14ac:dyDescent="0.3">
      <c r="A2493" s="238"/>
      <c r="B2493" s="242">
        <v>6400</v>
      </c>
      <c r="C2493" s="248" t="s">
        <v>221</v>
      </c>
      <c r="D2493" s="244">
        <f>257383+4000+54760</f>
        <v>316143</v>
      </c>
    </row>
    <row r="2494" spans="1:4" ht="12" hidden="1" customHeight="1" outlineLevel="1" x14ac:dyDescent="0.3">
      <c r="A2494" s="238"/>
      <c r="B2494" s="242">
        <v>6500</v>
      </c>
      <c r="C2494" s="249" t="s">
        <v>222</v>
      </c>
      <c r="D2494" s="244"/>
    </row>
    <row r="2495" spans="1:4" ht="12" hidden="1" customHeight="1" outlineLevel="1" x14ac:dyDescent="0.3">
      <c r="A2495" s="238"/>
      <c r="B2495" s="199">
        <v>7000</v>
      </c>
      <c r="C2495" s="200" t="s">
        <v>223</v>
      </c>
      <c r="D2495" s="260">
        <f>SUM(D2496:D2498)</f>
        <v>0</v>
      </c>
    </row>
    <row r="2496" spans="1:4" ht="12" hidden="1" customHeight="1" outlineLevel="1" x14ac:dyDescent="0.3">
      <c r="A2496" s="238"/>
      <c r="B2496" s="250">
        <v>7200</v>
      </c>
      <c r="C2496" s="251" t="s">
        <v>224</v>
      </c>
      <c r="D2496" s="244"/>
    </row>
    <row r="2497" spans="1:4" ht="12" hidden="1" customHeight="1" outlineLevel="1" x14ac:dyDescent="0.3">
      <c r="A2497" s="238"/>
      <c r="B2497" s="250">
        <v>7500</v>
      </c>
      <c r="C2497" s="251" t="s">
        <v>225</v>
      </c>
      <c r="D2497" s="244"/>
    </row>
    <row r="2498" spans="1:4" ht="12" hidden="1" customHeight="1" outlineLevel="1" x14ac:dyDescent="0.3">
      <c r="A2498" s="238"/>
      <c r="B2498" s="250">
        <v>7700</v>
      </c>
      <c r="C2498" s="251" t="s">
        <v>226</v>
      </c>
      <c r="D2498" s="244"/>
    </row>
    <row r="2499" spans="1:4" ht="12" hidden="1" customHeight="1" outlineLevel="1" x14ac:dyDescent="0.3">
      <c r="A2499" s="238"/>
      <c r="B2499" s="252">
        <v>8000</v>
      </c>
      <c r="C2499" s="253" t="s">
        <v>227</v>
      </c>
      <c r="D2499" s="260">
        <f>SUM(D2500:D2502)</f>
        <v>0</v>
      </c>
    </row>
    <row r="2500" spans="1:4" ht="12" hidden="1" customHeight="1" outlineLevel="1" x14ac:dyDescent="0.3">
      <c r="A2500" s="238"/>
      <c r="B2500" s="254">
        <v>8100</v>
      </c>
      <c r="C2500" s="255" t="s">
        <v>228</v>
      </c>
      <c r="D2500" s="260"/>
    </row>
    <row r="2501" spans="1:4" ht="12" hidden="1" customHeight="1" outlineLevel="1" x14ac:dyDescent="0.3">
      <c r="A2501" s="238"/>
      <c r="B2501" s="254">
        <v>8600</v>
      </c>
      <c r="C2501" s="255" t="s">
        <v>229</v>
      </c>
      <c r="D2501" s="260"/>
    </row>
    <row r="2502" spans="1:4" ht="12" hidden="1" customHeight="1" outlineLevel="1" x14ac:dyDescent="0.3">
      <c r="A2502" s="238"/>
      <c r="B2502" s="254">
        <v>8900</v>
      </c>
      <c r="C2502" s="255" t="s">
        <v>230</v>
      </c>
      <c r="D2502" s="260"/>
    </row>
    <row r="2503" spans="1:4" ht="12" customHeight="1" collapsed="1" x14ac:dyDescent="0.3">
      <c r="A2503" s="283">
        <v>10.6</v>
      </c>
      <c r="B2503" s="257"/>
      <c r="C2503" s="258" t="s">
        <v>369</v>
      </c>
      <c r="D2503" s="259">
        <f t="shared" ref="D2503" si="229">D2504+D2520+D2533</f>
        <v>1370756</v>
      </c>
    </row>
    <row r="2504" spans="1:4" ht="12" customHeight="1" x14ac:dyDescent="0.3">
      <c r="A2504" s="227"/>
      <c r="B2504" s="228"/>
      <c r="C2504" s="229" t="s">
        <v>198</v>
      </c>
      <c r="D2504" s="230">
        <f t="shared" ref="D2504" si="230">D2505+D2508+D2514+D2517+D2524+D2529</f>
        <v>1370756</v>
      </c>
    </row>
    <row r="2505" spans="1:4" ht="12" hidden="1" customHeight="1" outlineLevel="1" x14ac:dyDescent="0.3">
      <c r="A2505" s="227"/>
      <c r="B2505" s="231">
        <v>1000</v>
      </c>
      <c r="C2505" s="232" t="s">
        <v>199</v>
      </c>
      <c r="D2505" s="230">
        <f>SUM(D2506:D2507)</f>
        <v>0</v>
      </c>
    </row>
    <row r="2506" spans="1:4" ht="12" hidden="1" customHeight="1" outlineLevel="1" x14ac:dyDescent="0.3">
      <c r="A2506" s="227"/>
      <c r="B2506" s="234">
        <v>1100</v>
      </c>
      <c r="C2506" s="235" t="s">
        <v>200</v>
      </c>
      <c r="D2506" s="236"/>
    </row>
    <row r="2507" spans="1:4" ht="12" hidden="1" customHeight="1" outlineLevel="1" x14ac:dyDescent="0.3">
      <c r="A2507" s="227"/>
      <c r="B2507" s="234">
        <v>1200</v>
      </c>
      <c r="C2507" s="237" t="s">
        <v>201</v>
      </c>
      <c r="D2507" s="236"/>
    </row>
    <row r="2508" spans="1:4" ht="12" hidden="1" customHeight="1" outlineLevel="1" x14ac:dyDescent="0.3">
      <c r="A2508" s="238"/>
      <c r="B2508" s="239">
        <v>2000</v>
      </c>
      <c r="C2508" s="240" t="s">
        <v>202</v>
      </c>
      <c r="D2508" s="260">
        <f>SUM(D2509:D2513)</f>
        <v>0</v>
      </c>
    </row>
    <row r="2509" spans="1:4" ht="12" hidden="1" customHeight="1" outlineLevel="1" x14ac:dyDescent="0.3">
      <c r="A2509" s="238"/>
      <c r="B2509" s="242">
        <v>2100</v>
      </c>
      <c r="C2509" s="243" t="s">
        <v>203</v>
      </c>
      <c r="D2509" s="244"/>
    </row>
    <row r="2510" spans="1:4" ht="12" hidden="1" customHeight="1" outlineLevel="1" x14ac:dyDescent="0.3">
      <c r="A2510" s="238"/>
      <c r="B2510" s="242">
        <v>2200</v>
      </c>
      <c r="C2510" s="243" t="s">
        <v>204</v>
      </c>
      <c r="D2510" s="244"/>
    </row>
    <row r="2511" spans="1:4" ht="12" hidden="1" customHeight="1" outlineLevel="1" x14ac:dyDescent="0.3">
      <c r="A2511" s="238"/>
      <c r="B2511" s="242">
        <v>2300</v>
      </c>
      <c r="C2511" s="243" t="s">
        <v>205</v>
      </c>
      <c r="D2511" s="244"/>
    </row>
    <row r="2512" spans="1:4" ht="12" hidden="1" customHeight="1" outlineLevel="1" x14ac:dyDescent="0.3">
      <c r="A2512" s="238"/>
      <c r="B2512" s="242">
        <v>2400</v>
      </c>
      <c r="C2512" s="243" t="s">
        <v>206</v>
      </c>
      <c r="D2512" s="244"/>
    </row>
    <row r="2513" spans="1:4" ht="12" hidden="1" customHeight="1" outlineLevel="1" x14ac:dyDescent="0.3">
      <c r="A2513" s="238"/>
      <c r="B2513" s="242">
        <v>2500</v>
      </c>
      <c r="C2513" s="243" t="s">
        <v>207</v>
      </c>
      <c r="D2513" s="244"/>
    </row>
    <row r="2514" spans="1:4" ht="12" hidden="1" customHeight="1" outlineLevel="1" x14ac:dyDescent="0.3">
      <c r="A2514" s="238"/>
      <c r="B2514" s="199">
        <v>3000</v>
      </c>
      <c r="C2514" s="245" t="s">
        <v>208</v>
      </c>
      <c r="D2514" s="260">
        <f>SUM(D2515:D2516)</f>
        <v>0</v>
      </c>
    </row>
    <row r="2515" spans="1:4" ht="12" hidden="1" customHeight="1" outlineLevel="1" x14ac:dyDescent="0.3">
      <c r="A2515" s="238"/>
      <c r="B2515" s="242">
        <v>3200</v>
      </c>
      <c r="C2515" s="243" t="s">
        <v>209</v>
      </c>
      <c r="D2515" s="244"/>
    </row>
    <row r="2516" spans="1:4" ht="12" hidden="1" customHeight="1" outlineLevel="1" x14ac:dyDescent="0.3">
      <c r="A2516" s="238"/>
      <c r="B2516" s="242">
        <v>3300</v>
      </c>
      <c r="C2516" s="243" t="s">
        <v>210</v>
      </c>
      <c r="D2516" s="244"/>
    </row>
    <row r="2517" spans="1:4" ht="12" hidden="1" customHeight="1" outlineLevel="1" x14ac:dyDescent="0.3">
      <c r="A2517" s="238"/>
      <c r="B2517" s="199">
        <v>4000</v>
      </c>
      <c r="C2517" s="246" t="s">
        <v>211</v>
      </c>
      <c r="D2517" s="260">
        <f>SUM(D2518:D2519)</f>
        <v>0</v>
      </c>
    </row>
    <row r="2518" spans="1:4" ht="12" hidden="1" customHeight="1" outlineLevel="1" x14ac:dyDescent="0.3">
      <c r="A2518" s="238"/>
      <c r="B2518" s="242">
        <v>4200</v>
      </c>
      <c r="C2518" s="247" t="s">
        <v>212</v>
      </c>
      <c r="D2518" s="244"/>
    </row>
    <row r="2519" spans="1:4" ht="12" hidden="1" customHeight="1" outlineLevel="1" x14ac:dyDescent="0.3">
      <c r="A2519" s="238"/>
      <c r="B2519" s="242">
        <v>4300</v>
      </c>
      <c r="C2519" s="247" t="s">
        <v>213</v>
      </c>
      <c r="D2519" s="244"/>
    </row>
    <row r="2520" spans="1:4" ht="12" hidden="1" customHeight="1" outlineLevel="1" x14ac:dyDescent="0.3">
      <c r="A2520" s="238"/>
      <c r="B2520" s="199">
        <v>5000</v>
      </c>
      <c r="C2520" s="200" t="s">
        <v>214</v>
      </c>
      <c r="D2520" s="260">
        <f>SUM(D2521:D2523)</f>
        <v>0</v>
      </c>
    </row>
    <row r="2521" spans="1:4" ht="12" hidden="1" customHeight="1" outlineLevel="1" x14ac:dyDescent="0.3">
      <c r="A2521" s="238"/>
      <c r="B2521" s="242">
        <v>5100</v>
      </c>
      <c r="C2521" s="248" t="s">
        <v>215</v>
      </c>
      <c r="D2521" s="260"/>
    </row>
    <row r="2522" spans="1:4" ht="12" hidden="1" customHeight="1" outlineLevel="1" x14ac:dyDescent="0.3">
      <c r="A2522" s="238"/>
      <c r="B2522" s="242">
        <v>5200</v>
      </c>
      <c r="C2522" s="248" t="s">
        <v>216</v>
      </c>
      <c r="D2522" s="260"/>
    </row>
    <row r="2523" spans="1:4" ht="12" hidden="1" customHeight="1" outlineLevel="1" x14ac:dyDescent="0.3">
      <c r="A2523" s="238"/>
      <c r="B2523" s="242">
        <v>5300</v>
      </c>
      <c r="C2523" s="249" t="s">
        <v>217</v>
      </c>
      <c r="D2523" s="260"/>
    </row>
    <row r="2524" spans="1:4" ht="12" customHeight="1" collapsed="1" x14ac:dyDescent="0.3">
      <c r="A2524" s="238"/>
      <c r="B2524" s="199">
        <v>6000</v>
      </c>
      <c r="C2524" s="200" t="s">
        <v>218</v>
      </c>
      <c r="D2524" s="260">
        <f>SUM(D2525:D2528)</f>
        <v>1370756</v>
      </c>
    </row>
    <row r="2525" spans="1:4" ht="12" customHeight="1" x14ac:dyDescent="0.3">
      <c r="A2525" s="238"/>
      <c r="B2525" s="242">
        <v>6200</v>
      </c>
      <c r="C2525" s="248" t="s">
        <v>219</v>
      </c>
      <c r="D2525" s="244">
        <f>359523-125-600+397</f>
        <v>359195</v>
      </c>
    </row>
    <row r="2526" spans="1:4" ht="12" customHeight="1" x14ac:dyDescent="0.3">
      <c r="A2526" s="238"/>
      <c r="B2526" s="242">
        <v>6300</v>
      </c>
      <c r="C2526" s="248" t="s">
        <v>220</v>
      </c>
      <c r="D2526" s="244">
        <f>1006036+125+600+4800</f>
        <v>1011561</v>
      </c>
    </row>
    <row r="2527" spans="1:4" ht="12" hidden="1" customHeight="1" outlineLevel="1" x14ac:dyDescent="0.3">
      <c r="A2527" s="238"/>
      <c r="B2527" s="242">
        <v>6400</v>
      </c>
      <c r="C2527" s="248" t="s">
        <v>221</v>
      </c>
      <c r="D2527" s="244"/>
    </row>
    <row r="2528" spans="1:4" ht="12" hidden="1" customHeight="1" outlineLevel="1" x14ac:dyDescent="0.3">
      <c r="A2528" s="238"/>
      <c r="B2528" s="242">
        <v>6500</v>
      </c>
      <c r="C2528" s="249" t="s">
        <v>222</v>
      </c>
      <c r="D2528" s="244"/>
    </row>
    <row r="2529" spans="1:4" ht="12" hidden="1" customHeight="1" outlineLevel="1" x14ac:dyDescent="0.3">
      <c r="A2529" s="238"/>
      <c r="B2529" s="199">
        <v>7000</v>
      </c>
      <c r="C2529" s="200" t="s">
        <v>223</v>
      </c>
      <c r="D2529" s="260">
        <f>SUM(D2530:D2532)</f>
        <v>0</v>
      </c>
    </row>
    <row r="2530" spans="1:4" ht="12" hidden="1" customHeight="1" outlineLevel="1" x14ac:dyDescent="0.3">
      <c r="A2530" s="238"/>
      <c r="B2530" s="250">
        <v>7200</v>
      </c>
      <c r="C2530" s="251" t="s">
        <v>224</v>
      </c>
      <c r="D2530" s="244"/>
    </row>
    <row r="2531" spans="1:4" ht="12" hidden="1" customHeight="1" outlineLevel="1" x14ac:dyDescent="0.3">
      <c r="A2531" s="238"/>
      <c r="B2531" s="250">
        <v>7500</v>
      </c>
      <c r="C2531" s="251" t="s">
        <v>225</v>
      </c>
      <c r="D2531" s="244"/>
    </row>
    <row r="2532" spans="1:4" ht="12" hidden="1" customHeight="1" outlineLevel="1" x14ac:dyDescent="0.3">
      <c r="A2532" s="238"/>
      <c r="B2532" s="250">
        <v>7700</v>
      </c>
      <c r="C2532" s="251" t="s">
        <v>226</v>
      </c>
      <c r="D2532" s="244"/>
    </row>
    <row r="2533" spans="1:4" ht="12" hidden="1" customHeight="1" outlineLevel="1" x14ac:dyDescent="0.3">
      <c r="A2533" s="238"/>
      <c r="B2533" s="252">
        <v>8000</v>
      </c>
      <c r="C2533" s="253" t="s">
        <v>227</v>
      </c>
      <c r="D2533" s="260">
        <f>SUM(D2534:D2536)</f>
        <v>0</v>
      </c>
    </row>
    <row r="2534" spans="1:4" ht="12" hidden="1" customHeight="1" outlineLevel="1" x14ac:dyDescent="0.3">
      <c r="A2534" s="238"/>
      <c r="B2534" s="254">
        <v>8100</v>
      </c>
      <c r="C2534" s="255" t="s">
        <v>228</v>
      </c>
      <c r="D2534" s="260"/>
    </row>
    <row r="2535" spans="1:4" ht="12" hidden="1" customHeight="1" outlineLevel="1" x14ac:dyDescent="0.3">
      <c r="A2535" s="238"/>
      <c r="B2535" s="254">
        <v>8600</v>
      </c>
      <c r="C2535" s="255" t="s">
        <v>229</v>
      </c>
      <c r="D2535" s="260"/>
    </row>
    <row r="2536" spans="1:4" ht="12" hidden="1" customHeight="1" outlineLevel="1" x14ac:dyDescent="0.3">
      <c r="A2536" s="238"/>
      <c r="B2536" s="254">
        <v>8900</v>
      </c>
      <c r="C2536" s="255" t="s">
        <v>230</v>
      </c>
      <c r="D2536" s="260"/>
    </row>
    <row r="2537" spans="1:4" ht="12" customHeight="1" collapsed="1" x14ac:dyDescent="0.3">
      <c r="A2537" s="283">
        <v>10.7</v>
      </c>
      <c r="B2537" s="257"/>
      <c r="C2537" s="258" t="s">
        <v>370</v>
      </c>
      <c r="D2537" s="259">
        <f t="shared" ref="D2537" si="231">D2538+D2554+D2568</f>
        <v>337506</v>
      </c>
    </row>
    <row r="2538" spans="1:4" ht="12" customHeight="1" x14ac:dyDescent="0.3">
      <c r="A2538" s="227"/>
      <c r="B2538" s="228"/>
      <c r="C2538" s="229" t="s">
        <v>198</v>
      </c>
      <c r="D2538" s="230">
        <f t="shared" ref="D2538" si="232">D2539+D2542+D2548+D2551+D2558+D2564</f>
        <v>337506</v>
      </c>
    </row>
    <row r="2539" spans="1:4" ht="12" hidden="1" customHeight="1" outlineLevel="1" x14ac:dyDescent="0.3">
      <c r="A2539" s="227"/>
      <c r="B2539" s="231">
        <v>1000</v>
      </c>
      <c r="C2539" s="232" t="s">
        <v>199</v>
      </c>
      <c r="D2539" s="230">
        <f>SUM(D2540:D2541)</f>
        <v>0</v>
      </c>
    </row>
    <row r="2540" spans="1:4" ht="12" hidden="1" customHeight="1" outlineLevel="1" x14ac:dyDescent="0.3">
      <c r="A2540" s="227"/>
      <c r="B2540" s="234">
        <v>1100</v>
      </c>
      <c r="C2540" s="235" t="s">
        <v>200</v>
      </c>
      <c r="D2540" s="236"/>
    </row>
    <row r="2541" spans="1:4" ht="12" hidden="1" customHeight="1" outlineLevel="1" x14ac:dyDescent="0.3">
      <c r="A2541" s="227"/>
      <c r="B2541" s="234">
        <v>1200</v>
      </c>
      <c r="C2541" s="237" t="s">
        <v>201</v>
      </c>
      <c r="D2541" s="236"/>
    </row>
    <row r="2542" spans="1:4" ht="12" hidden="1" customHeight="1" outlineLevel="1" x14ac:dyDescent="0.3">
      <c r="A2542" s="238"/>
      <c r="B2542" s="239">
        <v>2000</v>
      </c>
      <c r="C2542" s="240" t="s">
        <v>202</v>
      </c>
      <c r="D2542" s="260">
        <f>SUM(D2543:D2547)</f>
        <v>0</v>
      </c>
    </row>
    <row r="2543" spans="1:4" ht="12" hidden="1" customHeight="1" outlineLevel="1" x14ac:dyDescent="0.3">
      <c r="A2543" s="238"/>
      <c r="B2543" s="242">
        <v>2100</v>
      </c>
      <c r="C2543" s="243" t="s">
        <v>203</v>
      </c>
      <c r="D2543" s="244"/>
    </row>
    <row r="2544" spans="1:4" ht="12" hidden="1" customHeight="1" outlineLevel="1" x14ac:dyDescent="0.3">
      <c r="A2544" s="238"/>
      <c r="B2544" s="242">
        <v>2200</v>
      </c>
      <c r="C2544" s="243" t="s">
        <v>204</v>
      </c>
      <c r="D2544" s="244"/>
    </row>
    <row r="2545" spans="1:4" ht="12" hidden="1" customHeight="1" outlineLevel="1" x14ac:dyDescent="0.3">
      <c r="A2545" s="238"/>
      <c r="B2545" s="242">
        <v>2300</v>
      </c>
      <c r="C2545" s="243" t="s">
        <v>205</v>
      </c>
      <c r="D2545" s="244"/>
    </row>
    <row r="2546" spans="1:4" ht="12" hidden="1" customHeight="1" outlineLevel="1" x14ac:dyDescent="0.3">
      <c r="A2546" s="238"/>
      <c r="B2546" s="242">
        <v>2400</v>
      </c>
      <c r="C2546" s="243" t="s">
        <v>206</v>
      </c>
      <c r="D2546" s="244"/>
    </row>
    <row r="2547" spans="1:4" ht="12" hidden="1" customHeight="1" outlineLevel="1" x14ac:dyDescent="0.3">
      <c r="A2547" s="238"/>
      <c r="B2547" s="242">
        <v>2500</v>
      </c>
      <c r="C2547" s="243" t="s">
        <v>207</v>
      </c>
      <c r="D2547" s="244"/>
    </row>
    <row r="2548" spans="1:4" ht="12" hidden="1" customHeight="1" outlineLevel="1" x14ac:dyDescent="0.3">
      <c r="A2548" s="238"/>
      <c r="B2548" s="199">
        <v>3000</v>
      </c>
      <c r="C2548" s="245" t="s">
        <v>208</v>
      </c>
      <c r="D2548" s="260">
        <f>SUM(D2549:D2550)</f>
        <v>0</v>
      </c>
    </row>
    <row r="2549" spans="1:4" ht="12" hidden="1" customHeight="1" outlineLevel="1" x14ac:dyDescent="0.3">
      <c r="A2549" s="238"/>
      <c r="B2549" s="242">
        <v>3200</v>
      </c>
      <c r="C2549" s="243" t="s">
        <v>209</v>
      </c>
      <c r="D2549" s="244"/>
    </row>
    <row r="2550" spans="1:4" ht="12" hidden="1" customHeight="1" outlineLevel="1" x14ac:dyDescent="0.3">
      <c r="A2550" s="238"/>
      <c r="B2550" s="242">
        <v>3300</v>
      </c>
      <c r="C2550" s="243" t="s">
        <v>210</v>
      </c>
      <c r="D2550" s="244"/>
    </row>
    <row r="2551" spans="1:4" ht="12" hidden="1" customHeight="1" outlineLevel="1" x14ac:dyDescent="0.3">
      <c r="A2551" s="238"/>
      <c r="B2551" s="199">
        <v>4000</v>
      </c>
      <c r="C2551" s="246" t="s">
        <v>211</v>
      </c>
      <c r="D2551" s="260">
        <f>SUM(D2552:D2553)</f>
        <v>0</v>
      </c>
    </row>
    <row r="2552" spans="1:4" ht="12" hidden="1" customHeight="1" outlineLevel="1" x14ac:dyDescent="0.3">
      <c r="A2552" s="238"/>
      <c r="B2552" s="242">
        <v>4200</v>
      </c>
      <c r="C2552" s="247" t="s">
        <v>212</v>
      </c>
      <c r="D2552" s="244"/>
    </row>
    <row r="2553" spans="1:4" ht="12" hidden="1" customHeight="1" outlineLevel="1" x14ac:dyDescent="0.3">
      <c r="A2553" s="238"/>
      <c r="B2553" s="242">
        <v>4300</v>
      </c>
      <c r="C2553" s="247" t="s">
        <v>213</v>
      </c>
      <c r="D2553" s="244"/>
    </row>
    <row r="2554" spans="1:4" ht="12" hidden="1" customHeight="1" outlineLevel="1" x14ac:dyDescent="0.3">
      <c r="A2554" s="238"/>
      <c r="B2554" s="199">
        <v>5000</v>
      </c>
      <c r="C2554" s="200" t="s">
        <v>214</v>
      </c>
      <c r="D2554" s="260">
        <f>SUM(D2555:D2557)</f>
        <v>0</v>
      </c>
    </row>
    <row r="2555" spans="1:4" ht="12" hidden="1" customHeight="1" outlineLevel="1" x14ac:dyDescent="0.3">
      <c r="A2555" s="238"/>
      <c r="B2555" s="242">
        <v>5100</v>
      </c>
      <c r="C2555" s="248" t="s">
        <v>215</v>
      </c>
      <c r="D2555" s="260"/>
    </row>
    <row r="2556" spans="1:4" ht="12" hidden="1" customHeight="1" outlineLevel="1" x14ac:dyDescent="0.3">
      <c r="A2556" s="238"/>
      <c r="B2556" s="242">
        <v>5200</v>
      </c>
      <c r="C2556" s="248" t="s">
        <v>216</v>
      </c>
      <c r="D2556" s="260"/>
    </row>
    <row r="2557" spans="1:4" ht="12" hidden="1" customHeight="1" outlineLevel="1" x14ac:dyDescent="0.3">
      <c r="A2557" s="238"/>
      <c r="B2557" s="242">
        <v>5300</v>
      </c>
      <c r="C2557" s="249" t="s">
        <v>217</v>
      </c>
      <c r="D2557" s="260"/>
    </row>
    <row r="2558" spans="1:4" ht="12" customHeight="1" collapsed="1" x14ac:dyDescent="0.3">
      <c r="A2558" s="238"/>
      <c r="B2558" s="199">
        <v>6000</v>
      </c>
      <c r="C2558" s="200" t="s">
        <v>218</v>
      </c>
      <c r="D2558" s="260">
        <f>SUM(D2559:D2562)</f>
        <v>337506</v>
      </c>
    </row>
    <row r="2559" spans="1:4" ht="12" customHeight="1" x14ac:dyDescent="0.3">
      <c r="A2559" s="238"/>
      <c r="B2559" s="242">
        <v>6200</v>
      </c>
      <c r="C2559" s="248" t="s">
        <v>219</v>
      </c>
      <c r="D2559" s="244">
        <f>327506+10000</f>
        <v>337506</v>
      </c>
    </row>
    <row r="2560" spans="1:4" ht="12" hidden="1" customHeight="1" outlineLevel="1" x14ac:dyDescent="0.3">
      <c r="A2560" s="238"/>
      <c r="B2560" s="242">
        <v>6300</v>
      </c>
      <c r="C2560" s="248" t="s">
        <v>220</v>
      </c>
      <c r="D2560" s="244"/>
    </row>
    <row r="2561" spans="1:4" ht="12" hidden="1" customHeight="1" outlineLevel="1" x14ac:dyDescent="0.3">
      <c r="A2561" s="238"/>
      <c r="B2561" s="242">
        <v>6400</v>
      </c>
      <c r="C2561" s="248" t="s">
        <v>221</v>
      </c>
      <c r="D2561" s="244"/>
    </row>
    <row r="2562" spans="1:4" ht="12" hidden="1" customHeight="1" outlineLevel="1" x14ac:dyDescent="0.3">
      <c r="A2562" s="238"/>
      <c r="B2562" s="242">
        <v>6500</v>
      </c>
      <c r="C2562" s="249" t="s">
        <v>222</v>
      </c>
      <c r="D2562" s="244"/>
    </row>
    <row r="2563" spans="1:4" ht="12" hidden="1" customHeight="1" outlineLevel="1" x14ac:dyDescent="0.3">
      <c r="A2563" s="238"/>
      <c r="B2563" s="199">
        <v>7000</v>
      </c>
      <c r="C2563" s="200" t="s">
        <v>223</v>
      </c>
      <c r="D2563" s="260">
        <f>SUM(D2564:D2566)</f>
        <v>0</v>
      </c>
    </row>
    <row r="2564" spans="1:4" ht="12" hidden="1" customHeight="1" outlineLevel="1" x14ac:dyDescent="0.3">
      <c r="A2564" s="238"/>
      <c r="B2564" s="250">
        <v>7200</v>
      </c>
      <c r="C2564" s="251" t="s">
        <v>224</v>
      </c>
      <c r="D2564" s="244"/>
    </row>
    <row r="2565" spans="1:4" ht="12" hidden="1" customHeight="1" outlineLevel="1" x14ac:dyDescent="0.3">
      <c r="A2565" s="238"/>
      <c r="B2565" s="250">
        <v>7500</v>
      </c>
      <c r="C2565" s="251" t="s">
        <v>225</v>
      </c>
      <c r="D2565" s="244"/>
    </row>
    <row r="2566" spans="1:4" ht="12" hidden="1" customHeight="1" outlineLevel="1" x14ac:dyDescent="0.3">
      <c r="A2566" s="238"/>
      <c r="B2566" s="250">
        <v>7700</v>
      </c>
      <c r="C2566" s="251" t="s">
        <v>226</v>
      </c>
      <c r="D2566" s="244"/>
    </row>
    <row r="2567" spans="1:4" ht="12" hidden="1" customHeight="1" outlineLevel="1" x14ac:dyDescent="0.3">
      <c r="A2567" s="238"/>
      <c r="B2567" s="252">
        <v>8000</v>
      </c>
      <c r="C2567" s="253" t="s">
        <v>227</v>
      </c>
      <c r="D2567" s="260">
        <f>SUM(D2568:D2570)</f>
        <v>0</v>
      </c>
    </row>
    <row r="2568" spans="1:4" ht="12" hidden="1" customHeight="1" outlineLevel="1" x14ac:dyDescent="0.3">
      <c r="A2568" s="238"/>
      <c r="B2568" s="254">
        <v>8100</v>
      </c>
      <c r="C2568" s="255" t="s">
        <v>228</v>
      </c>
      <c r="D2568" s="260"/>
    </row>
    <row r="2569" spans="1:4" ht="12" hidden="1" customHeight="1" outlineLevel="1" x14ac:dyDescent="0.3">
      <c r="A2569" s="238"/>
      <c r="B2569" s="254">
        <v>8600</v>
      </c>
      <c r="C2569" s="255" t="s">
        <v>229</v>
      </c>
      <c r="D2569" s="260"/>
    </row>
    <row r="2570" spans="1:4" ht="12" hidden="1" customHeight="1" outlineLevel="1" x14ac:dyDescent="0.3">
      <c r="A2570" s="238"/>
      <c r="B2570" s="254">
        <v>8900</v>
      </c>
      <c r="C2570" s="255" t="s">
        <v>230</v>
      </c>
      <c r="D2570" s="260"/>
    </row>
    <row r="2571" spans="1:4" ht="12" customHeight="1" collapsed="1" x14ac:dyDescent="0.3">
      <c r="A2571" s="283">
        <v>10.9</v>
      </c>
      <c r="B2571" s="257"/>
      <c r="C2571" s="258" t="s">
        <v>371</v>
      </c>
      <c r="D2571" s="259">
        <f t="shared" ref="D2571" si="233">D2572+D2588+D2601</f>
        <v>4739949</v>
      </c>
    </row>
    <row r="2572" spans="1:4" ht="12" customHeight="1" x14ac:dyDescent="0.3">
      <c r="A2572" s="227"/>
      <c r="B2572" s="228"/>
      <c r="C2572" s="229" t="s">
        <v>198</v>
      </c>
      <c r="D2572" s="230">
        <f t="shared" ref="D2572" si="234">D2573+D2576+D2582+D2585+D2592+D2597</f>
        <v>4735090</v>
      </c>
    </row>
    <row r="2573" spans="1:4" ht="12" customHeight="1" x14ac:dyDescent="0.3">
      <c r="A2573" s="227"/>
      <c r="B2573" s="231">
        <v>1000</v>
      </c>
      <c r="C2573" s="232" t="s">
        <v>199</v>
      </c>
      <c r="D2573" s="230">
        <f>SUM(D2574:D2575)</f>
        <v>2591360</v>
      </c>
    </row>
    <row r="2574" spans="1:4" ht="12" customHeight="1" x14ac:dyDescent="0.3">
      <c r="A2574" s="227"/>
      <c r="B2574" s="234">
        <v>1100</v>
      </c>
      <c r="C2574" s="235" t="s">
        <v>200</v>
      </c>
      <c r="D2574" s="236">
        <f>1977529-21150+93697</f>
        <v>2050076</v>
      </c>
    </row>
    <row r="2575" spans="1:4" ht="12" customHeight="1" x14ac:dyDescent="0.3">
      <c r="A2575" s="227"/>
      <c r="B2575" s="234">
        <v>1200</v>
      </c>
      <c r="C2575" s="237" t="s">
        <v>201</v>
      </c>
      <c r="D2575" s="236">
        <f>526059-4452+19677</f>
        <v>541284</v>
      </c>
    </row>
    <row r="2576" spans="1:4" ht="12" customHeight="1" x14ac:dyDescent="0.3">
      <c r="A2576" s="238"/>
      <c r="B2576" s="239">
        <v>2000</v>
      </c>
      <c r="C2576" s="240" t="s">
        <v>202</v>
      </c>
      <c r="D2576" s="260">
        <f>SUM(D2577:D2581)</f>
        <v>386062</v>
      </c>
    </row>
    <row r="2577" spans="1:4" ht="12" customHeight="1" x14ac:dyDescent="0.3">
      <c r="A2577" s="238"/>
      <c r="B2577" s="242">
        <v>2100</v>
      </c>
      <c r="C2577" s="243" t="s">
        <v>203</v>
      </c>
      <c r="D2577" s="244">
        <f>2419-151+2</f>
        <v>2270</v>
      </c>
    </row>
    <row r="2578" spans="1:4" ht="12" customHeight="1" x14ac:dyDescent="0.3">
      <c r="A2578" s="238"/>
      <c r="B2578" s="242">
        <v>2200</v>
      </c>
      <c r="C2578" s="243" t="s">
        <v>204</v>
      </c>
      <c r="D2578" s="244">
        <f>200820-635+2313+65711</f>
        <v>268209</v>
      </c>
    </row>
    <row r="2579" spans="1:4" ht="12" customHeight="1" x14ac:dyDescent="0.3">
      <c r="A2579" s="238"/>
      <c r="B2579" s="242">
        <v>2300</v>
      </c>
      <c r="C2579" s="243" t="s">
        <v>205</v>
      </c>
      <c r="D2579" s="244">
        <f>142717+635-43982+8803</f>
        <v>108173</v>
      </c>
    </row>
    <row r="2580" spans="1:4" ht="12" customHeight="1" x14ac:dyDescent="0.3">
      <c r="A2580" s="238"/>
      <c r="B2580" s="242">
        <v>2400</v>
      </c>
      <c r="C2580" s="243" t="s">
        <v>206</v>
      </c>
      <c r="D2580" s="244">
        <v>0</v>
      </c>
    </row>
    <row r="2581" spans="1:4" ht="12" customHeight="1" x14ac:dyDescent="0.3">
      <c r="A2581" s="238"/>
      <c r="B2581" s="242">
        <v>2500</v>
      </c>
      <c r="C2581" s="243" t="s">
        <v>207</v>
      </c>
      <c r="D2581" s="244">
        <f>6780+630</f>
        <v>7410</v>
      </c>
    </row>
    <row r="2582" spans="1:4" ht="12" customHeight="1" x14ac:dyDescent="0.3">
      <c r="A2582" s="238"/>
      <c r="B2582" s="199">
        <v>3000</v>
      </c>
      <c r="C2582" s="245" t="s">
        <v>208</v>
      </c>
      <c r="D2582" s="260">
        <f>SUM(D2583:D2584)</f>
        <v>70320</v>
      </c>
    </row>
    <row r="2583" spans="1:4" ht="12" customHeight="1" x14ac:dyDescent="0.3">
      <c r="A2583" s="238"/>
      <c r="B2583" s="242">
        <v>3200</v>
      </c>
      <c r="C2583" s="243" t="s">
        <v>209</v>
      </c>
      <c r="D2583" s="244">
        <v>70320</v>
      </c>
    </row>
    <row r="2584" spans="1:4" ht="12" hidden="1" customHeight="1" outlineLevel="1" x14ac:dyDescent="0.3">
      <c r="A2584" s="238"/>
      <c r="B2584" s="242">
        <v>3300</v>
      </c>
      <c r="C2584" s="243" t="s">
        <v>210</v>
      </c>
      <c r="D2584" s="244"/>
    </row>
    <row r="2585" spans="1:4" ht="12" hidden="1" customHeight="1" outlineLevel="1" x14ac:dyDescent="0.3">
      <c r="A2585" s="238"/>
      <c r="B2585" s="199">
        <v>4000</v>
      </c>
      <c r="C2585" s="246" t="s">
        <v>211</v>
      </c>
      <c r="D2585" s="260">
        <f>SUM(D2586:D2587)</f>
        <v>0</v>
      </c>
    </row>
    <row r="2586" spans="1:4" ht="12" hidden="1" customHeight="1" outlineLevel="1" x14ac:dyDescent="0.3">
      <c r="A2586" s="238"/>
      <c r="B2586" s="242">
        <v>4200</v>
      </c>
      <c r="C2586" s="247" t="s">
        <v>212</v>
      </c>
      <c r="D2586" s="244"/>
    </row>
    <row r="2587" spans="1:4" ht="12" hidden="1" customHeight="1" outlineLevel="1" x14ac:dyDescent="0.3">
      <c r="A2587" s="238"/>
      <c r="B2587" s="242">
        <v>4300</v>
      </c>
      <c r="C2587" s="247" t="s">
        <v>213</v>
      </c>
      <c r="D2587" s="244"/>
    </row>
    <row r="2588" spans="1:4" ht="12" customHeight="1" collapsed="1" x14ac:dyDescent="0.3">
      <c r="A2588" s="238"/>
      <c r="B2588" s="199">
        <v>5000</v>
      </c>
      <c r="C2588" s="200" t="s">
        <v>214</v>
      </c>
      <c r="D2588" s="260">
        <f>SUM(D2589:D2591)</f>
        <v>4859</v>
      </c>
    </row>
    <row r="2589" spans="1:4" ht="12" customHeight="1" x14ac:dyDescent="0.3">
      <c r="A2589" s="238"/>
      <c r="B2589" s="242">
        <v>5100</v>
      </c>
      <c r="C2589" s="248" t="s">
        <v>215</v>
      </c>
      <c r="D2589" s="260">
        <v>0</v>
      </c>
    </row>
    <row r="2590" spans="1:4" ht="12" customHeight="1" x14ac:dyDescent="0.3">
      <c r="A2590" s="238"/>
      <c r="B2590" s="242">
        <v>5200</v>
      </c>
      <c r="C2590" s="248" t="s">
        <v>216</v>
      </c>
      <c r="D2590" s="260">
        <f>4096+763</f>
        <v>4859</v>
      </c>
    </row>
    <row r="2591" spans="1:4" ht="12" customHeight="1" x14ac:dyDescent="0.3">
      <c r="A2591" s="238"/>
      <c r="B2591" s="242">
        <v>5300</v>
      </c>
      <c r="C2591" s="249" t="s">
        <v>217</v>
      </c>
      <c r="D2591" s="260"/>
    </row>
    <row r="2592" spans="1:4" ht="12" customHeight="1" x14ac:dyDescent="0.3">
      <c r="A2592" s="238"/>
      <c r="B2592" s="199">
        <v>6000</v>
      </c>
      <c r="C2592" s="200" t="s">
        <v>218</v>
      </c>
      <c r="D2592" s="260">
        <f>SUM(D2593:D2596)</f>
        <v>1687348</v>
      </c>
    </row>
    <row r="2593" spans="1:4" ht="12" customHeight="1" x14ac:dyDescent="0.3">
      <c r="A2593" s="238"/>
      <c r="B2593" s="242">
        <v>6200</v>
      </c>
      <c r="C2593" s="248" t="s">
        <v>219</v>
      </c>
      <c r="D2593" s="244">
        <f>90581-4498</f>
        <v>86083</v>
      </c>
    </row>
    <row r="2594" spans="1:4" ht="12" hidden="1" customHeight="1" outlineLevel="1" x14ac:dyDescent="0.3">
      <c r="A2594" s="238"/>
      <c r="B2594" s="242">
        <v>6300</v>
      </c>
      <c r="C2594" s="248" t="s">
        <v>220</v>
      </c>
      <c r="D2594" s="244">
        <v>66426</v>
      </c>
    </row>
    <row r="2595" spans="1:4" ht="12" customHeight="1" collapsed="1" x14ac:dyDescent="0.3">
      <c r="A2595" s="238"/>
      <c r="B2595" s="242">
        <v>6400</v>
      </c>
      <c r="C2595" s="248" t="s">
        <v>221</v>
      </c>
      <c r="D2595" s="244">
        <f>1556994-61870+39715</f>
        <v>1534839</v>
      </c>
    </row>
    <row r="2596" spans="1:4" ht="12" hidden="1" customHeight="1" outlineLevel="1" x14ac:dyDescent="0.3">
      <c r="A2596" s="238"/>
      <c r="B2596" s="242">
        <v>6500</v>
      </c>
      <c r="C2596" s="249" t="s">
        <v>222</v>
      </c>
      <c r="D2596" s="244"/>
    </row>
    <row r="2597" spans="1:4" ht="12" customHeight="1" collapsed="1" x14ac:dyDescent="0.3">
      <c r="A2597" s="238"/>
      <c r="B2597" s="199">
        <v>7000</v>
      </c>
      <c r="C2597" s="200" t="s">
        <v>223</v>
      </c>
      <c r="D2597" s="260">
        <f>SUM(D2598:D2600)</f>
        <v>0</v>
      </c>
    </row>
    <row r="2598" spans="1:4" ht="12" customHeight="1" x14ac:dyDescent="0.3">
      <c r="A2598" s="238"/>
      <c r="B2598" s="250">
        <v>7200</v>
      </c>
      <c r="C2598" s="251" t="s">
        <v>224</v>
      </c>
      <c r="D2598" s="244">
        <v>0</v>
      </c>
    </row>
    <row r="2599" spans="1:4" ht="12" hidden="1" customHeight="1" outlineLevel="1" x14ac:dyDescent="0.3">
      <c r="A2599" s="238"/>
      <c r="B2599" s="250">
        <v>7500</v>
      </c>
      <c r="C2599" s="251" t="s">
        <v>225</v>
      </c>
      <c r="D2599" s="244"/>
    </row>
    <row r="2600" spans="1:4" ht="12" hidden="1" customHeight="1" outlineLevel="1" x14ac:dyDescent="0.3">
      <c r="A2600" s="238"/>
      <c r="B2600" s="250">
        <v>7700</v>
      </c>
      <c r="C2600" s="251" t="s">
        <v>226</v>
      </c>
      <c r="D2600" s="244"/>
    </row>
    <row r="2601" spans="1:4" ht="12" hidden="1" customHeight="1" outlineLevel="1" x14ac:dyDescent="0.3">
      <c r="A2601" s="238"/>
      <c r="B2601" s="252">
        <v>8000</v>
      </c>
      <c r="C2601" s="253" t="s">
        <v>227</v>
      </c>
      <c r="D2601" s="260">
        <f>SUM(D2602:D2604)</f>
        <v>0</v>
      </c>
    </row>
    <row r="2602" spans="1:4" ht="12" hidden="1" customHeight="1" outlineLevel="1" x14ac:dyDescent="0.3">
      <c r="A2602" s="238"/>
      <c r="B2602" s="254">
        <v>8100</v>
      </c>
      <c r="C2602" s="255" t="s">
        <v>228</v>
      </c>
      <c r="D2602" s="260"/>
    </row>
    <row r="2603" spans="1:4" ht="12" hidden="1" customHeight="1" outlineLevel="1" x14ac:dyDescent="0.3">
      <c r="A2603" s="238"/>
      <c r="B2603" s="254">
        <v>8600</v>
      </c>
      <c r="C2603" s="255" t="s">
        <v>229</v>
      </c>
      <c r="D2603" s="260"/>
    </row>
    <row r="2604" spans="1:4" ht="12" hidden="1" customHeight="1" outlineLevel="1" x14ac:dyDescent="0.3">
      <c r="A2604" s="238"/>
      <c r="B2604" s="254">
        <v>8900</v>
      </c>
      <c r="C2604" s="255" t="s">
        <v>230</v>
      </c>
      <c r="D2604" s="260"/>
    </row>
    <row r="2605" spans="1:4" ht="17.100000000000001" customHeight="1" collapsed="1" x14ac:dyDescent="0.3">
      <c r="A2605" s="284"/>
      <c r="B2605" s="285" t="s">
        <v>372</v>
      </c>
      <c r="C2605" s="286"/>
      <c r="D2605" s="222">
        <f>D2606+D2622+D2635</f>
        <v>126507099</v>
      </c>
    </row>
    <row r="2606" spans="1:4" ht="12" customHeight="1" x14ac:dyDescent="0.3">
      <c r="A2606" s="227"/>
      <c r="B2606" s="228"/>
      <c r="C2606" s="229" t="s">
        <v>198</v>
      </c>
      <c r="D2606" s="287">
        <f>D2607+D2610+D2616+D2619+D2626+D2631</f>
        <v>106145123</v>
      </c>
    </row>
    <row r="2607" spans="1:4" ht="12" customHeight="1" x14ac:dyDescent="0.3">
      <c r="A2607" s="227"/>
      <c r="B2607" s="231">
        <v>1000</v>
      </c>
      <c r="C2607" s="232" t="s">
        <v>199</v>
      </c>
      <c r="D2607" s="288">
        <f>D56+D328+D498+D906+D1145+D1349+D1485+D1825+D2369</f>
        <v>63370772</v>
      </c>
    </row>
    <row r="2608" spans="1:4" ht="12" customHeight="1" x14ac:dyDescent="0.3">
      <c r="A2608" s="227"/>
      <c r="B2608" s="234">
        <v>1100</v>
      </c>
      <c r="C2608" s="235" t="s">
        <v>200</v>
      </c>
      <c r="D2608" s="287">
        <f>D57+D329+D499+D907+D1146+D1350+D1486+D1826+D2370</f>
        <v>49746927</v>
      </c>
    </row>
    <row r="2609" spans="1:4" ht="12" customHeight="1" x14ac:dyDescent="0.3">
      <c r="A2609" s="227"/>
      <c r="B2609" s="234">
        <v>1200</v>
      </c>
      <c r="C2609" s="237" t="s">
        <v>201</v>
      </c>
      <c r="D2609" s="287">
        <f>D58+D330+D500+D908+D1147+D1351+D1487+D1827+D2371</f>
        <v>13623845</v>
      </c>
    </row>
    <row r="2610" spans="1:4" ht="12" customHeight="1" x14ac:dyDescent="0.3">
      <c r="A2610" s="238"/>
      <c r="B2610" s="239">
        <v>2000</v>
      </c>
      <c r="C2610" s="240" t="s">
        <v>202</v>
      </c>
      <c r="D2610" s="288">
        <f>D59+D331+D501+D909+D1148+D1352+D1488+D1828+D2372</f>
        <v>29114196</v>
      </c>
    </row>
    <row r="2611" spans="1:4" ht="12" customHeight="1" x14ac:dyDescent="0.3">
      <c r="A2611" s="238"/>
      <c r="B2611" s="242">
        <v>2100</v>
      </c>
      <c r="C2611" s="243" t="s">
        <v>203</v>
      </c>
      <c r="D2611" s="287">
        <f t="shared" ref="D2611:D2637" si="235">D60+D332+D502+D910+D1149+D1353+D1489+D1829+D2373</f>
        <v>846905</v>
      </c>
    </row>
    <row r="2612" spans="1:4" ht="12" customHeight="1" x14ac:dyDescent="0.3">
      <c r="A2612" s="238"/>
      <c r="B2612" s="242">
        <v>2200</v>
      </c>
      <c r="C2612" s="243" t="s">
        <v>204</v>
      </c>
      <c r="D2612" s="287">
        <f t="shared" si="235"/>
        <v>19755483</v>
      </c>
    </row>
    <row r="2613" spans="1:4" ht="12" customHeight="1" x14ac:dyDescent="0.3">
      <c r="A2613" s="238"/>
      <c r="B2613" s="242">
        <v>2300</v>
      </c>
      <c r="C2613" s="243" t="s">
        <v>205</v>
      </c>
      <c r="D2613" s="287">
        <f t="shared" si="235"/>
        <v>7984831</v>
      </c>
    </row>
    <row r="2614" spans="1:4" ht="12" customHeight="1" x14ac:dyDescent="0.3">
      <c r="A2614" s="238"/>
      <c r="B2614" s="242">
        <v>2400</v>
      </c>
      <c r="C2614" s="243" t="s">
        <v>206</v>
      </c>
      <c r="D2614" s="287">
        <f t="shared" si="235"/>
        <v>36769</v>
      </c>
    </row>
    <row r="2615" spans="1:4" ht="12" customHeight="1" x14ac:dyDescent="0.3">
      <c r="A2615" s="238"/>
      <c r="B2615" s="242">
        <v>2500</v>
      </c>
      <c r="C2615" s="243" t="s">
        <v>207</v>
      </c>
      <c r="D2615" s="287">
        <f t="shared" si="235"/>
        <v>490204</v>
      </c>
    </row>
    <row r="2616" spans="1:4" ht="12" customHeight="1" x14ac:dyDescent="0.3">
      <c r="A2616" s="238"/>
      <c r="B2616" s="199">
        <v>3000</v>
      </c>
      <c r="C2616" s="245" t="s">
        <v>208</v>
      </c>
      <c r="D2616" s="288">
        <f>D65+D337+D507+D915+D1154+D1358+D1494+D1834+D2378</f>
        <v>4826404</v>
      </c>
    </row>
    <row r="2617" spans="1:4" ht="12" customHeight="1" x14ac:dyDescent="0.3">
      <c r="A2617" s="238"/>
      <c r="B2617" s="242">
        <v>3200</v>
      </c>
      <c r="C2617" s="243" t="s">
        <v>209</v>
      </c>
      <c r="D2617" s="287">
        <f t="shared" si="235"/>
        <v>4198483</v>
      </c>
    </row>
    <row r="2618" spans="1:4" ht="12" customHeight="1" x14ac:dyDescent="0.3">
      <c r="A2618" s="238"/>
      <c r="B2618" s="242">
        <v>3300</v>
      </c>
      <c r="C2618" s="243" t="s">
        <v>210</v>
      </c>
      <c r="D2618" s="287">
        <f t="shared" si="235"/>
        <v>627920</v>
      </c>
    </row>
    <row r="2619" spans="1:4" ht="12" customHeight="1" x14ac:dyDescent="0.3">
      <c r="A2619" s="238"/>
      <c r="B2619" s="199">
        <v>4000</v>
      </c>
      <c r="C2619" s="246" t="s">
        <v>211</v>
      </c>
      <c r="D2619" s="288">
        <f>D68+D340+D510+D918+D1157+D1361+D1497+D1837+D2381</f>
        <v>2880963</v>
      </c>
    </row>
    <row r="2620" spans="1:4" ht="12" hidden="1" customHeight="1" outlineLevel="1" x14ac:dyDescent="0.3">
      <c r="A2620" s="238"/>
      <c r="B2620" s="242">
        <v>4200</v>
      </c>
      <c r="C2620" s="247" t="s">
        <v>212</v>
      </c>
      <c r="D2620" s="287">
        <f t="shared" si="235"/>
        <v>0</v>
      </c>
    </row>
    <row r="2621" spans="1:4" ht="12" customHeight="1" collapsed="1" x14ac:dyDescent="0.3">
      <c r="A2621" s="238"/>
      <c r="B2621" s="242">
        <v>4300</v>
      </c>
      <c r="C2621" s="247" t="s">
        <v>213</v>
      </c>
      <c r="D2621" s="287">
        <f t="shared" si="235"/>
        <v>2880963</v>
      </c>
    </row>
    <row r="2622" spans="1:4" ht="12" customHeight="1" x14ac:dyDescent="0.3">
      <c r="A2622" s="238"/>
      <c r="B2622" s="199">
        <v>5000</v>
      </c>
      <c r="C2622" s="200" t="s">
        <v>214</v>
      </c>
      <c r="D2622" s="288">
        <f>D71+D343+D513+D921+D1160+D1364+D1500+D1840+D2384</f>
        <v>20361976</v>
      </c>
    </row>
    <row r="2623" spans="1:4" ht="12" customHeight="1" x14ac:dyDescent="0.3">
      <c r="A2623" s="238"/>
      <c r="B2623" s="242">
        <v>5100</v>
      </c>
      <c r="C2623" s="248" t="s">
        <v>215</v>
      </c>
      <c r="D2623" s="287">
        <f t="shared" si="235"/>
        <v>160780</v>
      </c>
    </row>
    <row r="2624" spans="1:4" ht="12" customHeight="1" x14ac:dyDescent="0.3">
      <c r="A2624" s="238"/>
      <c r="B2624" s="242">
        <v>5200</v>
      </c>
      <c r="C2624" s="248" t="s">
        <v>216</v>
      </c>
      <c r="D2624" s="287">
        <f t="shared" si="235"/>
        <v>20201196</v>
      </c>
    </row>
    <row r="2625" spans="1:4" ht="12" hidden="1" customHeight="1" outlineLevel="1" x14ac:dyDescent="0.3">
      <c r="A2625" s="238"/>
      <c r="B2625" s="242">
        <v>5300</v>
      </c>
      <c r="C2625" s="249" t="s">
        <v>217</v>
      </c>
      <c r="D2625" s="287">
        <f t="shared" si="235"/>
        <v>0</v>
      </c>
    </row>
    <row r="2626" spans="1:4" ht="12" customHeight="1" collapsed="1" x14ac:dyDescent="0.3">
      <c r="A2626" s="238"/>
      <c r="B2626" s="199">
        <v>6000</v>
      </c>
      <c r="C2626" s="200" t="s">
        <v>218</v>
      </c>
      <c r="D2626" s="288">
        <f t="shared" si="235"/>
        <v>5287606</v>
      </c>
    </row>
    <row r="2627" spans="1:4" ht="12" customHeight="1" x14ac:dyDescent="0.3">
      <c r="A2627" s="238"/>
      <c r="B2627" s="242">
        <v>6200</v>
      </c>
      <c r="C2627" s="248" t="s">
        <v>219</v>
      </c>
      <c r="D2627" s="287">
        <f>D76+D348+D518+D926+D1165+D1369+D1505+D1845+D2389</f>
        <v>1217446</v>
      </c>
    </row>
    <row r="2628" spans="1:4" ht="12" customHeight="1" x14ac:dyDescent="0.3">
      <c r="A2628" s="238"/>
      <c r="B2628" s="242">
        <v>6300</v>
      </c>
      <c r="C2628" s="248" t="s">
        <v>220</v>
      </c>
      <c r="D2628" s="287">
        <f t="shared" si="235"/>
        <v>1143907</v>
      </c>
    </row>
    <row r="2629" spans="1:4" ht="12" customHeight="1" x14ac:dyDescent="0.3">
      <c r="A2629" s="238"/>
      <c r="B2629" s="242">
        <v>6400</v>
      </c>
      <c r="C2629" s="248" t="s">
        <v>221</v>
      </c>
      <c r="D2629" s="287">
        <f>D78+D350+D520+D928+D1167+D1371+D1507+D1847+D2391</f>
        <v>2924574</v>
      </c>
    </row>
    <row r="2630" spans="1:4" ht="12" customHeight="1" x14ac:dyDescent="0.3">
      <c r="A2630" s="238"/>
      <c r="B2630" s="242">
        <v>6500</v>
      </c>
      <c r="C2630" s="249" t="s">
        <v>222</v>
      </c>
      <c r="D2630" s="287">
        <f t="shared" si="235"/>
        <v>1679</v>
      </c>
    </row>
    <row r="2631" spans="1:4" ht="12" customHeight="1" x14ac:dyDescent="0.3">
      <c r="A2631" s="238"/>
      <c r="B2631" s="199">
        <v>7000</v>
      </c>
      <c r="C2631" s="200" t="s">
        <v>223</v>
      </c>
      <c r="D2631" s="288">
        <f>D80+D352+D522+D930+D1169+D1373+D1509+D1849+D2393</f>
        <v>665182</v>
      </c>
    </row>
    <row r="2632" spans="1:4" ht="12" customHeight="1" x14ac:dyDescent="0.3">
      <c r="A2632" s="238"/>
      <c r="B2632" s="250">
        <v>7200</v>
      </c>
      <c r="C2632" s="251" t="s">
        <v>224</v>
      </c>
      <c r="D2632" s="287">
        <f t="shared" si="235"/>
        <v>572563</v>
      </c>
    </row>
    <row r="2633" spans="1:4" ht="12" customHeight="1" x14ac:dyDescent="0.3">
      <c r="A2633" s="238"/>
      <c r="B2633" s="250">
        <v>7500</v>
      </c>
      <c r="C2633" s="251" t="s">
        <v>225</v>
      </c>
      <c r="D2633" s="287">
        <f t="shared" si="235"/>
        <v>0</v>
      </c>
    </row>
    <row r="2634" spans="1:4" ht="12" customHeight="1" x14ac:dyDescent="0.3">
      <c r="A2634" s="238"/>
      <c r="B2634" s="250">
        <v>7700</v>
      </c>
      <c r="C2634" s="251" t="s">
        <v>226</v>
      </c>
      <c r="D2634" s="287">
        <f>D83+D355+D525+D933+D1172+D1376+D1512+D1852+D2396</f>
        <v>91168</v>
      </c>
    </row>
    <row r="2635" spans="1:4" ht="12" hidden="1" customHeight="1" outlineLevel="1" x14ac:dyDescent="0.3">
      <c r="A2635" s="238"/>
      <c r="B2635" s="252">
        <v>8000</v>
      </c>
      <c r="C2635" s="253" t="s">
        <v>227</v>
      </c>
      <c r="D2635" s="288">
        <f>D84+D356+D526+D935+D1173+D1377+D1513+D1853+D2397</f>
        <v>0</v>
      </c>
    </row>
    <row r="2636" spans="1:4" ht="12" hidden="1" customHeight="1" outlineLevel="1" x14ac:dyDescent="0.3">
      <c r="A2636" s="238"/>
      <c r="B2636" s="254">
        <v>8100</v>
      </c>
      <c r="C2636" s="255" t="s">
        <v>228</v>
      </c>
      <c r="D2636" s="287">
        <f t="shared" si="235"/>
        <v>0</v>
      </c>
    </row>
    <row r="2637" spans="1:4" ht="12" hidden="1" customHeight="1" outlineLevel="1" x14ac:dyDescent="0.3">
      <c r="A2637" s="238"/>
      <c r="B2637" s="254">
        <v>8600</v>
      </c>
      <c r="C2637" s="255" t="s">
        <v>229</v>
      </c>
      <c r="D2637" s="287">
        <f t="shared" si="235"/>
        <v>0</v>
      </c>
    </row>
    <row r="2638" spans="1:4" ht="12" hidden="1" customHeight="1" outlineLevel="1" x14ac:dyDescent="0.3">
      <c r="A2638" s="238"/>
      <c r="B2638" s="254">
        <v>8900</v>
      </c>
      <c r="C2638" s="255" t="s">
        <v>230</v>
      </c>
      <c r="D2638" s="287">
        <f>D87+D359+D529+D937+D1176+D1380+D1516+D1856+D2400</f>
        <v>0</v>
      </c>
    </row>
    <row r="2639" spans="1:4" ht="17.100000000000001" customHeight="1" collapsed="1" x14ac:dyDescent="0.3">
      <c r="A2639" s="284"/>
      <c r="B2639" s="289"/>
      <c r="C2639" s="286" t="s">
        <v>373</v>
      </c>
      <c r="D2639" s="290">
        <f t="shared" ref="D2639" si="236">D2640+D2643+D2646</f>
        <v>-5604417</v>
      </c>
    </row>
    <row r="2640" spans="1:4" ht="12" customHeight="1" x14ac:dyDescent="0.3">
      <c r="A2640" s="238"/>
      <c r="B2640" s="199">
        <v>9700</v>
      </c>
      <c r="C2640" s="200" t="s">
        <v>374</v>
      </c>
      <c r="D2640" s="201">
        <f t="shared" ref="D2640" si="237">SUM(D2641:D2642)</f>
        <v>-6222072</v>
      </c>
    </row>
    <row r="2641" spans="1:4" ht="12" customHeight="1" x14ac:dyDescent="0.3">
      <c r="A2641" s="238"/>
      <c r="B2641" s="291" t="s">
        <v>375</v>
      </c>
      <c r="C2641" s="292" t="s">
        <v>376</v>
      </c>
      <c r="D2641" s="293">
        <f>-5932687-1259700+1259700-1997000+350033+353317-2123410</f>
        <v>-9349747</v>
      </c>
    </row>
    <row r="2642" spans="1:4" ht="12" customHeight="1" x14ac:dyDescent="0.3">
      <c r="A2642" s="238"/>
      <c r="B2642" s="291" t="s">
        <v>377</v>
      </c>
      <c r="C2642" s="292" t="s">
        <v>378</v>
      </c>
      <c r="D2642" s="293">
        <f>3039535+88140</f>
        <v>3127675</v>
      </c>
    </row>
    <row r="2643" spans="1:4" ht="12" hidden="1" customHeight="1" outlineLevel="1" x14ac:dyDescent="0.3">
      <c r="A2643" s="294"/>
      <c r="B2643" s="199">
        <v>9800</v>
      </c>
      <c r="C2643" s="200" t="s">
        <v>379</v>
      </c>
      <c r="D2643" s="201">
        <f t="shared" ref="D2643" si="238">SUM(D2644:D2645)</f>
        <v>0</v>
      </c>
    </row>
    <row r="2644" spans="1:4" ht="12" hidden="1" customHeight="1" outlineLevel="1" x14ac:dyDescent="0.3">
      <c r="A2644" s="294"/>
      <c r="B2644" s="295">
        <v>9810</v>
      </c>
      <c r="C2644" s="204" t="s">
        <v>380</v>
      </c>
      <c r="D2644" s="293"/>
    </row>
    <row r="2645" spans="1:4" ht="12" hidden="1" customHeight="1" outlineLevel="1" x14ac:dyDescent="0.3">
      <c r="A2645" s="294"/>
      <c r="B2645" s="295">
        <v>9820</v>
      </c>
      <c r="C2645" s="204" t="s">
        <v>381</v>
      </c>
      <c r="D2645" s="293"/>
    </row>
    <row r="2646" spans="1:4" ht="12" customHeight="1" collapsed="1" x14ac:dyDescent="0.3">
      <c r="A2646" s="294"/>
      <c r="B2646" s="199">
        <v>9900</v>
      </c>
      <c r="C2646" s="200" t="s">
        <v>382</v>
      </c>
      <c r="D2646" s="201">
        <f t="shared" ref="D2646" si="239">SUM(D2647:D2649)</f>
        <v>617655</v>
      </c>
    </row>
    <row r="2647" spans="1:4" ht="12" customHeight="1" x14ac:dyDescent="0.3">
      <c r="A2647" s="294"/>
      <c r="B2647" s="291" t="s">
        <v>383</v>
      </c>
      <c r="C2647" s="204" t="s">
        <v>384</v>
      </c>
      <c r="D2647" s="293">
        <f>73196+73650+200000+270808+1</f>
        <v>617655</v>
      </c>
    </row>
    <row r="2648" spans="1:4" ht="12" hidden="1" customHeight="1" outlineLevel="1" x14ac:dyDescent="0.3">
      <c r="A2648" s="294"/>
      <c r="B2648" s="295">
        <v>9930</v>
      </c>
      <c r="C2648" s="219" t="s">
        <v>385</v>
      </c>
      <c r="D2648" s="293"/>
    </row>
    <row r="2649" spans="1:4" ht="12" hidden="1" customHeight="1" outlineLevel="1" x14ac:dyDescent="0.3">
      <c r="A2649" s="294"/>
      <c r="B2649" s="296">
        <v>9950</v>
      </c>
      <c r="C2649" s="204" t="s">
        <v>386</v>
      </c>
      <c r="D2649" s="293"/>
    </row>
    <row r="2650" spans="1:4" ht="17.100000000000001" customHeight="1" collapsed="1" x14ac:dyDescent="0.3">
      <c r="A2650" s="297"/>
      <c r="B2650" s="298"/>
      <c r="C2650" s="299" t="s">
        <v>387</v>
      </c>
      <c r="D2650" s="300">
        <f>D53+D2639</f>
        <v>120902682</v>
      </c>
    </row>
    <row r="2651" spans="1:4" ht="12.75" customHeight="1" x14ac:dyDescent="0.3">
      <c r="A2651" s="301"/>
      <c r="B2651" s="302"/>
      <c r="C2651" s="303" t="s">
        <v>388</v>
      </c>
      <c r="D2651" s="304">
        <v>12628363</v>
      </c>
    </row>
    <row r="2652" spans="1:4" ht="12.75" customHeight="1" x14ac:dyDescent="0.3">
      <c r="A2652" s="305"/>
      <c r="B2652" s="306"/>
      <c r="C2652" s="307" t="s">
        <v>389</v>
      </c>
      <c r="D2652" s="308">
        <f>D2651+D12-D2650</f>
        <v>216214</v>
      </c>
    </row>
    <row r="2653" spans="1:4" x14ac:dyDescent="0.3">
      <c r="A2653" s="309"/>
      <c r="B2653" s="309"/>
      <c r="C2653" s="310"/>
      <c r="D2653" s="311"/>
    </row>
    <row r="2654" spans="1:4" x14ac:dyDescent="0.3">
      <c r="A2654" s="309"/>
      <c r="B2654" s="309"/>
      <c r="C2654" s="310"/>
      <c r="D2654" s="311"/>
    </row>
    <row r="2655" spans="1:4" x14ac:dyDescent="0.3">
      <c r="A2655" s="309"/>
      <c r="B2655" s="309"/>
      <c r="C2655" s="310"/>
      <c r="D2655" s="311"/>
    </row>
    <row r="2656" spans="1:4" x14ac:dyDescent="0.3">
      <c r="A2656" s="309"/>
      <c r="B2656" s="309"/>
      <c r="C2656" s="310"/>
      <c r="D2656" s="311"/>
    </row>
    <row r="2657" spans="1:4" x14ac:dyDescent="0.3">
      <c r="A2657" s="309"/>
      <c r="B2657" s="309"/>
      <c r="C2657" s="310"/>
      <c r="D2657" s="311"/>
    </row>
    <row r="2658" spans="1:4" x14ac:dyDescent="0.3">
      <c r="A2658" s="309"/>
      <c r="B2658" s="309"/>
      <c r="C2658" s="310"/>
      <c r="D2658" s="311"/>
    </row>
    <row r="2659" spans="1:4" x14ac:dyDescent="0.3">
      <c r="A2659" s="309"/>
      <c r="B2659" s="309"/>
      <c r="C2659" s="310"/>
      <c r="D2659" s="311"/>
    </row>
    <row r="2660" spans="1:4" x14ac:dyDescent="0.3">
      <c r="A2660" s="309"/>
      <c r="B2660" s="309"/>
      <c r="C2660" s="310"/>
      <c r="D2660" s="311"/>
    </row>
    <row r="2661" spans="1:4" x14ac:dyDescent="0.3">
      <c r="A2661" s="309"/>
      <c r="B2661" s="309"/>
      <c r="C2661" s="310"/>
      <c r="D2661" s="311"/>
    </row>
    <row r="2662" spans="1:4" x14ac:dyDescent="0.3">
      <c r="A2662" s="309"/>
      <c r="B2662" s="309"/>
      <c r="C2662" s="310"/>
      <c r="D2662" s="311"/>
    </row>
    <row r="2663" spans="1:4" x14ac:dyDescent="0.3">
      <c r="A2663" s="309"/>
      <c r="B2663" s="309"/>
      <c r="C2663" s="310"/>
      <c r="D2663" s="311"/>
    </row>
    <row r="2664" spans="1:4" x14ac:dyDescent="0.3">
      <c r="C2664" s="310"/>
      <c r="D2664" s="311"/>
    </row>
    <row r="2665" spans="1:4" x14ac:dyDescent="0.3">
      <c r="C2665" s="310"/>
      <c r="D2665" s="311"/>
    </row>
    <row r="2666" spans="1:4" x14ac:dyDescent="0.3">
      <c r="C2666" s="310"/>
      <c r="D2666" s="311"/>
    </row>
    <row r="2667" spans="1:4" x14ac:dyDescent="0.3">
      <c r="C2667" s="310"/>
      <c r="D2667" s="311"/>
    </row>
    <row r="2668" spans="1:4" x14ac:dyDescent="0.3">
      <c r="C2668" s="310"/>
      <c r="D2668" s="311"/>
    </row>
  </sheetData>
  <mergeCells count="2">
    <mergeCell ref="A7:D7"/>
    <mergeCell ref="A8:D8"/>
  </mergeCells>
  <pageMargins left="0.70866141732283472" right="0.70866141732283472" top="0.74803149606299213" bottom="0.74803149606299213" header="0.31496062992125984" footer="0.31496062992125984"/>
  <pageSetup paperSize="9" scale="70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CF9E8-3A02-43DB-8317-CFD87AD8B7D0}">
  <dimension ref="A1:D2647"/>
  <sheetViews>
    <sheetView topLeftCell="A2555" workbookViewId="0">
      <selection activeCell="A9" sqref="A9:D9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152" customWidth="1"/>
  </cols>
  <sheetData>
    <row r="1" spans="1:4" x14ac:dyDescent="0.3">
      <c r="D1" s="1" t="s">
        <v>1050</v>
      </c>
    </row>
    <row r="2" spans="1:4" x14ac:dyDescent="0.3">
      <c r="D2" s="1" t="s">
        <v>1045</v>
      </c>
    </row>
    <row r="3" spans="1:4" x14ac:dyDescent="0.3">
      <c r="D3" s="1" t="s">
        <v>1046</v>
      </c>
    </row>
    <row r="4" spans="1:4" x14ac:dyDescent="0.3">
      <c r="D4" s="1" t="s">
        <v>1047</v>
      </c>
    </row>
    <row r="5" spans="1:4" x14ac:dyDescent="0.3">
      <c r="D5" s="1" t="s">
        <v>1048</v>
      </c>
    </row>
    <row r="7" spans="1:4" ht="12" customHeight="1" x14ac:dyDescent="0.3">
      <c r="A7" s="409" t="s">
        <v>125</v>
      </c>
      <c r="B7" s="409"/>
      <c r="C7" s="409"/>
      <c r="D7" s="409"/>
    </row>
    <row r="8" spans="1:4" ht="12" customHeight="1" x14ac:dyDescent="0.3">
      <c r="A8" s="186"/>
      <c r="B8" s="186"/>
      <c r="C8" s="186" t="s">
        <v>1034</v>
      </c>
      <c r="D8" s="186"/>
    </row>
    <row r="9" spans="1:4" ht="12" customHeight="1" x14ac:dyDescent="0.3">
      <c r="A9" s="409" t="s">
        <v>1049</v>
      </c>
      <c r="B9" s="409"/>
      <c r="C9" s="409"/>
      <c r="D9" s="409"/>
    </row>
    <row r="10" spans="1:4" ht="12" customHeight="1" x14ac:dyDescent="0.3">
      <c r="A10" s="410" t="s">
        <v>1035</v>
      </c>
      <c r="B10" s="410"/>
      <c r="C10" s="410"/>
      <c r="D10" s="410"/>
    </row>
    <row r="11" spans="1:4" ht="12" customHeight="1" x14ac:dyDescent="0.3">
      <c r="A11" s="187"/>
      <c r="B11" s="187"/>
      <c r="C11" s="187"/>
      <c r="D11" s="188"/>
    </row>
    <row r="12" spans="1:4" ht="50.1" customHeight="1" x14ac:dyDescent="0.3">
      <c r="A12" s="189" t="s">
        <v>127</v>
      </c>
      <c r="B12" s="190" t="s">
        <v>128</v>
      </c>
      <c r="C12" s="190" t="s">
        <v>129</v>
      </c>
      <c r="D12" s="191" t="s">
        <v>130</v>
      </c>
    </row>
    <row r="13" spans="1:4" ht="15" customHeight="1" x14ac:dyDescent="0.3">
      <c r="A13" s="192">
        <v>1</v>
      </c>
      <c r="B13" s="193">
        <v>2</v>
      </c>
      <c r="C13" s="194">
        <v>3</v>
      </c>
      <c r="D13" s="195">
        <v>4</v>
      </c>
    </row>
    <row r="14" spans="1:4" ht="17.100000000000001" customHeight="1" x14ac:dyDescent="0.3">
      <c r="A14" s="196"/>
      <c r="B14" s="196"/>
      <c r="C14" s="197" t="s">
        <v>131</v>
      </c>
      <c r="D14" s="198">
        <v>1866</v>
      </c>
    </row>
    <row r="15" spans="1:4" ht="12" hidden="1" customHeight="1" outlineLevel="1" x14ac:dyDescent="0.3">
      <c r="A15" s="199" t="s">
        <v>132</v>
      </c>
      <c r="B15" s="199"/>
      <c r="C15" s="200" t="s">
        <v>133</v>
      </c>
      <c r="D15" s="201">
        <v>0</v>
      </c>
    </row>
    <row r="16" spans="1:4" ht="12" hidden="1" customHeight="1" outlineLevel="1" x14ac:dyDescent="0.3">
      <c r="A16" s="202"/>
      <c r="B16" s="203" t="s">
        <v>134</v>
      </c>
      <c r="C16" s="204" t="s">
        <v>1036</v>
      </c>
      <c r="D16" s="205"/>
    </row>
    <row r="17" spans="1:4" ht="12" hidden="1" customHeight="1" outlineLevel="1" x14ac:dyDescent="0.3">
      <c r="A17" s="202"/>
      <c r="B17" s="203" t="s">
        <v>136</v>
      </c>
      <c r="C17" s="204" t="s">
        <v>137</v>
      </c>
      <c r="D17" s="205"/>
    </row>
    <row r="18" spans="1:4" ht="12" hidden="1" customHeight="1" outlineLevel="1" x14ac:dyDescent="0.3">
      <c r="A18" s="202"/>
      <c r="B18" s="203" t="s">
        <v>138</v>
      </c>
      <c r="C18" s="204" t="s">
        <v>139</v>
      </c>
      <c r="D18" s="205"/>
    </row>
    <row r="19" spans="1:4" ht="12" hidden="1" customHeight="1" outlineLevel="1" x14ac:dyDescent="0.3">
      <c r="A19" s="202"/>
      <c r="B19" s="203" t="s">
        <v>140</v>
      </c>
      <c r="C19" s="204" t="s">
        <v>141</v>
      </c>
      <c r="D19" s="205"/>
    </row>
    <row r="20" spans="1:4" ht="12" hidden="1" customHeight="1" outlineLevel="1" x14ac:dyDescent="0.3">
      <c r="A20" s="202"/>
      <c r="B20" s="203" t="s">
        <v>142</v>
      </c>
      <c r="C20" s="204" t="s">
        <v>143</v>
      </c>
      <c r="D20" s="205"/>
    </row>
    <row r="21" spans="1:4" ht="12" hidden="1" customHeight="1" outlineLevel="1" x14ac:dyDescent="0.3">
      <c r="A21" s="202"/>
      <c r="B21" s="203" t="s">
        <v>144</v>
      </c>
      <c r="C21" s="204" t="s">
        <v>145</v>
      </c>
      <c r="D21" s="205"/>
    </row>
    <row r="22" spans="1:4" ht="12" hidden="1" customHeight="1" outlineLevel="1" x14ac:dyDescent="0.3">
      <c r="A22" s="202"/>
      <c r="B22" s="206" t="s">
        <v>146</v>
      </c>
      <c r="C22" s="207" t="s">
        <v>147</v>
      </c>
      <c r="D22" s="205"/>
    </row>
    <row r="23" spans="1:4" ht="12" hidden="1" customHeight="1" outlineLevel="1" x14ac:dyDescent="0.3">
      <c r="A23" s="202"/>
      <c r="B23" s="206" t="s">
        <v>148</v>
      </c>
      <c r="C23" s="207" t="s">
        <v>149</v>
      </c>
      <c r="D23" s="205"/>
    </row>
    <row r="24" spans="1:4" ht="12" hidden="1" customHeight="1" outlineLevel="1" x14ac:dyDescent="0.3">
      <c r="A24" s="202"/>
      <c r="B24" s="203" t="s">
        <v>150</v>
      </c>
      <c r="C24" s="204" t="s">
        <v>151</v>
      </c>
      <c r="D24" s="205"/>
    </row>
    <row r="25" spans="1:4" ht="12" hidden="1" customHeight="1" outlineLevel="1" x14ac:dyDescent="0.3">
      <c r="A25" s="202"/>
      <c r="B25" s="203" t="s">
        <v>152</v>
      </c>
      <c r="C25" s="204" t="s">
        <v>153</v>
      </c>
      <c r="D25" s="205"/>
    </row>
    <row r="26" spans="1:4" ht="12" hidden="1" customHeight="1" outlineLevel="1" collapsed="1" x14ac:dyDescent="0.3">
      <c r="A26" s="199" t="s">
        <v>154</v>
      </c>
      <c r="B26" s="199"/>
      <c r="C26" s="200" t="s">
        <v>155</v>
      </c>
      <c r="D26" s="201">
        <v>0</v>
      </c>
    </row>
    <row r="27" spans="1:4" ht="12" hidden="1" customHeight="1" outlineLevel="1" x14ac:dyDescent="0.3">
      <c r="A27" s="208"/>
      <c r="B27" s="206" t="s">
        <v>156</v>
      </c>
      <c r="C27" s="207" t="s">
        <v>157</v>
      </c>
      <c r="D27" s="205"/>
    </row>
    <row r="28" spans="1:4" ht="12" hidden="1" customHeight="1" outlineLevel="1" x14ac:dyDescent="0.3">
      <c r="A28" s="208"/>
      <c r="B28" s="206" t="s">
        <v>158</v>
      </c>
      <c r="C28" s="207" t="s">
        <v>159</v>
      </c>
      <c r="D28" s="205"/>
    </row>
    <row r="29" spans="1:4" ht="12" hidden="1" customHeight="1" outlineLevel="1" x14ac:dyDescent="0.3">
      <c r="A29" s="202"/>
      <c r="B29" s="203" t="s">
        <v>160</v>
      </c>
      <c r="C29" s="209" t="s">
        <v>161</v>
      </c>
      <c r="D29" s="205"/>
    </row>
    <row r="30" spans="1:4" ht="12" hidden="1" customHeight="1" outlineLevel="1" x14ac:dyDescent="0.3">
      <c r="A30" s="202"/>
      <c r="B30" s="203" t="s">
        <v>162</v>
      </c>
      <c r="C30" s="209" t="s">
        <v>163</v>
      </c>
      <c r="D30" s="205"/>
    </row>
    <row r="31" spans="1:4" ht="12" hidden="1" customHeight="1" outlineLevel="1" x14ac:dyDescent="0.3">
      <c r="A31" s="202"/>
      <c r="B31" s="203" t="s">
        <v>164</v>
      </c>
      <c r="C31" s="204" t="s">
        <v>165</v>
      </c>
      <c r="D31" s="205"/>
    </row>
    <row r="32" spans="1:4" ht="12" hidden="1" customHeight="1" outlineLevel="1" x14ac:dyDescent="0.3">
      <c r="A32" s="202"/>
      <c r="B32" s="203" t="s">
        <v>166</v>
      </c>
      <c r="C32" s="204" t="s">
        <v>167</v>
      </c>
      <c r="D32" s="205"/>
    </row>
    <row r="33" spans="1:4" ht="12" hidden="1" customHeight="1" outlineLevel="1" collapsed="1" x14ac:dyDescent="0.3">
      <c r="A33" s="202"/>
      <c r="B33" s="203" t="s">
        <v>168</v>
      </c>
      <c r="C33" s="204" t="s">
        <v>169</v>
      </c>
      <c r="D33" s="205"/>
    </row>
    <row r="34" spans="1:4" ht="12" hidden="1" customHeight="1" outlineLevel="1" x14ac:dyDescent="0.3">
      <c r="A34" s="202"/>
      <c r="B34" s="203" t="s">
        <v>170</v>
      </c>
      <c r="C34" s="204" t="s">
        <v>171</v>
      </c>
      <c r="D34" s="205"/>
    </row>
    <row r="35" spans="1:4" ht="12" hidden="1" customHeight="1" outlineLevel="1" x14ac:dyDescent="0.3">
      <c r="A35" s="202"/>
      <c r="B35" s="210">
        <v>10.1</v>
      </c>
      <c r="C35" s="204" t="s">
        <v>172</v>
      </c>
      <c r="D35" s="205"/>
    </row>
    <row r="36" spans="1:4" ht="12" hidden="1" customHeight="1" outlineLevel="1" x14ac:dyDescent="0.3">
      <c r="A36" s="202"/>
      <c r="B36" s="211">
        <v>12.2</v>
      </c>
      <c r="C36" s="207" t="s">
        <v>173</v>
      </c>
      <c r="D36" s="205"/>
    </row>
    <row r="37" spans="1:4" ht="12" hidden="1" customHeight="1" outlineLevel="1" x14ac:dyDescent="0.3">
      <c r="A37" s="202"/>
      <c r="B37" s="212">
        <v>12.3</v>
      </c>
      <c r="C37" s="209" t="s">
        <v>174</v>
      </c>
      <c r="D37" s="205"/>
    </row>
    <row r="38" spans="1:4" ht="12" hidden="1" customHeight="1" outlineLevel="1" x14ac:dyDescent="0.3">
      <c r="A38" s="202"/>
      <c r="B38" s="213">
        <v>13.1</v>
      </c>
      <c r="C38" s="207" t="s">
        <v>175</v>
      </c>
      <c r="D38" s="205"/>
    </row>
    <row r="39" spans="1:4" ht="12" hidden="1" customHeight="1" outlineLevel="1" x14ac:dyDescent="0.3">
      <c r="A39" s="202"/>
      <c r="B39" s="213">
        <v>13.2</v>
      </c>
      <c r="C39" s="207" t="s">
        <v>176</v>
      </c>
      <c r="D39" s="205"/>
    </row>
    <row r="40" spans="1:4" ht="12" hidden="1" customHeight="1" outlineLevel="1" x14ac:dyDescent="0.3">
      <c r="A40" s="202"/>
      <c r="B40" s="213">
        <v>13.4</v>
      </c>
      <c r="C40" s="207" t="s">
        <v>177</v>
      </c>
      <c r="D40" s="205"/>
    </row>
    <row r="41" spans="1:4" ht="12" hidden="1" customHeight="1" outlineLevel="1" x14ac:dyDescent="0.3">
      <c r="A41" s="202"/>
      <c r="B41" s="213">
        <v>13.5</v>
      </c>
      <c r="C41" s="214" t="s">
        <v>178</v>
      </c>
      <c r="D41" s="205"/>
    </row>
    <row r="42" spans="1:4" ht="12" hidden="1" customHeight="1" outlineLevel="1" x14ac:dyDescent="0.3">
      <c r="A42" s="199" t="s">
        <v>179</v>
      </c>
      <c r="B42" s="215"/>
      <c r="C42" s="200" t="s">
        <v>180</v>
      </c>
      <c r="D42" s="201">
        <v>0</v>
      </c>
    </row>
    <row r="43" spans="1:4" ht="12" hidden="1" customHeight="1" outlineLevel="1" x14ac:dyDescent="0.3">
      <c r="A43" s="202"/>
      <c r="B43" s="210">
        <v>21.3</v>
      </c>
      <c r="C43" s="209" t="s">
        <v>181</v>
      </c>
      <c r="D43" s="205"/>
    </row>
    <row r="44" spans="1:4" ht="12" hidden="1" customHeight="1" outlineLevel="1" x14ac:dyDescent="0.3">
      <c r="A44" s="202"/>
      <c r="B44" s="210">
        <v>21.4</v>
      </c>
      <c r="C44" s="209" t="s">
        <v>182</v>
      </c>
      <c r="D44" s="205"/>
    </row>
    <row r="45" spans="1:4" ht="12" hidden="1" customHeight="1" outlineLevel="1" x14ac:dyDescent="0.3">
      <c r="A45" s="199" t="s">
        <v>183</v>
      </c>
      <c r="B45" s="215"/>
      <c r="C45" s="200" t="s">
        <v>184</v>
      </c>
      <c r="D45" s="201">
        <v>0</v>
      </c>
    </row>
    <row r="46" spans="1:4" ht="12" hidden="1" customHeight="1" outlineLevel="1" x14ac:dyDescent="0.3">
      <c r="A46" s="202"/>
      <c r="B46" s="212">
        <v>21.1</v>
      </c>
      <c r="C46" s="209" t="s">
        <v>185</v>
      </c>
      <c r="D46" s="205"/>
    </row>
    <row r="47" spans="1:4" ht="23.25" customHeight="1" collapsed="1" x14ac:dyDescent="0.3">
      <c r="A47" s="199" t="s">
        <v>186</v>
      </c>
      <c r="B47" s="215"/>
      <c r="C47" s="200" t="s">
        <v>187</v>
      </c>
      <c r="D47" s="201">
        <v>1866</v>
      </c>
    </row>
    <row r="48" spans="1:4" ht="22.5" hidden="1" customHeight="1" outlineLevel="1" x14ac:dyDescent="0.3">
      <c r="A48" s="202"/>
      <c r="B48" s="212">
        <v>17.2</v>
      </c>
      <c r="C48" s="216" t="s">
        <v>188</v>
      </c>
      <c r="D48" s="205"/>
    </row>
    <row r="49" spans="1:4" ht="12" hidden="1" customHeight="1" outlineLevel="1" x14ac:dyDescent="0.3">
      <c r="A49" s="202"/>
      <c r="B49" s="217">
        <v>18.62</v>
      </c>
      <c r="C49" s="218" t="s">
        <v>189</v>
      </c>
      <c r="D49" s="205"/>
    </row>
    <row r="50" spans="1:4" ht="27" hidden="1" customHeight="1" outlineLevel="1" x14ac:dyDescent="0.3">
      <c r="A50" s="202"/>
      <c r="B50" s="217">
        <v>18.63</v>
      </c>
      <c r="C50" s="218" t="s">
        <v>190</v>
      </c>
      <c r="D50" s="205"/>
    </row>
    <row r="51" spans="1:4" ht="27" hidden="1" customHeight="1" outlineLevel="1" x14ac:dyDescent="0.3">
      <c r="A51" s="202"/>
      <c r="B51" s="217">
        <v>18.64</v>
      </c>
      <c r="C51" s="218" t="s">
        <v>1037</v>
      </c>
      <c r="D51" s="205"/>
    </row>
    <row r="52" spans="1:4" ht="27" hidden="1" customHeight="1" outlineLevel="1" x14ac:dyDescent="0.3">
      <c r="A52" s="202"/>
      <c r="B52" s="217">
        <v>18.690000000000001</v>
      </c>
      <c r="C52" s="218"/>
      <c r="D52" s="205"/>
    </row>
    <row r="53" spans="1:4" ht="12" hidden="1" customHeight="1" outlineLevel="1" x14ac:dyDescent="0.3">
      <c r="A53" s="202"/>
      <c r="B53" s="211">
        <v>19.100000000000001</v>
      </c>
      <c r="C53" s="216" t="s">
        <v>192</v>
      </c>
      <c r="D53" s="205"/>
    </row>
    <row r="54" spans="1:4" ht="18.75" customHeight="1" collapsed="1" x14ac:dyDescent="0.3">
      <c r="A54" s="202"/>
      <c r="B54" s="212">
        <v>23.4</v>
      </c>
      <c r="C54" s="209" t="s">
        <v>1038</v>
      </c>
      <c r="D54" s="205">
        <v>613</v>
      </c>
    </row>
    <row r="55" spans="1:4" ht="17.25" customHeight="1" x14ac:dyDescent="0.3">
      <c r="A55" s="202"/>
      <c r="B55" s="212">
        <v>23.5</v>
      </c>
      <c r="C55" s="219" t="s">
        <v>1039</v>
      </c>
      <c r="D55" s="205">
        <v>1253</v>
      </c>
    </row>
    <row r="56" spans="1:4" ht="17.100000000000001" customHeight="1" x14ac:dyDescent="0.3">
      <c r="A56" s="220"/>
      <c r="B56" s="196"/>
      <c r="C56" s="221" t="s">
        <v>195</v>
      </c>
      <c r="D56" s="222">
        <v>313734</v>
      </c>
    </row>
    <row r="57" spans="1:4" ht="17.100000000000001" hidden="1" customHeight="1" outlineLevel="1" x14ac:dyDescent="0.3">
      <c r="A57" s="223" t="s">
        <v>196</v>
      </c>
      <c r="B57" s="224"/>
      <c r="C57" s="225" t="s">
        <v>197</v>
      </c>
      <c r="D57" s="226">
        <v>0</v>
      </c>
    </row>
    <row r="58" spans="1:4" ht="12" hidden="1" customHeight="1" outlineLevel="1" x14ac:dyDescent="0.3">
      <c r="A58" s="227"/>
      <c r="B58" s="228"/>
      <c r="C58" s="229" t="s">
        <v>198</v>
      </c>
      <c r="D58" s="230">
        <v>0</v>
      </c>
    </row>
    <row r="59" spans="1:4" ht="12" hidden="1" customHeight="1" outlineLevel="1" x14ac:dyDescent="0.3">
      <c r="A59" s="227"/>
      <c r="B59" s="231">
        <v>1000</v>
      </c>
      <c r="C59" s="232" t="s">
        <v>199</v>
      </c>
      <c r="D59" s="233">
        <v>0</v>
      </c>
    </row>
    <row r="60" spans="1:4" ht="12" hidden="1" customHeight="1" outlineLevel="1" x14ac:dyDescent="0.3">
      <c r="A60" s="227"/>
      <c r="B60" s="234">
        <v>1100</v>
      </c>
      <c r="C60" s="235" t="s">
        <v>200</v>
      </c>
      <c r="D60" s="236">
        <v>0</v>
      </c>
    </row>
    <row r="61" spans="1:4" ht="12" hidden="1" customHeight="1" outlineLevel="1" x14ac:dyDescent="0.3">
      <c r="A61" s="227"/>
      <c r="B61" s="234">
        <v>1200</v>
      </c>
      <c r="C61" s="237" t="s">
        <v>201</v>
      </c>
      <c r="D61" s="236">
        <v>0</v>
      </c>
    </row>
    <row r="62" spans="1:4" ht="12" hidden="1" customHeight="1" outlineLevel="1" x14ac:dyDescent="0.3">
      <c r="A62" s="238"/>
      <c r="B62" s="239">
        <v>2000</v>
      </c>
      <c r="C62" s="240" t="s">
        <v>202</v>
      </c>
      <c r="D62" s="241">
        <v>0</v>
      </c>
    </row>
    <row r="63" spans="1:4" ht="12" hidden="1" customHeight="1" outlineLevel="1" x14ac:dyDescent="0.3">
      <c r="A63" s="238"/>
      <c r="B63" s="242">
        <v>2100</v>
      </c>
      <c r="C63" s="243" t="s">
        <v>203</v>
      </c>
      <c r="D63" s="244">
        <v>0</v>
      </c>
    </row>
    <row r="64" spans="1:4" ht="12" hidden="1" customHeight="1" outlineLevel="1" x14ac:dyDescent="0.3">
      <c r="A64" s="238"/>
      <c r="B64" s="242">
        <v>2200</v>
      </c>
      <c r="C64" s="243" t="s">
        <v>204</v>
      </c>
      <c r="D64" s="244">
        <v>0</v>
      </c>
    </row>
    <row r="65" spans="1:4" ht="12" hidden="1" customHeight="1" outlineLevel="1" x14ac:dyDescent="0.3">
      <c r="A65" s="238"/>
      <c r="B65" s="242">
        <v>2300</v>
      </c>
      <c r="C65" s="243" t="s">
        <v>205</v>
      </c>
      <c r="D65" s="244">
        <v>0</v>
      </c>
    </row>
    <row r="66" spans="1:4" ht="12" hidden="1" customHeight="1" outlineLevel="1" x14ac:dyDescent="0.3">
      <c r="A66" s="238"/>
      <c r="B66" s="242">
        <v>2400</v>
      </c>
      <c r="C66" s="243" t="s">
        <v>206</v>
      </c>
      <c r="D66" s="244">
        <v>0</v>
      </c>
    </row>
    <row r="67" spans="1:4" ht="12" hidden="1" customHeight="1" outlineLevel="1" x14ac:dyDescent="0.3">
      <c r="A67" s="238"/>
      <c r="B67" s="242">
        <v>2500</v>
      </c>
      <c r="C67" s="243" t="s">
        <v>207</v>
      </c>
      <c r="D67" s="244">
        <v>0</v>
      </c>
    </row>
    <row r="68" spans="1:4" ht="12" hidden="1" customHeight="1" outlineLevel="1" x14ac:dyDescent="0.3">
      <c r="A68" s="238"/>
      <c r="B68" s="199">
        <v>3000</v>
      </c>
      <c r="C68" s="245" t="s">
        <v>208</v>
      </c>
      <c r="D68" s="241">
        <v>0</v>
      </c>
    </row>
    <row r="69" spans="1:4" ht="12" hidden="1" customHeight="1" outlineLevel="1" x14ac:dyDescent="0.3">
      <c r="A69" s="238"/>
      <c r="B69" s="242">
        <v>3200</v>
      </c>
      <c r="C69" s="243" t="s">
        <v>209</v>
      </c>
      <c r="D69" s="244">
        <v>0</v>
      </c>
    </row>
    <row r="70" spans="1:4" ht="12" hidden="1" customHeight="1" outlineLevel="1" x14ac:dyDescent="0.3">
      <c r="A70" s="238"/>
      <c r="B70" s="242">
        <v>3300</v>
      </c>
      <c r="C70" s="243" t="s">
        <v>210</v>
      </c>
      <c r="D70" s="244">
        <v>0</v>
      </c>
    </row>
    <row r="71" spans="1:4" ht="12" hidden="1" customHeight="1" outlineLevel="1" x14ac:dyDescent="0.3">
      <c r="A71" s="238"/>
      <c r="B71" s="199">
        <v>4000</v>
      </c>
      <c r="C71" s="246" t="s">
        <v>211</v>
      </c>
      <c r="D71" s="241">
        <v>0</v>
      </c>
    </row>
    <row r="72" spans="1:4" ht="12" hidden="1" customHeight="1" outlineLevel="1" x14ac:dyDescent="0.3">
      <c r="A72" s="238"/>
      <c r="B72" s="242">
        <v>4200</v>
      </c>
      <c r="C72" s="247" t="s">
        <v>212</v>
      </c>
      <c r="D72" s="244">
        <v>0</v>
      </c>
    </row>
    <row r="73" spans="1:4" ht="12" hidden="1" customHeight="1" outlineLevel="1" x14ac:dyDescent="0.3">
      <c r="A73" s="238"/>
      <c r="B73" s="242">
        <v>4300</v>
      </c>
      <c r="C73" s="247" t="s">
        <v>213</v>
      </c>
      <c r="D73" s="244">
        <v>0</v>
      </c>
    </row>
    <row r="74" spans="1:4" ht="12" hidden="1" customHeight="1" outlineLevel="1" x14ac:dyDescent="0.3">
      <c r="A74" s="238"/>
      <c r="B74" s="199">
        <v>5000</v>
      </c>
      <c r="C74" s="200" t="s">
        <v>214</v>
      </c>
      <c r="D74" s="241">
        <v>0</v>
      </c>
    </row>
    <row r="75" spans="1:4" ht="12" hidden="1" customHeight="1" outlineLevel="1" x14ac:dyDescent="0.3">
      <c r="A75" s="238"/>
      <c r="B75" s="242">
        <v>5100</v>
      </c>
      <c r="C75" s="248" t="s">
        <v>215</v>
      </c>
      <c r="D75" s="244">
        <v>0</v>
      </c>
    </row>
    <row r="76" spans="1:4" ht="12" hidden="1" customHeight="1" outlineLevel="1" x14ac:dyDescent="0.3">
      <c r="A76" s="238"/>
      <c r="B76" s="242">
        <v>5200</v>
      </c>
      <c r="C76" s="248" t="s">
        <v>216</v>
      </c>
      <c r="D76" s="244">
        <v>0</v>
      </c>
    </row>
    <row r="77" spans="1:4" ht="12" hidden="1" customHeight="1" outlineLevel="1" x14ac:dyDescent="0.3">
      <c r="A77" s="238"/>
      <c r="B77" s="242">
        <v>5300</v>
      </c>
      <c r="C77" s="249" t="s">
        <v>217</v>
      </c>
      <c r="D77" s="244">
        <v>0</v>
      </c>
    </row>
    <row r="78" spans="1:4" ht="15.75" hidden="1" customHeight="1" outlineLevel="1" x14ac:dyDescent="0.3">
      <c r="A78" s="238"/>
      <c r="B78" s="199">
        <v>6000</v>
      </c>
      <c r="C78" s="200" t="s">
        <v>218</v>
      </c>
      <c r="D78" s="241">
        <v>0</v>
      </c>
    </row>
    <row r="79" spans="1:4" ht="15.75" hidden="1" customHeight="1" outlineLevel="1" x14ac:dyDescent="0.3">
      <c r="A79" s="238"/>
      <c r="B79" s="242">
        <v>6200</v>
      </c>
      <c r="C79" s="248" t="s">
        <v>219</v>
      </c>
      <c r="D79" s="244">
        <v>0</v>
      </c>
    </row>
    <row r="80" spans="1:4" ht="15.75" hidden="1" customHeight="1" outlineLevel="1" x14ac:dyDescent="0.3">
      <c r="A80" s="238"/>
      <c r="B80" s="242">
        <v>6300</v>
      </c>
      <c r="C80" s="248" t="s">
        <v>220</v>
      </c>
      <c r="D80" s="244">
        <v>0</v>
      </c>
    </row>
    <row r="81" spans="1:4" ht="15.75" hidden="1" customHeight="1" outlineLevel="1" x14ac:dyDescent="0.3">
      <c r="A81" s="238"/>
      <c r="B81" s="242">
        <v>6400</v>
      </c>
      <c r="C81" s="248" t="s">
        <v>221</v>
      </c>
      <c r="D81" s="244">
        <v>0</v>
      </c>
    </row>
    <row r="82" spans="1:4" ht="15.75" hidden="1" customHeight="1" outlineLevel="1" x14ac:dyDescent="0.3">
      <c r="A82" s="238"/>
      <c r="B82" s="242">
        <v>6500</v>
      </c>
      <c r="C82" s="249" t="s">
        <v>222</v>
      </c>
      <c r="D82" s="244">
        <v>0</v>
      </c>
    </row>
    <row r="83" spans="1:4" ht="12" hidden="1" customHeight="1" outlineLevel="1" x14ac:dyDescent="0.3">
      <c r="A83" s="238"/>
      <c r="B83" s="199">
        <v>7000</v>
      </c>
      <c r="C83" s="200" t="s">
        <v>223</v>
      </c>
      <c r="D83" s="241">
        <v>0</v>
      </c>
    </row>
    <row r="84" spans="1:4" ht="12" hidden="1" customHeight="1" outlineLevel="1" x14ac:dyDescent="0.3">
      <c r="A84" s="238"/>
      <c r="B84" s="250">
        <v>7200</v>
      </c>
      <c r="C84" s="251" t="s">
        <v>224</v>
      </c>
      <c r="D84" s="244">
        <v>0</v>
      </c>
    </row>
    <row r="85" spans="1:4" ht="12" hidden="1" customHeight="1" outlineLevel="1" x14ac:dyDescent="0.3">
      <c r="A85" s="238"/>
      <c r="B85" s="250">
        <v>7500</v>
      </c>
      <c r="C85" s="251" t="s">
        <v>225</v>
      </c>
      <c r="D85" s="244">
        <v>0</v>
      </c>
    </row>
    <row r="86" spans="1:4" ht="12" hidden="1" customHeight="1" outlineLevel="1" x14ac:dyDescent="0.3">
      <c r="A86" s="238"/>
      <c r="B86" s="250">
        <v>7700</v>
      </c>
      <c r="C86" s="251" t="s">
        <v>226</v>
      </c>
      <c r="D86" s="244">
        <v>0</v>
      </c>
    </row>
    <row r="87" spans="1:4" ht="12" hidden="1" customHeight="1" outlineLevel="1" x14ac:dyDescent="0.3">
      <c r="A87" s="238"/>
      <c r="B87" s="252">
        <v>8000</v>
      </c>
      <c r="C87" s="253" t="s">
        <v>227</v>
      </c>
      <c r="D87" s="241">
        <v>0</v>
      </c>
    </row>
    <row r="88" spans="1:4" ht="12" hidden="1" customHeight="1" outlineLevel="1" x14ac:dyDescent="0.3">
      <c r="A88" s="238"/>
      <c r="B88" s="254">
        <v>8100</v>
      </c>
      <c r="C88" s="255" t="s">
        <v>228</v>
      </c>
      <c r="D88" s="244">
        <v>0</v>
      </c>
    </row>
    <row r="89" spans="1:4" ht="12" hidden="1" customHeight="1" outlineLevel="1" x14ac:dyDescent="0.3">
      <c r="A89" s="238"/>
      <c r="B89" s="254">
        <v>8600</v>
      </c>
      <c r="C89" s="255" t="s">
        <v>229</v>
      </c>
      <c r="D89" s="244">
        <v>0</v>
      </c>
    </row>
    <row r="90" spans="1:4" ht="12" hidden="1" customHeight="1" outlineLevel="1" x14ac:dyDescent="0.3">
      <c r="A90" s="238"/>
      <c r="B90" s="254">
        <v>8900</v>
      </c>
      <c r="C90" s="255" t="s">
        <v>230</v>
      </c>
      <c r="D90" s="244">
        <v>0</v>
      </c>
    </row>
    <row r="91" spans="1:4" ht="12" hidden="1" customHeight="1" outlineLevel="1" x14ac:dyDescent="0.3">
      <c r="A91" s="256" t="s">
        <v>231</v>
      </c>
      <c r="B91" s="257"/>
      <c r="C91" s="258" t="s">
        <v>232</v>
      </c>
      <c r="D91" s="259">
        <v>0</v>
      </c>
    </row>
    <row r="92" spans="1:4" ht="12" hidden="1" customHeight="1" outlineLevel="1" x14ac:dyDescent="0.3">
      <c r="A92" s="227"/>
      <c r="B92" s="228"/>
      <c r="C92" s="229" t="s">
        <v>198</v>
      </c>
      <c r="D92" s="230">
        <v>0</v>
      </c>
    </row>
    <row r="93" spans="1:4" ht="12" hidden="1" customHeight="1" outlineLevel="1" x14ac:dyDescent="0.3">
      <c r="A93" s="227"/>
      <c r="B93" s="231">
        <v>1000</v>
      </c>
      <c r="C93" s="232" t="s">
        <v>199</v>
      </c>
      <c r="D93" s="230">
        <v>0</v>
      </c>
    </row>
    <row r="94" spans="1:4" ht="12" hidden="1" customHeight="1" outlineLevel="1" x14ac:dyDescent="0.3">
      <c r="A94" s="227"/>
      <c r="B94" s="234">
        <v>1100</v>
      </c>
      <c r="C94" s="235" t="s">
        <v>200</v>
      </c>
      <c r="D94" s="236"/>
    </row>
    <row r="95" spans="1:4" ht="12" hidden="1" customHeight="1" outlineLevel="1" x14ac:dyDescent="0.3">
      <c r="A95" s="227"/>
      <c r="B95" s="234">
        <v>1200</v>
      </c>
      <c r="C95" s="237" t="s">
        <v>201</v>
      </c>
      <c r="D95" s="236"/>
    </row>
    <row r="96" spans="1:4" ht="12" hidden="1" customHeight="1" outlineLevel="1" x14ac:dyDescent="0.3">
      <c r="A96" s="238"/>
      <c r="B96" s="239">
        <v>2000</v>
      </c>
      <c r="C96" s="240" t="s">
        <v>202</v>
      </c>
      <c r="D96" s="260">
        <v>0</v>
      </c>
    </row>
    <row r="97" spans="1:4" ht="12" hidden="1" customHeight="1" outlineLevel="1" x14ac:dyDescent="0.3">
      <c r="A97" s="238"/>
      <c r="B97" s="242">
        <v>2100</v>
      </c>
      <c r="C97" s="243" t="s">
        <v>203</v>
      </c>
      <c r="D97" s="244"/>
    </row>
    <row r="98" spans="1:4" ht="12" hidden="1" customHeight="1" outlineLevel="1" x14ac:dyDescent="0.3">
      <c r="A98" s="238"/>
      <c r="B98" s="242">
        <v>2200</v>
      </c>
      <c r="C98" s="243" t="s">
        <v>204</v>
      </c>
      <c r="D98" s="244"/>
    </row>
    <row r="99" spans="1:4" ht="12" hidden="1" customHeight="1" outlineLevel="1" x14ac:dyDescent="0.3">
      <c r="A99" s="238"/>
      <c r="B99" s="242">
        <v>2300</v>
      </c>
      <c r="C99" s="243" t="s">
        <v>205</v>
      </c>
      <c r="D99" s="244"/>
    </row>
    <row r="100" spans="1:4" ht="12" hidden="1" customHeight="1" outlineLevel="1" x14ac:dyDescent="0.3">
      <c r="A100" s="238"/>
      <c r="B100" s="242">
        <v>2400</v>
      </c>
      <c r="C100" s="243" t="s">
        <v>206</v>
      </c>
      <c r="D100" s="244"/>
    </row>
    <row r="101" spans="1:4" ht="12" hidden="1" customHeight="1" outlineLevel="1" x14ac:dyDescent="0.3">
      <c r="A101" s="238"/>
      <c r="B101" s="242">
        <v>2500</v>
      </c>
      <c r="C101" s="243" t="s">
        <v>207</v>
      </c>
      <c r="D101" s="244"/>
    </row>
    <row r="102" spans="1:4" ht="12" hidden="1" customHeight="1" outlineLevel="1" x14ac:dyDescent="0.3">
      <c r="A102" s="238"/>
      <c r="B102" s="199">
        <v>3000</v>
      </c>
      <c r="C102" s="245" t="s">
        <v>208</v>
      </c>
      <c r="D102" s="260">
        <v>0</v>
      </c>
    </row>
    <row r="103" spans="1:4" ht="12" hidden="1" customHeight="1" outlineLevel="1" x14ac:dyDescent="0.3">
      <c r="A103" s="238"/>
      <c r="B103" s="242">
        <v>3200</v>
      </c>
      <c r="C103" s="243" t="s">
        <v>209</v>
      </c>
      <c r="D103" s="244"/>
    </row>
    <row r="104" spans="1:4" ht="12" hidden="1" customHeight="1" outlineLevel="1" x14ac:dyDescent="0.3">
      <c r="A104" s="238"/>
      <c r="B104" s="242">
        <v>3300</v>
      </c>
      <c r="C104" s="243" t="s">
        <v>210</v>
      </c>
      <c r="D104" s="244"/>
    </row>
    <row r="105" spans="1:4" ht="12" hidden="1" customHeight="1" outlineLevel="1" x14ac:dyDescent="0.3">
      <c r="A105" s="238"/>
      <c r="B105" s="199">
        <v>4000</v>
      </c>
      <c r="C105" s="246" t="s">
        <v>211</v>
      </c>
      <c r="D105" s="260">
        <v>0</v>
      </c>
    </row>
    <row r="106" spans="1:4" ht="12" hidden="1" customHeight="1" outlineLevel="1" x14ac:dyDescent="0.3">
      <c r="A106" s="238"/>
      <c r="B106" s="242">
        <v>4200</v>
      </c>
      <c r="C106" s="247" t="s">
        <v>212</v>
      </c>
      <c r="D106" s="244"/>
    </row>
    <row r="107" spans="1:4" ht="12" hidden="1" customHeight="1" outlineLevel="1" x14ac:dyDescent="0.3">
      <c r="A107" s="238"/>
      <c r="B107" s="242">
        <v>4300</v>
      </c>
      <c r="C107" s="247" t="s">
        <v>213</v>
      </c>
      <c r="D107" s="244"/>
    </row>
    <row r="108" spans="1:4" ht="12" hidden="1" customHeight="1" outlineLevel="1" x14ac:dyDescent="0.3">
      <c r="A108" s="238"/>
      <c r="B108" s="199">
        <v>5000</v>
      </c>
      <c r="C108" s="200" t="s">
        <v>214</v>
      </c>
      <c r="D108" s="260">
        <v>0</v>
      </c>
    </row>
    <row r="109" spans="1:4" ht="12" hidden="1" customHeight="1" outlineLevel="1" x14ac:dyDescent="0.3">
      <c r="A109" s="238"/>
      <c r="B109" s="242">
        <v>5100</v>
      </c>
      <c r="C109" s="248" t="s">
        <v>215</v>
      </c>
      <c r="D109" s="260"/>
    </row>
    <row r="110" spans="1:4" ht="12" hidden="1" customHeight="1" outlineLevel="1" x14ac:dyDescent="0.3">
      <c r="A110" s="238"/>
      <c r="B110" s="242">
        <v>5200</v>
      </c>
      <c r="C110" s="248" t="s">
        <v>216</v>
      </c>
      <c r="D110" s="260"/>
    </row>
    <row r="111" spans="1:4" ht="12" hidden="1" customHeight="1" outlineLevel="1" x14ac:dyDescent="0.3">
      <c r="A111" s="238"/>
      <c r="B111" s="242">
        <v>5300</v>
      </c>
      <c r="C111" s="249" t="s">
        <v>217</v>
      </c>
      <c r="D111" s="260"/>
    </row>
    <row r="112" spans="1:4" ht="12" hidden="1" customHeight="1" outlineLevel="1" x14ac:dyDescent="0.3">
      <c r="A112" s="238"/>
      <c r="B112" s="199">
        <v>6000</v>
      </c>
      <c r="C112" s="200" t="s">
        <v>218</v>
      </c>
      <c r="D112" s="260">
        <v>0</v>
      </c>
    </row>
    <row r="113" spans="1:4" ht="12" hidden="1" customHeight="1" outlineLevel="1" x14ac:dyDescent="0.3">
      <c r="A113" s="238"/>
      <c r="B113" s="242">
        <v>6200</v>
      </c>
      <c r="C113" s="248" t="s">
        <v>219</v>
      </c>
      <c r="D113" s="244"/>
    </row>
    <row r="114" spans="1:4" ht="12" hidden="1" customHeight="1" outlineLevel="1" x14ac:dyDescent="0.3">
      <c r="A114" s="238"/>
      <c r="B114" s="242">
        <v>6300</v>
      </c>
      <c r="C114" s="248" t="s">
        <v>220</v>
      </c>
      <c r="D114" s="244"/>
    </row>
    <row r="115" spans="1:4" ht="12" hidden="1" customHeight="1" outlineLevel="1" x14ac:dyDescent="0.3">
      <c r="A115" s="238"/>
      <c r="B115" s="242">
        <v>6400</v>
      </c>
      <c r="C115" s="248" t="s">
        <v>221</v>
      </c>
      <c r="D115" s="244"/>
    </row>
    <row r="116" spans="1:4" ht="12" hidden="1" customHeight="1" outlineLevel="1" x14ac:dyDescent="0.3">
      <c r="A116" s="238"/>
      <c r="B116" s="242">
        <v>6500</v>
      </c>
      <c r="C116" s="249" t="s">
        <v>222</v>
      </c>
      <c r="D116" s="244"/>
    </row>
    <row r="117" spans="1:4" ht="12" hidden="1" customHeight="1" outlineLevel="1" x14ac:dyDescent="0.3">
      <c r="A117" s="238"/>
      <c r="B117" s="199">
        <v>7000</v>
      </c>
      <c r="C117" s="200" t="s">
        <v>223</v>
      </c>
      <c r="D117" s="260">
        <v>0</v>
      </c>
    </row>
    <row r="118" spans="1:4" ht="12" hidden="1" customHeight="1" outlineLevel="1" x14ac:dyDescent="0.3">
      <c r="A118" s="238"/>
      <c r="B118" s="250">
        <v>7200</v>
      </c>
      <c r="C118" s="251" t="s">
        <v>224</v>
      </c>
      <c r="D118" s="244"/>
    </row>
    <row r="119" spans="1:4" ht="12" hidden="1" customHeight="1" outlineLevel="1" x14ac:dyDescent="0.3">
      <c r="A119" s="238"/>
      <c r="B119" s="250">
        <v>7500</v>
      </c>
      <c r="C119" s="251" t="s">
        <v>225</v>
      </c>
      <c r="D119" s="244"/>
    </row>
    <row r="120" spans="1:4" ht="12" hidden="1" customHeight="1" outlineLevel="1" x14ac:dyDescent="0.3">
      <c r="A120" s="238"/>
      <c r="B120" s="250">
        <v>7700</v>
      </c>
      <c r="C120" s="251" t="s">
        <v>226</v>
      </c>
      <c r="D120" s="244"/>
    </row>
    <row r="121" spans="1:4" ht="12" hidden="1" customHeight="1" outlineLevel="1" x14ac:dyDescent="0.3">
      <c r="A121" s="238"/>
      <c r="B121" s="252">
        <v>8000</v>
      </c>
      <c r="C121" s="253" t="s">
        <v>227</v>
      </c>
      <c r="D121" s="260">
        <v>0</v>
      </c>
    </row>
    <row r="122" spans="1:4" ht="12" hidden="1" customHeight="1" outlineLevel="1" x14ac:dyDescent="0.3">
      <c r="A122" s="238"/>
      <c r="B122" s="254">
        <v>8100</v>
      </c>
      <c r="C122" s="255" t="s">
        <v>228</v>
      </c>
      <c r="D122" s="260"/>
    </row>
    <row r="123" spans="1:4" ht="12" hidden="1" customHeight="1" outlineLevel="1" x14ac:dyDescent="0.3">
      <c r="A123" s="238"/>
      <c r="B123" s="254">
        <v>8600</v>
      </c>
      <c r="C123" s="255" t="s">
        <v>229</v>
      </c>
      <c r="D123" s="260"/>
    </row>
    <row r="124" spans="1:4" ht="12" hidden="1" customHeight="1" outlineLevel="1" x14ac:dyDescent="0.3">
      <c r="A124" s="238"/>
      <c r="B124" s="254">
        <v>8900</v>
      </c>
      <c r="C124" s="255" t="s">
        <v>230</v>
      </c>
      <c r="D124" s="260"/>
    </row>
    <row r="125" spans="1:4" ht="12" hidden="1" customHeight="1" outlineLevel="1" x14ac:dyDescent="0.3">
      <c r="A125" s="256" t="s">
        <v>233</v>
      </c>
      <c r="B125" s="257"/>
      <c r="C125" s="258" t="s">
        <v>1040</v>
      </c>
      <c r="D125" s="259">
        <v>0</v>
      </c>
    </row>
    <row r="126" spans="1:4" ht="12" hidden="1" customHeight="1" outlineLevel="1" x14ac:dyDescent="0.3">
      <c r="A126" s="227"/>
      <c r="B126" s="228"/>
      <c r="C126" s="229" t="s">
        <v>198</v>
      </c>
      <c r="D126" s="230">
        <v>0</v>
      </c>
    </row>
    <row r="127" spans="1:4" ht="12" hidden="1" customHeight="1" outlineLevel="1" x14ac:dyDescent="0.3">
      <c r="A127" s="227"/>
      <c r="B127" s="231">
        <v>1000</v>
      </c>
      <c r="C127" s="232" t="s">
        <v>199</v>
      </c>
      <c r="D127" s="230">
        <v>0</v>
      </c>
    </row>
    <row r="128" spans="1:4" ht="12" hidden="1" customHeight="1" outlineLevel="1" x14ac:dyDescent="0.3">
      <c r="A128" s="227"/>
      <c r="B128" s="234">
        <v>1100</v>
      </c>
      <c r="C128" s="235" t="s">
        <v>200</v>
      </c>
      <c r="D128" s="236"/>
    </row>
    <row r="129" spans="1:4" ht="12" hidden="1" customHeight="1" outlineLevel="1" x14ac:dyDescent="0.3">
      <c r="A129" s="227"/>
      <c r="B129" s="234">
        <v>1200</v>
      </c>
      <c r="C129" s="237" t="s">
        <v>201</v>
      </c>
      <c r="D129" s="236"/>
    </row>
    <row r="130" spans="1:4" ht="12" hidden="1" customHeight="1" outlineLevel="1" x14ac:dyDescent="0.3">
      <c r="A130" s="238"/>
      <c r="B130" s="239">
        <v>2000</v>
      </c>
      <c r="C130" s="240" t="s">
        <v>202</v>
      </c>
      <c r="D130" s="260">
        <v>0</v>
      </c>
    </row>
    <row r="131" spans="1:4" ht="12" hidden="1" customHeight="1" outlineLevel="1" x14ac:dyDescent="0.3">
      <c r="A131" s="238"/>
      <c r="B131" s="242">
        <v>2100</v>
      </c>
      <c r="C131" s="243" t="s">
        <v>203</v>
      </c>
      <c r="D131" s="244"/>
    </row>
    <row r="132" spans="1:4" ht="12" hidden="1" customHeight="1" outlineLevel="1" x14ac:dyDescent="0.3">
      <c r="A132" s="238"/>
      <c r="B132" s="242">
        <v>2200</v>
      </c>
      <c r="C132" s="243" t="s">
        <v>204</v>
      </c>
      <c r="D132" s="244"/>
    </row>
    <row r="133" spans="1:4" ht="12" hidden="1" customHeight="1" outlineLevel="1" x14ac:dyDescent="0.3">
      <c r="A133" s="238"/>
      <c r="B133" s="242">
        <v>2300</v>
      </c>
      <c r="C133" s="243" t="s">
        <v>205</v>
      </c>
      <c r="D133" s="244"/>
    </row>
    <row r="134" spans="1:4" ht="12" hidden="1" customHeight="1" outlineLevel="1" x14ac:dyDescent="0.3">
      <c r="A134" s="238"/>
      <c r="B134" s="242">
        <v>2400</v>
      </c>
      <c r="C134" s="243" t="s">
        <v>206</v>
      </c>
      <c r="D134" s="244"/>
    </row>
    <row r="135" spans="1:4" ht="12" hidden="1" customHeight="1" outlineLevel="1" x14ac:dyDescent="0.3">
      <c r="A135" s="238"/>
      <c r="B135" s="242">
        <v>2500</v>
      </c>
      <c r="C135" s="243" t="s">
        <v>207</v>
      </c>
      <c r="D135" s="244"/>
    </row>
    <row r="136" spans="1:4" ht="12" hidden="1" customHeight="1" outlineLevel="1" x14ac:dyDescent="0.3">
      <c r="A136" s="238"/>
      <c r="B136" s="199">
        <v>3000</v>
      </c>
      <c r="C136" s="245" t="s">
        <v>208</v>
      </c>
      <c r="D136" s="260">
        <v>0</v>
      </c>
    </row>
    <row r="137" spans="1:4" ht="12" hidden="1" customHeight="1" outlineLevel="1" x14ac:dyDescent="0.3">
      <c r="A137" s="238"/>
      <c r="B137" s="242">
        <v>3200</v>
      </c>
      <c r="C137" s="243" t="s">
        <v>209</v>
      </c>
      <c r="D137" s="244"/>
    </row>
    <row r="138" spans="1:4" ht="12" hidden="1" customHeight="1" outlineLevel="1" x14ac:dyDescent="0.3">
      <c r="A138" s="238"/>
      <c r="B138" s="242">
        <v>3300</v>
      </c>
      <c r="C138" s="243" t="s">
        <v>210</v>
      </c>
      <c r="D138" s="244"/>
    </row>
    <row r="139" spans="1:4" ht="12" hidden="1" customHeight="1" outlineLevel="1" x14ac:dyDescent="0.3">
      <c r="A139" s="238"/>
      <c r="B139" s="199">
        <v>4000</v>
      </c>
      <c r="C139" s="246" t="s">
        <v>211</v>
      </c>
      <c r="D139" s="260">
        <v>0</v>
      </c>
    </row>
    <row r="140" spans="1:4" ht="12" hidden="1" customHeight="1" outlineLevel="1" x14ac:dyDescent="0.3">
      <c r="A140" s="238"/>
      <c r="B140" s="242">
        <v>4200</v>
      </c>
      <c r="C140" s="247" t="s">
        <v>212</v>
      </c>
      <c r="D140" s="244"/>
    </row>
    <row r="141" spans="1:4" ht="12" hidden="1" customHeight="1" outlineLevel="1" x14ac:dyDescent="0.3">
      <c r="A141" s="238"/>
      <c r="B141" s="242">
        <v>4300</v>
      </c>
      <c r="C141" s="247" t="s">
        <v>213</v>
      </c>
      <c r="D141" s="244"/>
    </row>
    <row r="142" spans="1:4" ht="12" hidden="1" customHeight="1" outlineLevel="1" x14ac:dyDescent="0.3">
      <c r="A142" s="238"/>
      <c r="B142" s="199">
        <v>5000</v>
      </c>
      <c r="C142" s="200" t="s">
        <v>214</v>
      </c>
      <c r="D142" s="260">
        <v>0</v>
      </c>
    </row>
    <row r="143" spans="1:4" ht="12" hidden="1" customHeight="1" outlineLevel="1" x14ac:dyDescent="0.3">
      <c r="A143" s="238"/>
      <c r="B143" s="242">
        <v>5100</v>
      </c>
      <c r="C143" s="248" t="s">
        <v>215</v>
      </c>
      <c r="D143" s="260"/>
    </row>
    <row r="144" spans="1:4" ht="12" hidden="1" customHeight="1" outlineLevel="1" x14ac:dyDescent="0.3">
      <c r="A144" s="238"/>
      <c r="B144" s="242">
        <v>5200</v>
      </c>
      <c r="C144" s="248" t="s">
        <v>216</v>
      </c>
      <c r="D144" s="244"/>
    </row>
    <row r="145" spans="1:4" ht="12" hidden="1" customHeight="1" outlineLevel="1" x14ac:dyDescent="0.3">
      <c r="A145" s="238"/>
      <c r="B145" s="242">
        <v>5300</v>
      </c>
      <c r="C145" s="249" t="s">
        <v>217</v>
      </c>
      <c r="D145" s="260"/>
    </row>
    <row r="146" spans="1:4" ht="12" hidden="1" customHeight="1" outlineLevel="1" x14ac:dyDescent="0.3">
      <c r="A146" s="238"/>
      <c r="B146" s="199">
        <v>6000</v>
      </c>
      <c r="C146" s="200" t="s">
        <v>218</v>
      </c>
      <c r="D146" s="260">
        <v>0</v>
      </c>
    </row>
    <row r="147" spans="1:4" ht="12" hidden="1" customHeight="1" outlineLevel="1" x14ac:dyDescent="0.3">
      <c r="A147" s="238"/>
      <c r="B147" s="242">
        <v>6200</v>
      </c>
      <c r="C147" s="248" t="s">
        <v>219</v>
      </c>
      <c r="D147" s="244"/>
    </row>
    <row r="148" spans="1:4" ht="12" hidden="1" customHeight="1" outlineLevel="1" x14ac:dyDescent="0.3">
      <c r="A148" s="238"/>
      <c r="B148" s="242">
        <v>6300</v>
      </c>
      <c r="C148" s="248" t="s">
        <v>220</v>
      </c>
      <c r="D148" s="244"/>
    </row>
    <row r="149" spans="1:4" ht="12" hidden="1" customHeight="1" outlineLevel="1" x14ac:dyDescent="0.3">
      <c r="A149" s="238"/>
      <c r="B149" s="242">
        <v>6400</v>
      </c>
      <c r="C149" s="248" t="s">
        <v>221</v>
      </c>
      <c r="D149" s="244"/>
    </row>
    <row r="150" spans="1:4" ht="12" hidden="1" customHeight="1" outlineLevel="1" x14ac:dyDescent="0.3">
      <c r="A150" s="238"/>
      <c r="B150" s="242">
        <v>6500</v>
      </c>
      <c r="C150" s="249" t="s">
        <v>222</v>
      </c>
      <c r="D150" s="244"/>
    </row>
    <row r="151" spans="1:4" ht="12" hidden="1" customHeight="1" outlineLevel="1" x14ac:dyDescent="0.3">
      <c r="A151" s="238"/>
      <c r="B151" s="199">
        <v>7000</v>
      </c>
      <c r="C151" s="200" t="s">
        <v>223</v>
      </c>
      <c r="D151" s="260">
        <v>0</v>
      </c>
    </row>
    <row r="152" spans="1:4" ht="12" hidden="1" customHeight="1" outlineLevel="1" x14ac:dyDescent="0.3">
      <c r="A152" s="238"/>
      <c r="B152" s="250">
        <v>7200</v>
      </c>
      <c r="C152" s="251" t="s">
        <v>224</v>
      </c>
      <c r="D152" s="244"/>
    </row>
    <row r="153" spans="1:4" ht="12" hidden="1" customHeight="1" outlineLevel="1" x14ac:dyDescent="0.3">
      <c r="A153" s="238"/>
      <c r="B153" s="250">
        <v>7500</v>
      </c>
      <c r="C153" s="251" t="s">
        <v>225</v>
      </c>
      <c r="D153" s="244"/>
    </row>
    <row r="154" spans="1:4" ht="12" hidden="1" customHeight="1" outlineLevel="1" x14ac:dyDescent="0.3">
      <c r="A154" s="238"/>
      <c r="B154" s="250">
        <v>7700</v>
      </c>
      <c r="C154" s="251" t="s">
        <v>226</v>
      </c>
      <c r="D154" s="244"/>
    </row>
    <row r="155" spans="1:4" ht="12" hidden="1" customHeight="1" outlineLevel="1" collapsed="1" x14ac:dyDescent="0.3">
      <c r="A155" s="238"/>
      <c r="B155" s="252">
        <v>8000</v>
      </c>
      <c r="C155" s="253" t="s">
        <v>227</v>
      </c>
      <c r="D155" s="260">
        <v>0</v>
      </c>
    </row>
    <row r="156" spans="1:4" ht="12" hidden="1" customHeight="1" outlineLevel="1" x14ac:dyDescent="0.3">
      <c r="A156" s="238"/>
      <c r="B156" s="254">
        <v>8100</v>
      </c>
      <c r="C156" s="255" t="s">
        <v>228</v>
      </c>
      <c r="D156" s="260"/>
    </row>
    <row r="157" spans="1:4" ht="12" hidden="1" customHeight="1" outlineLevel="1" x14ac:dyDescent="0.3">
      <c r="A157" s="238"/>
      <c r="B157" s="254">
        <v>8600</v>
      </c>
      <c r="C157" s="255" t="s">
        <v>229</v>
      </c>
      <c r="D157" s="260"/>
    </row>
    <row r="158" spans="1:4" ht="12" hidden="1" customHeight="1" outlineLevel="1" x14ac:dyDescent="0.3">
      <c r="A158" s="238"/>
      <c r="B158" s="254">
        <v>8900</v>
      </c>
      <c r="C158" s="255" t="s">
        <v>230</v>
      </c>
      <c r="D158" s="260"/>
    </row>
    <row r="159" spans="1:4" ht="12" hidden="1" customHeight="1" outlineLevel="1" x14ac:dyDescent="0.3">
      <c r="A159" s="256" t="s">
        <v>235</v>
      </c>
      <c r="B159" s="257"/>
      <c r="C159" s="258" t="s">
        <v>236</v>
      </c>
      <c r="D159" s="259">
        <v>0</v>
      </c>
    </row>
    <row r="160" spans="1:4" ht="12" hidden="1" customHeight="1" outlineLevel="1" x14ac:dyDescent="0.3">
      <c r="A160" s="227"/>
      <c r="B160" s="228"/>
      <c r="C160" s="229" t="s">
        <v>198</v>
      </c>
      <c r="D160" s="230">
        <v>0</v>
      </c>
    </row>
    <row r="161" spans="1:4" ht="12" hidden="1" customHeight="1" outlineLevel="1" x14ac:dyDescent="0.3">
      <c r="A161" s="227"/>
      <c r="B161" s="231">
        <v>1000</v>
      </c>
      <c r="C161" s="232" t="s">
        <v>199</v>
      </c>
      <c r="D161" s="230">
        <v>0</v>
      </c>
    </row>
    <row r="162" spans="1:4" ht="12" hidden="1" customHeight="1" outlineLevel="1" x14ac:dyDescent="0.3">
      <c r="A162" s="227"/>
      <c r="B162" s="234">
        <v>1100</v>
      </c>
      <c r="C162" s="235" t="s">
        <v>200</v>
      </c>
      <c r="D162" s="236"/>
    </row>
    <row r="163" spans="1:4" ht="12" hidden="1" customHeight="1" outlineLevel="1" x14ac:dyDescent="0.3">
      <c r="A163" s="227"/>
      <c r="B163" s="234">
        <v>1200</v>
      </c>
      <c r="C163" s="237" t="s">
        <v>201</v>
      </c>
      <c r="D163" s="236"/>
    </row>
    <row r="164" spans="1:4" ht="12" hidden="1" customHeight="1" outlineLevel="1" x14ac:dyDescent="0.3">
      <c r="A164" s="238"/>
      <c r="B164" s="239">
        <v>2000</v>
      </c>
      <c r="C164" s="240" t="s">
        <v>202</v>
      </c>
      <c r="D164" s="260">
        <v>0</v>
      </c>
    </row>
    <row r="165" spans="1:4" ht="12" hidden="1" customHeight="1" outlineLevel="1" x14ac:dyDescent="0.3">
      <c r="A165" s="238"/>
      <c r="B165" s="242">
        <v>2100</v>
      </c>
      <c r="C165" s="243" t="s">
        <v>203</v>
      </c>
      <c r="D165" s="244"/>
    </row>
    <row r="166" spans="1:4" ht="12" hidden="1" customHeight="1" outlineLevel="1" x14ac:dyDescent="0.3">
      <c r="A166" s="238"/>
      <c r="B166" s="242">
        <v>2200</v>
      </c>
      <c r="C166" s="243" t="s">
        <v>204</v>
      </c>
      <c r="D166" s="244"/>
    </row>
    <row r="167" spans="1:4" ht="12" hidden="1" customHeight="1" outlineLevel="1" x14ac:dyDescent="0.3">
      <c r="A167" s="238"/>
      <c r="B167" s="242">
        <v>2300</v>
      </c>
      <c r="C167" s="243" t="s">
        <v>205</v>
      </c>
      <c r="D167" s="244"/>
    </row>
    <row r="168" spans="1:4" ht="12" hidden="1" customHeight="1" outlineLevel="1" x14ac:dyDescent="0.3">
      <c r="A168" s="238"/>
      <c r="B168" s="242">
        <v>2400</v>
      </c>
      <c r="C168" s="243" t="s">
        <v>206</v>
      </c>
      <c r="D168" s="244"/>
    </row>
    <row r="169" spans="1:4" ht="12" hidden="1" customHeight="1" outlineLevel="1" x14ac:dyDescent="0.3">
      <c r="A169" s="238"/>
      <c r="B169" s="242">
        <v>2500</v>
      </c>
      <c r="C169" s="243" t="s">
        <v>207</v>
      </c>
      <c r="D169" s="244"/>
    </row>
    <row r="170" spans="1:4" ht="12" hidden="1" customHeight="1" outlineLevel="1" x14ac:dyDescent="0.3">
      <c r="A170" s="238"/>
      <c r="B170" s="199">
        <v>3000</v>
      </c>
      <c r="C170" s="245" t="s">
        <v>208</v>
      </c>
      <c r="D170" s="260">
        <v>0</v>
      </c>
    </row>
    <row r="171" spans="1:4" ht="12" hidden="1" customHeight="1" outlineLevel="1" x14ac:dyDescent="0.3">
      <c r="A171" s="238"/>
      <c r="B171" s="242">
        <v>3200</v>
      </c>
      <c r="C171" s="243" t="s">
        <v>209</v>
      </c>
      <c r="D171" s="244"/>
    </row>
    <row r="172" spans="1:4" ht="12" hidden="1" customHeight="1" outlineLevel="1" x14ac:dyDescent="0.3">
      <c r="A172" s="238"/>
      <c r="B172" s="242">
        <v>3300</v>
      </c>
      <c r="C172" s="243" t="s">
        <v>210</v>
      </c>
      <c r="D172" s="244"/>
    </row>
    <row r="173" spans="1:4" ht="12" hidden="1" customHeight="1" outlineLevel="1" x14ac:dyDescent="0.3">
      <c r="A173" s="238"/>
      <c r="B173" s="199">
        <v>4000</v>
      </c>
      <c r="C173" s="246" t="s">
        <v>211</v>
      </c>
      <c r="D173" s="260">
        <v>0</v>
      </c>
    </row>
    <row r="174" spans="1:4" ht="12" hidden="1" customHeight="1" outlineLevel="1" x14ac:dyDescent="0.3">
      <c r="A174" s="238"/>
      <c r="B174" s="242">
        <v>4200</v>
      </c>
      <c r="C174" s="247" t="s">
        <v>212</v>
      </c>
      <c r="D174" s="244"/>
    </row>
    <row r="175" spans="1:4" ht="12" hidden="1" customHeight="1" outlineLevel="1" x14ac:dyDescent="0.3">
      <c r="A175" s="238"/>
      <c r="B175" s="242">
        <v>4300</v>
      </c>
      <c r="C175" s="247" t="s">
        <v>213</v>
      </c>
      <c r="D175" s="244"/>
    </row>
    <row r="176" spans="1:4" ht="12" hidden="1" customHeight="1" outlineLevel="1" x14ac:dyDescent="0.3">
      <c r="A176" s="238"/>
      <c r="B176" s="199">
        <v>5000</v>
      </c>
      <c r="C176" s="200" t="s">
        <v>214</v>
      </c>
      <c r="D176" s="260">
        <v>0</v>
      </c>
    </row>
    <row r="177" spans="1:4" ht="12" hidden="1" customHeight="1" outlineLevel="1" x14ac:dyDescent="0.3">
      <c r="A177" s="238"/>
      <c r="B177" s="242">
        <v>5100</v>
      </c>
      <c r="C177" s="248" t="s">
        <v>215</v>
      </c>
      <c r="D177" s="260"/>
    </row>
    <row r="178" spans="1:4" ht="12" hidden="1" customHeight="1" outlineLevel="1" x14ac:dyDescent="0.3">
      <c r="A178" s="238"/>
      <c r="B178" s="242">
        <v>5200</v>
      </c>
      <c r="C178" s="248" t="s">
        <v>216</v>
      </c>
      <c r="D178" s="260"/>
    </row>
    <row r="179" spans="1:4" ht="12" hidden="1" customHeight="1" outlineLevel="1" x14ac:dyDescent="0.3">
      <c r="A179" s="238"/>
      <c r="B179" s="242">
        <v>5300</v>
      </c>
      <c r="C179" s="249" t="s">
        <v>217</v>
      </c>
      <c r="D179" s="260"/>
    </row>
    <row r="180" spans="1:4" ht="12" hidden="1" customHeight="1" outlineLevel="1" x14ac:dyDescent="0.3">
      <c r="A180" s="238"/>
      <c r="B180" s="199">
        <v>6000</v>
      </c>
      <c r="C180" s="200" t="s">
        <v>218</v>
      </c>
      <c r="D180" s="260">
        <v>0</v>
      </c>
    </row>
    <row r="181" spans="1:4" ht="12" hidden="1" customHeight="1" outlineLevel="1" x14ac:dyDescent="0.3">
      <c r="A181" s="238"/>
      <c r="B181" s="242">
        <v>6200</v>
      </c>
      <c r="C181" s="248" t="s">
        <v>219</v>
      </c>
      <c r="D181" s="244"/>
    </row>
    <row r="182" spans="1:4" ht="12" hidden="1" customHeight="1" outlineLevel="1" x14ac:dyDescent="0.3">
      <c r="A182" s="238"/>
      <c r="B182" s="242">
        <v>6300</v>
      </c>
      <c r="C182" s="248" t="s">
        <v>220</v>
      </c>
      <c r="D182" s="244"/>
    </row>
    <row r="183" spans="1:4" ht="12" hidden="1" customHeight="1" outlineLevel="1" x14ac:dyDescent="0.3">
      <c r="A183" s="238"/>
      <c r="B183" s="242">
        <v>6400</v>
      </c>
      <c r="C183" s="248" t="s">
        <v>221</v>
      </c>
      <c r="D183" s="244"/>
    </row>
    <row r="184" spans="1:4" ht="12" hidden="1" customHeight="1" outlineLevel="1" x14ac:dyDescent="0.3">
      <c r="A184" s="238"/>
      <c r="B184" s="242">
        <v>6500</v>
      </c>
      <c r="C184" s="249" t="s">
        <v>222</v>
      </c>
      <c r="D184" s="244"/>
    </row>
    <row r="185" spans="1:4" ht="12" hidden="1" customHeight="1" outlineLevel="1" x14ac:dyDescent="0.3">
      <c r="A185" s="238"/>
      <c r="B185" s="199">
        <v>7000</v>
      </c>
      <c r="C185" s="200" t="s">
        <v>223</v>
      </c>
      <c r="D185" s="260">
        <v>0</v>
      </c>
    </row>
    <row r="186" spans="1:4" ht="12" hidden="1" customHeight="1" outlineLevel="1" x14ac:dyDescent="0.3">
      <c r="A186" s="238"/>
      <c r="B186" s="250">
        <v>7200</v>
      </c>
      <c r="C186" s="251" t="s">
        <v>224</v>
      </c>
      <c r="D186" s="244"/>
    </row>
    <row r="187" spans="1:4" ht="12" hidden="1" customHeight="1" outlineLevel="1" x14ac:dyDescent="0.3">
      <c r="A187" s="238"/>
      <c r="B187" s="250">
        <v>7500</v>
      </c>
      <c r="C187" s="251" t="s">
        <v>225</v>
      </c>
      <c r="D187" s="244"/>
    </row>
    <row r="188" spans="1:4" ht="12" hidden="1" customHeight="1" outlineLevel="1" x14ac:dyDescent="0.3">
      <c r="A188" s="238"/>
      <c r="B188" s="250">
        <v>7700</v>
      </c>
      <c r="C188" s="251" t="s">
        <v>226</v>
      </c>
      <c r="D188" s="244"/>
    </row>
    <row r="189" spans="1:4" ht="12" hidden="1" customHeight="1" outlineLevel="1" x14ac:dyDescent="0.3">
      <c r="A189" s="238"/>
      <c r="B189" s="252">
        <v>8000</v>
      </c>
      <c r="C189" s="253" t="s">
        <v>227</v>
      </c>
      <c r="D189" s="260">
        <v>0</v>
      </c>
    </row>
    <row r="190" spans="1:4" ht="12" hidden="1" customHeight="1" outlineLevel="1" x14ac:dyDescent="0.3">
      <c r="A190" s="238"/>
      <c r="B190" s="254">
        <v>8100</v>
      </c>
      <c r="C190" s="255" t="s">
        <v>228</v>
      </c>
      <c r="D190" s="260"/>
    </row>
    <row r="191" spans="1:4" ht="12" hidden="1" customHeight="1" outlineLevel="1" x14ac:dyDescent="0.3">
      <c r="A191" s="238"/>
      <c r="B191" s="254">
        <v>8600</v>
      </c>
      <c r="C191" s="255" t="s">
        <v>229</v>
      </c>
      <c r="D191" s="260"/>
    </row>
    <row r="192" spans="1:4" ht="12" hidden="1" customHeight="1" outlineLevel="1" x14ac:dyDescent="0.3">
      <c r="A192" s="238"/>
      <c r="B192" s="254">
        <v>8900</v>
      </c>
      <c r="C192" s="255" t="s">
        <v>230</v>
      </c>
      <c r="D192" s="260"/>
    </row>
    <row r="193" spans="1:4" ht="23.25" hidden="1" customHeight="1" outlineLevel="1" x14ac:dyDescent="0.3">
      <c r="A193" s="256" t="s">
        <v>237</v>
      </c>
      <c r="B193" s="257"/>
      <c r="C193" s="258" t="s">
        <v>238</v>
      </c>
      <c r="D193" s="259">
        <v>0</v>
      </c>
    </row>
    <row r="194" spans="1:4" ht="12" hidden="1" customHeight="1" outlineLevel="1" x14ac:dyDescent="0.3">
      <c r="A194" s="227"/>
      <c r="B194" s="228"/>
      <c r="C194" s="229" t="s">
        <v>198</v>
      </c>
      <c r="D194" s="230">
        <v>0</v>
      </c>
    </row>
    <row r="195" spans="1:4" ht="12" hidden="1" customHeight="1" outlineLevel="1" x14ac:dyDescent="0.3">
      <c r="A195" s="227"/>
      <c r="B195" s="231">
        <v>1000</v>
      </c>
      <c r="C195" s="232" t="s">
        <v>199</v>
      </c>
      <c r="D195" s="230">
        <v>0</v>
      </c>
    </row>
    <row r="196" spans="1:4" ht="12" hidden="1" customHeight="1" outlineLevel="1" x14ac:dyDescent="0.3">
      <c r="A196" s="227"/>
      <c r="B196" s="234">
        <v>1100</v>
      </c>
      <c r="C196" s="235" t="s">
        <v>200</v>
      </c>
      <c r="D196" s="236"/>
    </row>
    <row r="197" spans="1:4" ht="12" hidden="1" customHeight="1" outlineLevel="1" x14ac:dyDescent="0.3">
      <c r="A197" s="227"/>
      <c r="B197" s="234">
        <v>1200</v>
      </c>
      <c r="C197" s="237" t="s">
        <v>201</v>
      </c>
      <c r="D197" s="236"/>
    </row>
    <row r="198" spans="1:4" ht="12" hidden="1" customHeight="1" outlineLevel="1" x14ac:dyDescent="0.3">
      <c r="A198" s="238"/>
      <c r="B198" s="239">
        <v>2000</v>
      </c>
      <c r="C198" s="240" t="s">
        <v>202</v>
      </c>
      <c r="D198" s="260">
        <v>0</v>
      </c>
    </row>
    <row r="199" spans="1:4" ht="12" hidden="1" customHeight="1" outlineLevel="1" x14ac:dyDescent="0.3">
      <c r="A199" s="238"/>
      <c r="B199" s="242">
        <v>2100</v>
      </c>
      <c r="C199" s="243" t="s">
        <v>203</v>
      </c>
      <c r="D199" s="244"/>
    </row>
    <row r="200" spans="1:4" ht="12" hidden="1" customHeight="1" outlineLevel="1" x14ac:dyDescent="0.3">
      <c r="A200" s="238"/>
      <c r="B200" s="242">
        <v>2200</v>
      </c>
      <c r="C200" s="243" t="s">
        <v>204</v>
      </c>
      <c r="D200" s="244"/>
    </row>
    <row r="201" spans="1:4" ht="12" hidden="1" customHeight="1" outlineLevel="1" x14ac:dyDescent="0.3">
      <c r="A201" s="238"/>
      <c r="B201" s="242">
        <v>2300</v>
      </c>
      <c r="C201" s="243" t="s">
        <v>205</v>
      </c>
      <c r="D201" s="244"/>
    </row>
    <row r="202" spans="1:4" ht="12" hidden="1" customHeight="1" outlineLevel="1" x14ac:dyDescent="0.3">
      <c r="A202" s="238"/>
      <c r="B202" s="242">
        <v>2400</v>
      </c>
      <c r="C202" s="243" t="s">
        <v>206</v>
      </c>
      <c r="D202" s="244"/>
    </row>
    <row r="203" spans="1:4" ht="12" hidden="1" customHeight="1" outlineLevel="1" x14ac:dyDescent="0.3">
      <c r="A203" s="238"/>
      <c r="B203" s="242">
        <v>2500</v>
      </c>
      <c r="C203" s="243" t="s">
        <v>207</v>
      </c>
      <c r="D203" s="244"/>
    </row>
    <row r="204" spans="1:4" ht="12" hidden="1" customHeight="1" outlineLevel="1" x14ac:dyDescent="0.3">
      <c r="A204" s="238"/>
      <c r="B204" s="199">
        <v>3000</v>
      </c>
      <c r="C204" s="245" t="s">
        <v>208</v>
      </c>
      <c r="D204" s="260">
        <v>0</v>
      </c>
    </row>
    <row r="205" spans="1:4" ht="12" hidden="1" customHeight="1" outlineLevel="1" x14ac:dyDescent="0.3">
      <c r="A205" s="238"/>
      <c r="B205" s="242">
        <v>3200</v>
      </c>
      <c r="C205" s="243" t="s">
        <v>209</v>
      </c>
      <c r="D205" s="244"/>
    </row>
    <row r="206" spans="1:4" ht="12" hidden="1" customHeight="1" outlineLevel="1" x14ac:dyDescent="0.3">
      <c r="A206" s="238"/>
      <c r="B206" s="242">
        <v>3300</v>
      </c>
      <c r="C206" s="243" t="s">
        <v>210</v>
      </c>
      <c r="D206" s="244"/>
    </row>
    <row r="207" spans="1:4" ht="12" hidden="1" customHeight="1" outlineLevel="1" x14ac:dyDescent="0.3">
      <c r="A207" s="238"/>
      <c r="B207" s="199">
        <v>4000</v>
      </c>
      <c r="C207" s="246" t="s">
        <v>211</v>
      </c>
      <c r="D207" s="260">
        <v>0</v>
      </c>
    </row>
    <row r="208" spans="1:4" ht="12" hidden="1" customHeight="1" outlineLevel="1" x14ac:dyDescent="0.3">
      <c r="A208" s="238"/>
      <c r="B208" s="242">
        <v>4200</v>
      </c>
      <c r="C208" s="247" t="s">
        <v>212</v>
      </c>
      <c r="D208" s="244"/>
    </row>
    <row r="209" spans="1:4" ht="12" hidden="1" customHeight="1" outlineLevel="1" x14ac:dyDescent="0.3">
      <c r="A209" s="238"/>
      <c r="B209" s="242">
        <v>4300</v>
      </c>
      <c r="C209" s="247" t="s">
        <v>213</v>
      </c>
      <c r="D209" s="244"/>
    </row>
    <row r="210" spans="1:4" ht="12" hidden="1" customHeight="1" outlineLevel="1" x14ac:dyDescent="0.3">
      <c r="A210" s="238"/>
      <c r="B210" s="199">
        <v>5000</v>
      </c>
      <c r="C210" s="200" t="s">
        <v>214</v>
      </c>
      <c r="D210" s="260">
        <v>0</v>
      </c>
    </row>
    <row r="211" spans="1:4" ht="12" hidden="1" customHeight="1" outlineLevel="1" x14ac:dyDescent="0.3">
      <c r="A211" s="238"/>
      <c r="B211" s="242">
        <v>5100</v>
      </c>
      <c r="C211" s="248" t="s">
        <v>215</v>
      </c>
      <c r="D211" s="260"/>
    </row>
    <row r="212" spans="1:4" ht="12" hidden="1" customHeight="1" outlineLevel="1" x14ac:dyDescent="0.3">
      <c r="A212" s="238"/>
      <c r="B212" s="242">
        <v>5200</v>
      </c>
      <c r="C212" s="248" t="s">
        <v>216</v>
      </c>
      <c r="D212" s="260"/>
    </row>
    <row r="213" spans="1:4" ht="12" hidden="1" customHeight="1" outlineLevel="1" x14ac:dyDescent="0.3">
      <c r="A213" s="238"/>
      <c r="B213" s="242">
        <v>5300</v>
      </c>
      <c r="C213" s="249" t="s">
        <v>217</v>
      </c>
      <c r="D213" s="260"/>
    </row>
    <row r="214" spans="1:4" ht="12" hidden="1" customHeight="1" outlineLevel="1" x14ac:dyDescent="0.3">
      <c r="A214" s="238"/>
      <c r="B214" s="199">
        <v>6000</v>
      </c>
      <c r="C214" s="200" t="s">
        <v>218</v>
      </c>
      <c r="D214" s="260">
        <v>0</v>
      </c>
    </row>
    <row r="215" spans="1:4" ht="12" hidden="1" customHeight="1" outlineLevel="1" x14ac:dyDescent="0.3">
      <c r="A215" s="238"/>
      <c r="B215" s="242">
        <v>6200</v>
      </c>
      <c r="C215" s="248" t="s">
        <v>219</v>
      </c>
      <c r="D215" s="244"/>
    </row>
    <row r="216" spans="1:4" ht="12" hidden="1" customHeight="1" outlineLevel="1" x14ac:dyDescent="0.3">
      <c r="A216" s="238"/>
      <c r="B216" s="242">
        <v>6300</v>
      </c>
      <c r="C216" s="248" t="s">
        <v>220</v>
      </c>
      <c r="D216" s="244"/>
    </row>
    <row r="217" spans="1:4" ht="12" hidden="1" customHeight="1" outlineLevel="1" x14ac:dyDescent="0.3">
      <c r="A217" s="238"/>
      <c r="B217" s="242">
        <v>6400</v>
      </c>
      <c r="C217" s="248" t="s">
        <v>221</v>
      </c>
      <c r="D217" s="244"/>
    </row>
    <row r="218" spans="1:4" ht="12" hidden="1" customHeight="1" outlineLevel="1" x14ac:dyDescent="0.3">
      <c r="A218" s="238"/>
      <c r="B218" s="242">
        <v>6500</v>
      </c>
      <c r="C218" s="249" t="s">
        <v>222</v>
      </c>
      <c r="D218" s="244"/>
    </row>
    <row r="219" spans="1:4" ht="12" hidden="1" customHeight="1" outlineLevel="1" x14ac:dyDescent="0.3">
      <c r="A219" s="238"/>
      <c r="B219" s="199">
        <v>7000</v>
      </c>
      <c r="C219" s="200" t="s">
        <v>223</v>
      </c>
      <c r="D219" s="260">
        <v>0</v>
      </c>
    </row>
    <row r="220" spans="1:4" ht="12" hidden="1" customHeight="1" outlineLevel="1" x14ac:dyDescent="0.3">
      <c r="A220" s="238"/>
      <c r="B220" s="250">
        <v>7200</v>
      </c>
      <c r="C220" s="251" t="s">
        <v>224</v>
      </c>
      <c r="D220" s="244"/>
    </row>
    <row r="221" spans="1:4" ht="12" hidden="1" customHeight="1" outlineLevel="1" x14ac:dyDescent="0.3">
      <c r="A221" s="238"/>
      <c r="B221" s="250">
        <v>7500</v>
      </c>
      <c r="C221" s="251" t="s">
        <v>225</v>
      </c>
      <c r="D221" s="244"/>
    </row>
    <row r="222" spans="1:4" ht="12" hidden="1" customHeight="1" outlineLevel="1" x14ac:dyDescent="0.3">
      <c r="A222" s="238"/>
      <c r="B222" s="250">
        <v>7700</v>
      </c>
      <c r="C222" s="251" t="s">
        <v>226</v>
      </c>
      <c r="D222" s="244"/>
    </row>
    <row r="223" spans="1:4" ht="12" hidden="1" customHeight="1" outlineLevel="1" x14ac:dyDescent="0.3">
      <c r="A223" s="238"/>
      <c r="B223" s="252">
        <v>8000</v>
      </c>
      <c r="C223" s="253" t="s">
        <v>227</v>
      </c>
      <c r="D223" s="260">
        <v>0</v>
      </c>
    </row>
    <row r="224" spans="1:4" ht="12" hidden="1" customHeight="1" outlineLevel="1" x14ac:dyDescent="0.3">
      <c r="A224" s="238"/>
      <c r="B224" s="254">
        <v>8100</v>
      </c>
      <c r="C224" s="255" t="s">
        <v>228</v>
      </c>
      <c r="D224" s="260"/>
    </row>
    <row r="225" spans="1:4" ht="12" hidden="1" customHeight="1" outlineLevel="1" x14ac:dyDescent="0.3">
      <c r="A225" s="238"/>
      <c r="B225" s="254">
        <v>8600</v>
      </c>
      <c r="C225" s="255" t="s">
        <v>229</v>
      </c>
      <c r="D225" s="260"/>
    </row>
    <row r="226" spans="1:4" ht="12" hidden="1" customHeight="1" outlineLevel="1" x14ac:dyDescent="0.3">
      <c r="A226" s="238"/>
      <c r="B226" s="254">
        <v>8900</v>
      </c>
      <c r="C226" s="255" t="s">
        <v>230</v>
      </c>
      <c r="D226" s="260"/>
    </row>
    <row r="227" spans="1:4" ht="26.25" hidden="1" customHeight="1" outlineLevel="1" x14ac:dyDescent="0.3">
      <c r="A227" s="256" t="s">
        <v>239</v>
      </c>
      <c r="B227" s="257"/>
      <c r="C227" s="258" t="s">
        <v>240</v>
      </c>
      <c r="D227" s="259">
        <v>0</v>
      </c>
    </row>
    <row r="228" spans="1:4" ht="12" hidden="1" customHeight="1" outlineLevel="1" x14ac:dyDescent="0.3">
      <c r="A228" s="227"/>
      <c r="B228" s="228"/>
      <c r="C228" s="229" t="s">
        <v>198</v>
      </c>
      <c r="D228" s="230">
        <v>0</v>
      </c>
    </row>
    <row r="229" spans="1:4" ht="12" hidden="1" customHeight="1" outlineLevel="1" x14ac:dyDescent="0.3">
      <c r="A229" s="227"/>
      <c r="B229" s="231">
        <v>1000</v>
      </c>
      <c r="C229" s="232" t="s">
        <v>199</v>
      </c>
      <c r="D229" s="236">
        <v>0</v>
      </c>
    </row>
    <row r="230" spans="1:4" ht="12" hidden="1" customHeight="1" outlineLevel="1" x14ac:dyDescent="0.3">
      <c r="A230" s="227"/>
      <c r="B230" s="234">
        <v>1100</v>
      </c>
      <c r="C230" s="235" t="s">
        <v>200</v>
      </c>
      <c r="D230" s="236"/>
    </row>
    <row r="231" spans="1:4" ht="12" hidden="1" customHeight="1" outlineLevel="1" x14ac:dyDescent="0.3">
      <c r="A231" s="227"/>
      <c r="B231" s="234">
        <v>1200</v>
      </c>
      <c r="C231" s="237" t="s">
        <v>201</v>
      </c>
      <c r="D231" s="236"/>
    </row>
    <row r="232" spans="1:4" ht="12" hidden="1" customHeight="1" outlineLevel="1" x14ac:dyDescent="0.3">
      <c r="A232" s="238"/>
      <c r="B232" s="239">
        <v>2000</v>
      </c>
      <c r="C232" s="240" t="s">
        <v>202</v>
      </c>
      <c r="D232" s="260">
        <v>0</v>
      </c>
    </row>
    <row r="233" spans="1:4" ht="12" hidden="1" customHeight="1" outlineLevel="1" x14ac:dyDescent="0.3">
      <c r="A233" s="238"/>
      <c r="B233" s="242">
        <v>2100</v>
      </c>
      <c r="C233" s="243" t="s">
        <v>203</v>
      </c>
      <c r="D233" s="244"/>
    </row>
    <row r="234" spans="1:4" ht="12" hidden="1" customHeight="1" outlineLevel="1" x14ac:dyDescent="0.3">
      <c r="A234" s="238"/>
      <c r="B234" s="242">
        <v>2200</v>
      </c>
      <c r="C234" s="243" t="s">
        <v>204</v>
      </c>
      <c r="D234" s="244"/>
    </row>
    <row r="235" spans="1:4" ht="12" hidden="1" customHeight="1" outlineLevel="1" x14ac:dyDescent="0.3">
      <c r="A235" s="238"/>
      <c r="B235" s="242">
        <v>2300</v>
      </c>
      <c r="C235" s="243" t="s">
        <v>205</v>
      </c>
      <c r="D235" s="244"/>
    </row>
    <row r="236" spans="1:4" ht="12" hidden="1" customHeight="1" outlineLevel="1" x14ac:dyDescent="0.3">
      <c r="A236" s="238"/>
      <c r="B236" s="242">
        <v>2400</v>
      </c>
      <c r="C236" s="243" t="s">
        <v>206</v>
      </c>
      <c r="D236" s="244"/>
    </row>
    <row r="237" spans="1:4" ht="12" hidden="1" customHeight="1" outlineLevel="1" x14ac:dyDescent="0.3">
      <c r="A237" s="238"/>
      <c r="B237" s="242">
        <v>2500</v>
      </c>
      <c r="C237" s="243" t="s">
        <v>207</v>
      </c>
      <c r="D237" s="244"/>
    </row>
    <row r="238" spans="1:4" ht="12" hidden="1" customHeight="1" outlineLevel="1" x14ac:dyDescent="0.3">
      <c r="A238" s="238"/>
      <c r="B238" s="199">
        <v>3000</v>
      </c>
      <c r="C238" s="245" t="s">
        <v>208</v>
      </c>
      <c r="D238" s="244">
        <v>0</v>
      </c>
    </row>
    <row r="239" spans="1:4" ht="12" hidden="1" customHeight="1" outlineLevel="1" x14ac:dyDescent="0.3">
      <c r="A239" s="238"/>
      <c r="B239" s="242">
        <v>3200</v>
      </c>
      <c r="C239" s="243" t="s">
        <v>209</v>
      </c>
      <c r="D239" s="244"/>
    </row>
    <row r="240" spans="1:4" ht="12" hidden="1" customHeight="1" outlineLevel="1" x14ac:dyDescent="0.3">
      <c r="A240" s="238"/>
      <c r="B240" s="242">
        <v>3300</v>
      </c>
      <c r="C240" s="243" t="s">
        <v>210</v>
      </c>
      <c r="D240" s="244"/>
    </row>
    <row r="241" spans="1:4" ht="12" hidden="1" customHeight="1" outlineLevel="1" x14ac:dyDescent="0.3">
      <c r="A241" s="238"/>
      <c r="B241" s="199">
        <v>4000</v>
      </c>
      <c r="C241" s="246" t="s">
        <v>211</v>
      </c>
      <c r="D241" s="244">
        <v>0</v>
      </c>
    </row>
    <row r="242" spans="1:4" ht="12" hidden="1" customHeight="1" outlineLevel="1" x14ac:dyDescent="0.3">
      <c r="A242" s="238"/>
      <c r="B242" s="242">
        <v>4200</v>
      </c>
      <c r="C242" s="247" t="s">
        <v>212</v>
      </c>
      <c r="D242" s="244"/>
    </row>
    <row r="243" spans="1:4" ht="12" hidden="1" customHeight="1" outlineLevel="1" x14ac:dyDescent="0.3">
      <c r="A243" s="238"/>
      <c r="B243" s="242">
        <v>4300</v>
      </c>
      <c r="C243" s="247" t="s">
        <v>213</v>
      </c>
      <c r="D243" s="244"/>
    </row>
    <row r="244" spans="1:4" ht="12" hidden="1" customHeight="1" outlineLevel="1" x14ac:dyDescent="0.3">
      <c r="A244" s="238"/>
      <c r="B244" s="199">
        <v>5000</v>
      </c>
      <c r="C244" s="200" t="s">
        <v>214</v>
      </c>
      <c r="D244" s="260">
        <v>0</v>
      </c>
    </row>
    <row r="245" spans="1:4" ht="12" hidden="1" customHeight="1" outlineLevel="1" x14ac:dyDescent="0.3">
      <c r="A245" s="238"/>
      <c r="B245" s="242">
        <v>5100</v>
      </c>
      <c r="C245" s="248" t="s">
        <v>215</v>
      </c>
      <c r="D245" s="260"/>
    </row>
    <row r="246" spans="1:4" ht="12" hidden="1" customHeight="1" outlineLevel="1" x14ac:dyDescent="0.3">
      <c r="A246" s="238"/>
      <c r="B246" s="242">
        <v>5200</v>
      </c>
      <c r="C246" s="248" t="s">
        <v>216</v>
      </c>
      <c r="D246" s="260"/>
    </row>
    <row r="247" spans="1:4" ht="12" hidden="1" customHeight="1" outlineLevel="1" x14ac:dyDescent="0.3">
      <c r="A247" s="238"/>
      <c r="B247" s="242">
        <v>5300</v>
      </c>
      <c r="C247" s="249" t="s">
        <v>217</v>
      </c>
      <c r="D247" s="260"/>
    </row>
    <row r="248" spans="1:4" ht="12" hidden="1" customHeight="1" outlineLevel="1" x14ac:dyDescent="0.3">
      <c r="A248" s="238"/>
      <c r="B248" s="199">
        <v>6000</v>
      </c>
      <c r="C248" s="200" t="s">
        <v>218</v>
      </c>
      <c r="D248" s="244">
        <v>0</v>
      </c>
    </row>
    <row r="249" spans="1:4" ht="12" hidden="1" customHeight="1" outlineLevel="1" x14ac:dyDescent="0.3">
      <c r="A249" s="238"/>
      <c r="B249" s="242">
        <v>6200</v>
      </c>
      <c r="C249" s="248" t="s">
        <v>219</v>
      </c>
      <c r="D249" s="244"/>
    </row>
    <row r="250" spans="1:4" ht="12" hidden="1" customHeight="1" outlineLevel="1" x14ac:dyDescent="0.3">
      <c r="A250" s="238"/>
      <c r="B250" s="242">
        <v>6300</v>
      </c>
      <c r="C250" s="248" t="s">
        <v>220</v>
      </c>
      <c r="D250" s="244"/>
    </row>
    <row r="251" spans="1:4" ht="12" hidden="1" customHeight="1" outlineLevel="1" x14ac:dyDescent="0.3">
      <c r="A251" s="238"/>
      <c r="B251" s="242">
        <v>6400</v>
      </c>
      <c r="C251" s="248" t="s">
        <v>221</v>
      </c>
      <c r="D251" s="244"/>
    </row>
    <row r="252" spans="1:4" ht="12" hidden="1" customHeight="1" outlineLevel="1" x14ac:dyDescent="0.3">
      <c r="A252" s="238"/>
      <c r="B252" s="242">
        <v>6500</v>
      </c>
      <c r="C252" s="249" t="s">
        <v>222</v>
      </c>
      <c r="D252" s="244"/>
    </row>
    <row r="253" spans="1:4" ht="12" hidden="1" customHeight="1" outlineLevel="1" x14ac:dyDescent="0.3">
      <c r="A253" s="238"/>
      <c r="B253" s="199">
        <v>7000</v>
      </c>
      <c r="C253" s="200" t="s">
        <v>223</v>
      </c>
      <c r="D253" s="260">
        <v>0</v>
      </c>
    </row>
    <row r="254" spans="1:4" ht="12" hidden="1" customHeight="1" outlineLevel="1" x14ac:dyDescent="0.3">
      <c r="A254" s="238"/>
      <c r="B254" s="250">
        <v>7200</v>
      </c>
      <c r="C254" s="251" t="s">
        <v>224</v>
      </c>
      <c r="D254" s="244"/>
    </row>
    <row r="255" spans="1:4" ht="12" hidden="1" customHeight="1" outlineLevel="1" x14ac:dyDescent="0.3">
      <c r="A255" s="238"/>
      <c r="B255" s="250">
        <v>7500</v>
      </c>
      <c r="C255" s="251" t="s">
        <v>225</v>
      </c>
      <c r="D255" s="244"/>
    </row>
    <row r="256" spans="1:4" ht="12" hidden="1" customHeight="1" outlineLevel="1" x14ac:dyDescent="0.3">
      <c r="A256" s="238"/>
      <c r="B256" s="250">
        <v>7700</v>
      </c>
      <c r="C256" s="251" t="s">
        <v>226</v>
      </c>
      <c r="D256" s="244"/>
    </row>
    <row r="257" spans="1:4" ht="12" hidden="1" customHeight="1" outlineLevel="1" x14ac:dyDescent="0.3">
      <c r="A257" s="238"/>
      <c r="B257" s="252">
        <v>8000</v>
      </c>
      <c r="C257" s="253" t="s">
        <v>227</v>
      </c>
      <c r="D257" s="260">
        <v>0</v>
      </c>
    </row>
    <row r="258" spans="1:4" ht="12" hidden="1" customHeight="1" outlineLevel="1" x14ac:dyDescent="0.3">
      <c r="A258" s="238"/>
      <c r="B258" s="254">
        <v>8100</v>
      </c>
      <c r="C258" s="255" t="s">
        <v>228</v>
      </c>
      <c r="D258" s="261"/>
    </row>
    <row r="259" spans="1:4" ht="12" hidden="1" customHeight="1" outlineLevel="1" x14ac:dyDescent="0.3">
      <c r="A259" s="238"/>
      <c r="B259" s="254">
        <v>8600</v>
      </c>
      <c r="C259" s="255" t="s">
        <v>229</v>
      </c>
      <c r="D259" s="261"/>
    </row>
    <row r="260" spans="1:4" ht="12" hidden="1" customHeight="1" outlineLevel="1" x14ac:dyDescent="0.3">
      <c r="A260" s="238"/>
      <c r="B260" s="254">
        <v>8900</v>
      </c>
      <c r="C260" s="255" t="s">
        <v>230</v>
      </c>
      <c r="D260" s="261"/>
    </row>
    <row r="261" spans="1:4" ht="12" hidden="1" customHeight="1" outlineLevel="1" x14ac:dyDescent="0.3">
      <c r="A261" s="262" t="s">
        <v>241</v>
      </c>
      <c r="B261" s="263"/>
      <c r="C261" s="264" t="s">
        <v>242</v>
      </c>
      <c r="D261" s="265">
        <v>0</v>
      </c>
    </row>
    <row r="262" spans="1:4" ht="12" hidden="1" customHeight="1" outlineLevel="1" x14ac:dyDescent="0.3">
      <c r="A262" s="266"/>
      <c r="B262" s="267"/>
      <c r="C262" s="268" t="s">
        <v>198</v>
      </c>
      <c r="D262" s="230">
        <v>0</v>
      </c>
    </row>
    <row r="263" spans="1:4" ht="12" hidden="1" customHeight="1" outlineLevel="1" x14ac:dyDescent="0.3">
      <c r="A263" s="227"/>
      <c r="B263" s="231">
        <v>1000</v>
      </c>
      <c r="C263" s="232" t="s">
        <v>199</v>
      </c>
      <c r="D263" s="230">
        <v>0</v>
      </c>
    </row>
    <row r="264" spans="1:4" ht="12" hidden="1" customHeight="1" outlineLevel="1" x14ac:dyDescent="0.3">
      <c r="A264" s="227"/>
      <c r="B264" s="234">
        <v>1100</v>
      </c>
      <c r="C264" s="235" t="s">
        <v>200</v>
      </c>
      <c r="D264" s="236"/>
    </row>
    <row r="265" spans="1:4" ht="12" hidden="1" customHeight="1" outlineLevel="1" x14ac:dyDescent="0.3">
      <c r="A265" s="227"/>
      <c r="B265" s="234">
        <v>1200</v>
      </c>
      <c r="C265" s="237" t="s">
        <v>201</v>
      </c>
      <c r="D265" s="236"/>
    </row>
    <row r="266" spans="1:4" ht="12" hidden="1" customHeight="1" outlineLevel="1" x14ac:dyDescent="0.3">
      <c r="A266" s="238"/>
      <c r="B266" s="239">
        <v>2000</v>
      </c>
      <c r="C266" s="240" t="s">
        <v>202</v>
      </c>
      <c r="D266" s="260">
        <v>0</v>
      </c>
    </row>
    <row r="267" spans="1:4" ht="12" hidden="1" customHeight="1" outlineLevel="1" x14ac:dyDescent="0.3">
      <c r="A267" s="238"/>
      <c r="B267" s="242">
        <v>2100</v>
      </c>
      <c r="C267" s="243" t="s">
        <v>203</v>
      </c>
      <c r="D267" s="244"/>
    </row>
    <row r="268" spans="1:4" ht="12" hidden="1" customHeight="1" outlineLevel="1" x14ac:dyDescent="0.3">
      <c r="A268" s="238"/>
      <c r="B268" s="242">
        <v>2200</v>
      </c>
      <c r="C268" s="243" t="s">
        <v>204</v>
      </c>
      <c r="D268" s="244"/>
    </row>
    <row r="269" spans="1:4" ht="12" hidden="1" customHeight="1" outlineLevel="1" x14ac:dyDescent="0.3">
      <c r="A269" s="238"/>
      <c r="B269" s="242">
        <v>2300</v>
      </c>
      <c r="C269" s="243" t="s">
        <v>205</v>
      </c>
      <c r="D269" s="244"/>
    </row>
    <row r="270" spans="1:4" ht="12" hidden="1" customHeight="1" outlineLevel="1" x14ac:dyDescent="0.3">
      <c r="A270" s="238"/>
      <c r="B270" s="242">
        <v>2400</v>
      </c>
      <c r="C270" s="243" t="s">
        <v>206</v>
      </c>
      <c r="D270" s="244"/>
    </row>
    <row r="271" spans="1:4" ht="12" hidden="1" customHeight="1" outlineLevel="1" x14ac:dyDescent="0.3">
      <c r="A271" s="238"/>
      <c r="B271" s="242">
        <v>2500</v>
      </c>
      <c r="C271" s="243" t="s">
        <v>207</v>
      </c>
      <c r="D271" s="244"/>
    </row>
    <row r="272" spans="1:4" ht="12" hidden="1" customHeight="1" outlineLevel="1" x14ac:dyDescent="0.3">
      <c r="A272" s="238"/>
      <c r="B272" s="199">
        <v>3000</v>
      </c>
      <c r="C272" s="245" t="s">
        <v>208</v>
      </c>
      <c r="D272" s="260">
        <v>0</v>
      </c>
    </row>
    <row r="273" spans="1:4" ht="12" hidden="1" customHeight="1" outlineLevel="1" x14ac:dyDescent="0.3">
      <c r="A273" s="238"/>
      <c r="B273" s="242">
        <v>3200</v>
      </c>
      <c r="C273" s="243" t="s">
        <v>209</v>
      </c>
      <c r="D273" s="244"/>
    </row>
    <row r="274" spans="1:4" ht="12" hidden="1" customHeight="1" outlineLevel="1" x14ac:dyDescent="0.3">
      <c r="A274" s="238"/>
      <c r="B274" s="242">
        <v>3300</v>
      </c>
      <c r="C274" s="243" t="s">
        <v>210</v>
      </c>
      <c r="D274" s="244"/>
    </row>
    <row r="275" spans="1:4" ht="12" hidden="1" customHeight="1" outlineLevel="1" x14ac:dyDescent="0.3">
      <c r="A275" s="238"/>
      <c r="B275" s="199">
        <v>4000</v>
      </c>
      <c r="C275" s="246" t="s">
        <v>211</v>
      </c>
      <c r="D275" s="260">
        <v>0</v>
      </c>
    </row>
    <row r="276" spans="1:4" ht="12" hidden="1" customHeight="1" outlineLevel="1" x14ac:dyDescent="0.3">
      <c r="A276" s="238"/>
      <c r="B276" s="242">
        <v>4200</v>
      </c>
      <c r="C276" s="247" t="s">
        <v>212</v>
      </c>
      <c r="D276" s="244"/>
    </row>
    <row r="277" spans="1:4" ht="12" hidden="1" customHeight="1" outlineLevel="1" x14ac:dyDescent="0.3">
      <c r="A277" s="238"/>
      <c r="B277" s="242">
        <v>4300</v>
      </c>
      <c r="C277" s="247" t="s">
        <v>213</v>
      </c>
      <c r="D277" s="244"/>
    </row>
    <row r="278" spans="1:4" ht="12" hidden="1" customHeight="1" outlineLevel="1" x14ac:dyDescent="0.3">
      <c r="A278" s="238"/>
      <c r="B278" s="199">
        <v>5000</v>
      </c>
      <c r="C278" s="200" t="s">
        <v>214</v>
      </c>
      <c r="D278" s="260">
        <v>0</v>
      </c>
    </row>
    <row r="279" spans="1:4" ht="12" hidden="1" customHeight="1" outlineLevel="1" x14ac:dyDescent="0.3">
      <c r="A279" s="238"/>
      <c r="B279" s="242">
        <v>5100</v>
      </c>
      <c r="C279" s="248" t="s">
        <v>215</v>
      </c>
      <c r="D279" s="260"/>
    </row>
    <row r="280" spans="1:4" ht="12" hidden="1" customHeight="1" outlineLevel="1" x14ac:dyDescent="0.3">
      <c r="A280" s="238"/>
      <c r="B280" s="242">
        <v>5200</v>
      </c>
      <c r="C280" s="248" t="s">
        <v>216</v>
      </c>
      <c r="D280" s="260"/>
    </row>
    <row r="281" spans="1:4" ht="12" hidden="1" customHeight="1" outlineLevel="1" x14ac:dyDescent="0.3">
      <c r="A281" s="238"/>
      <c r="B281" s="242">
        <v>5300</v>
      </c>
      <c r="C281" s="249" t="s">
        <v>217</v>
      </c>
      <c r="D281" s="260"/>
    </row>
    <row r="282" spans="1:4" ht="12" hidden="1" customHeight="1" outlineLevel="1" x14ac:dyDescent="0.3">
      <c r="A282" s="238"/>
      <c r="B282" s="199">
        <v>6000</v>
      </c>
      <c r="C282" s="200" t="s">
        <v>218</v>
      </c>
      <c r="D282" s="260">
        <v>0</v>
      </c>
    </row>
    <row r="283" spans="1:4" ht="12" hidden="1" customHeight="1" outlineLevel="1" x14ac:dyDescent="0.3">
      <c r="A283" s="238"/>
      <c r="B283" s="242">
        <v>6200</v>
      </c>
      <c r="C283" s="248" t="s">
        <v>219</v>
      </c>
      <c r="D283" s="244"/>
    </row>
    <row r="284" spans="1:4" ht="12" hidden="1" customHeight="1" outlineLevel="1" x14ac:dyDescent="0.3">
      <c r="A284" s="238"/>
      <c r="B284" s="242">
        <v>6300</v>
      </c>
      <c r="C284" s="248" t="s">
        <v>220</v>
      </c>
      <c r="D284" s="244"/>
    </row>
    <row r="285" spans="1:4" ht="12" hidden="1" customHeight="1" outlineLevel="1" x14ac:dyDescent="0.3">
      <c r="A285" s="238"/>
      <c r="B285" s="242">
        <v>6400</v>
      </c>
      <c r="C285" s="248" t="s">
        <v>221</v>
      </c>
      <c r="D285" s="244"/>
    </row>
    <row r="286" spans="1:4" ht="12" hidden="1" customHeight="1" outlineLevel="1" x14ac:dyDescent="0.3">
      <c r="A286" s="238"/>
      <c r="B286" s="242">
        <v>6500</v>
      </c>
      <c r="C286" s="249" t="s">
        <v>222</v>
      </c>
      <c r="D286" s="244"/>
    </row>
    <row r="287" spans="1:4" ht="12" hidden="1" customHeight="1" outlineLevel="1" x14ac:dyDescent="0.3">
      <c r="A287" s="238"/>
      <c r="B287" s="199">
        <v>7000</v>
      </c>
      <c r="C287" s="200" t="s">
        <v>223</v>
      </c>
      <c r="D287" s="260">
        <v>0</v>
      </c>
    </row>
    <row r="288" spans="1:4" ht="12" hidden="1" customHeight="1" outlineLevel="1" x14ac:dyDescent="0.3">
      <c r="A288" s="238"/>
      <c r="B288" s="250">
        <v>7200</v>
      </c>
      <c r="C288" s="251" t="s">
        <v>224</v>
      </c>
      <c r="D288" s="244"/>
    </row>
    <row r="289" spans="1:4" ht="12" hidden="1" customHeight="1" outlineLevel="1" x14ac:dyDescent="0.3">
      <c r="A289" s="238"/>
      <c r="B289" s="250">
        <v>7500</v>
      </c>
      <c r="C289" s="251" t="s">
        <v>225</v>
      </c>
      <c r="D289" s="244"/>
    </row>
    <row r="290" spans="1:4" ht="12" hidden="1" customHeight="1" outlineLevel="1" x14ac:dyDescent="0.3">
      <c r="A290" s="238"/>
      <c r="B290" s="250">
        <v>7700</v>
      </c>
      <c r="C290" s="251" t="s">
        <v>226</v>
      </c>
      <c r="D290" s="244"/>
    </row>
    <row r="291" spans="1:4" ht="12" hidden="1" customHeight="1" outlineLevel="1" x14ac:dyDescent="0.3">
      <c r="A291" s="238"/>
      <c r="B291" s="252">
        <v>8000</v>
      </c>
      <c r="C291" s="253" t="s">
        <v>227</v>
      </c>
      <c r="D291" s="260">
        <v>0</v>
      </c>
    </row>
    <row r="292" spans="1:4" ht="12" hidden="1" customHeight="1" outlineLevel="1" x14ac:dyDescent="0.3">
      <c r="A292" s="238"/>
      <c r="B292" s="254">
        <v>8100</v>
      </c>
      <c r="C292" s="255" t="s">
        <v>228</v>
      </c>
      <c r="D292" s="260"/>
    </row>
    <row r="293" spans="1:4" ht="12" hidden="1" customHeight="1" outlineLevel="1" x14ac:dyDescent="0.3">
      <c r="A293" s="238"/>
      <c r="B293" s="254">
        <v>8600</v>
      </c>
      <c r="C293" s="255" t="s">
        <v>229</v>
      </c>
      <c r="D293" s="260"/>
    </row>
    <row r="294" spans="1:4" ht="12" hidden="1" customHeight="1" outlineLevel="1" x14ac:dyDescent="0.3">
      <c r="A294" s="238"/>
      <c r="B294" s="254">
        <v>8900</v>
      </c>
      <c r="C294" s="255" t="s">
        <v>230</v>
      </c>
      <c r="D294" s="260"/>
    </row>
    <row r="295" spans="1:4" ht="27.75" hidden="1" customHeight="1" outlineLevel="1" x14ac:dyDescent="0.3">
      <c r="A295" s="262" t="s">
        <v>243</v>
      </c>
      <c r="B295" s="263"/>
      <c r="C295" s="269" t="s">
        <v>244</v>
      </c>
      <c r="D295" s="265">
        <v>0</v>
      </c>
    </row>
    <row r="296" spans="1:4" ht="12" hidden="1" customHeight="1" outlineLevel="1" x14ac:dyDescent="0.3">
      <c r="A296" s="266"/>
      <c r="B296" s="267"/>
      <c r="C296" s="268" t="s">
        <v>198</v>
      </c>
      <c r="D296" s="230">
        <v>0</v>
      </c>
    </row>
    <row r="297" spans="1:4" ht="12" hidden="1" customHeight="1" outlineLevel="1" x14ac:dyDescent="0.3">
      <c r="A297" s="227"/>
      <c r="B297" s="231">
        <v>1000</v>
      </c>
      <c r="C297" s="232" t="s">
        <v>199</v>
      </c>
      <c r="D297" s="230">
        <v>0</v>
      </c>
    </row>
    <row r="298" spans="1:4" ht="12" hidden="1" customHeight="1" outlineLevel="1" x14ac:dyDescent="0.3">
      <c r="A298" s="227"/>
      <c r="B298" s="234">
        <v>1100</v>
      </c>
      <c r="C298" s="235" t="s">
        <v>200</v>
      </c>
      <c r="D298" s="236"/>
    </row>
    <row r="299" spans="1:4" ht="30.75" hidden="1" customHeight="1" outlineLevel="1" x14ac:dyDescent="0.3">
      <c r="A299" s="227"/>
      <c r="B299" s="234">
        <v>1200</v>
      </c>
      <c r="C299" s="237" t="s">
        <v>201</v>
      </c>
      <c r="D299" s="236"/>
    </row>
    <row r="300" spans="1:4" ht="12" hidden="1" customHeight="1" outlineLevel="1" x14ac:dyDescent="0.3">
      <c r="A300" s="238"/>
      <c r="B300" s="239">
        <v>2000</v>
      </c>
      <c r="C300" s="240" t="s">
        <v>202</v>
      </c>
      <c r="D300" s="260">
        <v>0</v>
      </c>
    </row>
    <row r="301" spans="1:4" ht="12" hidden="1" customHeight="1" outlineLevel="1" x14ac:dyDescent="0.3">
      <c r="A301" s="238"/>
      <c r="B301" s="242">
        <v>2100</v>
      </c>
      <c r="C301" s="243" t="s">
        <v>203</v>
      </c>
      <c r="D301" s="244"/>
    </row>
    <row r="302" spans="1:4" ht="12" hidden="1" customHeight="1" outlineLevel="1" x14ac:dyDescent="0.3">
      <c r="A302" s="238"/>
      <c r="B302" s="242">
        <v>2200</v>
      </c>
      <c r="C302" s="243" t="s">
        <v>204</v>
      </c>
      <c r="D302" s="244"/>
    </row>
    <row r="303" spans="1:4" ht="12" hidden="1" customHeight="1" outlineLevel="1" x14ac:dyDescent="0.3">
      <c r="A303" s="238"/>
      <c r="B303" s="242">
        <v>2300</v>
      </c>
      <c r="C303" s="243" t="s">
        <v>205</v>
      </c>
      <c r="D303" s="244"/>
    </row>
    <row r="304" spans="1:4" ht="12" hidden="1" customHeight="1" outlineLevel="1" x14ac:dyDescent="0.3">
      <c r="A304" s="238"/>
      <c r="B304" s="242">
        <v>2400</v>
      </c>
      <c r="C304" s="243" t="s">
        <v>206</v>
      </c>
      <c r="D304" s="244"/>
    </row>
    <row r="305" spans="1:4" ht="12" hidden="1" customHeight="1" outlineLevel="1" x14ac:dyDescent="0.3">
      <c r="A305" s="238"/>
      <c r="B305" s="242">
        <v>2500</v>
      </c>
      <c r="C305" s="243" t="s">
        <v>207</v>
      </c>
      <c r="D305" s="244"/>
    </row>
    <row r="306" spans="1:4" ht="12" hidden="1" customHeight="1" outlineLevel="1" x14ac:dyDescent="0.3">
      <c r="A306" s="238"/>
      <c r="B306" s="199">
        <v>3000</v>
      </c>
      <c r="C306" s="245" t="s">
        <v>208</v>
      </c>
      <c r="D306" s="260">
        <v>0</v>
      </c>
    </row>
    <row r="307" spans="1:4" ht="27.75" hidden="1" customHeight="1" outlineLevel="1" x14ac:dyDescent="0.3">
      <c r="A307" s="238"/>
      <c r="B307" s="242">
        <v>3200</v>
      </c>
      <c r="C307" s="243" t="s">
        <v>209</v>
      </c>
      <c r="D307" s="244"/>
    </row>
    <row r="308" spans="1:4" ht="29.25" hidden="1" customHeight="1" outlineLevel="1" x14ac:dyDescent="0.3">
      <c r="A308" s="238"/>
      <c r="B308" s="242">
        <v>3300</v>
      </c>
      <c r="C308" s="243" t="s">
        <v>210</v>
      </c>
      <c r="D308" s="244"/>
    </row>
    <row r="309" spans="1:4" ht="12" hidden="1" customHeight="1" outlineLevel="1" x14ac:dyDescent="0.3">
      <c r="A309" s="238"/>
      <c r="B309" s="199">
        <v>4000</v>
      </c>
      <c r="C309" s="246" t="s">
        <v>211</v>
      </c>
      <c r="D309" s="260">
        <v>0</v>
      </c>
    </row>
    <row r="310" spans="1:4" ht="12" hidden="1" customHeight="1" outlineLevel="1" x14ac:dyDescent="0.3">
      <c r="A310" s="238"/>
      <c r="B310" s="242">
        <v>4200</v>
      </c>
      <c r="C310" s="247" t="s">
        <v>212</v>
      </c>
      <c r="D310" s="244"/>
    </row>
    <row r="311" spans="1:4" ht="12" hidden="1" customHeight="1" outlineLevel="1" x14ac:dyDescent="0.3">
      <c r="A311" s="238"/>
      <c r="B311" s="242">
        <v>4300</v>
      </c>
      <c r="C311" s="247" t="s">
        <v>213</v>
      </c>
      <c r="D311" s="244"/>
    </row>
    <row r="312" spans="1:4" ht="12" hidden="1" customHeight="1" outlineLevel="1" x14ac:dyDescent="0.3">
      <c r="A312" s="238"/>
      <c r="B312" s="199">
        <v>5000</v>
      </c>
      <c r="C312" s="200" t="s">
        <v>214</v>
      </c>
      <c r="D312" s="260">
        <v>0</v>
      </c>
    </row>
    <row r="313" spans="1:4" ht="12" hidden="1" customHeight="1" outlineLevel="1" x14ac:dyDescent="0.3">
      <c r="A313" s="238"/>
      <c r="B313" s="242">
        <v>5100</v>
      </c>
      <c r="C313" s="248" t="s">
        <v>215</v>
      </c>
      <c r="D313" s="260"/>
    </row>
    <row r="314" spans="1:4" ht="12" hidden="1" customHeight="1" outlineLevel="1" x14ac:dyDescent="0.3">
      <c r="A314" s="238"/>
      <c r="B314" s="242">
        <v>5200</v>
      </c>
      <c r="C314" s="248" t="s">
        <v>216</v>
      </c>
      <c r="D314" s="260"/>
    </row>
    <row r="315" spans="1:4" ht="31.5" hidden="1" customHeight="1" outlineLevel="1" x14ac:dyDescent="0.3">
      <c r="A315" s="238"/>
      <c r="B315" s="242">
        <v>5300</v>
      </c>
      <c r="C315" s="249" t="s">
        <v>217</v>
      </c>
      <c r="D315" s="260"/>
    </row>
    <row r="316" spans="1:4" ht="12" hidden="1" customHeight="1" outlineLevel="1" x14ac:dyDescent="0.3">
      <c r="A316" s="238"/>
      <c r="B316" s="199">
        <v>6000</v>
      </c>
      <c r="C316" s="200" t="s">
        <v>218</v>
      </c>
      <c r="D316" s="260">
        <v>0</v>
      </c>
    </row>
    <row r="317" spans="1:4" ht="12" hidden="1" customHeight="1" outlineLevel="1" x14ac:dyDescent="0.3">
      <c r="A317" s="238"/>
      <c r="B317" s="242">
        <v>6200</v>
      </c>
      <c r="C317" s="248" t="s">
        <v>219</v>
      </c>
      <c r="D317" s="244"/>
    </row>
    <row r="318" spans="1:4" ht="12" hidden="1" customHeight="1" outlineLevel="1" x14ac:dyDescent="0.3">
      <c r="A318" s="238"/>
      <c r="B318" s="242">
        <v>6300</v>
      </c>
      <c r="C318" s="248" t="s">
        <v>220</v>
      </c>
      <c r="D318" s="244"/>
    </row>
    <row r="319" spans="1:4" ht="12" hidden="1" customHeight="1" outlineLevel="1" x14ac:dyDescent="0.3">
      <c r="A319" s="238"/>
      <c r="B319" s="242">
        <v>6400</v>
      </c>
      <c r="C319" s="248" t="s">
        <v>221</v>
      </c>
      <c r="D319" s="244"/>
    </row>
    <row r="320" spans="1:4" ht="41.25" hidden="1" customHeight="1" outlineLevel="1" x14ac:dyDescent="0.3">
      <c r="A320" s="238"/>
      <c r="B320" s="242">
        <v>6500</v>
      </c>
      <c r="C320" s="249" t="s">
        <v>222</v>
      </c>
      <c r="D320" s="244"/>
    </row>
    <row r="321" spans="1:4" ht="12" hidden="1" customHeight="1" outlineLevel="1" x14ac:dyDescent="0.3">
      <c r="A321" s="238"/>
      <c r="B321" s="199">
        <v>7000</v>
      </c>
      <c r="C321" s="200" t="s">
        <v>223</v>
      </c>
      <c r="D321" s="260">
        <v>0</v>
      </c>
    </row>
    <row r="322" spans="1:4" ht="12" hidden="1" customHeight="1" outlineLevel="1" x14ac:dyDescent="0.3">
      <c r="A322" s="238"/>
      <c r="B322" s="250">
        <v>7200</v>
      </c>
      <c r="C322" s="251" t="s">
        <v>224</v>
      </c>
      <c r="D322" s="244"/>
    </row>
    <row r="323" spans="1:4" ht="12" hidden="1" customHeight="1" outlineLevel="1" x14ac:dyDescent="0.3">
      <c r="A323" s="238"/>
      <c r="B323" s="250">
        <v>7500</v>
      </c>
      <c r="C323" s="251" t="s">
        <v>225</v>
      </c>
      <c r="D323" s="244"/>
    </row>
    <row r="324" spans="1:4" ht="12" hidden="1" customHeight="1" outlineLevel="1" x14ac:dyDescent="0.3">
      <c r="A324" s="238"/>
      <c r="B324" s="250">
        <v>7700</v>
      </c>
      <c r="C324" s="251" t="s">
        <v>226</v>
      </c>
      <c r="D324" s="244"/>
    </row>
    <row r="325" spans="1:4" ht="12" hidden="1" customHeight="1" outlineLevel="1" x14ac:dyDescent="0.3">
      <c r="A325" s="238"/>
      <c r="B325" s="252">
        <v>8000</v>
      </c>
      <c r="C325" s="253" t="s">
        <v>227</v>
      </c>
      <c r="D325" s="260">
        <v>0</v>
      </c>
    </row>
    <row r="326" spans="1:4" ht="12" hidden="1" customHeight="1" outlineLevel="1" x14ac:dyDescent="0.3">
      <c r="A326" s="238"/>
      <c r="B326" s="254">
        <v>8100</v>
      </c>
      <c r="C326" s="255" t="s">
        <v>228</v>
      </c>
      <c r="D326" s="260"/>
    </row>
    <row r="327" spans="1:4" ht="12" hidden="1" customHeight="1" outlineLevel="1" x14ac:dyDescent="0.3">
      <c r="A327" s="238"/>
      <c r="B327" s="254">
        <v>8600</v>
      </c>
      <c r="C327" s="255" t="s">
        <v>229</v>
      </c>
      <c r="D327" s="260"/>
    </row>
    <row r="328" spans="1:4" ht="28.5" hidden="1" customHeight="1" outlineLevel="1" x14ac:dyDescent="0.3">
      <c r="A328" s="238"/>
      <c r="B328" s="254">
        <v>8900</v>
      </c>
      <c r="C328" s="255" t="s">
        <v>230</v>
      </c>
      <c r="D328" s="260"/>
    </row>
    <row r="329" spans="1:4" ht="17.100000000000001" hidden="1" customHeight="1" outlineLevel="1" x14ac:dyDescent="0.3">
      <c r="A329" s="223" t="s">
        <v>245</v>
      </c>
      <c r="B329" s="224"/>
      <c r="C329" s="225" t="s">
        <v>246</v>
      </c>
      <c r="D329" s="226">
        <v>0</v>
      </c>
    </row>
    <row r="330" spans="1:4" ht="12" hidden="1" customHeight="1" outlineLevel="1" x14ac:dyDescent="0.3">
      <c r="A330" s="227"/>
      <c r="B330" s="228"/>
      <c r="C330" s="229" t="s">
        <v>198</v>
      </c>
      <c r="D330" s="230">
        <v>0</v>
      </c>
    </row>
    <row r="331" spans="1:4" ht="12" hidden="1" customHeight="1" outlineLevel="1" x14ac:dyDescent="0.3">
      <c r="A331" s="227"/>
      <c r="B331" s="231">
        <v>1000</v>
      </c>
      <c r="C331" s="232" t="s">
        <v>199</v>
      </c>
      <c r="D331" s="233">
        <v>0</v>
      </c>
    </row>
    <row r="332" spans="1:4" ht="12" hidden="1" customHeight="1" outlineLevel="1" x14ac:dyDescent="0.3">
      <c r="A332" s="227"/>
      <c r="B332" s="234">
        <v>1100</v>
      </c>
      <c r="C332" s="235" t="s">
        <v>200</v>
      </c>
      <c r="D332" s="236"/>
    </row>
    <row r="333" spans="1:4" ht="12" hidden="1" customHeight="1" outlineLevel="1" x14ac:dyDescent="0.3">
      <c r="A333" s="227"/>
      <c r="B333" s="234">
        <v>1200</v>
      </c>
      <c r="C333" s="237" t="s">
        <v>201</v>
      </c>
      <c r="D333" s="236"/>
    </row>
    <row r="334" spans="1:4" ht="12" hidden="1" customHeight="1" outlineLevel="1" x14ac:dyDescent="0.3">
      <c r="A334" s="238"/>
      <c r="B334" s="239">
        <v>2000</v>
      </c>
      <c r="C334" s="240" t="s">
        <v>202</v>
      </c>
      <c r="D334" s="241">
        <v>0</v>
      </c>
    </row>
    <row r="335" spans="1:4" ht="12" hidden="1" customHeight="1" outlineLevel="1" x14ac:dyDescent="0.3">
      <c r="A335" s="238"/>
      <c r="B335" s="242">
        <v>2100</v>
      </c>
      <c r="C335" s="243" t="s">
        <v>203</v>
      </c>
      <c r="D335" s="244"/>
    </row>
    <row r="336" spans="1:4" ht="12" hidden="1" customHeight="1" outlineLevel="1" x14ac:dyDescent="0.3">
      <c r="A336" s="238"/>
      <c r="B336" s="242">
        <v>2200</v>
      </c>
      <c r="C336" s="243" t="s">
        <v>204</v>
      </c>
      <c r="D336" s="244"/>
    </row>
    <row r="337" spans="1:4" ht="12" hidden="1" customHeight="1" outlineLevel="1" x14ac:dyDescent="0.3">
      <c r="A337" s="238"/>
      <c r="B337" s="242">
        <v>2300</v>
      </c>
      <c r="C337" s="243" t="s">
        <v>205</v>
      </c>
      <c r="D337" s="244"/>
    </row>
    <row r="338" spans="1:4" ht="12" hidden="1" customHeight="1" outlineLevel="1" x14ac:dyDescent="0.3">
      <c r="A338" s="238"/>
      <c r="B338" s="242">
        <v>2400</v>
      </c>
      <c r="C338" s="243" t="s">
        <v>206</v>
      </c>
      <c r="D338" s="244"/>
    </row>
    <row r="339" spans="1:4" ht="12" hidden="1" customHeight="1" outlineLevel="1" x14ac:dyDescent="0.3">
      <c r="A339" s="238"/>
      <c r="B339" s="242">
        <v>2500</v>
      </c>
      <c r="C339" s="243" t="s">
        <v>207</v>
      </c>
      <c r="D339" s="244"/>
    </row>
    <row r="340" spans="1:4" ht="12" hidden="1" customHeight="1" outlineLevel="1" x14ac:dyDescent="0.3">
      <c r="A340" s="238"/>
      <c r="B340" s="199">
        <v>3000</v>
      </c>
      <c r="C340" s="245" t="s">
        <v>208</v>
      </c>
      <c r="D340" s="241">
        <v>0</v>
      </c>
    </row>
    <row r="341" spans="1:4" ht="12" hidden="1" customHeight="1" outlineLevel="1" x14ac:dyDescent="0.3">
      <c r="A341" s="238"/>
      <c r="B341" s="242">
        <v>3200</v>
      </c>
      <c r="C341" s="243" t="s">
        <v>209</v>
      </c>
      <c r="D341" s="244"/>
    </row>
    <row r="342" spans="1:4" ht="12" hidden="1" customHeight="1" outlineLevel="1" x14ac:dyDescent="0.3">
      <c r="A342" s="238"/>
      <c r="B342" s="242">
        <v>3300</v>
      </c>
      <c r="C342" s="243" t="s">
        <v>210</v>
      </c>
      <c r="D342" s="244">
        <v>0</v>
      </c>
    </row>
    <row r="343" spans="1:4" ht="12" hidden="1" customHeight="1" outlineLevel="1" x14ac:dyDescent="0.3">
      <c r="A343" s="238"/>
      <c r="B343" s="199">
        <v>4000</v>
      </c>
      <c r="C343" s="246" t="s">
        <v>211</v>
      </c>
      <c r="D343" s="241">
        <v>0</v>
      </c>
    </row>
    <row r="344" spans="1:4" ht="12" hidden="1" customHeight="1" outlineLevel="1" x14ac:dyDescent="0.3">
      <c r="A344" s="238"/>
      <c r="B344" s="242">
        <v>4200</v>
      </c>
      <c r="C344" s="247" t="s">
        <v>212</v>
      </c>
      <c r="D344" s="244">
        <v>0</v>
      </c>
    </row>
    <row r="345" spans="1:4" ht="12" hidden="1" customHeight="1" outlineLevel="1" x14ac:dyDescent="0.3">
      <c r="A345" s="238"/>
      <c r="B345" s="242">
        <v>4300</v>
      </c>
      <c r="C345" s="247" t="s">
        <v>213</v>
      </c>
      <c r="D345" s="244">
        <v>0</v>
      </c>
    </row>
    <row r="346" spans="1:4" ht="12" hidden="1" customHeight="1" outlineLevel="1" x14ac:dyDescent="0.3">
      <c r="A346" s="238"/>
      <c r="B346" s="199">
        <v>5000</v>
      </c>
      <c r="C346" s="200" t="s">
        <v>214</v>
      </c>
      <c r="D346" s="241">
        <v>0</v>
      </c>
    </row>
    <row r="347" spans="1:4" ht="12" hidden="1" customHeight="1" outlineLevel="1" x14ac:dyDescent="0.3">
      <c r="A347" s="238"/>
      <c r="B347" s="242">
        <v>5100</v>
      </c>
      <c r="C347" s="248" t="s">
        <v>215</v>
      </c>
      <c r="D347" s="244"/>
    </row>
    <row r="348" spans="1:4" ht="12" hidden="1" customHeight="1" outlineLevel="1" x14ac:dyDescent="0.3">
      <c r="A348" s="238"/>
      <c r="B348" s="242">
        <v>5200</v>
      </c>
      <c r="C348" s="248" t="s">
        <v>216</v>
      </c>
      <c r="D348" s="244"/>
    </row>
    <row r="349" spans="1:4" ht="12" hidden="1" customHeight="1" outlineLevel="1" x14ac:dyDescent="0.3">
      <c r="A349" s="238"/>
      <c r="B349" s="242">
        <v>5300</v>
      </c>
      <c r="C349" s="249" t="s">
        <v>217</v>
      </c>
      <c r="D349" s="244">
        <v>0</v>
      </c>
    </row>
    <row r="350" spans="1:4" ht="12" hidden="1" customHeight="1" outlineLevel="1" x14ac:dyDescent="0.3">
      <c r="A350" s="238"/>
      <c r="B350" s="199">
        <v>6000</v>
      </c>
      <c r="C350" s="200" t="s">
        <v>218</v>
      </c>
      <c r="D350" s="241">
        <v>0</v>
      </c>
    </row>
    <row r="351" spans="1:4" ht="12" hidden="1" customHeight="1" outlineLevel="1" x14ac:dyDescent="0.3">
      <c r="A351" s="238"/>
      <c r="B351" s="242">
        <v>6200</v>
      </c>
      <c r="C351" s="248" t="s">
        <v>219</v>
      </c>
      <c r="D351" s="244">
        <v>0</v>
      </c>
    </row>
    <row r="352" spans="1:4" ht="12" hidden="1" customHeight="1" outlineLevel="1" x14ac:dyDescent="0.3">
      <c r="A352" s="238"/>
      <c r="B352" s="242">
        <v>6300</v>
      </c>
      <c r="C352" s="248" t="s">
        <v>220</v>
      </c>
      <c r="D352" s="244">
        <v>0</v>
      </c>
    </row>
    <row r="353" spans="1:4" ht="12" hidden="1" customHeight="1" outlineLevel="1" x14ac:dyDescent="0.3">
      <c r="A353" s="238"/>
      <c r="B353" s="242">
        <v>6400</v>
      </c>
      <c r="C353" s="248" t="s">
        <v>221</v>
      </c>
      <c r="D353" s="244">
        <v>0</v>
      </c>
    </row>
    <row r="354" spans="1:4" ht="12" hidden="1" customHeight="1" outlineLevel="1" x14ac:dyDescent="0.3">
      <c r="A354" s="238"/>
      <c r="B354" s="242">
        <v>6500</v>
      </c>
      <c r="C354" s="249" t="s">
        <v>222</v>
      </c>
      <c r="D354" s="244">
        <v>0</v>
      </c>
    </row>
    <row r="355" spans="1:4" ht="12" hidden="1" customHeight="1" outlineLevel="1" x14ac:dyDescent="0.3">
      <c r="A355" s="238"/>
      <c r="B355" s="199">
        <v>7000</v>
      </c>
      <c r="C355" s="200" t="s">
        <v>223</v>
      </c>
      <c r="D355" s="241">
        <v>0</v>
      </c>
    </row>
    <row r="356" spans="1:4" ht="12" hidden="1" customHeight="1" outlineLevel="1" x14ac:dyDescent="0.3">
      <c r="A356" s="238"/>
      <c r="B356" s="250">
        <v>7200</v>
      </c>
      <c r="C356" s="251" t="s">
        <v>224</v>
      </c>
      <c r="D356" s="244">
        <v>0</v>
      </c>
    </row>
    <row r="357" spans="1:4" ht="12" hidden="1" customHeight="1" outlineLevel="1" x14ac:dyDescent="0.3">
      <c r="A357" s="238"/>
      <c r="B357" s="250">
        <v>7500</v>
      </c>
      <c r="C357" s="251" t="s">
        <v>225</v>
      </c>
      <c r="D357" s="244">
        <v>0</v>
      </c>
    </row>
    <row r="358" spans="1:4" ht="12" hidden="1" customHeight="1" outlineLevel="1" x14ac:dyDescent="0.3">
      <c r="A358" s="238"/>
      <c r="B358" s="250">
        <v>7700</v>
      </c>
      <c r="C358" s="251" t="s">
        <v>226</v>
      </c>
      <c r="D358" s="244">
        <v>0</v>
      </c>
    </row>
    <row r="359" spans="1:4" ht="12" hidden="1" customHeight="1" outlineLevel="1" x14ac:dyDescent="0.3">
      <c r="A359" s="238"/>
      <c r="B359" s="252">
        <v>8000</v>
      </c>
      <c r="C359" s="253" t="s">
        <v>227</v>
      </c>
      <c r="D359" s="241">
        <v>0</v>
      </c>
    </row>
    <row r="360" spans="1:4" ht="12" hidden="1" customHeight="1" outlineLevel="1" x14ac:dyDescent="0.3">
      <c r="A360" s="238"/>
      <c r="B360" s="254">
        <v>8100</v>
      </c>
      <c r="C360" s="255" t="s">
        <v>228</v>
      </c>
      <c r="D360" s="244">
        <v>0</v>
      </c>
    </row>
    <row r="361" spans="1:4" ht="12" hidden="1" customHeight="1" outlineLevel="1" x14ac:dyDescent="0.3">
      <c r="A361" s="238"/>
      <c r="B361" s="254">
        <v>8600</v>
      </c>
      <c r="C361" s="255" t="s">
        <v>229</v>
      </c>
      <c r="D361" s="244">
        <v>0</v>
      </c>
    </row>
    <row r="362" spans="1:4" ht="12" hidden="1" customHeight="1" outlineLevel="1" x14ac:dyDescent="0.3">
      <c r="A362" s="238"/>
      <c r="B362" s="254">
        <v>8900</v>
      </c>
      <c r="C362" s="255" t="s">
        <v>230</v>
      </c>
      <c r="D362" s="244">
        <v>0</v>
      </c>
    </row>
    <row r="363" spans="1:4" ht="12" hidden="1" customHeight="1" outlineLevel="1" x14ac:dyDescent="0.3">
      <c r="A363" s="256" t="s">
        <v>247</v>
      </c>
      <c r="B363" s="257"/>
      <c r="C363" s="258" t="s">
        <v>248</v>
      </c>
      <c r="D363" s="259">
        <v>0</v>
      </c>
    </row>
    <row r="364" spans="1:4" ht="12" hidden="1" customHeight="1" outlineLevel="1" x14ac:dyDescent="0.3">
      <c r="A364" s="227"/>
      <c r="B364" s="228"/>
      <c r="C364" s="229" t="s">
        <v>198</v>
      </c>
      <c r="D364" s="230">
        <v>0</v>
      </c>
    </row>
    <row r="365" spans="1:4" ht="12" hidden="1" customHeight="1" outlineLevel="1" x14ac:dyDescent="0.3">
      <c r="A365" s="227"/>
      <c r="B365" s="231">
        <v>1000</v>
      </c>
      <c r="C365" s="232" t="s">
        <v>199</v>
      </c>
      <c r="D365" s="230">
        <v>0</v>
      </c>
    </row>
    <row r="366" spans="1:4" ht="12" hidden="1" customHeight="1" outlineLevel="1" x14ac:dyDescent="0.3">
      <c r="A366" s="227"/>
      <c r="B366" s="234">
        <v>1100</v>
      </c>
      <c r="C366" s="235" t="s">
        <v>200</v>
      </c>
      <c r="D366" s="236"/>
    </row>
    <row r="367" spans="1:4" ht="12" hidden="1" customHeight="1" outlineLevel="1" x14ac:dyDescent="0.3">
      <c r="A367" s="227"/>
      <c r="B367" s="234">
        <v>1200</v>
      </c>
      <c r="C367" s="237" t="s">
        <v>201</v>
      </c>
      <c r="D367" s="236"/>
    </row>
    <row r="368" spans="1:4" ht="12" hidden="1" customHeight="1" outlineLevel="1" x14ac:dyDescent="0.3">
      <c r="A368" s="238"/>
      <c r="B368" s="239">
        <v>2000</v>
      </c>
      <c r="C368" s="240" t="s">
        <v>202</v>
      </c>
      <c r="D368" s="260">
        <v>0</v>
      </c>
    </row>
    <row r="369" spans="1:4" ht="12" hidden="1" customHeight="1" outlineLevel="1" x14ac:dyDescent="0.3">
      <c r="A369" s="238"/>
      <c r="B369" s="242">
        <v>2100</v>
      </c>
      <c r="C369" s="243" t="s">
        <v>203</v>
      </c>
      <c r="D369" s="244"/>
    </row>
    <row r="370" spans="1:4" ht="12" hidden="1" customHeight="1" outlineLevel="1" x14ac:dyDescent="0.3">
      <c r="A370" s="238"/>
      <c r="B370" s="242">
        <v>2200</v>
      </c>
      <c r="C370" s="243" t="s">
        <v>204</v>
      </c>
      <c r="D370" s="244"/>
    </row>
    <row r="371" spans="1:4" ht="12" hidden="1" customHeight="1" outlineLevel="1" x14ac:dyDescent="0.3">
      <c r="A371" s="238"/>
      <c r="B371" s="242">
        <v>2300</v>
      </c>
      <c r="C371" s="243" t="s">
        <v>205</v>
      </c>
      <c r="D371" s="244"/>
    </row>
    <row r="372" spans="1:4" ht="12" hidden="1" customHeight="1" outlineLevel="1" x14ac:dyDescent="0.3">
      <c r="A372" s="238"/>
      <c r="B372" s="242">
        <v>2400</v>
      </c>
      <c r="C372" s="243" t="s">
        <v>206</v>
      </c>
      <c r="D372" s="244"/>
    </row>
    <row r="373" spans="1:4" ht="12" hidden="1" customHeight="1" outlineLevel="1" x14ac:dyDescent="0.3">
      <c r="A373" s="238"/>
      <c r="B373" s="242">
        <v>2500</v>
      </c>
      <c r="C373" s="243" t="s">
        <v>207</v>
      </c>
      <c r="D373" s="244"/>
    </row>
    <row r="374" spans="1:4" ht="12" hidden="1" customHeight="1" outlineLevel="1" x14ac:dyDescent="0.3">
      <c r="A374" s="238"/>
      <c r="B374" s="199">
        <v>3000</v>
      </c>
      <c r="C374" s="245" t="s">
        <v>208</v>
      </c>
      <c r="D374" s="260">
        <v>0</v>
      </c>
    </row>
    <row r="375" spans="1:4" ht="12" hidden="1" customHeight="1" outlineLevel="1" x14ac:dyDescent="0.3">
      <c r="A375" s="238"/>
      <c r="B375" s="242">
        <v>3200</v>
      </c>
      <c r="C375" s="243" t="s">
        <v>209</v>
      </c>
      <c r="D375" s="244"/>
    </row>
    <row r="376" spans="1:4" ht="12" hidden="1" customHeight="1" outlineLevel="1" x14ac:dyDescent="0.3">
      <c r="A376" s="238"/>
      <c r="B376" s="242">
        <v>3300</v>
      </c>
      <c r="C376" s="243" t="s">
        <v>210</v>
      </c>
      <c r="D376" s="244"/>
    </row>
    <row r="377" spans="1:4" ht="12" hidden="1" customHeight="1" outlineLevel="1" x14ac:dyDescent="0.3">
      <c r="A377" s="238"/>
      <c r="B377" s="199">
        <v>4000</v>
      </c>
      <c r="C377" s="246" t="s">
        <v>211</v>
      </c>
      <c r="D377" s="260">
        <v>0</v>
      </c>
    </row>
    <row r="378" spans="1:4" ht="12" hidden="1" customHeight="1" outlineLevel="1" x14ac:dyDescent="0.3">
      <c r="A378" s="238"/>
      <c r="B378" s="242">
        <v>4200</v>
      </c>
      <c r="C378" s="247" t="s">
        <v>212</v>
      </c>
      <c r="D378" s="244"/>
    </row>
    <row r="379" spans="1:4" ht="12" hidden="1" customHeight="1" outlineLevel="1" x14ac:dyDescent="0.3">
      <c r="A379" s="238"/>
      <c r="B379" s="242">
        <v>4300</v>
      </c>
      <c r="C379" s="247" t="s">
        <v>213</v>
      </c>
      <c r="D379" s="244"/>
    </row>
    <row r="380" spans="1:4" ht="12" hidden="1" customHeight="1" outlineLevel="1" x14ac:dyDescent="0.3">
      <c r="A380" s="238"/>
      <c r="B380" s="199">
        <v>5000</v>
      </c>
      <c r="C380" s="200" t="s">
        <v>214</v>
      </c>
      <c r="D380" s="260">
        <v>0</v>
      </c>
    </row>
    <row r="381" spans="1:4" ht="12" hidden="1" customHeight="1" outlineLevel="1" x14ac:dyDescent="0.3">
      <c r="A381" s="238"/>
      <c r="B381" s="242">
        <v>5100</v>
      </c>
      <c r="C381" s="248" t="s">
        <v>215</v>
      </c>
      <c r="D381" s="244"/>
    </row>
    <row r="382" spans="1:4" ht="12" hidden="1" customHeight="1" outlineLevel="1" x14ac:dyDescent="0.3">
      <c r="A382" s="238"/>
      <c r="B382" s="242">
        <v>5200</v>
      </c>
      <c r="C382" s="248" t="s">
        <v>216</v>
      </c>
      <c r="D382" s="244"/>
    </row>
    <row r="383" spans="1:4" ht="12" hidden="1" customHeight="1" outlineLevel="1" x14ac:dyDescent="0.3">
      <c r="A383" s="238"/>
      <c r="B383" s="242">
        <v>5300</v>
      </c>
      <c r="C383" s="249" t="s">
        <v>217</v>
      </c>
      <c r="D383" s="244"/>
    </row>
    <row r="384" spans="1:4" ht="12" hidden="1" customHeight="1" outlineLevel="1" x14ac:dyDescent="0.3">
      <c r="A384" s="238"/>
      <c r="B384" s="199">
        <v>6000</v>
      </c>
      <c r="C384" s="200" t="s">
        <v>218</v>
      </c>
      <c r="D384" s="260">
        <v>0</v>
      </c>
    </row>
    <row r="385" spans="1:4" ht="12" hidden="1" customHeight="1" outlineLevel="1" x14ac:dyDescent="0.3">
      <c r="A385" s="238"/>
      <c r="B385" s="242">
        <v>6200</v>
      </c>
      <c r="C385" s="248" t="s">
        <v>219</v>
      </c>
      <c r="D385" s="244"/>
    </row>
    <row r="386" spans="1:4" ht="12" hidden="1" customHeight="1" outlineLevel="1" x14ac:dyDescent="0.3">
      <c r="A386" s="238"/>
      <c r="B386" s="242">
        <v>6300</v>
      </c>
      <c r="C386" s="248" t="s">
        <v>220</v>
      </c>
      <c r="D386" s="244"/>
    </row>
    <row r="387" spans="1:4" ht="12" hidden="1" customHeight="1" outlineLevel="1" x14ac:dyDescent="0.3">
      <c r="A387" s="238"/>
      <c r="B387" s="242">
        <v>6400</v>
      </c>
      <c r="C387" s="248" t="s">
        <v>221</v>
      </c>
      <c r="D387" s="244"/>
    </row>
    <row r="388" spans="1:4" ht="12" hidden="1" customHeight="1" outlineLevel="1" x14ac:dyDescent="0.3">
      <c r="A388" s="238"/>
      <c r="B388" s="242">
        <v>6500</v>
      </c>
      <c r="C388" s="249" t="s">
        <v>222</v>
      </c>
      <c r="D388" s="244"/>
    </row>
    <row r="389" spans="1:4" ht="12" hidden="1" customHeight="1" outlineLevel="1" x14ac:dyDescent="0.3">
      <c r="A389" s="238"/>
      <c r="B389" s="199">
        <v>7000</v>
      </c>
      <c r="C389" s="200" t="s">
        <v>223</v>
      </c>
      <c r="D389" s="260">
        <v>0</v>
      </c>
    </row>
    <row r="390" spans="1:4" ht="12" hidden="1" customHeight="1" outlineLevel="1" x14ac:dyDescent="0.3">
      <c r="A390" s="238"/>
      <c r="B390" s="250">
        <v>7200</v>
      </c>
      <c r="C390" s="251" t="s">
        <v>224</v>
      </c>
      <c r="D390" s="244"/>
    </row>
    <row r="391" spans="1:4" ht="12" hidden="1" customHeight="1" outlineLevel="1" x14ac:dyDescent="0.3">
      <c r="A391" s="238"/>
      <c r="B391" s="250">
        <v>7500</v>
      </c>
      <c r="C391" s="251" t="s">
        <v>225</v>
      </c>
      <c r="D391" s="244"/>
    </row>
    <row r="392" spans="1:4" ht="12" hidden="1" customHeight="1" outlineLevel="1" x14ac:dyDescent="0.3">
      <c r="A392" s="238"/>
      <c r="B392" s="250">
        <v>7700</v>
      </c>
      <c r="C392" s="251" t="s">
        <v>226</v>
      </c>
      <c r="D392" s="244"/>
    </row>
    <row r="393" spans="1:4" ht="12" hidden="1" customHeight="1" outlineLevel="1" x14ac:dyDescent="0.3">
      <c r="A393" s="238"/>
      <c r="B393" s="252">
        <v>8000</v>
      </c>
      <c r="C393" s="253" t="s">
        <v>227</v>
      </c>
      <c r="D393" s="260">
        <v>0</v>
      </c>
    </row>
    <row r="394" spans="1:4" ht="12" hidden="1" customHeight="1" outlineLevel="1" x14ac:dyDescent="0.3">
      <c r="A394" s="238"/>
      <c r="B394" s="254">
        <v>8100</v>
      </c>
      <c r="C394" s="255" t="s">
        <v>228</v>
      </c>
      <c r="D394" s="260"/>
    </row>
    <row r="395" spans="1:4" ht="12" hidden="1" customHeight="1" outlineLevel="1" x14ac:dyDescent="0.3">
      <c r="A395" s="238"/>
      <c r="B395" s="254">
        <v>8600</v>
      </c>
      <c r="C395" s="255" t="s">
        <v>229</v>
      </c>
      <c r="D395" s="260"/>
    </row>
    <row r="396" spans="1:4" ht="12" hidden="1" customHeight="1" outlineLevel="1" x14ac:dyDescent="0.3">
      <c r="A396" s="238"/>
      <c r="B396" s="254">
        <v>8900</v>
      </c>
      <c r="C396" s="255" t="s">
        <v>230</v>
      </c>
      <c r="D396" s="260"/>
    </row>
    <row r="397" spans="1:4" ht="12" hidden="1" customHeight="1" outlineLevel="1" x14ac:dyDescent="0.3">
      <c r="A397" s="256" t="s">
        <v>249</v>
      </c>
      <c r="B397" s="257"/>
      <c r="C397" s="258" t="s">
        <v>250</v>
      </c>
      <c r="D397" s="259">
        <v>0</v>
      </c>
    </row>
    <row r="398" spans="1:4" ht="12" hidden="1" customHeight="1" outlineLevel="1" x14ac:dyDescent="0.3">
      <c r="A398" s="227"/>
      <c r="B398" s="228"/>
      <c r="C398" s="229" t="s">
        <v>251</v>
      </c>
      <c r="D398" s="230">
        <v>0</v>
      </c>
    </row>
    <row r="399" spans="1:4" ht="12" hidden="1" customHeight="1" outlineLevel="1" x14ac:dyDescent="0.3">
      <c r="A399" s="227"/>
      <c r="B399" s="231">
        <v>1000</v>
      </c>
      <c r="C399" s="232" t="s">
        <v>199</v>
      </c>
      <c r="D399" s="230">
        <v>0</v>
      </c>
    </row>
    <row r="400" spans="1:4" ht="12" hidden="1" customHeight="1" outlineLevel="1" x14ac:dyDescent="0.3">
      <c r="A400" s="227"/>
      <c r="B400" s="234">
        <v>1100</v>
      </c>
      <c r="C400" s="235" t="s">
        <v>200</v>
      </c>
      <c r="D400" s="236"/>
    </row>
    <row r="401" spans="1:4" ht="12" hidden="1" customHeight="1" outlineLevel="1" x14ac:dyDescent="0.3">
      <c r="A401" s="227"/>
      <c r="B401" s="234">
        <v>1200</v>
      </c>
      <c r="C401" s="237" t="s">
        <v>201</v>
      </c>
      <c r="D401" s="236"/>
    </row>
    <row r="402" spans="1:4" ht="12" hidden="1" customHeight="1" outlineLevel="1" x14ac:dyDescent="0.3">
      <c r="A402" s="238"/>
      <c r="B402" s="239">
        <v>2000</v>
      </c>
      <c r="C402" s="240" t="s">
        <v>202</v>
      </c>
      <c r="D402" s="260">
        <v>0</v>
      </c>
    </row>
    <row r="403" spans="1:4" ht="12" hidden="1" customHeight="1" outlineLevel="1" x14ac:dyDescent="0.3">
      <c r="A403" s="238"/>
      <c r="B403" s="242">
        <v>2100</v>
      </c>
      <c r="C403" s="243" t="s">
        <v>203</v>
      </c>
      <c r="D403" s="244"/>
    </row>
    <row r="404" spans="1:4" ht="12" hidden="1" customHeight="1" outlineLevel="1" x14ac:dyDescent="0.3">
      <c r="A404" s="238"/>
      <c r="B404" s="242">
        <v>2200</v>
      </c>
      <c r="C404" s="243" t="s">
        <v>204</v>
      </c>
      <c r="D404" s="244"/>
    </row>
    <row r="405" spans="1:4" ht="12" hidden="1" customHeight="1" outlineLevel="1" x14ac:dyDescent="0.3">
      <c r="A405" s="238"/>
      <c r="B405" s="242">
        <v>2300</v>
      </c>
      <c r="C405" s="243" t="s">
        <v>205</v>
      </c>
      <c r="D405" s="244"/>
    </row>
    <row r="406" spans="1:4" ht="12" hidden="1" customHeight="1" outlineLevel="1" x14ac:dyDescent="0.3">
      <c r="A406" s="238"/>
      <c r="B406" s="242">
        <v>2400</v>
      </c>
      <c r="C406" s="243" t="s">
        <v>206</v>
      </c>
      <c r="D406" s="244"/>
    </row>
    <row r="407" spans="1:4" ht="12" hidden="1" customHeight="1" outlineLevel="1" x14ac:dyDescent="0.3">
      <c r="A407" s="238"/>
      <c r="B407" s="242">
        <v>2500</v>
      </c>
      <c r="C407" s="243" t="s">
        <v>207</v>
      </c>
      <c r="D407" s="244"/>
    </row>
    <row r="408" spans="1:4" ht="12" hidden="1" customHeight="1" outlineLevel="1" x14ac:dyDescent="0.3">
      <c r="A408" s="238"/>
      <c r="B408" s="199">
        <v>3000</v>
      </c>
      <c r="C408" s="245" t="s">
        <v>208</v>
      </c>
      <c r="D408" s="260">
        <v>0</v>
      </c>
    </row>
    <row r="409" spans="1:4" ht="12" hidden="1" customHeight="1" outlineLevel="1" x14ac:dyDescent="0.3">
      <c r="A409" s="238"/>
      <c r="B409" s="242">
        <v>3200</v>
      </c>
      <c r="C409" s="243" t="s">
        <v>209</v>
      </c>
      <c r="D409" s="244"/>
    </row>
    <row r="410" spans="1:4" ht="12" hidden="1" customHeight="1" outlineLevel="1" x14ac:dyDescent="0.3">
      <c r="A410" s="238"/>
      <c r="B410" s="242">
        <v>3300</v>
      </c>
      <c r="C410" s="243" t="s">
        <v>210</v>
      </c>
      <c r="D410" s="244"/>
    </row>
    <row r="411" spans="1:4" ht="12" hidden="1" customHeight="1" outlineLevel="1" x14ac:dyDescent="0.3">
      <c r="A411" s="238"/>
      <c r="B411" s="199">
        <v>4000</v>
      </c>
      <c r="C411" s="246" t="s">
        <v>211</v>
      </c>
      <c r="D411" s="260">
        <v>0</v>
      </c>
    </row>
    <row r="412" spans="1:4" ht="12" hidden="1" customHeight="1" outlineLevel="1" x14ac:dyDescent="0.3">
      <c r="A412" s="238"/>
      <c r="B412" s="242">
        <v>4200</v>
      </c>
      <c r="C412" s="247" t="s">
        <v>212</v>
      </c>
      <c r="D412" s="244"/>
    </row>
    <row r="413" spans="1:4" ht="12" hidden="1" customHeight="1" outlineLevel="1" x14ac:dyDescent="0.3">
      <c r="A413" s="238"/>
      <c r="B413" s="242">
        <v>4300</v>
      </c>
      <c r="C413" s="247" t="s">
        <v>213</v>
      </c>
      <c r="D413" s="244"/>
    </row>
    <row r="414" spans="1:4" ht="12" hidden="1" customHeight="1" outlineLevel="1" x14ac:dyDescent="0.3">
      <c r="A414" s="238"/>
      <c r="B414" s="199">
        <v>5000</v>
      </c>
      <c r="C414" s="200" t="s">
        <v>214</v>
      </c>
      <c r="D414" s="260">
        <v>0</v>
      </c>
    </row>
    <row r="415" spans="1:4" ht="12" hidden="1" customHeight="1" outlineLevel="1" x14ac:dyDescent="0.3">
      <c r="A415" s="238"/>
      <c r="B415" s="242">
        <v>5100</v>
      </c>
      <c r="C415" s="248" t="s">
        <v>215</v>
      </c>
      <c r="D415" s="244"/>
    </row>
    <row r="416" spans="1:4" ht="12" hidden="1" customHeight="1" outlineLevel="1" x14ac:dyDescent="0.3">
      <c r="A416" s="238"/>
      <c r="B416" s="242">
        <v>5200</v>
      </c>
      <c r="C416" s="248" t="s">
        <v>216</v>
      </c>
      <c r="D416" s="244"/>
    </row>
    <row r="417" spans="1:4" ht="12" hidden="1" customHeight="1" outlineLevel="1" x14ac:dyDescent="0.3">
      <c r="A417" s="238"/>
      <c r="B417" s="242">
        <v>5300</v>
      </c>
      <c r="C417" s="249" t="s">
        <v>217</v>
      </c>
      <c r="D417" s="244"/>
    </row>
    <row r="418" spans="1:4" ht="12" hidden="1" customHeight="1" outlineLevel="1" x14ac:dyDescent="0.3">
      <c r="A418" s="238"/>
      <c r="B418" s="199">
        <v>6000</v>
      </c>
      <c r="C418" s="200" t="s">
        <v>218</v>
      </c>
      <c r="D418" s="260">
        <v>0</v>
      </c>
    </row>
    <row r="419" spans="1:4" ht="12" hidden="1" customHeight="1" outlineLevel="1" x14ac:dyDescent="0.3">
      <c r="A419" s="238"/>
      <c r="B419" s="242">
        <v>6200</v>
      </c>
      <c r="C419" s="248" t="s">
        <v>219</v>
      </c>
      <c r="D419" s="244"/>
    </row>
    <row r="420" spans="1:4" ht="12" hidden="1" customHeight="1" outlineLevel="1" x14ac:dyDescent="0.3">
      <c r="A420" s="238"/>
      <c r="B420" s="242">
        <v>6300</v>
      </c>
      <c r="C420" s="248" t="s">
        <v>220</v>
      </c>
      <c r="D420" s="244"/>
    </row>
    <row r="421" spans="1:4" ht="12" hidden="1" customHeight="1" outlineLevel="1" x14ac:dyDescent="0.3">
      <c r="A421" s="238"/>
      <c r="B421" s="242">
        <v>6400</v>
      </c>
      <c r="C421" s="248" t="s">
        <v>221</v>
      </c>
      <c r="D421" s="244"/>
    </row>
    <row r="422" spans="1:4" ht="12" hidden="1" customHeight="1" outlineLevel="1" x14ac:dyDescent="0.3">
      <c r="A422" s="238"/>
      <c r="B422" s="242">
        <v>6500</v>
      </c>
      <c r="C422" s="249" t="s">
        <v>222</v>
      </c>
      <c r="D422" s="244"/>
    </row>
    <row r="423" spans="1:4" ht="12" hidden="1" customHeight="1" outlineLevel="1" x14ac:dyDescent="0.3">
      <c r="A423" s="238"/>
      <c r="B423" s="199">
        <v>7000</v>
      </c>
      <c r="C423" s="200" t="s">
        <v>223</v>
      </c>
      <c r="D423" s="260">
        <v>0</v>
      </c>
    </row>
    <row r="424" spans="1:4" ht="12" hidden="1" customHeight="1" outlineLevel="1" x14ac:dyDescent="0.3">
      <c r="A424" s="238"/>
      <c r="B424" s="250">
        <v>7200</v>
      </c>
      <c r="C424" s="251" t="s">
        <v>224</v>
      </c>
      <c r="D424" s="244"/>
    </row>
    <row r="425" spans="1:4" ht="12" hidden="1" customHeight="1" outlineLevel="1" x14ac:dyDescent="0.3">
      <c r="A425" s="238"/>
      <c r="B425" s="250">
        <v>7500</v>
      </c>
      <c r="C425" s="251" t="s">
        <v>225</v>
      </c>
      <c r="D425" s="244"/>
    </row>
    <row r="426" spans="1:4" ht="12" hidden="1" customHeight="1" outlineLevel="1" x14ac:dyDescent="0.3">
      <c r="A426" s="238"/>
      <c r="B426" s="250">
        <v>7700</v>
      </c>
      <c r="C426" s="251" t="s">
        <v>226</v>
      </c>
      <c r="D426" s="244"/>
    </row>
    <row r="427" spans="1:4" ht="12" hidden="1" customHeight="1" outlineLevel="1" x14ac:dyDescent="0.3">
      <c r="A427" s="238"/>
      <c r="B427" s="252">
        <v>8000</v>
      </c>
      <c r="C427" s="253" t="s">
        <v>227</v>
      </c>
      <c r="D427" s="260">
        <v>0</v>
      </c>
    </row>
    <row r="428" spans="1:4" ht="12" hidden="1" customHeight="1" outlineLevel="1" x14ac:dyDescent="0.3">
      <c r="A428" s="238"/>
      <c r="B428" s="254">
        <v>8100</v>
      </c>
      <c r="C428" s="255" t="s">
        <v>228</v>
      </c>
      <c r="D428" s="260"/>
    </row>
    <row r="429" spans="1:4" ht="12" hidden="1" customHeight="1" outlineLevel="1" x14ac:dyDescent="0.3">
      <c r="A429" s="238"/>
      <c r="B429" s="254">
        <v>8600</v>
      </c>
      <c r="C429" s="255" t="s">
        <v>229</v>
      </c>
      <c r="D429" s="260"/>
    </row>
    <row r="430" spans="1:4" ht="12" hidden="1" customHeight="1" outlineLevel="1" x14ac:dyDescent="0.3">
      <c r="A430" s="238"/>
      <c r="B430" s="254">
        <v>8900</v>
      </c>
      <c r="C430" s="255" t="s">
        <v>230</v>
      </c>
      <c r="D430" s="260"/>
    </row>
    <row r="431" spans="1:4" ht="12" hidden="1" customHeight="1" outlineLevel="1" x14ac:dyDescent="0.3">
      <c r="A431" s="256" t="s">
        <v>252</v>
      </c>
      <c r="B431" s="257"/>
      <c r="C431" s="258" t="s">
        <v>253</v>
      </c>
      <c r="D431" s="259">
        <v>0</v>
      </c>
    </row>
    <row r="432" spans="1:4" ht="12" hidden="1" customHeight="1" outlineLevel="1" x14ac:dyDescent="0.3">
      <c r="A432" s="227"/>
      <c r="B432" s="228"/>
      <c r="C432" s="229" t="s">
        <v>251</v>
      </c>
      <c r="D432" s="230">
        <v>0</v>
      </c>
    </row>
    <row r="433" spans="1:4" ht="12" hidden="1" customHeight="1" outlineLevel="1" x14ac:dyDescent="0.3">
      <c r="A433" s="227"/>
      <c r="B433" s="231">
        <v>1000</v>
      </c>
      <c r="C433" s="232" t="s">
        <v>199</v>
      </c>
      <c r="D433" s="230">
        <v>0</v>
      </c>
    </row>
    <row r="434" spans="1:4" ht="12" hidden="1" customHeight="1" outlineLevel="1" x14ac:dyDescent="0.3">
      <c r="A434" s="227"/>
      <c r="B434" s="234">
        <v>1100</v>
      </c>
      <c r="C434" s="235" t="s">
        <v>200</v>
      </c>
      <c r="D434" s="236"/>
    </row>
    <row r="435" spans="1:4" ht="12" hidden="1" customHeight="1" outlineLevel="1" x14ac:dyDescent="0.3">
      <c r="A435" s="227"/>
      <c r="B435" s="234">
        <v>1200</v>
      </c>
      <c r="C435" s="237" t="s">
        <v>201</v>
      </c>
      <c r="D435" s="236"/>
    </row>
    <row r="436" spans="1:4" ht="12" hidden="1" customHeight="1" outlineLevel="1" x14ac:dyDescent="0.3">
      <c r="A436" s="238"/>
      <c r="B436" s="239">
        <v>2000</v>
      </c>
      <c r="C436" s="240" t="s">
        <v>202</v>
      </c>
      <c r="D436" s="260">
        <v>0</v>
      </c>
    </row>
    <row r="437" spans="1:4" ht="12" hidden="1" customHeight="1" outlineLevel="1" x14ac:dyDescent="0.3">
      <c r="A437" s="238"/>
      <c r="B437" s="242">
        <v>2100</v>
      </c>
      <c r="C437" s="243" t="s">
        <v>203</v>
      </c>
      <c r="D437" s="244"/>
    </row>
    <row r="438" spans="1:4" ht="12" hidden="1" customHeight="1" outlineLevel="1" x14ac:dyDescent="0.3">
      <c r="A438" s="238"/>
      <c r="B438" s="242">
        <v>2200</v>
      </c>
      <c r="C438" s="243" t="s">
        <v>204</v>
      </c>
      <c r="D438" s="244"/>
    </row>
    <row r="439" spans="1:4" ht="12" hidden="1" customHeight="1" outlineLevel="1" x14ac:dyDescent="0.3">
      <c r="A439" s="238"/>
      <c r="B439" s="242">
        <v>2300</v>
      </c>
      <c r="C439" s="243" t="s">
        <v>205</v>
      </c>
      <c r="D439" s="244"/>
    </row>
    <row r="440" spans="1:4" ht="12" hidden="1" customHeight="1" outlineLevel="1" x14ac:dyDescent="0.3">
      <c r="A440" s="238"/>
      <c r="B440" s="242">
        <v>2400</v>
      </c>
      <c r="C440" s="243" t="s">
        <v>206</v>
      </c>
      <c r="D440" s="244"/>
    </row>
    <row r="441" spans="1:4" ht="12" hidden="1" customHeight="1" outlineLevel="1" x14ac:dyDescent="0.3">
      <c r="A441" s="238"/>
      <c r="B441" s="242">
        <v>2500</v>
      </c>
      <c r="C441" s="243" t="s">
        <v>207</v>
      </c>
      <c r="D441" s="244"/>
    </row>
    <row r="442" spans="1:4" ht="12" hidden="1" customHeight="1" outlineLevel="1" x14ac:dyDescent="0.3">
      <c r="A442" s="238"/>
      <c r="B442" s="199">
        <v>3000</v>
      </c>
      <c r="C442" s="245" t="s">
        <v>208</v>
      </c>
      <c r="D442" s="260">
        <v>0</v>
      </c>
    </row>
    <row r="443" spans="1:4" ht="12" hidden="1" customHeight="1" outlineLevel="1" x14ac:dyDescent="0.3">
      <c r="A443" s="238"/>
      <c r="B443" s="242">
        <v>3200</v>
      </c>
      <c r="C443" s="243" t="s">
        <v>209</v>
      </c>
      <c r="D443" s="244"/>
    </row>
    <row r="444" spans="1:4" ht="12" hidden="1" customHeight="1" outlineLevel="1" x14ac:dyDescent="0.3">
      <c r="A444" s="238"/>
      <c r="B444" s="242">
        <v>3300</v>
      </c>
      <c r="C444" s="243" t="s">
        <v>210</v>
      </c>
      <c r="D444" s="244"/>
    </row>
    <row r="445" spans="1:4" ht="12" hidden="1" customHeight="1" outlineLevel="1" x14ac:dyDescent="0.3">
      <c r="A445" s="238"/>
      <c r="B445" s="199">
        <v>4000</v>
      </c>
      <c r="C445" s="246" t="s">
        <v>211</v>
      </c>
      <c r="D445" s="260">
        <v>0</v>
      </c>
    </row>
    <row r="446" spans="1:4" ht="12" hidden="1" customHeight="1" outlineLevel="1" x14ac:dyDescent="0.3">
      <c r="A446" s="238"/>
      <c r="B446" s="242">
        <v>4200</v>
      </c>
      <c r="C446" s="247" t="s">
        <v>212</v>
      </c>
      <c r="D446" s="244"/>
    </row>
    <row r="447" spans="1:4" ht="12" hidden="1" customHeight="1" outlineLevel="1" x14ac:dyDescent="0.3">
      <c r="A447" s="238"/>
      <c r="B447" s="242">
        <v>4300</v>
      </c>
      <c r="C447" s="247" t="s">
        <v>213</v>
      </c>
      <c r="D447" s="244"/>
    </row>
    <row r="448" spans="1:4" ht="12" hidden="1" customHeight="1" outlineLevel="1" x14ac:dyDescent="0.3">
      <c r="A448" s="238"/>
      <c r="B448" s="199">
        <v>5000</v>
      </c>
      <c r="C448" s="200" t="s">
        <v>214</v>
      </c>
      <c r="D448" s="260">
        <v>0</v>
      </c>
    </row>
    <row r="449" spans="1:4" ht="12" hidden="1" customHeight="1" outlineLevel="1" x14ac:dyDescent="0.3">
      <c r="A449" s="238"/>
      <c r="B449" s="242">
        <v>5100</v>
      </c>
      <c r="C449" s="248" t="s">
        <v>215</v>
      </c>
      <c r="D449" s="260"/>
    </row>
    <row r="450" spans="1:4" ht="12" hidden="1" customHeight="1" outlineLevel="1" x14ac:dyDescent="0.3">
      <c r="A450" s="238"/>
      <c r="B450" s="242">
        <v>5200</v>
      </c>
      <c r="C450" s="248" t="s">
        <v>216</v>
      </c>
      <c r="D450" s="260"/>
    </row>
    <row r="451" spans="1:4" ht="12" hidden="1" customHeight="1" outlineLevel="1" x14ac:dyDescent="0.3">
      <c r="A451" s="238"/>
      <c r="B451" s="242">
        <v>5300</v>
      </c>
      <c r="C451" s="249" t="s">
        <v>217</v>
      </c>
      <c r="D451" s="260"/>
    </row>
    <row r="452" spans="1:4" ht="12" hidden="1" customHeight="1" outlineLevel="1" x14ac:dyDescent="0.3">
      <c r="A452" s="238"/>
      <c r="B452" s="199">
        <v>6000</v>
      </c>
      <c r="C452" s="200" t="s">
        <v>218</v>
      </c>
      <c r="D452" s="260">
        <v>0</v>
      </c>
    </row>
    <row r="453" spans="1:4" ht="12" hidden="1" customHeight="1" outlineLevel="1" x14ac:dyDescent="0.3">
      <c r="A453" s="238"/>
      <c r="B453" s="242">
        <v>6200</v>
      </c>
      <c r="C453" s="248" t="s">
        <v>219</v>
      </c>
      <c r="D453" s="244"/>
    </row>
    <row r="454" spans="1:4" ht="12" hidden="1" customHeight="1" outlineLevel="1" x14ac:dyDescent="0.3">
      <c r="A454" s="238"/>
      <c r="B454" s="242">
        <v>6300</v>
      </c>
      <c r="C454" s="248" t="s">
        <v>220</v>
      </c>
      <c r="D454" s="244"/>
    </row>
    <row r="455" spans="1:4" ht="12" hidden="1" customHeight="1" outlineLevel="1" x14ac:dyDescent="0.3">
      <c r="A455" s="238"/>
      <c r="B455" s="242">
        <v>6400</v>
      </c>
      <c r="C455" s="248" t="s">
        <v>221</v>
      </c>
      <c r="D455" s="244"/>
    </row>
    <row r="456" spans="1:4" ht="12" hidden="1" customHeight="1" outlineLevel="1" x14ac:dyDescent="0.3">
      <c r="A456" s="238"/>
      <c r="B456" s="242">
        <v>6500</v>
      </c>
      <c r="C456" s="249" t="s">
        <v>222</v>
      </c>
      <c r="D456" s="244"/>
    </row>
    <row r="457" spans="1:4" ht="12" hidden="1" customHeight="1" outlineLevel="1" x14ac:dyDescent="0.3">
      <c r="A457" s="238"/>
      <c r="B457" s="199">
        <v>7000</v>
      </c>
      <c r="C457" s="200" t="s">
        <v>223</v>
      </c>
      <c r="D457" s="260">
        <v>0</v>
      </c>
    </row>
    <row r="458" spans="1:4" ht="12" hidden="1" customHeight="1" outlineLevel="1" x14ac:dyDescent="0.3">
      <c r="A458" s="238"/>
      <c r="B458" s="250">
        <v>7200</v>
      </c>
      <c r="C458" s="251" t="s">
        <v>224</v>
      </c>
      <c r="D458" s="244"/>
    </row>
    <row r="459" spans="1:4" ht="12" hidden="1" customHeight="1" outlineLevel="1" x14ac:dyDescent="0.3">
      <c r="A459" s="238"/>
      <c r="B459" s="250">
        <v>7500</v>
      </c>
      <c r="C459" s="251" t="s">
        <v>225</v>
      </c>
      <c r="D459" s="244"/>
    </row>
    <row r="460" spans="1:4" ht="12" hidden="1" customHeight="1" outlineLevel="1" x14ac:dyDescent="0.3">
      <c r="A460" s="238"/>
      <c r="B460" s="250">
        <v>7700</v>
      </c>
      <c r="C460" s="251" t="s">
        <v>226</v>
      </c>
      <c r="D460" s="244"/>
    </row>
    <row r="461" spans="1:4" ht="12" hidden="1" customHeight="1" outlineLevel="1" x14ac:dyDescent="0.3">
      <c r="A461" s="238"/>
      <c r="B461" s="252">
        <v>8000</v>
      </c>
      <c r="C461" s="253" t="s">
        <v>227</v>
      </c>
      <c r="D461" s="260">
        <v>0</v>
      </c>
    </row>
    <row r="462" spans="1:4" ht="12" hidden="1" customHeight="1" outlineLevel="1" x14ac:dyDescent="0.3">
      <c r="A462" s="238"/>
      <c r="B462" s="254">
        <v>8100</v>
      </c>
      <c r="C462" s="255" t="s">
        <v>228</v>
      </c>
      <c r="D462" s="260"/>
    </row>
    <row r="463" spans="1:4" ht="12" hidden="1" customHeight="1" outlineLevel="1" x14ac:dyDescent="0.3">
      <c r="A463" s="238"/>
      <c r="B463" s="254">
        <v>8600</v>
      </c>
      <c r="C463" s="255" t="s">
        <v>229</v>
      </c>
      <c r="D463" s="260"/>
    </row>
    <row r="464" spans="1:4" ht="12" hidden="1" customHeight="1" outlineLevel="1" x14ac:dyDescent="0.3">
      <c r="A464" s="238"/>
      <c r="B464" s="254">
        <v>8900</v>
      </c>
      <c r="C464" s="255" t="s">
        <v>230</v>
      </c>
      <c r="D464" s="260"/>
    </row>
    <row r="465" spans="1:4" ht="28.5" hidden="1" customHeight="1" outlineLevel="1" x14ac:dyDescent="0.3">
      <c r="A465" s="256" t="s">
        <v>254</v>
      </c>
      <c r="B465" s="257"/>
      <c r="C465" s="258" t="s">
        <v>255</v>
      </c>
      <c r="D465" s="259">
        <v>0</v>
      </c>
    </row>
    <row r="466" spans="1:4" ht="12" hidden="1" customHeight="1" outlineLevel="1" x14ac:dyDescent="0.3">
      <c r="A466" s="227"/>
      <c r="B466" s="228"/>
      <c r="C466" s="229" t="s">
        <v>251</v>
      </c>
      <c r="D466" s="230">
        <v>0</v>
      </c>
    </row>
    <row r="467" spans="1:4" ht="12" hidden="1" customHeight="1" outlineLevel="1" x14ac:dyDescent="0.3">
      <c r="A467" s="227"/>
      <c r="B467" s="231">
        <v>1000</v>
      </c>
      <c r="C467" s="232" t="s">
        <v>199</v>
      </c>
      <c r="D467" s="230">
        <v>0</v>
      </c>
    </row>
    <row r="468" spans="1:4" ht="12" hidden="1" customHeight="1" outlineLevel="1" x14ac:dyDescent="0.3">
      <c r="A468" s="227"/>
      <c r="B468" s="234">
        <v>1100</v>
      </c>
      <c r="C468" s="235" t="s">
        <v>200</v>
      </c>
      <c r="D468" s="236"/>
    </row>
    <row r="469" spans="1:4" ht="12" hidden="1" customHeight="1" outlineLevel="1" x14ac:dyDescent="0.3">
      <c r="A469" s="227"/>
      <c r="B469" s="234">
        <v>1200</v>
      </c>
      <c r="C469" s="237" t="s">
        <v>201</v>
      </c>
      <c r="D469" s="236"/>
    </row>
    <row r="470" spans="1:4" ht="12" hidden="1" customHeight="1" outlineLevel="1" x14ac:dyDescent="0.3">
      <c r="A470" s="238"/>
      <c r="B470" s="239">
        <v>2000</v>
      </c>
      <c r="C470" s="240" t="s">
        <v>202</v>
      </c>
      <c r="D470" s="260">
        <v>0</v>
      </c>
    </row>
    <row r="471" spans="1:4" ht="12" hidden="1" customHeight="1" outlineLevel="1" x14ac:dyDescent="0.3">
      <c r="A471" s="238"/>
      <c r="B471" s="242">
        <v>2100</v>
      </c>
      <c r="C471" s="243" t="s">
        <v>203</v>
      </c>
      <c r="D471" s="244"/>
    </row>
    <row r="472" spans="1:4" ht="12" hidden="1" customHeight="1" outlineLevel="1" x14ac:dyDescent="0.3">
      <c r="A472" s="238"/>
      <c r="B472" s="242">
        <v>2200</v>
      </c>
      <c r="C472" s="243" t="s">
        <v>204</v>
      </c>
      <c r="D472" s="244"/>
    </row>
    <row r="473" spans="1:4" ht="12" hidden="1" customHeight="1" outlineLevel="1" x14ac:dyDescent="0.3">
      <c r="A473" s="238"/>
      <c r="B473" s="242">
        <v>2300</v>
      </c>
      <c r="C473" s="243" t="s">
        <v>205</v>
      </c>
      <c r="D473" s="244"/>
    </row>
    <row r="474" spans="1:4" ht="12" hidden="1" customHeight="1" outlineLevel="1" x14ac:dyDescent="0.3">
      <c r="A474" s="238"/>
      <c r="B474" s="242">
        <v>2400</v>
      </c>
      <c r="C474" s="243" t="s">
        <v>206</v>
      </c>
      <c r="D474" s="244"/>
    </row>
    <row r="475" spans="1:4" ht="12" hidden="1" customHeight="1" outlineLevel="1" x14ac:dyDescent="0.3">
      <c r="A475" s="238"/>
      <c r="B475" s="242">
        <v>2500</v>
      </c>
      <c r="C475" s="243" t="s">
        <v>207</v>
      </c>
      <c r="D475" s="244"/>
    </row>
    <row r="476" spans="1:4" ht="12" hidden="1" customHeight="1" outlineLevel="1" x14ac:dyDescent="0.3">
      <c r="A476" s="238"/>
      <c r="B476" s="199">
        <v>3000</v>
      </c>
      <c r="C476" s="245" t="s">
        <v>208</v>
      </c>
      <c r="D476" s="260">
        <v>0</v>
      </c>
    </row>
    <row r="477" spans="1:4" ht="12" hidden="1" customHeight="1" outlineLevel="1" x14ac:dyDescent="0.3">
      <c r="A477" s="238"/>
      <c r="B477" s="242">
        <v>3200</v>
      </c>
      <c r="C477" s="243" t="s">
        <v>209</v>
      </c>
      <c r="D477" s="244"/>
    </row>
    <row r="478" spans="1:4" ht="12" hidden="1" customHeight="1" outlineLevel="1" x14ac:dyDescent="0.3">
      <c r="A478" s="238"/>
      <c r="B478" s="242">
        <v>3300</v>
      </c>
      <c r="C478" s="243" t="s">
        <v>210</v>
      </c>
      <c r="D478" s="244"/>
    </row>
    <row r="479" spans="1:4" ht="12" hidden="1" customHeight="1" outlineLevel="1" x14ac:dyDescent="0.3">
      <c r="A479" s="238"/>
      <c r="B479" s="199">
        <v>4000</v>
      </c>
      <c r="C479" s="246" t="s">
        <v>211</v>
      </c>
      <c r="D479" s="260">
        <v>0</v>
      </c>
    </row>
    <row r="480" spans="1:4" ht="12" hidden="1" customHeight="1" outlineLevel="1" x14ac:dyDescent="0.3">
      <c r="A480" s="238"/>
      <c r="B480" s="242">
        <v>4200</v>
      </c>
      <c r="C480" s="247" t="s">
        <v>212</v>
      </c>
      <c r="D480" s="244"/>
    </row>
    <row r="481" spans="1:4" ht="12" hidden="1" customHeight="1" outlineLevel="1" x14ac:dyDescent="0.3">
      <c r="A481" s="238"/>
      <c r="B481" s="242">
        <v>4300</v>
      </c>
      <c r="C481" s="247" t="s">
        <v>213</v>
      </c>
      <c r="D481" s="244"/>
    </row>
    <row r="482" spans="1:4" ht="12" hidden="1" customHeight="1" outlineLevel="1" x14ac:dyDescent="0.3">
      <c r="A482" s="238"/>
      <c r="B482" s="199">
        <v>5000</v>
      </c>
      <c r="C482" s="200" t="s">
        <v>214</v>
      </c>
      <c r="D482" s="260">
        <v>0</v>
      </c>
    </row>
    <row r="483" spans="1:4" ht="12" hidden="1" customHeight="1" outlineLevel="1" x14ac:dyDescent="0.3">
      <c r="A483" s="238"/>
      <c r="B483" s="242">
        <v>5100</v>
      </c>
      <c r="C483" s="248" t="s">
        <v>215</v>
      </c>
      <c r="D483" s="260"/>
    </row>
    <row r="484" spans="1:4" ht="12" hidden="1" customHeight="1" outlineLevel="1" x14ac:dyDescent="0.3">
      <c r="A484" s="238"/>
      <c r="B484" s="242">
        <v>5200</v>
      </c>
      <c r="C484" s="248" t="s">
        <v>216</v>
      </c>
      <c r="D484" s="260"/>
    </row>
    <row r="485" spans="1:4" ht="12" hidden="1" customHeight="1" outlineLevel="1" x14ac:dyDescent="0.3">
      <c r="A485" s="238"/>
      <c r="B485" s="242">
        <v>5300</v>
      </c>
      <c r="C485" s="249" t="s">
        <v>217</v>
      </c>
      <c r="D485" s="260"/>
    </row>
    <row r="486" spans="1:4" ht="12" hidden="1" customHeight="1" outlineLevel="1" x14ac:dyDescent="0.3">
      <c r="A486" s="238"/>
      <c r="B486" s="199">
        <v>6000</v>
      </c>
      <c r="C486" s="200" t="s">
        <v>218</v>
      </c>
      <c r="D486" s="260">
        <v>0</v>
      </c>
    </row>
    <row r="487" spans="1:4" ht="12" hidden="1" customHeight="1" outlineLevel="1" x14ac:dyDescent="0.3">
      <c r="A487" s="238"/>
      <c r="B487" s="242">
        <v>6200</v>
      </c>
      <c r="C487" s="248" t="s">
        <v>219</v>
      </c>
      <c r="D487" s="244"/>
    </row>
    <row r="488" spans="1:4" ht="12" hidden="1" customHeight="1" outlineLevel="1" x14ac:dyDescent="0.3">
      <c r="A488" s="238"/>
      <c r="B488" s="242">
        <v>6300</v>
      </c>
      <c r="C488" s="248" t="s">
        <v>220</v>
      </c>
      <c r="D488" s="244"/>
    </row>
    <row r="489" spans="1:4" ht="12" hidden="1" customHeight="1" outlineLevel="1" x14ac:dyDescent="0.3">
      <c r="A489" s="238"/>
      <c r="B489" s="242">
        <v>6400</v>
      </c>
      <c r="C489" s="248" t="s">
        <v>221</v>
      </c>
      <c r="D489" s="244"/>
    </row>
    <row r="490" spans="1:4" ht="12" hidden="1" customHeight="1" outlineLevel="1" x14ac:dyDescent="0.3">
      <c r="A490" s="238"/>
      <c r="B490" s="242">
        <v>6500</v>
      </c>
      <c r="C490" s="249" t="s">
        <v>222</v>
      </c>
      <c r="D490" s="244"/>
    </row>
    <row r="491" spans="1:4" ht="12" hidden="1" customHeight="1" outlineLevel="1" x14ac:dyDescent="0.3">
      <c r="A491" s="238"/>
      <c r="B491" s="199">
        <v>7000</v>
      </c>
      <c r="C491" s="200" t="s">
        <v>223</v>
      </c>
      <c r="D491" s="260">
        <v>0</v>
      </c>
    </row>
    <row r="492" spans="1:4" ht="12" hidden="1" customHeight="1" outlineLevel="1" x14ac:dyDescent="0.3">
      <c r="A492" s="238"/>
      <c r="B492" s="250">
        <v>7200</v>
      </c>
      <c r="C492" s="251" t="s">
        <v>224</v>
      </c>
      <c r="D492" s="244"/>
    </row>
    <row r="493" spans="1:4" ht="12" hidden="1" customHeight="1" outlineLevel="1" x14ac:dyDescent="0.3">
      <c r="A493" s="238"/>
      <c r="B493" s="250">
        <v>7500</v>
      </c>
      <c r="C493" s="251" t="s">
        <v>225</v>
      </c>
      <c r="D493" s="244"/>
    </row>
    <row r="494" spans="1:4" ht="12" hidden="1" customHeight="1" outlineLevel="1" x14ac:dyDescent="0.3">
      <c r="A494" s="238"/>
      <c r="B494" s="250">
        <v>7700</v>
      </c>
      <c r="C494" s="251" t="s">
        <v>226</v>
      </c>
      <c r="D494" s="244"/>
    </row>
    <row r="495" spans="1:4" ht="12" hidden="1" customHeight="1" outlineLevel="1" x14ac:dyDescent="0.3">
      <c r="A495" s="238"/>
      <c r="B495" s="252">
        <v>8000</v>
      </c>
      <c r="C495" s="253" t="s">
        <v>227</v>
      </c>
      <c r="D495" s="260">
        <v>0</v>
      </c>
    </row>
    <row r="496" spans="1:4" ht="12" hidden="1" customHeight="1" outlineLevel="1" x14ac:dyDescent="0.3">
      <c r="A496" s="238"/>
      <c r="B496" s="254">
        <v>8100</v>
      </c>
      <c r="C496" s="255" t="s">
        <v>228</v>
      </c>
      <c r="D496" s="260"/>
    </row>
    <row r="497" spans="1:4" ht="12" hidden="1" customHeight="1" outlineLevel="1" x14ac:dyDescent="0.3">
      <c r="A497" s="238"/>
      <c r="B497" s="254">
        <v>8600</v>
      </c>
      <c r="C497" s="255" t="s">
        <v>229</v>
      </c>
      <c r="D497" s="260"/>
    </row>
    <row r="498" spans="1:4" ht="12" hidden="1" customHeight="1" outlineLevel="1" x14ac:dyDescent="0.3">
      <c r="A498" s="238"/>
      <c r="B498" s="254">
        <v>8900</v>
      </c>
      <c r="C498" s="255" t="s">
        <v>230</v>
      </c>
      <c r="D498" s="260"/>
    </row>
    <row r="499" spans="1:4" ht="17.100000000000001" hidden="1" customHeight="1" outlineLevel="1" x14ac:dyDescent="0.3">
      <c r="A499" s="270" t="s">
        <v>256</v>
      </c>
      <c r="B499" s="224"/>
      <c r="C499" s="225" t="s">
        <v>257</v>
      </c>
      <c r="D499" s="226">
        <v>0</v>
      </c>
    </row>
    <row r="500" spans="1:4" ht="12" hidden="1" customHeight="1" outlineLevel="1" x14ac:dyDescent="0.3">
      <c r="A500" s="227"/>
      <c r="B500" s="228"/>
      <c r="C500" s="229" t="s">
        <v>251</v>
      </c>
      <c r="D500" s="230">
        <v>0</v>
      </c>
    </row>
    <row r="501" spans="1:4" ht="12" hidden="1" customHeight="1" outlineLevel="1" x14ac:dyDescent="0.3">
      <c r="A501" s="238"/>
      <c r="B501" s="231">
        <v>1000</v>
      </c>
      <c r="C501" s="232" t="s">
        <v>199</v>
      </c>
      <c r="D501" s="233">
        <v>0</v>
      </c>
    </row>
    <row r="502" spans="1:4" ht="12" hidden="1" customHeight="1" outlineLevel="1" x14ac:dyDescent="0.3">
      <c r="A502" s="238"/>
      <c r="B502" s="234">
        <v>1100</v>
      </c>
      <c r="C502" s="235" t="s">
        <v>200</v>
      </c>
      <c r="D502" s="236">
        <v>0</v>
      </c>
    </row>
    <row r="503" spans="1:4" ht="12" hidden="1" customHeight="1" outlineLevel="1" x14ac:dyDescent="0.3">
      <c r="A503" s="238"/>
      <c r="B503" s="234">
        <v>1200</v>
      </c>
      <c r="C503" s="237" t="s">
        <v>201</v>
      </c>
      <c r="D503" s="236">
        <v>0</v>
      </c>
    </row>
    <row r="504" spans="1:4" ht="12" hidden="1" customHeight="1" outlineLevel="1" x14ac:dyDescent="0.3">
      <c r="A504" s="238"/>
      <c r="B504" s="239">
        <v>2000</v>
      </c>
      <c r="C504" s="240" t="s">
        <v>202</v>
      </c>
      <c r="D504" s="241">
        <v>0</v>
      </c>
    </row>
    <row r="505" spans="1:4" ht="12" hidden="1" customHeight="1" outlineLevel="1" x14ac:dyDescent="0.3">
      <c r="A505" s="238"/>
      <c r="B505" s="242">
        <v>2100</v>
      </c>
      <c r="C505" s="243" t="s">
        <v>203</v>
      </c>
      <c r="D505" s="244">
        <v>0</v>
      </c>
    </row>
    <row r="506" spans="1:4" ht="12" hidden="1" customHeight="1" outlineLevel="1" x14ac:dyDescent="0.3">
      <c r="A506" s="238"/>
      <c r="B506" s="242">
        <v>2200</v>
      </c>
      <c r="C506" s="243" t="s">
        <v>204</v>
      </c>
      <c r="D506" s="244">
        <v>0</v>
      </c>
    </row>
    <row r="507" spans="1:4" ht="12" hidden="1" customHeight="1" outlineLevel="1" x14ac:dyDescent="0.3">
      <c r="A507" s="238"/>
      <c r="B507" s="242">
        <v>2300</v>
      </c>
      <c r="C507" s="243" t="s">
        <v>205</v>
      </c>
      <c r="D507" s="244">
        <v>0</v>
      </c>
    </row>
    <row r="508" spans="1:4" ht="12" hidden="1" customHeight="1" outlineLevel="1" x14ac:dyDescent="0.3">
      <c r="A508" s="238"/>
      <c r="B508" s="242">
        <v>2400</v>
      </c>
      <c r="C508" s="243" t="s">
        <v>206</v>
      </c>
      <c r="D508" s="244">
        <v>0</v>
      </c>
    </row>
    <row r="509" spans="1:4" ht="12" hidden="1" customHeight="1" outlineLevel="1" x14ac:dyDescent="0.3">
      <c r="A509" s="238"/>
      <c r="B509" s="242">
        <v>2500</v>
      </c>
      <c r="C509" s="243" t="s">
        <v>207</v>
      </c>
      <c r="D509" s="244">
        <v>0</v>
      </c>
    </row>
    <row r="510" spans="1:4" ht="12" hidden="1" customHeight="1" outlineLevel="1" x14ac:dyDescent="0.3">
      <c r="A510" s="238"/>
      <c r="B510" s="199">
        <v>3000</v>
      </c>
      <c r="C510" s="245" t="s">
        <v>208</v>
      </c>
      <c r="D510" s="241">
        <v>0</v>
      </c>
    </row>
    <row r="511" spans="1:4" ht="12" hidden="1" customHeight="1" outlineLevel="1" x14ac:dyDescent="0.3">
      <c r="A511" s="238"/>
      <c r="B511" s="242">
        <v>3200</v>
      </c>
      <c r="C511" s="243" t="s">
        <v>209</v>
      </c>
      <c r="D511" s="244">
        <v>0</v>
      </c>
    </row>
    <row r="512" spans="1:4" ht="12" hidden="1" customHeight="1" outlineLevel="1" x14ac:dyDescent="0.3">
      <c r="A512" s="238"/>
      <c r="B512" s="242">
        <v>3300</v>
      </c>
      <c r="C512" s="243" t="s">
        <v>210</v>
      </c>
      <c r="D512" s="244">
        <v>0</v>
      </c>
    </row>
    <row r="513" spans="1:4" ht="12" hidden="1" customHeight="1" outlineLevel="1" x14ac:dyDescent="0.3">
      <c r="A513" s="238"/>
      <c r="B513" s="199">
        <v>4000</v>
      </c>
      <c r="C513" s="246" t="s">
        <v>211</v>
      </c>
      <c r="D513" s="241">
        <v>0</v>
      </c>
    </row>
    <row r="514" spans="1:4" ht="12" hidden="1" customHeight="1" outlineLevel="1" x14ac:dyDescent="0.3">
      <c r="A514" s="238"/>
      <c r="B514" s="242">
        <v>4200</v>
      </c>
      <c r="C514" s="247" t="s">
        <v>212</v>
      </c>
      <c r="D514" s="244">
        <v>0</v>
      </c>
    </row>
    <row r="515" spans="1:4" ht="12" hidden="1" customHeight="1" outlineLevel="1" x14ac:dyDescent="0.3">
      <c r="A515" s="238"/>
      <c r="B515" s="242">
        <v>4300</v>
      </c>
      <c r="C515" s="247" t="s">
        <v>213</v>
      </c>
      <c r="D515" s="244">
        <v>0</v>
      </c>
    </row>
    <row r="516" spans="1:4" ht="12" hidden="1" customHeight="1" outlineLevel="1" x14ac:dyDescent="0.3">
      <c r="A516" s="238"/>
      <c r="B516" s="199">
        <v>5000</v>
      </c>
      <c r="C516" s="200" t="s">
        <v>214</v>
      </c>
      <c r="D516" s="241">
        <v>0</v>
      </c>
    </row>
    <row r="517" spans="1:4" ht="12" hidden="1" customHeight="1" outlineLevel="1" x14ac:dyDescent="0.3">
      <c r="A517" s="238"/>
      <c r="B517" s="242">
        <v>5100</v>
      </c>
      <c r="C517" s="248" t="s">
        <v>215</v>
      </c>
      <c r="D517" s="244">
        <v>0</v>
      </c>
    </row>
    <row r="518" spans="1:4" ht="12" hidden="1" customHeight="1" outlineLevel="1" x14ac:dyDescent="0.3">
      <c r="A518" s="238"/>
      <c r="B518" s="242">
        <v>5200</v>
      </c>
      <c r="C518" s="248" t="s">
        <v>216</v>
      </c>
      <c r="D518" s="244">
        <v>0</v>
      </c>
    </row>
    <row r="519" spans="1:4" ht="12" hidden="1" customHeight="1" outlineLevel="1" x14ac:dyDescent="0.3">
      <c r="A519" s="238"/>
      <c r="B519" s="242">
        <v>5300</v>
      </c>
      <c r="C519" s="249" t="s">
        <v>217</v>
      </c>
      <c r="D519" s="244">
        <v>0</v>
      </c>
    </row>
    <row r="520" spans="1:4" ht="12" hidden="1" customHeight="1" outlineLevel="1" x14ac:dyDescent="0.3">
      <c r="A520" s="238"/>
      <c r="B520" s="199">
        <v>6000</v>
      </c>
      <c r="C520" s="200" t="s">
        <v>218</v>
      </c>
      <c r="D520" s="241">
        <v>0</v>
      </c>
    </row>
    <row r="521" spans="1:4" ht="12" hidden="1" customHeight="1" outlineLevel="1" x14ac:dyDescent="0.3">
      <c r="A521" s="238"/>
      <c r="B521" s="242">
        <v>6200</v>
      </c>
      <c r="C521" s="248" t="s">
        <v>219</v>
      </c>
      <c r="D521" s="244">
        <v>0</v>
      </c>
    </row>
    <row r="522" spans="1:4" ht="12" hidden="1" customHeight="1" outlineLevel="1" x14ac:dyDescent="0.3">
      <c r="A522" s="238"/>
      <c r="B522" s="242">
        <v>6300</v>
      </c>
      <c r="C522" s="248" t="s">
        <v>220</v>
      </c>
      <c r="D522" s="244">
        <v>0</v>
      </c>
    </row>
    <row r="523" spans="1:4" ht="12" hidden="1" customHeight="1" outlineLevel="1" x14ac:dyDescent="0.3">
      <c r="A523" s="238"/>
      <c r="B523" s="242">
        <v>6400</v>
      </c>
      <c r="C523" s="248" t="s">
        <v>221</v>
      </c>
      <c r="D523" s="244">
        <v>0</v>
      </c>
    </row>
    <row r="524" spans="1:4" ht="12" hidden="1" customHeight="1" outlineLevel="1" x14ac:dyDescent="0.3">
      <c r="A524" s="238"/>
      <c r="B524" s="242">
        <v>6500</v>
      </c>
      <c r="C524" s="249" t="s">
        <v>222</v>
      </c>
      <c r="D524" s="244">
        <v>0</v>
      </c>
    </row>
    <row r="525" spans="1:4" ht="12" hidden="1" customHeight="1" outlineLevel="1" x14ac:dyDescent="0.3">
      <c r="A525" s="238"/>
      <c r="B525" s="199">
        <v>7000</v>
      </c>
      <c r="C525" s="200" t="s">
        <v>223</v>
      </c>
      <c r="D525" s="241">
        <v>0</v>
      </c>
    </row>
    <row r="526" spans="1:4" ht="12" hidden="1" customHeight="1" outlineLevel="1" x14ac:dyDescent="0.3">
      <c r="A526" s="238"/>
      <c r="B526" s="250">
        <v>7200</v>
      </c>
      <c r="C526" s="251" t="s">
        <v>224</v>
      </c>
      <c r="D526" s="244">
        <v>0</v>
      </c>
    </row>
    <row r="527" spans="1:4" ht="12" hidden="1" customHeight="1" outlineLevel="1" x14ac:dyDescent="0.3">
      <c r="A527" s="238"/>
      <c r="B527" s="250">
        <v>7500</v>
      </c>
      <c r="C527" s="251" t="s">
        <v>225</v>
      </c>
      <c r="D527" s="244">
        <v>0</v>
      </c>
    </row>
    <row r="528" spans="1:4" ht="12" hidden="1" customHeight="1" outlineLevel="1" x14ac:dyDescent="0.3">
      <c r="A528" s="238"/>
      <c r="B528" s="250">
        <v>7700</v>
      </c>
      <c r="C528" s="251" t="s">
        <v>226</v>
      </c>
      <c r="D528" s="244">
        <v>0</v>
      </c>
    </row>
    <row r="529" spans="1:4" ht="12" hidden="1" customHeight="1" outlineLevel="1" x14ac:dyDescent="0.3">
      <c r="A529" s="238"/>
      <c r="B529" s="252">
        <v>8000</v>
      </c>
      <c r="C529" s="253" t="s">
        <v>227</v>
      </c>
      <c r="D529" s="241">
        <v>0</v>
      </c>
    </row>
    <row r="530" spans="1:4" ht="12" hidden="1" customHeight="1" outlineLevel="1" x14ac:dyDescent="0.3">
      <c r="A530" s="238"/>
      <c r="B530" s="254">
        <v>8100</v>
      </c>
      <c r="C530" s="255" t="s">
        <v>228</v>
      </c>
      <c r="D530" s="244">
        <v>0</v>
      </c>
    </row>
    <row r="531" spans="1:4" ht="12" hidden="1" customHeight="1" outlineLevel="1" x14ac:dyDescent="0.3">
      <c r="A531" s="238"/>
      <c r="B531" s="254">
        <v>8600</v>
      </c>
      <c r="C531" s="255" t="s">
        <v>229</v>
      </c>
      <c r="D531" s="244">
        <v>0</v>
      </c>
    </row>
    <row r="532" spans="1:4" ht="12" hidden="1" customHeight="1" outlineLevel="1" x14ac:dyDescent="0.3">
      <c r="A532" s="238"/>
      <c r="B532" s="254">
        <v>8900</v>
      </c>
      <c r="C532" s="255" t="s">
        <v>230</v>
      </c>
      <c r="D532" s="244">
        <v>0</v>
      </c>
    </row>
    <row r="533" spans="1:4" ht="12" hidden="1" customHeight="1" outlineLevel="1" x14ac:dyDescent="0.3">
      <c r="A533" s="256" t="s">
        <v>258</v>
      </c>
      <c r="B533" s="257"/>
      <c r="C533" s="258" t="s">
        <v>259</v>
      </c>
      <c r="D533" s="259">
        <v>0</v>
      </c>
    </row>
    <row r="534" spans="1:4" ht="12" hidden="1" customHeight="1" outlineLevel="1" x14ac:dyDescent="0.3">
      <c r="A534" s="238"/>
      <c r="B534" s="228"/>
      <c r="C534" s="229" t="s">
        <v>251</v>
      </c>
      <c r="D534" s="230">
        <v>0</v>
      </c>
    </row>
    <row r="535" spans="1:4" ht="12" hidden="1" customHeight="1" outlineLevel="1" x14ac:dyDescent="0.3">
      <c r="A535" s="238"/>
      <c r="B535" s="231">
        <v>1000</v>
      </c>
      <c r="C535" s="232" t="s">
        <v>199</v>
      </c>
      <c r="D535" s="230">
        <v>0</v>
      </c>
    </row>
    <row r="536" spans="1:4" ht="12" hidden="1" customHeight="1" outlineLevel="1" x14ac:dyDescent="0.3">
      <c r="A536" s="238"/>
      <c r="B536" s="234">
        <v>1100</v>
      </c>
      <c r="C536" s="235" t="s">
        <v>200</v>
      </c>
      <c r="D536" s="236"/>
    </row>
    <row r="537" spans="1:4" ht="12" hidden="1" customHeight="1" outlineLevel="1" x14ac:dyDescent="0.3">
      <c r="A537" s="238"/>
      <c r="B537" s="234">
        <v>1200</v>
      </c>
      <c r="C537" s="237" t="s">
        <v>201</v>
      </c>
      <c r="D537" s="236"/>
    </row>
    <row r="538" spans="1:4" ht="12" hidden="1" customHeight="1" outlineLevel="1" x14ac:dyDescent="0.3">
      <c r="A538" s="238"/>
      <c r="B538" s="239">
        <v>2000</v>
      </c>
      <c r="C538" s="240" t="s">
        <v>202</v>
      </c>
      <c r="D538" s="260">
        <v>0</v>
      </c>
    </row>
    <row r="539" spans="1:4" ht="12" hidden="1" customHeight="1" outlineLevel="1" x14ac:dyDescent="0.3">
      <c r="A539" s="238"/>
      <c r="B539" s="242">
        <v>2100</v>
      </c>
      <c r="C539" s="243" t="s">
        <v>203</v>
      </c>
      <c r="D539" s="244"/>
    </row>
    <row r="540" spans="1:4" ht="12" hidden="1" customHeight="1" outlineLevel="1" x14ac:dyDescent="0.3">
      <c r="A540" s="238"/>
      <c r="B540" s="242">
        <v>2200</v>
      </c>
      <c r="C540" s="243" t="s">
        <v>204</v>
      </c>
      <c r="D540" s="244"/>
    </row>
    <row r="541" spans="1:4" ht="12" hidden="1" customHeight="1" outlineLevel="1" x14ac:dyDescent="0.3">
      <c r="A541" s="238"/>
      <c r="B541" s="242">
        <v>2300</v>
      </c>
      <c r="C541" s="243" t="s">
        <v>205</v>
      </c>
      <c r="D541" s="244"/>
    </row>
    <row r="542" spans="1:4" ht="12" hidden="1" customHeight="1" outlineLevel="1" x14ac:dyDescent="0.3">
      <c r="A542" s="238"/>
      <c r="B542" s="242">
        <v>2400</v>
      </c>
      <c r="C542" s="243" t="s">
        <v>206</v>
      </c>
      <c r="D542" s="244"/>
    </row>
    <row r="543" spans="1:4" ht="12.75" hidden="1" customHeight="1" outlineLevel="1" x14ac:dyDescent="0.3">
      <c r="A543" s="238"/>
      <c r="B543" s="242">
        <v>2500</v>
      </c>
      <c r="C543" s="243" t="s">
        <v>207</v>
      </c>
      <c r="D543" s="244"/>
    </row>
    <row r="544" spans="1:4" ht="12" hidden="1" customHeight="1" outlineLevel="1" x14ac:dyDescent="0.3">
      <c r="A544" s="238"/>
      <c r="B544" s="199">
        <v>3000</v>
      </c>
      <c r="C544" s="245" t="s">
        <v>208</v>
      </c>
      <c r="D544" s="260">
        <v>0</v>
      </c>
    </row>
    <row r="545" spans="1:4" ht="12" hidden="1" customHeight="1" outlineLevel="1" x14ac:dyDescent="0.3">
      <c r="A545" s="238"/>
      <c r="B545" s="242">
        <v>3200</v>
      </c>
      <c r="C545" s="243" t="s">
        <v>209</v>
      </c>
      <c r="D545" s="244"/>
    </row>
    <row r="546" spans="1:4" ht="12" hidden="1" customHeight="1" outlineLevel="1" x14ac:dyDescent="0.3">
      <c r="A546" s="238"/>
      <c r="B546" s="242">
        <v>3300</v>
      </c>
      <c r="C546" s="243" t="s">
        <v>210</v>
      </c>
      <c r="D546" s="244"/>
    </row>
    <row r="547" spans="1:4" ht="12" hidden="1" customHeight="1" outlineLevel="1" x14ac:dyDescent="0.3">
      <c r="A547" s="238"/>
      <c r="B547" s="199">
        <v>4000</v>
      </c>
      <c r="C547" s="246" t="s">
        <v>211</v>
      </c>
      <c r="D547" s="260">
        <v>0</v>
      </c>
    </row>
    <row r="548" spans="1:4" ht="12" hidden="1" customHeight="1" outlineLevel="1" x14ac:dyDescent="0.3">
      <c r="A548" s="238"/>
      <c r="B548" s="242">
        <v>4200</v>
      </c>
      <c r="C548" s="247" t="s">
        <v>212</v>
      </c>
      <c r="D548" s="244"/>
    </row>
    <row r="549" spans="1:4" ht="12" hidden="1" customHeight="1" outlineLevel="1" x14ac:dyDescent="0.3">
      <c r="A549" s="238"/>
      <c r="B549" s="242">
        <v>4300</v>
      </c>
      <c r="C549" s="247" t="s">
        <v>213</v>
      </c>
      <c r="D549" s="244"/>
    </row>
    <row r="550" spans="1:4" ht="12" hidden="1" customHeight="1" outlineLevel="1" x14ac:dyDescent="0.3">
      <c r="A550" s="238"/>
      <c r="B550" s="199">
        <v>5000</v>
      </c>
      <c r="C550" s="200" t="s">
        <v>214</v>
      </c>
      <c r="D550" s="260">
        <v>0</v>
      </c>
    </row>
    <row r="551" spans="1:4" ht="12" hidden="1" customHeight="1" outlineLevel="1" x14ac:dyDescent="0.3">
      <c r="A551" s="238"/>
      <c r="B551" s="242">
        <v>5100</v>
      </c>
      <c r="C551" s="248" t="s">
        <v>215</v>
      </c>
      <c r="D551" s="260"/>
    </row>
    <row r="552" spans="1:4" ht="12" hidden="1" customHeight="1" outlineLevel="1" x14ac:dyDescent="0.3">
      <c r="A552" s="238"/>
      <c r="B552" s="242">
        <v>5200</v>
      </c>
      <c r="C552" s="248" t="s">
        <v>216</v>
      </c>
      <c r="D552" s="260"/>
    </row>
    <row r="553" spans="1:4" ht="12" hidden="1" customHeight="1" outlineLevel="1" x14ac:dyDescent="0.3">
      <c r="A553" s="238"/>
      <c r="B553" s="242">
        <v>5300</v>
      </c>
      <c r="C553" s="249" t="s">
        <v>217</v>
      </c>
      <c r="D553" s="260"/>
    </row>
    <row r="554" spans="1:4" ht="12" hidden="1" customHeight="1" outlineLevel="1" x14ac:dyDescent="0.3">
      <c r="A554" s="238"/>
      <c r="B554" s="199">
        <v>6000</v>
      </c>
      <c r="C554" s="200" t="s">
        <v>218</v>
      </c>
      <c r="D554" s="260">
        <v>0</v>
      </c>
    </row>
    <row r="555" spans="1:4" ht="12" hidden="1" customHeight="1" outlineLevel="1" x14ac:dyDescent="0.3">
      <c r="A555" s="238"/>
      <c r="B555" s="242">
        <v>6200</v>
      </c>
      <c r="C555" s="248" t="s">
        <v>219</v>
      </c>
      <c r="D555" s="244"/>
    </row>
    <row r="556" spans="1:4" ht="12" hidden="1" customHeight="1" outlineLevel="1" x14ac:dyDescent="0.3">
      <c r="A556" s="238"/>
      <c r="B556" s="242">
        <v>6300</v>
      </c>
      <c r="C556" s="248" t="s">
        <v>220</v>
      </c>
      <c r="D556" s="244"/>
    </row>
    <row r="557" spans="1:4" ht="12" hidden="1" customHeight="1" outlineLevel="1" x14ac:dyDescent="0.3">
      <c r="A557" s="238"/>
      <c r="B557" s="242">
        <v>6400</v>
      </c>
      <c r="C557" s="248" t="s">
        <v>221</v>
      </c>
      <c r="D557" s="244"/>
    </row>
    <row r="558" spans="1:4" ht="12" hidden="1" customHeight="1" outlineLevel="1" x14ac:dyDescent="0.3">
      <c r="A558" s="238"/>
      <c r="B558" s="242">
        <v>6500</v>
      </c>
      <c r="C558" s="249" t="s">
        <v>222</v>
      </c>
      <c r="D558" s="244"/>
    </row>
    <row r="559" spans="1:4" ht="12" hidden="1" customHeight="1" outlineLevel="1" x14ac:dyDescent="0.3">
      <c r="A559" s="238"/>
      <c r="B559" s="199">
        <v>7000</v>
      </c>
      <c r="C559" s="200" t="s">
        <v>223</v>
      </c>
      <c r="D559" s="260">
        <v>0</v>
      </c>
    </row>
    <row r="560" spans="1:4" ht="12" hidden="1" customHeight="1" outlineLevel="1" x14ac:dyDescent="0.3">
      <c r="A560" s="238"/>
      <c r="B560" s="250">
        <v>7200</v>
      </c>
      <c r="C560" s="251" t="s">
        <v>224</v>
      </c>
      <c r="D560" s="244"/>
    </row>
    <row r="561" spans="1:4" ht="12" hidden="1" customHeight="1" outlineLevel="1" x14ac:dyDescent="0.3">
      <c r="A561" s="238"/>
      <c r="B561" s="250">
        <v>7500</v>
      </c>
      <c r="C561" s="251" t="s">
        <v>225</v>
      </c>
      <c r="D561" s="244"/>
    </row>
    <row r="562" spans="1:4" ht="12" hidden="1" customHeight="1" outlineLevel="1" x14ac:dyDescent="0.3">
      <c r="A562" s="238"/>
      <c r="B562" s="250">
        <v>7700</v>
      </c>
      <c r="C562" s="251" t="s">
        <v>226</v>
      </c>
      <c r="D562" s="244"/>
    </row>
    <row r="563" spans="1:4" ht="12" hidden="1" customHeight="1" outlineLevel="1" x14ac:dyDescent="0.3">
      <c r="A563" s="238"/>
      <c r="B563" s="252">
        <v>8000</v>
      </c>
      <c r="C563" s="253" t="s">
        <v>227</v>
      </c>
      <c r="D563" s="260">
        <v>0</v>
      </c>
    </row>
    <row r="564" spans="1:4" ht="12" hidden="1" customHeight="1" outlineLevel="1" x14ac:dyDescent="0.3">
      <c r="A564" s="238"/>
      <c r="B564" s="254">
        <v>8100</v>
      </c>
      <c r="C564" s="255" t="s">
        <v>228</v>
      </c>
      <c r="D564" s="260"/>
    </row>
    <row r="565" spans="1:4" ht="12" hidden="1" customHeight="1" outlineLevel="1" x14ac:dyDescent="0.3">
      <c r="A565" s="238"/>
      <c r="B565" s="254">
        <v>8600</v>
      </c>
      <c r="C565" s="255" t="s">
        <v>229</v>
      </c>
      <c r="D565" s="260"/>
    </row>
    <row r="566" spans="1:4" ht="12" hidden="1" customHeight="1" outlineLevel="1" x14ac:dyDescent="0.3">
      <c r="A566" s="238"/>
      <c r="B566" s="254">
        <v>8900</v>
      </c>
      <c r="C566" s="255" t="s">
        <v>230</v>
      </c>
      <c r="D566" s="260"/>
    </row>
    <row r="567" spans="1:4" ht="13.5" hidden="1" customHeight="1" outlineLevel="1" x14ac:dyDescent="0.3">
      <c r="A567" s="256" t="s">
        <v>260</v>
      </c>
      <c r="B567" s="257"/>
      <c r="C567" s="258" t="s">
        <v>261</v>
      </c>
      <c r="D567" s="259">
        <v>0</v>
      </c>
    </row>
    <row r="568" spans="1:4" ht="13.5" hidden="1" customHeight="1" outlineLevel="1" x14ac:dyDescent="0.3">
      <c r="A568" s="238"/>
      <c r="B568" s="228"/>
      <c r="C568" s="229" t="s">
        <v>251</v>
      </c>
      <c r="D568" s="230">
        <v>0</v>
      </c>
    </row>
    <row r="569" spans="1:4" ht="13.5" hidden="1" customHeight="1" outlineLevel="1" x14ac:dyDescent="0.3">
      <c r="A569" s="238"/>
      <c r="B569" s="231">
        <v>1000</v>
      </c>
      <c r="C569" s="232" t="s">
        <v>199</v>
      </c>
      <c r="D569" s="233">
        <v>0</v>
      </c>
    </row>
    <row r="570" spans="1:4" ht="13.5" hidden="1" customHeight="1" outlineLevel="1" x14ac:dyDescent="0.3">
      <c r="A570" s="238"/>
      <c r="B570" s="234">
        <v>1100</v>
      </c>
      <c r="C570" s="235" t="s">
        <v>200</v>
      </c>
      <c r="D570" s="236">
        <v>0</v>
      </c>
    </row>
    <row r="571" spans="1:4" ht="13.5" hidden="1" customHeight="1" outlineLevel="1" x14ac:dyDescent="0.3">
      <c r="A571" s="238"/>
      <c r="B571" s="234">
        <v>1200</v>
      </c>
      <c r="C571" s="237" t="s">
        <v>201</v>
      </c>
      <c r="D571" s="236">
        <v>0</v>
      </c>
    </row>
    <row r="572" spans="1:4" ht="12" hidden="1" customHeight="1" outlineLevel="1" x14ac:dyDescent="0.3">
      <c r="A572" s="238"/>
      <c r="B572" s="239">
        <v>2000</v>
      </c>
      <c r="C572" s="240" t="s">
        <v>202</v>
      </c>
      <c r="D572" s="241">
        <v>0</v>
      </c>
    </row>
    <row r="573" spans="1:4" ht="12" hidden="1" customHeight="1" outlineLevel="1" x14ac:dyDescent="0.3">
      <c r="A573" s="238"/>
      <c r="B573" s="242">
        <v>2100</v>
      </c>
      <c r="C573" s="243" t="s">
        <v>203</v>
      </c>
      <c r="D573" s="244">
        <v>0</v>
      </c>
    </row>
    <row r="574" spans="1:4" ht="12" hidden="1" customHeight="1" outlineLevel="1" x14ac:dyDescent="0.3">
      <c r="A574" s="238"/>
      <c r="B574" s="242">
        <v>2200</v>
      </c>
      <c r="C574" s="243" t="s">
        <v>204</v>
      </c>
      <c r="D574" s="244"/>
    </row>
    <row r="575" spans="1:4" ht="12" hidden="1" customHeight="1" outlineLevel="1" x14ac:dyDescent="0.3">
      <c r="A575" s="238"/>
      <c r="B575" s="242">
        <v>2300</v>
      </c>
      <c r="C575" s="243" t="s">
        <v>205</v>
      </c>
      <c r="D575" s="244"/>
    </row>
    <row r="576" spans="1:4" ht="12" hidden="1" customHeight="1" outlineLevel="1" x14ac:dyDescent="0.3">
      <c r="A576" s="238"/>
      <c r="B576" s="242">
        <v>2400</v>
      </c>
      <c r="C576" s="243" t="s">
        <v>206</v>
      </c>
      <c r="D576" s="244"/>
    </row>
    <row r="577" spans="1:4" ht="12" hidden="1" customHeight="1" outlineLevel="1" x14ac:dyDescent="0.3">
      <c r="A577" s="238"/>
      <c r="B577" s="242">
        <v>2500</v>
      </c>
      <c r="C577" s="243" t="s">
        <v>207</v>
      </c>
      <c r="D577" s="244"/>
    </row>
    <row r="578" spans="1:4" ht="13.5" hidden="1" customHeight="1" outlineLevel="1" x14ac:dyDescent="0.3">
      <c r="A578" s="238"/>
      <c r="B578" s="199">
        <v>3000</v>
      </c>
      <c r="C578" s="245" t="s">
        <v>208</v>
      </c>
      <c r="D578" s="241">
        <v>0</v>
      </c>
    </row>
    <row r="579" spans="1:4" ht="13.5" hidden="1" customHeight="1" outlineLevel="1" x14ac:dyDescent="0.3">
      <c r="A579" s="238"/>
      <c r="B579" s="242">
        <v>3200</v>
      </c>
      <c r="C579" s="243" t="s">
        <v>209</v>
      </c>
      <c r="D579" s="244">
        <v>0</v>
      </c>
    </row>
    <row r="580" spans="1:4" ht="13.5" hidden="1" customHeight="1" outlineLevel="1" x14ac:dyDescent="0.3">
      <c r="A580" s="238"/>
      <c r="B580" s="242">
        <v>3300</v>
      </c>
      <c r="C580" s="243" t="s">
        <v>210</v>
      </c>
      <c r="D580" s="244">
        <v>0</v>
      </c>
    </row>
    <row r="581" spans="1:4" ht="13.5" hidden="1" customHeight="1" outlineLevel="1" x14ac:dyDescent="0.3">
      <c r="A581" s="238"/>
      <c r="B581" s="199">
        <v>4000</v>
      </c>
      <c r="C581" s="246" t="s">
        <v>211</v>
      </c>
      <c r="D581" s="241">
        <v>0</v>
      </c>
    </row>
    <row r="582" spans="1:4" ht="13.5" hidden="1" customHeight="1" outlineLevel="1" x14ac:dyDescent="0.3">
      <c r="A582" s="238"/>
      <c r="B582" s="242">
        <v>4200</v>
      </c>
      <c r="C582" s="247" t="s">
        <v>212</v>
      </c>
      <c r="D582" s="244">
        <v>0</v>
      </c>
    </row>
    <row r="583" spans="1:4" ht="13.5" hidden="1" customHeight="1" outlineLevel="1" x14ac:dyDescent="0.3">
      <c r="A583" s="238"/>
      <c r="B583" s="242">
        <v>4300</v>
      </c>
      <c r="C583" s="247" t="s">
        <v>213</v>
      </c>
      <c r="D583" s="244">
        <v>0</v>
      </c>
    </row>
    <row r="584" spans="1:4" ht="12" hidden="1" customHeight="1" outlineLevel="1" x14ac:dyDescent="0.3">
      <c r="A584" s="238"/>
      <c r="B584" s="199">
        <v>5000</v>
      </c>
      <c r="C584" s="200" t="s">
        <v>214</v>
      </c>
      <c r="D584" s="241">
        <v>0</v>
      </c>
    </row>
    <row r="585" spans="1:4" ht="12" hidden="1" customHeight="1" outlineLevel="1" x14ac:dyDescent="0.3">
      <c r="A585" s="238"/>
      <c r="B585" s="242">
        <v>5100</v>
      </c>
      <c r="C585" s="248" t="s">
        <v>215</v>
      </c>
      <c r="D585" s="244">
        <v>0</v>
      </c>
    </row>
    <row r="586" spans="1:4" ht="12" hidden="1" customHeight="1" outlineLevel="1" x14ac:dyDescent="0.3">
      <c r="A586" s="238"/>
      <c r="B586" s="242">
        <v>5200</v>
      </c>
      <c r="C586" s="248" t="s">
        <v>216</v>
      </c>
      <c r="D586" s="244"/>
    </row>
    <row r="587" spans="1:4" ht="12" hidden="1" customHeight="1" outlineLevel="1" x14ac:dyDescent="0.3">
      <c r="A587" s="238"/>
      <c r="B587" s="242">
        <v>5300</v>
      </c>
      <c r="C587" s="249" t="s">
        <v>217</v>
      </c>
      <c r="D587" s="244">
        <v>0</v>
      </c>
    </row>
    <row r="588" spans="1:4" ht="12" hidden="1" customHeight="1" outlineLevel="1" x14ac:dyDescent="0.3">
      <c r="A588" s="238"/>
      <c r="B588" s="199">
        <v>6000</v>
      </c>
      <c r="C588" s="200" t="s">
        <v>218</v>
      </c>
      <c r="D588" s="241">
        <v>0</v>
      </c>
    </row>
    <row r="589" spans="1:4" ht="12" hidden="1" customHeight="1" outlineLevel="1" x14ac:dyDescent="0.3">
      <c r="A589" s="238"/>
      <c r="B589" s="242">
        <v>6200</v>
      </c>
      <c r="C589" s="248" t="s">
        <v>219</v>
      </c>
      <c r="D589" s="244">
        <v>0</v>
      </c>
    </row>
    <row r="590" spans="1:4" ht="12" hidden="1" customHeight="1" outlineLevel="1" x14ac:dyDescent="0.3">
      <c r="A590" s="238"/>
      <c r="B590" s="242">
        <v>6300</v>
      </c>
      <c r="C590" s="248" t="s">
        <v>220</v>
      </c>
      <c r="D590" s="244">
        <v>0</v>
      </c>
    </row>
    <row r="591" spans="1:4" ht="12" hidden="1" customHeight="1" outlineLevel="1" x14ac:dyDescent="0.3">
      <c r="A591" s="238"/>
      <c r="B591" s="242">
        <v>6400</v>
      </c>
      <c r="C591" s="248" t="s">
        <v>221</v>
      </c>
      <c r="D591" s="244">
        <v>0</v>
      </c>
    </row>
    <row r="592" spans="1:4" ht="12" hidden="1" customHeight="1" outlineLevel="1" x14ac:dyDescent="0.3">
      <c r="A592" s="238"/>
      <c r="B592" s="242">
        <v>6500</v>
      </c>
      <c r="C592" s="249" t="s">
        <v>222</v>
      </c>
      <c r="D592" s="244">
        <v>0</v>
      </c>
    </row>
    <row r="593" spans="1:4" ht="12" hidden="1" customHeight="1" outlineLevel="1" x14ac:dyDescent="0.3">
      <c r="A593" s="238"/>
      <c r="B593" s="199">
        <v>7000</v>
      </c>
      <c r="C593" s="200" t="s">
        <v>223</v>
      </c>
      <c r="D593" s="241">
        <v>0</v>
      </c>
    </row>
    <row r="594" spans="1:4" ht="12" hidden="1" customHeight="1" outlineLevel="1" x14ac:dyDescent="0.3">
      <c r="A594" s="238"/>
      <c r="B594" s="250">
        <v>7200</v>
      </c>
      <c r="C594" s="251" t="s">
        <v>224</v>
      </c>
      <c r="D594" s="244"/>
    </row>
    <row r="595" spans="1:4" ht="12" hidden="1" customHeight="1" outlineLevel="1" x14ac:dyDescent="0.3">
      <c r="A595" s="238"/>
      <c r="B595" s="250">
        <v>7500</v>
      </c>
      <c r="C595" s="251" t="s">
        <v>225</v>
      </c>
      <c r="D595" s="244">
        <v>0</v>
      </c>
    </row>
    <row r="596" spans="1:4" ht="12" hidden="1" customHeight="1" outlineLevel="1" x14ac:dyDescent="0.3">
      <c r="A596" s="238"/>
      <c r="B596" s="250">
        <v>7700</v>
      </c>
      <c r="C596" s="251" t="s">
        <v>226</v>
      </c>
      <c r="D596" s="244">
        <v>0</v>
      </c>
    </row>
    <row r="597" spans="1:4" ht="12" hidden="1" customHeight="1" outlineLevel="1" x14ac:dyDescent="0.3">
      <c r="A597" s="238"/>
      <c r="B597" s="252">
        <v>8000</v>
      </c>
      <c r="C597" s="253" t="s">
        <v>227</v>
      </c>
      <c r="D597" s="241">
        <v>0</v>
      </c>
    </row>
    <row r="598" spans="1:4" ht="12" hidden="1" customHeight="1" outlineLevel="1" x14ac:dyDescent="0.3">
      <c r="A598" s="238"/>
      <c r="B598" s="254">
        <v>8100</v>
      </c>
      <c r="C598" s="255" t="s">
        <v>228</v>
      </c>
      <c r="D598" s="244">
        <v>0</v>
      </c>
    </row>
    <row r="599" spans="1:4" ht="12" hidden="1" customHeight="1" outlineLevel="1" x14ac:dyDescent="0.3">
      <c r="A599" s="238"/>
      <c r="B599" s="254">
        <v>8600</v>
      </c>
      <c r="C599" s="255" t="s">
        <v>229</v>
      </c>
      <c r="D599" s="244">
        <v>0</v>
      </c>
    </row>
    <row r="600" spans="1:4" ht="12" hidden="1" customHeight="1" outlineLevel="1" x14ac:dyDescent="0.3">
      <c r="A600" s="238"/>
      <c r="B600" s="254">
        <v>8900</v>
      </c>
      <c r="C600" s="255" t="s">
        <v>230</v>
      </c>
      <c r="D600" s="244">
        <v>0</v>
      </c>
    </row>
    <row r="601" spans="1:4" ht="12" hidden="1" customHeight="1" outlineLevel="1" x14ac:dyDescent="0.3">
      <c r="A601" s="262" t="s">
        <v>262</v>
      </c>
      <c r="B601" s="263"/>
      <c r="C601" s="264" t="s">
        <v>263</v>
      </c>
      <c r="D601" s="265">
        <v>0</v>
      </c>
    </row>
    <row r="602" spans="1:4" ht="12" hidden="1" customHeight="1" outlineLevel="1" x14ac:dyDescent="0.3">
      <c r="A602" s="238"/>
      <c r="B602" s="228"/>
      <c r="C602" s="229" t="s">
        <v>251</v>
      </c>
      <c r="D602" s="230">
        <v>0</v>
      </c>
    </row>
    <row r="603" spans="1:4" ht="12" hidden="1" customHeight="1" outlineLevel="1" x14ac:dyDescent="0.3">
      <c r="A603" s="238"/>
      <c r="B603" s="231">
        <v>1000</v>
      </c>
      <c r="C603" s="232" t="s">
        <v>199</v>
      </c>
      <c r="D603" s="230">
        <v>0</v>
      </c>
    </row>
    <row r="604" spans="1:4" ht="12" hidden="1" customHeight="1" outlineLevel="1" x14ac:dyDescent="0.3">
      <c r="A604" s="238"/>
      <c r="B604" s="234">
        <v>1100</v>
      </c>
      <c r="C604" s="235" t="s">
        <v>200</v>
      </c>
      <c r="D604" s="236"/>
    </row>
    <row r="605" spans="1:4" ht="12" hidden="1" customHeight="1" outlineLevel="1" x14ac:dyDescent="0.3">
      <c r="A605" s="238"/>
      <c r="B605" s="234">
        <v>1200</v>
      </c>
      <c r="C605" s="237" t="s">
        <v>201</v>
      </c>
      <c r="D605" s="236"/>
    </row>
    <row r="606" spans="1:4" ht="12" hidden="1" customHeight="1" outlineLevel="1" x14ac:dyDescent="0.3">
      <c r="A606" s="238"/>
      <c r="B606" s="239">
        <v>2000</v>
      </c>
      <c r="C606" s="240" t="s">
        <v>202</v>
      </c>
      <c r="D606" s="260">
        <v>0</v>
      </c>
    </row>
    <row r="607" spans="1:4" ht="12" hidden="1" customHeight="1" outlineLevel="1" x14ac:dyDescent="0.3">
      <c r="A607" s="238"/>
      <c r="B607" s="242">
        <v>2100</v>
      </c>
      <c r="C607" s="243" t="s">
        <v>203</v>
      </c>
      <c r="D607" s="244"/>
    </row>
    <row r="608" spans="1:4" ht="12" hidden="1" customHeight="1" outlineLevel="1" x14ac:dyDescent="0.3">
      <c r="A608" s="238"/>
      <c r="B608" s="242">
        <v>2200</v>
      </c>
      <c r="C608" s="243" t="s">
        <v>204</v>
      </c>
      <c r="D608" s="244"/>
    </row>
    <row r="609" spans="1:4" ht="12" hidden="1" customHeight="1" outlineLevel="1" x14ac:dyDescent="0.3">
      <c r="A609" s="238"/>
      <c r="B609" s="242">
        <v>2300</v>
      </c>
      <c r="C609" s="243" t="s">
        <v>205</v>
      </c>
      <c r="D609" s="244"/>
    </row>
    <row r="610" spans="1:4" ht="12" hidden="1" customHeight="1" outlineLevel="1" x14ac:dyDescent="0.3">
      <c r="A610" s="238"/>
      <c r="B610" s="242">
        <v>2400</v>
      </c>
      <c r="C610" s="243" t="s">
        <v>206</v>
      </c>
      <c r="D610" s="244"/>
    </row>
    <row r="611" spans="1:4" ht="12" hidden="1" customHeight="1" outlineLevel="1" x14ac:dyDescent="0.3">
      <c r="A611" s="238"/>
      <c r="B611" s="242">
        <v>2500</v>
      </c>
      <c r="C611" s="243" t="s">
        <v>207</v>
      </c>
      <c r="D611" s="244"/>
    </row>
    <row r="612" spans="1:4" ht="12" hidden="1" customHeight="1" outlineLevel="1" x14ac:dyDescent="0.3">
      <c r="A612" s="238"/>
      <c r="B612" s="199">
        <v>3000</v>
      </c>
      <c r="C612" s="245" t="s">
        <v>208</v>
      </c>
      <c r="D612" s="260">
        <v>0</v>
      </c>
    </row>
    <row r="613" spans="1:4" ht="12" hidden="1" customHeight="1" outlineLevel="1" x14ac:dyDescent="0.3">
      <c r="A613" s="238"/>
      <c r="B613" s="242">
        <v>3200</v>
      </c>
      <c r="C613" s="243" t="s">
        <v>209</v>
      </c>
      <c r="D613" s="244"/>
    </row>
    <row r="614" spans="1:4" ht="12" hidden="1" customHeight="1" outlineLevel="1" x14ac:dyDescent="0.3">
      <c r="A614" s="238"/>
      <c r="B614" s="242">
        <v>3300</v>
      </c>
      <c r="C614" s="243" t="s">
        <v>210</v>
      </c>
      <c r="D614" s="244"/>
    </row>
    <row r="615" spans="1:4" ht="12" hidden="1" customHeight="1" outlineLevel="1" x14ac:dyDescent="0.3">
      <c r="A615" s="238"/>
      <c r="B615" s="199">
        <v>4000</v>
      </c>
      <c r="C615" s="246" t="s">
        <v>211</v>
      </c>
      <c r="D615" s="260">
        <v>0</v>
      </c>
    </row>
    <row r="616" spans="1:4" ht="12" hidden="1" customHeight="1" outlineLevel="1" x14ac:dyDescent="0.3">
      <c r="A616" s="238"/>
      <c r="B616" s="242">
        <v>4200</v>
      </c>
      <c r="C616" s="247" t="s">
        <v>212</v>
      </c>
      <c r="D616" s="244"/>
    </row>
    <row r="617" spans="1:4" ht="12" hidden="1" customHeight="1" outlineLevel="1" x14ac:dyDescent="0.3">
      <c r="A617" s="238"/>
      <c r="B617" s="242">
        <v>4300</v>
      </c>
      <c r="C617" s="247" t="s">
        <v>213</v>
      </c>
      <c r="D617" s="244"/>
    </row>
    <row r="618" spans="1:4" ht="12" hidden="1" customHeight="1" outlineLevel="1" x14ac:dyDescent="0.3">
      <c r="A618" s="238"/>
      <c r="B618" s="199">
        <v>5000</v>
      </c>
      <c r="C618" s="200" t="s">
        <v>214</v>
      </c>
      <c r="D618" s="260">
        <v>0</v>
      </c>
    </row>
    <row r="619" spans="1:4" ht="12" hidden="1" customHeight="1" outlineLevel="1" x14ac:dyDescent="0.3">
      <c r="A619" s="238"/>
      <c r="B619" s="242">
        <v>5100</v>
      </c>
      <c r="C619" s="248" t="s">
        <v>215</v>
      </c>
      <c r="D619" s="244"/>
    </row>
    <row r="620" spans="1:4" ht="12" hidden="1" customHeight="1" outlineLevel="1" x14ac:dyDescent="0.3">
      <c r="A620" s="238"/>
      <c r="B620" s="242">
        <v>5200</v>
      </c>
      <c r="C620" s="248" t="s">
        <v>216</v>
      </c>
      <c r="D620" s="244"/>
    </row>
    <row r="621" spans="1:4" ht="12" hidden="1" customHeight="1" outlineLevel="1" x14ac:dyDescent="0.3">
      <c r="A621" s="238"/>
      <c r="B621" s="242">
        <v>5300</v>
      </c>
      <c r="C621" s="249" t="s">
        <v>217</v>
      </c>
      <c r="D621" s="244"/>
    </row>
    <row r="622" spans="1:4" ht="12" hidden="1" customHeight="1" outlineLevel="1" x14ac:dyDescent="0.3">
      <c r="A622" s="238"/>
      <c r="B622" s="199">
        <v>6000</v>
      </c>
      <c r="C622" s="200" t="s">
        <v>218</v>
      </c>
      <c r="D622" s="260">
        <v>0</v>
      </c>
    </row>
    <row r="623" spans="1:4" ht="12" hidden="1" customHeight="1" outlineLevel="1" x14ac:dyDescent="0.3">
      <c r="A623" s="238"/>
      <c r="B623" s="242">
        <v>6200</v>
      </c>
      <c r="C623" s="248" t="s">
        <v>219</v>
      </c>
      <c r="D623" s="244"/>
    </row>
    <row r="624" spans="1:4" ht="12" hidden="1" customHeight="1" outlineLevel="1" x14ac:dyDescent="0.3">
      <c r="A624" s="238"/>
      <c r="B624" s="242">
        <v>6300</v>
      </c>
      <c r="C624" s="248" t="s">
        <v>220</v>
      </c>
      <c r="D624" s="244"/>
    </row>
    <row r="625" spans="1:4" ht="12" hidden="1" customHeight="1" outlineLevel="1" x14ac:dyDescent="0.3">
      <c r="A625" s="238"/>
      <c r="B625" s="242">
        <v>6400</v>
      </c>
      <c r="C625" s="248" t="s">
        <v>221</v>
      </c>
      <c r="D625" s="244"/>
    </row>
    <row r="626" spans="1:4" ht="12" hidden="1" customHeight="1" outlineLevel="1" x14ac:dyDescent="0.3">
      <c r="A626" s="238"/>
      <c r="B626" s="242">
        <v>6500</v>
      </c>
      <c r="C626" s="249" t="s">
        <v>222</v>
      </c>
      <c r="D626" s="244"/>
    </row>
    <row r="627" spans="1:4" ht="12" hidden="1" customHeight="1" outlineLevel="1" x14ac:dyDescent="0.3">
      <c r="A627" s="238"/>
      <c r="B627" s="199">
        <v>7000</v>
      </c>
      <c r="C627" s="200" t="s">
        <v>223</v>
      </c>
      <c r="D627" s="260">
        <v>0</v>
      </c>
    </row>
    <row r="628" spans="1:4" ht="12" hidden="1" customHeight="1" outlineLevel="1" x14ac:dyDescent="0.3">
      <c r="A628" s="238"/>
      <c r="B628" s="250">
        <v>7200</v>
      </c>
      <c r="C628" s="251" t="s">
        <v>224</v>
      </c>
      <c r="D628" s="244"/>
    </row>
    <row r="629" spans="1:4" ht="12" hidden="1" customHeight="1" outlineLevel="1" x14ac:dyDescent="0.3">
      <c r="A629" s="238"/>
      <c r="B629" s="250">
        <v>7500</v>
      </c>
      <c r="C629" s="251" t="s">
        <v>225</v>
      </c>
      <c r="D629" s="244"/>
    </row>
    <row r="630" spans="1:4" ht="12" hidden="1" customHeight="1" outlineLevel="1" x14ac:dyDescent="0.3">
      <c r="A630" s="238"/>
      <c r="B630" s="250">
        <v>7700</v>
      </c>
      <c r="C630" s="251" t="s">
        <v>226</v>
      </c>
      <c r="D630" s="244"/>
    </row>
    <row r="631" spans="1:4" ht="12" hidden="1" customHeight="1" outlineLevel="1" x14ac:dyDescent="0.3">
      <c r="A631" s="238"/>
      <c r="B631" s="252">
        <v>8000</v>
      </c>
      <c r="C631" s="253" t="s">
        <v>227</v>
      </c>
      <c r="D631" s="260">
        <v>0</v>
      </c>
    </row>
    <row r="632" spans="1:4" ht="12" hidden="1" customHeight="1" outlineLevel="1" x14ac:dyDescent="0.3">
      <c r="A632" s="238"/>
      <c r="B632" s="254">
        <v>8100</v>
      </c>
      <c r="C632" s="255" t="s">
        <v>228</v>
      </c>
      <c r="D632" s="260"/>
    </row>
    <row r="633" spans="1:4" ht="12" hidden="1" customHeight="1" outlineLevel="1" x14ac:dyDescent="0.3">
      <c r="A633" s="238"/>
      <c r="B633" s="254">
        <v>8600</v>
      </c>
      <c r="C633" s="255" t="s">
        <v>229</v>
      </c>
      <c r="D633" s="260"/>
    </row>
    <row r="634" spans="1:4" ht="12" hidden="1" customHeight="1" outlineLevel="1" x14ac:dyDescent="0.3">
      <c r="A634" s="238"/>
      <c r="B634" s="254">
        <v>8900</v>
      </c>
      <c r="C634" s="255" t="s">
        <v>230</v>
      </c>
      <c r="D634" s="260"/>
    </row>
    <row r="635" spans="1:4" ht="24" hidden="1" customHeight="1" outlineLevel="1" x14ac:dyDescent="0.3">
      <c r="A635" s="262" t="s">
        <v>264</v>
      </c>
      <c r="B635" s="263"/>
      <c r="C635" s="269" t="s">
        <v>265</v>
      </c>
      <c r="D635" s="265">
        <v>0</v>
      </c>
    </row>
    <row r="636" spans="1:4" ht="12" hidden="1" customHeight="1" outlineLevel="1" x14ac:dyDescent="0.3">
      <c r="A636" s="227"/>
      <c r="B636" s="228"/>
      <c r="C636" s="229" t="s">
        <v>251</v>
      </c>
      <c r="D636" s="230">
        <v>0</v>
      </c>
    </row>
    <row r="637" spans="1:4" ht="12" hidden="1" customHeight="1" outlineLevel="1" x14ac:dyDescent="0.3">
      <c r="A637" s="227"/>
      <c r="B637" s="231">
        <v>1000</v>
      </c>
      <c r="C637" s="232" t="s">
        <v>199</v>
      </c>
      <c r="D637" s="230">
        <v>0</v>
      </c>
    </row>
    <row r="638" spans="1:4" ht="12" hidden="1" customHeight="1" outlineLevel="1" x14ac:dyDescent="0.3">
      <c r="A638" s="227"/>
      <c r="B638" s="234">
        <v>1100</v>
      </c>
      <c r="C638" s="235" t="s">
        <v>200</v>
      </c>
      <c r="D638" s="236"/>
    </row>
    <row r="639" spans="1:4" ht="12" hidden="1" customHeight="1" outlineLevel="1" x14ac:dyDescent="0.3">
      <c r="A639" s="227"/>
      <c r="B639" s="234">
        <v>1200</v>
      </c>
      <c r="C639" s="237" t="s">
        <v>201</v>
      </c>
      <c r="D639" s="236"/>
    </row>
    <row r="640" spans="1:4" ht="12" hidden="1" customHeight="1" outlineLevel="1" x14ac:dyDescent="0.3">
      <c r="A640" s="238"/>
      <c r="B640" s="239">
        <v>2000</v>
      </c>
      <c r="C640" s="240" t="s">
        <v>202</v>
      </c>
      <c r="D640" s="260">
        <v>0</v>
      </c>
    </row>
    <row r="641" spans="1:4" ht="12" hidden="1" customHeight="1" outlineLevel="1" x14ac:dyDescent="0.3">
      <c r="A641" s="238"/>
      <c r="B641" s="242">
        <v>2100</v>
      </c>
      <c r="C641" s="243" t="s">
        <v>203</v>
      </c>
      <c r="D641" s="244"/>
    </row>
    <row r="642" spans="1:4" ht="12" hidden="1" customHeight="1" outlineLevel="1" x14ac:dyDescent="0.3">
      <c r="A642" s="238"/>
      <c r="B642" s="242">
        <v>2200</v>
      </c>
      <c r="C642" s="243" t="s">
        <v>204</v>
      </c>
      <c r="D642" s="244"/>
    </row>
    <row r="643" spans="1:4" ht="12" hidden="1" customHeight="1" outlineLevel="1" x14ac:dyDescent="0.3">
      <c r="A643" s="238"/>
      <c r="B643" s="242">
        <v>2300</v>
      </c>
      <c r="C643" s="243" t="s">
        <v>205</v>
      </c>
      <c r="D643" s="244"/>
    </row>
    <row r="644" spans="1:4" ht="12" hidden="1" customHeight="1" outlineLevel="1" x14ac:dyDescent="0.3">
      <c r="A644" s="238"/>
      <c r="B644" s="242">
        <v>2400</v>
      </c>
      <c r="C644" s="243" t="s">
        <v>206</v>
      </c>
      <c r="D644" s="244"/>
    </row>
    <row r="645" spans="1:4" ht="12" hidden="1" customHeight="1" outlineLevel="1" x14ac:dyDescent="0.3">
      <c r="A645" s="238"/>
      <c r="B645" s="242">
        <v>2500</v>
      </c>
      <c r="C645" s="243" t="s">
        <v>207</v>
      </c>
      <c r="D645" s="244"/>
    </row>
    <row r="646" spans="1:4" ht="12" hidden="1" customHeight="1" outlineLevel="1" x14ac:dyDescent="0.3">
      <c r="A646" s="238"/>
      <c r="B646" s="199">
        <v>3000</v>
      </c>
      <c r="C646" s="245" t="s">
        <v>208</v>
      </c>
      <c r="D646" s="260">
        <v>0</v>
      </c>
    </row>
    <row r="647" spans="1:4" ht="12" hidden="1" customHeight="1" outlineLevel="1" x14ac:dyDescent="0.3">
      <c r="A647" s="238"/>
      <c r="B647" s="242">
        <v>3200</v>
      </c>
      <c r="C647" s="243" t="s">
        <v>209</v>
      </c>
      <c r="D647" s="244"/>
    </row>
    <row r="648" spans="1:4" ht="12" hidden="1" customHeight="1" outlineLevel="1" x14ac:dyDescent="0.3">
      <c r="A648" s="238"/>
      <c r="B648" s="242">
        <v>3300</v>
      </c>
      <c r="C648" s="243" t="s">
        <v>210</v>
      </c>
      <c r="D648" s="244"/>
    </row>
    <row r="649" spans="1:4" ht="12" hidden="1" customHeight="1" outlineLevel="1" x14ac:dyDescent="0.3">
      <c r="A649" s="238"/>
      <c r="B649" s="199">
        <v>4000</v>
      </c>
      <c r="C649" s="246" t="s">
        <v>211</v>
      </c>
      <c r="D649" s="260">
        <v>0</v>
      </c>
    </row>
    <row r="650" spans="1:4" ht="12" hidden="1" customHeight="1" outlineLevel="1" x14ac:dyDescent="0.3">
      <c r="A650" s="238"/>
      <c r="B650" s="242">
        <v>4200</v>
      </c>
      <c r="C650" s="247" t="s">
        <v>212</v>
      </c>
      <c r="D650" s="244"/>
    </row>
    <row r="651" spans="1:4" ht="12" hidden="1" customHeight="1" outlineLevel="1" x14ac:dyDescent="0.3">
      <c r="A651" s="238"/>
      <c r="B651" s="242">
        <v>4300</v>
      </c>
      <c r="C651" s="247" t="s">
        <v>213</v>
      </c>
      <c r="D651" s="244"/>
    </row>
    <row r="652" spans="1:4" ht="12" hidden="1" customHeight="1" outlineLevel="1" x14ac:dyDescent="0.3">
      <c r="A652" s="238"/>
      <c r="B652" s="199">
        <v>5000</v>
      </c>
      <c r="C652" s="200" t="s">
        <v>214</v>
      </c>
      <c r="D652" s="260">
        <v>0</v>
      </c>
    </row>
    <row r="653" spans="1:4" ht="12" hidden="1" customHeight="1" outlineLevel="1" x14ac:dyDescent="0.3">
      <c r="A653" s="238"/>
      <c r="B653" s="242">
        <v>5100</v>
      </c>
      <c r="C653" s="248" t="s">
        <v>215</v>
      </c>
      <c r="D653" s="260"/>
    </row>
    <row r="654" spans="1:4" ht="12" hidden="1" customHeight="1" outlineLevel="1" x14ac:dyDescent="0.3">
      <c r="A654" s="238"/>
      <c r="B654" s="242">
        <v>5200</v>
      </c>
      <c r="C654" s="248" t="s">
        <v>216</v>
      </c>
      <c r="D654" s="260"/>
    </row>
    <row r="655" spans="1:4" ht="12" hidden="1" customHeight="1" outlineLevel="1" x14ac:dyDescent="0.3">
      <c r="A655" s="238"/>
      <c r="B655" s="242">
        <v>5300</v>
      </c>
      <c r="C655" s="249" t="s">
        <v>217</v>
      </c>
      <c r="D655" s="260"/>
    </row>
    <row r="656" spans="1:4" ht="12" hidden="1" customHeight="1" outlineLevel="1" x14ac:dyDescent="0.3">
      <c r="A656" s="238"/>
      <c r="B656" s="199">
        <v>6000</v>
      </c>
      <c r="C656" s="200" t="s">
        <v>218</v>
      </c>
      <c r="D656" s="260">
        <v>0</v>
      </c>
    </row>
    <row r="657" spans="1:4" ht="12" hidden="1" customHeight="1" outlineLevel="1" x14ac:dyDescent="0.3">
      <c r="A657" s="238"/>
      <c r="B657" s="242">
        <v>6200</v>
      </c>
      <c r="C657" s="248" t="s">
        <v>219</v>
      </c>
      <c r="D657" s="244"/>
    </row>
    <row r="658" spans="1:4" ht="12" hidden="1" customHeight="1" outlineLevel="1" x14ac:dyDescent="0.3">
      <c r="A658" s="238"/>
      <c r="B658" s="242">
        <v>6300</v>
      </c>
      <c r="C658" s="248" t="s">
        <v>220</v>
      </c>
      <c r="D658" s="244"/>
    </row>
    <row r="659" spans="1:4" ht="12" hidden="1" customHeight="1" outlineLevel="1" x14ac:dyDescent="0.3">
      <c r="A659" s="238"/>
      <c r="B659" s="242">
        <v>6400</v>
      </c>
      <c r="C659" s="248" t="s">
        <v>221</v>
      </c>
      <c r="D659" s="244"/>
    </row>
    <row r="660" spans="1:4" ht="12" hidden="1" customHeight="1" outlineLevel="1" x14ac:dyDescent="0.3">
      <c r="A660" s="238"/>
      <c r="B660" s="242">
        <v>6500</v>
      </c>
      <c r="C660" s="249" t="s">
        <v>222</v>
      </c>
      <c r="D660" s="244"/>
    </row>
    <row r="661" spans="1:4" ht="12" hidden="1" customHeight="1" outlineLevel="1" x14ac:dyDescent="0.3">
      <c r="A661" s="238"/>
      <c r="B661" s="199">
        <v>7000</v>
      </c>
      <c r="C661" s="200" t="s">
        <v>223</v>
      </c>
      <c r="D661" s="260">
        <v>0</v>
      </c>
    </row>
    <row r="662" spans="1:4" ht="12" hidden="1" customHeight="1" outlineLevel="1" x14ac:dyDescent="0.3">
      <c r="A662" s="238"/>
      <c r="B662" s="250">
        <v>7200</v>
      </c>
      <c r="C662" s="251" t="s">
        <v>224</v>
      </c>
      <c r="D662" s="244"/>
    </row>
    <row r="663" spans="1:4" ht="12" hidden="1" customHeight="1" outlineLevel="1" x14ac:dyDescent="0.3">
      <c r="A663" s="238"/>
      <c r="B663" s="250">
        <v>7500</v>
      </c>
      <c r="C663" s="251" t="s">
        <v>225</v>
      </c>
      <c r="D663" s="244"/>
    </row>
    <row r="664" spans="1:4" ht="12" hidden="1" customHeight="1" outlineLevel="1" x14ac:dyDescent="0.3">
      <c r="A664" s="238"/>
      <c r="B664" s="250">
        <v>7700</v>
      </c>
      <c r="C664" s="251" t="s">
        <v>226</v>
      </c>
      <c r="D664" s="244"/>
    </row>
    <row r="665" spans="1:4" ht="12" hidden="1" customHeight="1" outlineLevel="1" x14ac:dyDescent="0.3">
      <c r="A665" s="238"/>
      <c r="B665" s="252">
        <v>8000</v>
      </c>
      <c r="C665" s="253" t="s">
        <v>227</v>
      </c>
      <c r="D665" s="260">
        <v>0</v>
      </c>
    </row>
    <row r="666" spans="1:4" ht="12" hidden="1" customHeight="1" outlineLevel="1" x14ac:dyDescent="0.3">
      <c r="A666" s="238"/>
      <c r="B666" s="254">
        <v>8100</v>
      </c>
      <c r="C666" s="255" t="s">
        <v>228</v>
      </c>
      <c r="D666" s="260"/>
    </row>
    <row r="667" spans="1:4" ht="12" hidden="1" customHeight="1" outlineLevel="1" x14ac:dyDescent="0.3">
      <c r="A667" s="238"/>
      <c r="B667" s="254">
        <v>8600</v>
      </c>
      <c r="C667" s="255" t="s">
        <v>229</v>
      </c>
      <c r="D667" s="260"/>
    </row>
    <row r="668" spans="1:4" ht="12" hidden="1" customHeight="1" outlineLevel="1" x14ac:dyDescent="0.3">
      <c r="A668" s="238"/>
      <c r="B668" s="254">
        <v>8900</v>
      </c>
      <c r="C668" s="255" t="s">
        <v>230</v>
      </c>
      <c r="D668" s="260"/>
    </row>
    <row r="669" spans="1:4" ht="12" hidden="1" customHeight="1" outlineLevel="1" x14ac:dyDescent="0.3">
      <c r="A669" s="256" t="s">
        <v>266</v>
      </c>
      <c r="B669" s="257"/>
      <c r="C669" s="258" t="s">
        <v>267</v>
      </c>
      <c r="D669" s="259">
        <v>0</v>
      </c>
    </row>
    <row r="670" spans="1:4" ht="12" hidden="1" customHeight="1" outlineLevel="1" x14ac:dyDescent="0.3">
      <c r="A670" s="227"/>
      <c r="B670" s="228"/>
      <c r="C670" s="229" t="s">
        <v>251</v>
      </c>
      <c r="D670" s="230">
        <v>0</v>
      </c>
    </row>
    <row r="671" spans="1:4" ht="12" hidden="1" customHeight="1" outlineLevel="1" x14ac:dyDescent="0.3">
      <c r="A671" s="227"/>
      <c r="B671" s="231">
        <v>1000</v>
      </c>
      <c r="C671" s="232" t="s">
        <v>199</v>
      </c>
      <c r="D671" s="230">
        <v>0</v>
      </c>
    </row>
    <row r="672" spans="1:4" ht="12" hidden="1" customHeight="1" outlineLevel="1" x14ac:dyDescent="0.3">
      <c r="A672" s="227"/>
      <c r="B672" s="234">
        <v>1100</v>
      </c>
      <c r="C672" s="235" t="s">
        <v>200</v>
      </c>
      <c r="D672" s="236"/>
    </row>
    <row r="673" spans="1:4" ht="12" hidden="1" customHeight="1" outlineLevel="1" x14ac:dyDescent="0.3">
      <c r="A673" s="227"/>
      <c r="B673" s="234">
        <v>1200</v>
      </c>
      <c r="C673" s="237" t="s">
        <v>201</v>
      </c>
      <c r="D673" s="236"/>
    </row>
    <row r="674" spans="1:4" ht="12" hidden="1" customHeight="1" outlineLevel="1" x14ac:dyDescent="0.3">
      <c r="A674" s="238"/>
      <c r="B674" s="239">
        <v>2000</v>
      </c>
      <c r="C674" s="240" t="s">
        <v>202</v>
      </c>
      <c r="D674" s="260">
        <v>0</v>
      </c>
    </row>
    <row r="675" spans="1:4" ht="12" hidden="1" customHeight="1" outlineLevel="1" x14ac:dyDescent="0.3">
      <c r="A675" s="238"/>
      <c r="B675" s="242">
        <v>2100</v>
      </c>
      <c r="C675" s="243" t="s">
        <v>203</v>
      </c>
      <c r="D675" s="244"/>
    </row>
    <row r="676" spans="1:4" ht="12" hidden="1" customHeight="1" outlineLevel="1" x14ac:dyDescent="0.3">
      <c r="A676" s="238"/>
      <c r="B676" s="242">
        <v>2200</v>
      </c>
      <c r="C676" s="243" t="s">
        <v>204</v>
      </c>
      <c r="D676" s="244"/>
    </row>
    <row r="677" spans="1:4" ht="12" hidden="1" customHeight="1" outlineLevel="1" x14ac:dyDescent="0.3">
      <c r="A677" s="238"/>
      <c r="B677" s="242">
        <v>2300</v>
      </c>
      <c r="C677" s="243" t="s">
        <v>205</v>
      </c>
      <c r="D677" s="244"/>
    </row>
    <row r="678" spans="1:4" ht="12" hidden="1" customHeight="1" outlineLevel="1" x14ac:dyDescent="0.3">
      <c r="A678" s="238"/>
      <c r="B678" s="242">
        <v>2400</v>
      </c>
      <c r="C678" s="243" t="s">
        <v>206</v>
      </c>
      <c r="D678" s="244"/>
    </row>
    <row r="679" spans="1:4" ht="12" hidden="1" customHeight="1" outlineLevel="1" x14ac:dyDescent="0.3">
      <c r="A679" s="238"/>
      <c r="B679" s="242">
        <v>2500</v>
      </c>
      <c r="C679" s="243" t="s">
        <v>207</v>
      </c>
      <c r="D679" s="244"/>
    </row>
    <row r="680" spans="1:4" ht="12" hidden="1" customHeight="1" outlineLevel="1" x14ac:dyDescent="0.3">
      <c r="A680" s="238"/>
      <c r="B680" s="199">
        <v>3000</v>
      </c>
      <c r="C680" s="245" t="s">
        <v>208</v>
      </c>
      <c r="D680" s="260">
        <v>0</v>
      </c>
    </row>
    <row r="681" spans="1:4" ht="12" hidden="1" customHeight="1" outlineLevel="1" x14ac:dyDescent="0.3">
      <c r="A681" s="238"/>
      <c r="B681" s="242">
        <v>3200</v>
      </c>
      <c r="C681" s="243" t="s">
        <v>209</v>
      </c>
      <c r="D681" s="244"/>
    </row>
    <row r="682" spans="1:4" ht="12" hidden="1" customHeight="1" outlineLevel="1" x14ac:dyDescent="0.3">
      <c r="A682" s="238"/>
      <c r="B682" s="242">
        <v>3300</v>
      </c>
      <c r="C682" s="243" t="s">
        <v>210</v>
      </c>
      <c r="D682" s="244"/>
    </row>
    <row r="683" spans="1:4" ht="12" hidden="1" customHeight="1" outlineLevel="1" x14ac:dyDescent="0.3">
      <c r="A683" s="238"/>
      <c r="B683" s="199">
        <v>4000</v>
      </c>
      <c r="C683" s="246" t="s">
        <v>211</v>
      </c>
      <c r="D683" s="260">
        <v>0</v>
      </c>
    </row>
    <row r="684" spans="1:4" ht="12" hidden="1" customHeight="1" outlineLevel="1" x14ac:dyDescent="0.3">
      <c r="A684" s="238"/>
      <c r="B684" s="242">
        <v>4200</v>
      </c>
      <c r="C684" s="247" t="s">
        <v>212</v>
      </c>
      <c r="D684" s="244"/>
    </row>
    <row r="685" spans="1:4" ht="12" hidden="1" customHeight="1" outlineLevel="1" x14ac:dyDescent="0.3">
      <c r="A685" s="238"/>
      <c r="B685" s="242">
        <v>4300</v>
      </c>
      <c r="C685" s="247" t="s">
        <v>213</v>
      </c>
      <c r="D685" s="244"/>
    </row>
    <row r="686" spans="1:4" ht="12" hidden="1" customHeight="1" outlineLevel="1" x14ac:dyDescent="0.3">
      <c r="A686" s="238"/>
      <c r="B686" s="199">
        <v>5000</v>
      </c>
      <c r="C686" s="200" t="s">
        <v>214</v>
      </c>
      <c r="D686" s="260">
        <v>0</v>
      </c>
    </row>
    <row r="687" spans="1:4" ht="12" hidden="1" customHeight="1" outlineLevel="1" x14ac:dyDescent="0.3">
      <c r="A687" s="238"/>
      <c r="B687" s="242">
        <v>5100</v>
      </c>
      <c r="C687" s="248" t="s">
        <v>215</v>
      </c>
      <c r="D687" s="244"/>
    </row>
    <row r="688" spans="1:4" ht="12" hidden="1" customHeight="1" outlineLevel="1" x14ac:dyDescent="0.3">
      <c r="A688" s="238"/>
      <c r="B688" s="242">
        <v>5200</v>
      </c>
      <c r="C688" s="248" t="s">
        <v>216</v>
      </c>
      <c r="D688" s="244"/>
    </row>
    <row r="689" spans="1:4" ht="12" hidden="1" customHeight="1" outlineLevel="1" x14ac:dyDescent="0.3">
      <c r="A689" s="238"/>
      <c r="B689" s="242">
        <v>5300</v>
      </c>
      <c r="C689" s="249" t="s">
        <v>217</v>
      </c>
      <c r="D689" s="244"/>
    </row>
    <row r="690" spans="1:4" ht="12" hidden="1" customHeight="1" outlineLevel="1" x14ac:dyDescent="0.3">
      <c r="A690" s="238"/>
      <c r="B690" s="199">
        <v>6000</v>
      </c>
      <c r="C690" s="200" t="s">
        <v>218</v>
      </c>
      <c r="D690" s="260">
        <v>0</v>
      </c>
    </row>
    <row r="691" spans="1:4" ht="12" hidden="1" customHeight="1" outlineLevel="1" x14ac:dyDescent="0.3">
      <c r="A691" s="238"/>
      <c r="B691" s="242">
        <v>6200</v>
      </c>
      <c r="C691" s="248" t="s">
        <v>219</v>
      </c>
      <c r="D691" s="244"/>
    </row>
    <row r="692" spans="1:4" ht="12" hidden="1" customHeight="1" outlineLevel="1" x14ac:dyDescent="0.3">
      <c r="A692" s="238"/>
      <c r="B692" s="242">
        <v>6300</v>
      </c>
      <c r="C692" s="248" t="s">
        <v>220</v>
      </c>
      <c r="D692" s="244"/>
    </row>
    <row r="693" spans="1:4" ht="12" hidden="1" customHeight="1" outlineLevel="1" x14ac:dyDescent="0.3">
      <c r="A693" s="238"/>
      <c r="B693" s="242">
        <v>6400</v>
      </c>
      <c r="C693" s="248" t="s">
        <v>221</v>
      </c>
      <c r="D693" s="244"/>
    </row>
    <row r="694" spans="1:4" ht="12" hidden="1" customHeight="1" outlineLevel="1" x14ac:dyDescent="0.3">
      <c r="A694" s="238"/>
      <c r="B694" s="242">
        <v>6500</v>
      </c>
      <c r="C694" s="249" t="s">
        <v>222</v>
      </c>
      <c r="D694" s="244"/>
    </row>
    <row r="695" spans="1:4" ht="12" hidden="1" customHeight="1" outlineLevel="1" x14ac:dyDescent="0.3">
      <c r="A695" s="238"/>
      <c r="B695" s="199">
        <v>7000</v>
      </c>
      <c r="C695" s="200" t="s">
        <v>223</v>
      </c>
      <c r="D695" s="260">
        <v>0</v>
      </c>
    </row>
    <row r="696" spans="1:4" ht="12" hidden="1" customHeight="1" outlineLevel="1" x14ac:dyDescent="0.3">
      <c r="A696" s="238"/>
      <c r="B696" s="250">
        <v>7200</v>
      </c>
      <c r="C696" s="251" t="s">
        <v>224</v>
      </c>
      <c r="D696" s="244"/>
    </row>
    <row r="697" spans="1:4" ht="12" hidden="1" customHeight="1" outlineLevel="1" x14ac:dyDescent="0.3">
      <c r="A697" s="238"/>
      <c r="B697" s="250">
        <v>7500</v>
      </c>
      <c r="C697" s="251" t="s">
        <v>225</v>
      </c>
      <c r="D697" s="244"/>
    </row>
    <row r="698" spans="1:4" ht="12" hidden="1" customHeight="1" outlineLevel="1" x14ac:dyDescent="0.3">
      <c r="A698" s="238"/>
      <c r="B698" s="250">
        <v>7700</v>
      </c>
      <c r="C698" s="251" t="s">
        <v>226</v>
      </c>
      <c r="D698" s="244"/>
    </row>
    <row r="699" spans="1:4" ht="12" hidden="1" customHeight="1" outlineLevel="1" x14ac:dyDescent="0.3">
      <c r="A699" s="238"/>
      <c r="B699" s="252">
        <v>8000</v>
      </c>
      <c r="C699" s="253" t="s">
        <v>227</v>
      </c>
      <c r="D699" s="260">
        <v>0</v>
      </c>
    </row>
    <row r="700" spans="1:4" ht="12" hidden="1" customHeight="1" outlineLevel="1" x14ac:dyDescent="0.3">
      <c r="A700" s="238"/>
      <c r="B700" s="254">
        <v>8100</v>
      </c>
      <c r="C700" s="255" t="s">
        <v>228</v>
      </c>
      <c r="D700" s="260"/>
    </row>
    <row r="701" spans="1:4" ht="12" hidden="1" customHeight="1" outlineLevel="1" x14ac:dyDescent="0.3">
      <c r="A701" s="238"/>
      <c r="B701" s="254">
        <v>8600</v>
      </c>
      <c r="C701" s="255" t="s">
        <v>229</v>
      </c>
      <c r="D701" s="260"/>
    </row>
    <row r="702" spans="1:4" ht="12" hidden="1" customHeight="1" outlineLevel="1" x14ac:dyDescent="0.3">
      <c r="A702" s="238"/>
      <c r="B702" s="254">
        <v>8900</v>
      </c>
      <c r="C702" s="255" t="s">
        <v>230</v>
      </c>
      <c r="D702" s="260"/>
    </row>
    <row r="703" spans="1:4" ht="12" hidden="1" customHeight="1" outlineLevel="1" x14ac:dyDescent="0.3">
      <c r="A703" s="256" t="s">
        <v>268</v>
      </c>
      <c r="B703" s="257"/>
      <c r="C703" s="258" t="s">
        <v>269</v>
      </c>
      <c r="D703" s="259">
        <v>0</v>
      </c>
    </row>
    <row r="704" spans="1:4" ht="12" hidden="1" customHeight="1" outlineLevel="1" x14ac:dyDescent="0.3">
      <c r="A704" s="227"/>
      <c r="B704" s="228"/>
      <c r="C704" s="229" t="s">
        <v>198</v>
      </c>
      <c r="D704" s="230">
        <v>0</v>
      </c>
    </row>
    <row r="705" spans="1:4" ht="12" hidden="1" customHeight="1" outlineLevel="1" x14ac:dyDescent="0.3">
      <c r="A705" s="227"/>
      <c r="B705" s="231">
        <v>1000</v>
      </c>
      <c r="C705" s="232" t="s">
        <v>199</v>
      </c>
      <c r="D705" s="230">
        <v>0</v>
      </c>
    </row>
    <row r="706" spans="1:4" ht="12" hidden="1" customHeight="1" outlineLevel="1" x14ac:dyDescent="0.3">
      <c r="A706" s="227"/>
      <c r="B706" s="234">
        <v>1100</v>
      </c>
      <c r="C706" s="235" t="s">
        <v>200</v>
      </c>
      <c r="D706" s="236"/>
    </row>
    <row r="707" spans="1:4" ht="12" hidden="1" customHeight="1" outlineLevel="1" x14ac:dyDescent="0.3">
      <c r="A707" s="227"/>
      <c r="B707" s="234">
        <v>1200</v>
      </c>
      <c r="C707" s="237" t="s">
        <v>201</v>
      </c>
      <c r="D707" s="236"/>
    </row>
    <row r="708" spans="1:4" ht="12" hidden="1" customHeight="1" outlineLevel="1" x14ac:dyDescent="0.3">
      <c r="A708" s="238"/>
      <c r="B708" s="239">
        <v>2000</v>
      </c>
      <c r="C708" s="240" t="s">
        <v>202</v>
      </c>
      <c r="D708" s="260">
        <v>0</v>
      </c>
    </row>
    <row r="709" spans="1:4" ht="12" hidden="1" customHeight="1" outlineLevel="1" x14ac:dyDescent="0.3">
      <c r="A709" s="238"/>
      <c r="B709" s="242">
        <v>2100</v>
      </c>
      <c r="C709" s="243" t="s">
        <v>203</v>
      </c>
      <c r="D709" s="244"/>
    </row>
    <row r="710" spans="1:4" ht="12" hidden="1" customHeight="1" outlineLevel="1" x14ac:dyDescent="0.3">
      <c r="A710" s="238"/>
      <c r="B710" s="242">
        <v>2200</v>
      </c>
      <c r="C710" s="243" t="s">
        <v>204</v>
      </c>
      <c r="D710" s="244"/>
    </row>
    <row r="711" spans="1:4" ht="12" hidden="1" customHeight="1" outlineLevel="1" x14ac:dyDescent="0.3">
      <c r="A711" s="238"/>
      <c r="B711" s="242">
        <v>2300</v>
      </c>
      <c r="C711" s="243" t="s">
        <v>205</v>
      </c>
      <c r="D711" s="244"/>
    </row>
    <row r="712" spans="1:4" ht="12" hidden="1" customHeight="1" outlineLevel="1" x14ac:dyDescent="0.3">
      <c r="A712" s="238"/>
      <c r="B712" s="242">
        <v>2400</v>
      </c>
      <c r="C712" s="243" t="s">
        <v>206</v>
      </c>
      <c r="D712" s="244"/>
    </row>
    <row r="713" spans="1:4" ht="12" hidden="1" customHeight="1" outlineLevel="1" x14ac:dyDescent="0.3">
      <c r="A713" s="238"/>
      <c r="B713" s="242">
        <v>2500</v>
      </c>
      <c r="C713" s="243" t="s">
        <v>207</v>
      </c>
      <c r="D713" s="244"/>
    </row>
    <row r="714" spans="1:4" ht="12" hidden="1" customHeight="1" outlineLevel="1" x14ac:dyDescent="0.3">
      <c r="A714" s="238"/>
      <c r="B714" s="199">
        <v>3000</v>
      </c>
      <c r="C714" s="245" t="s">
        <v>208</v>
      </c>
      <c r="D714" s="260">
        <v>0</v>
      </c>
    </row>
    <row r="715" spans="1:4" ht="12" hidden="1" customHeight="1" outlineLevel="1" x14ac:dyDescent="0.3">
      <c r="A715" s="238"/>
      <c r="B715" s="242">
        <v>3200</v>
      </c>
      <c r="C715" s="243" t="s">
        <v>209</v>
      </c>
      <c r="D715" s="244"/>
    </row>
    <row r="716" spans="1:4" ht="12" hidden="1" customHeight="1" outlineLevel="1" x14ac:dyDescent="0.3">
      <c r="A716" s="238"/>
      <c r="B716" s="242">
        <v>3300</v>
      </c>
      <c r="C716" s="243" t="s">
        <v>210</v>
      </c>
      <c r="D716" s="244"/>
    </row>
    <row r="717" spans="1:4" ht="12" hidden="1" customHeight="1" outlineLevel="1" x14ac:dyDescent="0.3">
      <c r="A717" s="238"/>
      <c r="B717" s="199">
        <v>4000</v>
      </c>
      <c r="C717" s="246" t="s">
        <v>211</v>
      </c>
      <c r="D717" s="260">
        <v>0</v>
      </c>
    </row>
    <row r="718" spans="1:4" ht="12" hidden="1" customHeight="1" outlineLevel="1" x14ac:dyDescent="0.3">
      <c r="A718" s="238"/>
      <c r="B718" s="242">
        <v>4200</v>
      </c>
      <c r="C718" s="247" t="s">
        <v>212</v>
      </c>
      <c r="D718" s="244"/>
    </row>
    <row r="719" spans="1:4" ht="12" hidden="1" customHeight="1" outlineLevel="1" x14ac:dyDescent="0.3">
      <c r="A719" s="238"/>
      <c r="B719" s="242">
        <v>4300</v>
      </c>
      <c r="C719" s="247" t="s">
        <v>213</v>
      </c>
      <c r="D719" s="244"/>
    </row>
    <row r="720" spans="1:4" ht="12" hidden="1" customHeight="1" outlineLevel="1" x14ac:dyDescent="0.3">
      <c r="A720" s="238"/>
      <c r="B720" s="199">
        <v>5000</v>
      </c>
      <c r="C720" s="200" t="s">
        <v>214</v>
      </c>
      <c r="D720" s="260">
        <v>0</v>
      </c>
    </row>
    <row r="721" spans="1:4" ht="12" hidden="1" customHeight="1" outlineLevel="1" x14ac:dyDescent="0.3">
      <c r="A721" s="238"/>
      <c r="B721" s="242">
        <v>5100</v>
      </c>
      <c r="C721" s="248" t="s">
        <v>215</v>
      </c>
      <c r="D721" s="260"/>
    </row>
    <row r="722" spans="1:4" ht="12" hidden="1" customHeight="1" outlineLevel="1" x14ac:dyDescent="0.3">
      <c r="A722" s="238"/>
      <c r="B722" s="242">
        <v>5200</v>
      </c>
      <c r="C722" s="248" t="s">
        <v>216</v>
      </c>
      <c r="D722" s="260"/>
    </row>
    <row r="723" spans="1:4" ht="12" hidden="1" customHeight="1" outlineLevel="1" x14ac:dyDescent="0.3">
      <c r="A723" s="238"/>
      <c r="B723" s="242">
        <v>5300</v>
      </c>
      <c r="C723" s="249" t="s">
        <v>217</v>
      </c>
      <c r="D723" s="260"/>
    </row>
    <row r="724" spans="1:4" ht="12" hidden="1" customHeight="1" outlineLevel="1" x14ac:dyDescent="0.3">
      <c r="A724" s="238"/>
      <c r="B724" s="199">
        <v>6000</v>
      </c>
      <c r="C724" s="200" t="s">
        <v>218</v>
      </c>
      <c r="D724" s="260">
        <v>0</v>
      </c>
    </row>
    <row r="725" spans="1:4" ht="12" hidden="1" customHeight="1" outlineLevel="1" x14ac:dyDescent="0.3">
      <c r="A725" s="238"/>
      <c r="B725" s="242">
        <v>6200</v>
      </c>
      <c r="C725" s="248" t="s">
        <v>219</v>
      </c>
      <c r="D725" s="244"/>
    </row>
    <row r="726" spans="1:4" ht="12" hidden="1" customHeight="1" outlineLevel="1" x14ac:dyDescent="0.3">
      <c r="A726" s="238"/>
      <c r="B726" s="242">
        <v>6300</v>
      </c>
      <c r="C726" s="248" t="s">
        <v>220</v>
      </c>
      <c r="D726" s="244"/>
    </row>
    <row r="727" spans="1:4" ht="12" hidden="1" customHeight="1" outlineLevel="1" x14ac:dyDescent="0.3">
      <c r="A727" s="238"/>
      <c r="B727" s="242">
        <v>6400</v>
      </c>
      <c r="C727" s="248" t="s">
        <v>221</v>
      </c>
      <c r="D727" s="244"/>
    </row>
    <row r="728" spans="1:4" ht="12" hidden="1" customHeight="1" outlineLevel="1" x14ac:dyDescent="0.3">
      <c r="A728" s="238"/>
      <c r="B728" s="242">
        <v>6500</v>
      </c>
      <c r="C728" s="249" t="s">
        <v>222</v>
      </c>
      <c r="D728" s="244"/>
    </row>
    <row r="729" spans="1:4" ht="12" hidden="1" customHeight="1" outlineLevel="1" x14ac:dyDescent="0.3">
      <c r="A729" s="238"/>
      <c r="B729" s="199">
        <v>7000</v>
      </c>
      <c r="C729" s="200" t="s">
        <v>223</v>
      </c>
      <c r="D729" s="260">
        <v>0</v>
      </c>
    </row>
    <row r="730" spans="1:4" ht="12" hidden="1" customHeight="1" outlineLevel="1" x14ac:dyDescent="0.3">
      <c r="A730" s="238"/>
      <c r="B730" s="250">
        <v>7200</v>
      </c>
      <c r="C730" s="251" t="s">
        <v>224</v>
      </c>
      <c r="D730" s="244"/>
    </row>
    <row r="731" spans="1:4" ht="12" hidden="1" customHeight="1" outlineLevel="1" x14ac:dyDescent="0.3">
      <c r="A731" s="238"/>
      <c r="B731" s="250">
        <v>7500</v>
      </c>
      <c r="C731" s="251" t="s">
        <v>225</v>
      </c>
      <c r="D731" s="244"/>
    </row>
    <row r="732" spans="1:4" ht="12" hidden="1" customHeight="1" outlineLevel="1" x14ac:dyDescent="0.3">
      <c r="A732" s="238"/>
      <c r="B732" s="250">
        <v>7700</v>
      </c>
      <c r="C732" s="251" t="s">
        <v>226</v>
      </c>
      <c r="D732" s="244"/>
    </row>
    <row r="733" spans="1:4" ht="12" hidden="1" customHeight="1" outlineLevel="1" x14ac:dyDescent="0.3">
      <c r="A733" s="238"/>
      <c r="B733" s="252">
        <v>8000</v>
      </c>
      <c r="C733" s="253" t="s">
        <v>227</v>
      </c>
      <c r="D733" s="260">
        <v>0</v>
      </c>
    </row>
    <row r="734" spans="1:4" ht="12" hidden="1" customHeight="1" outlineLevel="1" x14ac:dyDescent="0.3">
      <c r="A734" s="238"/>
      <c r="B734" s="254">
        <v>8100</v>
      </c>
      <c r="C734" s="255" t="s">
        <v>228</v>
      </c>
      <c r="D734" s="260"/>
    </row>
    <row r="735" spans="1:4" ht="12" hidden="1" customHeight="1" outlineLevel="1" x14ac:dyDescent="0.3">
      <c r="A735" s="238"/>
      <c r="B735" s="254">
        <v>8600</v>
      </c>
      <c r="C735" s="255" t="s">
        <v>229</v>
      </c>
      <c r="D735" s="260"/>
    </row>
    <row r="736" spans="1:4" ht="12" hidden="1" customHeight="1" outlineLevel="1" x14ac:dyDescent="0.3">
      <c r="A736" s="238"/>
      <c r="B736" s="254">
        <v>8900</v>
      </c>
      <c r="C736" s="255" t="s">
        <v>230</v>
      </c>
      <c r="D736" s="260"/>
    </row>
    <row r="737" spans="1:4" ht="12" hidden="1" customHeight="1" outlineLevel="1" x14ac:dyDescent="0.3">
      <c r="A737" s="256" t="s">
        <v>270</v>
      </c>
      <c r="B737" s="257"/>
      <c r="C737" s="258" t="s">
        <v>271</v>
      </c>
      <c r="D737" s="259">
        <v>0</v>
      </c>
    </row>
    <row r="738" spans="1:4" ht="12" hidden="1" customHeight="1" outlineLevel="1" x14ac:dyDescent="0.3">
      <c r="A738" s="227"/>
      <c r="B738" s="228"/>
      <c r="C738" s="229" t="s">
        <v>198</v>
      </c>
      <c r="D738" s="230">
        <v>0</v>
      </c>
    </row>
    <row r="739" spans="1:4" ht="12" hidden="1" customHeight="1" outlineLevel="1" x14ac:dyDescent="0.3">
      <c r="A739" s="227"/>
      <c r="B739" s="231">
        <v>1000</v>
      </c>
      <c r="C739" s="232" t="s">
        <v>199</v>
      </c>
      <c r="D739" s="230">
        <v>0</v>
      </c>
    </row>
    <row r="740" spans="1:4" ht="12" hidden="1" customHeight="1" outlineLevel="1" x14ac:dyDescent="0.3">
      <c r="A740" s="227"/>
      <c r="B740" s="234">
        <v>1100</v>
      </c>
      <c r="C740" s="235" t="s">
        <v>200</v>
      </c>
      <c r="D740" s="236"/>
    </row>
    <row r="741" spans="1:4" ht="12" hidden="1" customHeight="1" outlineLevel="1" x14ac:dyDescent="0.3">
      <c r="A741" s="227"/>
      <c r="B741" s="234">
        <v>1200</v>
      </c>
      <c r="C741" s="237" t="s">
        <v>201</v>
      </c>
      <c r="D741" s="236"/>
    </row>
    <row r="742" spans="1:4" ht="12" hidden="1" customHeight="1" outlineLevel="1" x14ac:dyDescent="0.3">
      <c r="A742" s="238"/>
      <c r="B742" s="239">
        <v>2000</v>
      </c>
      <c r="C742" s="240" t="s">
        <v>202</v>
      </c>
      <c r="D742" s="260">
        <v>0</v>
      </c>
    </row>
    <row r="743" spans="1:4" ht="12" hidden="1" customHeight="1" outlineLevel="1" x14ac:dyDescent="0.3">
      <c r="A743" s="238"/>
      <c r="B743" s="242">
        <v>2100</v>
      </c>
      <c r="C743" s="243" t="s">
        <v>203</v>
      </c>
      <c r="D743" s="244"/>
    </row>
    <row r="744" spans="1:4" ht="12" hidden="1" customHeight="1" outlineLevel="1" x14ac:dyDescent="0.3">
      <c r="A744" s="238"/>
      <c r="B744" s="242">
        <v>2200</v>
      </c>
      <c r="C744" s="243" t="s">
        <v>204</v>
      </c>
      <c r="D744" s="244"/>
    </row>
    <row r="745" spans="1:4" ht="12" hidden="1" customHeight="1" outlineLevel="1" x14ac:dyDescent="0.3">
      <c r="A745" s="238"/>
      <c r="B745" s="242">
        <v>2300</v>
      </c>
      <c r="C745" s="243" t="s">
        <v>205</v>
      </c>
      <c r="D745" s="244"/>
    </row>
    <row r="746" spans="1:4" ht="12" hidden="1" customHeight="1" outlineLevel="1" x14ac:dyDescent="0.3">
      <c r="A746" s="238"/>
      <c r="B746" s="242">
        <v>2400</v>
      </c>
      <c r="C746" s="243" t="s">
        <v>206</v>
      </c>
      <c r="D746" s="244"/>
    </row>
    <row r="747" spans="1:4" ht="12" hidden="1" customHeight="1" outlineLevel="1" x14ac:dyDescent="0.3">
      <c r="A747" s="238"/>
      <c r="B747" s="242">
        <v>2500</v>
      </c>
      <c r="C747" s="243" t="s">
        <v>207</v>
      </c>
      <c r="D747" s="244"/>
    </row>
    <row r="748" spans="1:4" ht="12" hidden="1" customHeight="1" outlineLevel="1" x14ac:dyDescent="0.3">
      <c r="A748" s="238"/>
      <c r="B748" s="199">
        <v>3000</v>
      </c>
      <c r="C748" s="245" t="s">
        <v>208</v>
      </c>
      <c r="D748" s="260">
        <v>0</v>
      </c>
    </row>
    <row r="749" spans="1:4" ht="12" hidden="1" customHeight="1" outlineLevel="1" x14ac:dyDescent="0.3">
      <c r="A749" s="238"/>
      <c r="B749" s="242">
        <v>3200</v>
      </c>
      <c r="C749" s="243" t="s">
        <v>209</v>
      </c>
      <c r="D749" s="244"/>
    </row>
    <row r="750" spans="1:4" ht="12" hidden="1" customHeight="1" outlineLevel="1" x14ac:dyDescent="0.3">
      <c r="A750" s="238"/>
      <c r="B750" s="242">
        <v>3300</v>
      </c>
      <c r="C750" s="243" t="s">
        <v>210</v>
      </c>
      <c r="D750" s="244"/>
    </row>
    <row r="751" spans="1:4" ht="12" hidden="1" customHeight="1" outlineLevel="1" x14ac:dyDescent="0.3">
      <c r="A751" s="238"/>
      <c r="B751" s="199">
        <v>4000</v>
      </c>
      <c r="C751" s="246" t="s">
        <v>211</v>
      </c>
      <c r="D751" s="260">
        <v>0</v>
      </c>
    </row>
    <row r="752" spans="1:4" ht="12" hidden="1" customHeight="1" outlineLevel="1" x14ac:dyDescent="0.3">
      <c r="A752" s="238"/>
      <c r="B752" s="242">
        <v>4200</v>
      </c>
      <c r="C752" s="247" t="s">
        <v>212</v>
      </c>
      <c r="D752" s="244"/>
    </row>
    <row r="753" spans="1:4" ht="12" hidden="1" customHeight="1" outlineLevel="1" x14ac:dyDescent="0.3">
      <c r="A753" s="238"/>
      <c r="B753" s="242">
        <v>4300</v>
      </c>
      <c r="C753" s="247" t="s">
        <v>213</v>
      </c>
      <c r="D753" s="244"/>
    </row>
    <row r="754" spans="1:4" ht="12" hidden="1" customHeight="1" outlineLevel="1" x14ac:dyDescent="0.3">
      <c r="A754" s="238"/>
      <c r="B754" s="199">
        <v>5000</v>
      </c>
      <c r="C754" s="200" t="s">
        <v>214</v>
      </c>
      <c r="D754" s="260">
        <v>0</v>
      </c>
    </row>
    <row r="755" spans="1:4" ht="12" hidden="1" customHeight="1" outlineLevel="1" x14ac:dyDescent="0.3">
      <c r="A755" s="238"/>
      <c r="B755" s="242">
        <v>5100</v>
      </c>
      <c r="C755" s="248" t="s">
        <v>215</v>
      </c>
      <c r="D755" s="260"/>
    </row>
    <row r="756" spans="1:4" ht="12" hidden="1" customHeight="1" outlineLevel="1" x14ac:dyDescent="0.3">
      <c r="A756" s="238"/>
      <c r="B756" s="242">
        <v>5200</v>
      </c>
      <c r="C756" s="248" t="s">
        <v>216</v>
      </c>
      <c r="D756" s="244"/>
    </row>
    <row r="757" spans="1:4" ht="12" hidden="1" customHeight="1" outlineLevel="1" x14ac:dyDescent="0.3">
      <c r="A757" s="238"/>
      <c r="B757" s="242">
        <v>5300</v>
      </c>
      <c r="C757" s="249" t="s">
        <v>217</v>
      </c>
      <c r="D757" s="260"/>
    </row>
    <row r="758" spans="1:4" ht="12" hidden="1" customHeight="1" outlineLevel="1" x14ac:dyDescent="0.3">
      <c r="A758" s="238"/>
      <c r="B758" s="199">
        <v>6000</v>
      </c>
      <c r="C758" s="200" t="s">
        <v>218</v>
      </c>
      <c r="D758" s="260">
        <v>0</v>
      </c>
    </row>
    <row r="759" spans="1:4" ht="12" hidden="1" customHeight="1" outlineLevel="1" x14ac:dyDescent="0.3">
      <c r="A759" s="238"/>
      <c r="B759" s="242">
        <v>6200</v>
      </c>
      <c r="C759" s="248" t="s">
        <v>219</v>
      </c>
      <c r="D759" s="244"/>
    </row>
    <row r="760" spans="1:4" ht="12" hidden="1" customHeight="1" outlineLevel="1" x14ac:dyDescent="0.3">
      <c r="A760" s="238"/>
      <c r="B760" s="242">
        <v>6300</v>
      </c>
      <c r="C760" s="248" t="s">
        <v>220</v>
      </c>
      <c r="D760" s="244"/>
    </row>
    <row r="761" spans="1:4" ht="12" hidden="1" customHeight="1" outlineLevel="1" x14ac:dyDescent="0.3">
      <c r="A761" s="238"/>
      <c r="B761" s="242">
        <v>6400</v>
      </c>
      <c r="C761" s="248" t="s">
        <v>221</v>
      </c>
      <c r="D761" s="244"/>
    </row>
    <row r="762" spans="1:4" ht="12" hidden="1" customHeight="1" outlineLevel="1" x14ac:dyDescent="0.3">
      <c r="A762" s="238"/>
      <c r="B762" s="242">
        <v>6500</v>
      </c>
      <c r="C762" s="249" t="s">
        <v>222</v>
      </c>
      <c r="D762" s="244"/>
    </row>
    <row r="763" spans="1:4" ht="12" hidden="1" customHeight="1" outlineLevel="1" x14ac:dyDescent="0.3">
      <c r="A763" s="238"/>
      <c r="B763" s="199">
        <v>7000</v>
      </c>
      <c r="C763" s="200" t="s">
        <v>223</v>
      </c>
      <c r="D763" s="260">
        <v>0</v>
      </c>
    </row>
    <row r="764" spans="1:4" ht="12" hidden="1" customHeight="1" outlineLevel="1" x14ac:dyDescent="0.3">
      <c r="A764" s="238"/>
      <c r="B764" s="250">
        <v>7200</v>
      </c>
      <c r="C764" s="251" t="s">
        <v>224</v>
      </c>
      <c r="D764" s="244"/>
    </row>
    <row r="765" spans="1:4" ht="12" hidden="1" customHeight="1" outlineLevel="1" x14ac:dyDescent="0.3">
      <c r="A765" s="238"/>
      <c r="B765" s="250">
        <v>7500</v>
      </c>
      <c r="C765" s="251" t="s">
        <v>225</v>
      </c>
      <c r="D765" s="244"/>
    </row>
    <row r="766" spans="1:4" ht="12" hidden="1" customHeight="1" outlineLevel="1" x14ac:dyDescent="0.3">
      <c r="A766" s="238"/>
      <c r="B766" s="250">
        <v>7700</v>
      </c>
      <c r="C766" s="251" t="s">
        <v>226</v>
      </c>
      <c r="D766" s="244"/>
    </row>
    <row r="767" spans="1:4" ht="12" hidden="1" customHeight="1" outlineLevel="1" x14ac:dyDescent="0.3">
      <c r="A767" s="238"/>
      <c r="B767" s="252">
        <v>8000</v>
      </c>
      <c r="C767" s="253" t="s">
        <v>227</v>
      </c>
      <c r="D767" s="260">
        <v>0</v>
      </c>
    </row>
    <row r="768" spans="1:4" ht="12" hidden="1" customHeight="1" outlineLevel="1" x14ac:dyDescent="0.3">
      <c r="A768" s="238"/>
      <c r="B768" s="254">
        <v>8100</v>
      </c>
      <c r="C768" s="255" t="s">
        <v>228</v>
      </c>
      <c r="D768" s="260"/>
    </row>
    <row r="769" spans="1:4" ht="12" hidden="1" customHeight="1" outlineLevel="1" x14ac:dyDescent="0.3">
      <c r="A769" s="238"/>
      <c r="B769" s="254">
        <v>8600</v>
      </c>
      <c r="C769" s="255" t="s">
        <v>229</v>
      </c>
      <c r="D769" s="260"/>
    </row>
    <row r="770" spans="1:4" ht="12" hidden="1" customHeight="1" outlineLevel="1" x14ac:dyDescent="0.3">
      <c r="A770" s="238"/>
      <c r="B770" s="254">
        <v>8900</v>
      </c>
      <c r="C770" s="255" t="s">
        <v>230</v>
      </c>
      <c r="D770" s="260"/>
    </row>
    <row r="771" spans="1:4" ht="12" hidden="1" customHeight="1" outlineLevel="1" x14ac:dyDescent="0.3">
      <c r="A771" s="256" t="s">
        <v>272</v>
      </c>
      <c r="B771" s="257"/>
      <c r="C771" s="258" t="s">
        <v>273</v>
      </c>
      <c r="D771" s="259">
        <v>0</v>
      </c>
    </row>
    <row r="772" spans="1:4" ht="12" hidden="1" customHeight="1" outlineLevel="1" x14ac:dyDescent="0.3">
      <c r="A772" s="227"/>
      <c r="B772" s="228"/>
      <c r="C772" s="229" t="s">
        <v>198</v>
      </c>
      <c r="D772" s="230">
        <v>0</v>
      </c>
    </row>
    <row r="773" spans="1:4" ht="12" hidden="1" customHeight="1" outlineLevel="1" x14ac:dyDescent="0.3">
      <c r="A773" s="227"/>
      <c r="B773" s="231">
        <v>1000</v>
      </c>
      <c r="C773" s="232" t="s">
        <v>199</v>
      </c>
      <c r="D773" s="233">
        <v>0</v>
      </c>
    </row>
    <row r="774" spans="1:4" ht="12" hidden="1" customHeight="1" outlineLevel="1" x14ac:dyDescent="0.3">
      <c r="A774" s="227"/>
      <c r="B774" s="234">
        <v>1100</v>
      </c>
      <c r="C774" s="235" t="s">
        <v>200</v>
      </c>
      <c r="D774" s="236">
        <v>0</v>
      </c>
    </row>
    <row r="775" spans="1:4" ht="12" hidden="1" customHeight="1" outlineLevel="1" x14ac:dyDescent="0.3">
      <c r="A775" s="227"/>
      <c r="B775" s="234">
        <v>1200</v>
      </c>
      <c r="C775" s="237" t="s">
        <v>201</v>
      </c>
      <c r="D775" s="236">
        <v>0</v>
      </c>
    </row>
    <row r="776" spans="1:4" ht="12" hidden="1" customHeight="1" outlineLevel="1" x14ac:dyDescent="0.3">
      <c r="A776" s="238"/>
      <c r="B776" s="239">
        <v>2000</v>
      </c>
      <c r="C776" s="240" t="s">
        <v>202</v>
      </c>
      <c r="D776" s="241">
        <v>0</v>
      </c>
    </row>
    <row r="777" spans="1:4" ht="12" hidden="1" customHeight="1" outlineLevel="1" x14ac:dyDescent="0.3">
      <c r="A777" s="238"/>
      <c r="B777" s="242">
        <v>2100</v>
      </c>
      <c r="C777" s="243" t="s">
        <v>203</v>
      </c>
      <c r="D777" s="244">
        <v>0</v>
      </c>
    </row>
    <row r="778" spans="1:4" ht="12" hidden="1" customHeight="1" outlineLevel="1" x14ac:dyDescent="0.3">
      <c r="A778" s="238"/>
      <c r="B778" s="242">
        <v>2200</v>
      </c>
      <c r="C778" s="243" t="s">
        <v>204</v>
      </c>
      <c r="D778" s="244">
        <v>0</v>
      </c>
    </row>
    <row r="779" spans="1:4" ht="12" hidden="1" customHeight="1" outlineLevel="1" x14ac:dyDescent="0.3">
      <c r="A779" s="238"/>
      <c r="B779" s="242">
        <v>2300</v>
      </c>
      <c r="C779" s="243" t="s">
        <v>205</v>
      </c>
      <c r="D779" s="244">
        <v>0</v>
      </c>
    </row>
    <row r="780" spans="1:4" ht="12" hidden="1" customHeight="1" outlineLevel="1" x14ac:dyDescent="0.3">
      <c r="A780" s="238"/>
      <c r="B780" s="242">
        <v>2400</v>
      </c>
      <c r="C780" s="243" t="s">
        <v>206</v>
      </c>
      <c r="D780" s="244">
        <v>0</v>
      </c>
    </row>
    <row r="781" spans="1:4" ht="12" hidden="1" customHeight="1" outlineLevel="1" x14ac:dyDescent="0.3">
      <c r="A781" s="238"/>
      <c r="B781" s="242">
        <v>2500</v>
      </c>
      <c r="C781" s="243" t="s">
        <v>207</v>
      </c>
      <c r="D781" s="244">
        <v>0</v>
      </c>
    </row>
    <row r="782" spans="1:4" ht="12" hidden="1" customHeight="1" outlineLevel="1" x14ac:dyDescent="0.3">
      <c r="A782" s="238"/>
      <c r="B782" s="199">
        <v>3000</v>
      </c>
      <c r="C782" s="245" t="s">
        <v>208</v>
      </c>
      <c r="D782" s="241">
        <v>0</v>
      </c>
    </row>
    <row r="783" spans="1:4" ht="12" hidden="1" customHeight="1" outlineLevel="1" x14ac:dyDescent="0.3">
      <c r="A783" s="238"/>
      <c r="B783" s="242">
        <v>3200</v>
      </c>
      <c r="C783" s="243" t="s">
        <v>209</v>
      </c>
      <c r="D783" s="244">
        <v>0</v>
      </c>
    </row>
    <row r="784" spans="1:4" ht="12" hidden="1" customHeight="1" outlineLevel="1" x14ac:dyDescent="0.3">
      <c r="A784" s="238"/>
      <c r="B784" s="242">
        <v>3300</v>
      </c>
      <c r="C784" s="243" t="s">
        <v>210</v>
      </c>
      <c r="D784" s="244">
        <v>0</v>
      </c>
    </row>
    <row r="785" spans="1:4" ht="12" hidden="1" customHeight="1" outlineLevel="1" x14ac:dyDescent="0.3">
      <c r="A785" s="238"/>
      <c r="B785" s="199">
        <v>4000</v>
      </c>
      <c r="C785" s="246" t="s">
        <v>211</v>
      </c>
      <c r="D785" s="241">
        <v>0</v>
      </c>
    </row>
    <row r="786" spans="1:4" ht="12" hidden="1" customHeight="1" outlineLevel="1" x14ac:dyDescent="0.3">
      <c r="A786" s="238"/>
      <c r="B786" s="242">
        <v>4200</v>
      </c>
      <c r="C786" s="247" t="s">
        <v>212</v>
      </c>
      <c r="D786" s="244">
        <v>0</v>
      </c>
    </row>
    <row r="787" spans="1:4" ht="12" hidden="1" customHeight="1" outlineLevel="1" x14ac:dyDescent="0.3">
      <c r="A787" s="238"/>
      <c r="B787" s="242">
        <v>4300</v>
      </c>
      <c r="C787" s="247" t="s">
        <v>213</v>
      </c>
      <c r="D787" s="244">
        <v>0</v>
      </c>
    </row>
    <row r="788" spans="1:4" ht="12" hidden="1" customHeight="1" outlineLevel="1" x14ac:dyDescent="0.3">
      <c r="A788" s="238"/>
      <c r="B788" s="199">
        <v>5000</v>
      </c>
      <c r="C788" s="200" t="s">
        <v>214</v>
      </c>
      <c r="D788" s="241">
        <v>0</v>
      </c>
    </row>
    <row r="789" spans="1:4" ht="12" hidden="1" customHeight="1" outlineLevel="1" x14ac:dyDescent="0.3">
      <c r="A789" s="238"/>
      <c r="B789" s="242">
        <v>5100</v>
      </c>
      <c r="C789" s="248" t="s">
        <v>215</v>
      </c>
      <c r="D789" s="244">
        <v>0</v>
      </c>
    </row>
    <row r="790" spans="1:4" ht="12" hidden="1" customHeight="1" outlineLevel="1" x14ac:dyDescent="0.3">
      <c r="A790" s="238"/>
      <c r="B790" s="242">
        <v>5200</v>
      </c>
      <c r="C790" s="248" t="s">
        <v>216</v>
      </c>
      <c r="D790" s="244">
        <v>0</v>
      </c>
    </row>
    <row r="791" spans="1:4" ht="12" hidden="1" customHeight="1" outlineLevel="1" x14ac:dyDescent="0.3">
      <c r="A791" s="238"/>
      <c r="B791" s="242">
        <v>5300</v>
      </c>
      <c r="C791" s="249" t="s">
        <v>217</v>
      </c>
      <c r="D791" s="244">
        <v>0</v>
      </c>
    </row>
    <row r="792" spans="1:4" ht="12" hidden="1" customHeight="1" outlineLevel="1" x14ac:dyDescent="0.3">
      <c r="A792" s="238"/>
      <c r="B792" s="199">
        <v>6000</v>
      </c>
      <c r="C792" s="200" t="s">
        <v>218</v>
      </c>
      <c r="D792" s="241">
        <v>0</v>
      </c>
    </row>
    <row r="793" spans="1:4" ht="12" hidden="1" customHeight="1" outlineLevel="1" x14ac:dyDescent="0.3">
      <c r="A793" s="238"/>
      <c r="B793" s="242">
        <v>6200</v>
      </c>
      <c r="C793" s="248" t="s">
        <v>219</v>
      </c>
      <c r="D793" s="244">
        <v>0</v>
      </c>
    </row>
    <row r="794" spans="1:4" ht="12" hidden="1" customHeight="1" outlineLevel="1" x14ac:dyDescent="0.3">
      <c r="A794" s="238"/>
      <c r="B794" s="242">
        <v>6300</v>
      </c>
      <c r="C794" s="248" t="s">
        <v>220</v>
      </c>
      <c r="D794" s="244">
        <v>0</v>
      </c>
    </row>
    <row r="795" spans="1:4" ht="12" hidden="1" customHeight="1" outlineLevel="1" x14ac:dyDescent="0.3">
      <c r="A795" s="238"/>
      <c r="B795" s="242">
        <v>6400</v>
      </c>
      <c r="C795" s="248" t="s">
        <v>221</v>
      </c>
      <c r="D795" s="244">
        <v>0</v>
      </c>
    </row>
    <row r="796" spans="1:4" ht="12" hidden="1" customHeight="1" outlineLevel="1" x14ac:dyDescent="0.3">
      <c r="A796" s="238"/>
      <c r="B796" s="242">
        <v>6500</v>
      </c>
      <c r="C796" s="249" t="s">
        <v>222</v>
      </c>
      <c r="D796" s="244">
        <v>0</v>
      </c>
    </row>
    <row r="797" spans="1:4" ht="12" hidden="1" customHeight="1" outlineLevel="1" x14ac:dyDescent="0.3">
      <c r="A797" s="238"/>
      <c r="B797" s="199">
        <v>7000</v>
      </c>
      <c r="C797" s="200" t="s">
        <v>223</v>
      </c>
      <c r="D797" s="241">
        <v>0</v>
      </c>
    </row>
    <row r="798" spans="1:4" ht="12" hidden="1" customHeight="1" outlineLevel="1" x14ac:dyDescent="0.3">
      <c r="A798" s="238"/>
      <c r="B798" s="250">
        <v>7200</v>
      </c>
      <c r="C798" s="251" t="s">
        <v>224</v>
      </c>
      <c r="D798" s="244">
        <v>0</v>
      </c>
    </row>
    <row r="799" spans="1:4" ht="12" hidden="1" customHeight="1" outlineLevel="1" x14ac:dyDescent="0.3">
      <c r="A799" s="238"/>
      <c r="B799" s="250">
        <v>7500</v>
      </c>
      <c r="C799" s="251" t="s">
        <v>225</v>
      </c>
      <c r="D799" s="244">
        <v>0</v>
      </c>
    </row>
    <row r="800" spans="1:4" ht="12" hidden="1" customHeight="1" outlineLevel="1" x14ac:dyDescent="0.3">
      <c r="A800" s="238"/>
      <c r="B800" s="250">
        <v>7700</v>
      </c>
      <c r="C800" s="251" t="s">
        <v>226</v>
      </c>
      <c r="D800" s="244">
        <v>0</v>
      </c>
    </row>
    <row r="801" spans="1:4" ht="12" hidden="1" customHeight="1" outlineLevel="1" x14ac:dyDescent="0.3">
      <c r="A801" s="238"/>
      <c r="B801" s="252">
        <v>8000</v>
      </c>
      <c r="C801" s="253" t="s">
        <v>227</v>
      </c>
      <c r="D801" s="241">
        <v>0</v>
      </c>
    </row>
    <row r="802" spans="1:4" ht="12" hidden="1" customHeight="1" outlineLevel="1" x14ac:dyDescent="0.3">
      <c r="A802" s="238"/>
      <c r="B802" s="254">
        <v>8100</v>
      </c>
      <c r="C802" s="255" t="s">
        <v>228</v>
      </c>
      <c r="D802" s="244">
        <v>0</v>
      </c>
    </row>
    <row r="803" spans="1:4" ht="12" hidden="1" customHeight="1" outlineLevel="1" x14ac:dyDescent="0.3">
      <c r="A803" s="238"/>
      <c r="B803" s="254">
        <v>8600</v>
      </c>
      <c r="C803" s="255" t="s">
        <v>229</v>
      </c>
      <c r="D803" s="244">
        <v>0</v>
      </c>
    </row>
    <row r="804" spans="1:4" ht="12" hidden="1" customHeight="1" outlineLevel="1" x14ac:dyDescent="0.3">
      <c r="A804" s="238"/>
      <c r="B804" s="254">
        <v>8900</v>
      </c>
      <c r="C804" s="255" t="s">
        <v>230</v>
      </c>
      <c r="D804" s="244">
        <v>0</v>
      </c>
    </row>
    <row r="805" spans="1:4" ht="12" hidden="1" customHeight="1" outlineLevel="1" x14ac:dyDescent="0.3">
      <c r="A805" s="272" t="s">
        <v>274</v>
      </c>
      <c r="B805" s="273"/>
      <c r="C805" s="274" t="s">
        <v>275</v>
      </c>
      <c r="D805" s="275">
        <v>0</v>
      </c>
    </row>
    <row r="806" spans="1:4" ht="12" hidden="1" customHeight="1" outlineLevel="1" x14ac:dyDescent="0.3">
      <c r="A806" s="227"/>
      <c r="B806" s="228"/>
      <c r="C806" s="229" t="s">
        <v>198</v>
      </c>
      <c r="D806" s="230">
        <v>0</v>
      </c>
    </row>
    <row r="807" spans="1:4" ht="12" hidden="1" customHeight="1" outlineLevel="1" x14ac:dyDescent="0.3">
      <c r="A807" s="227"/>
      <c r="B807" s="231">
        <v>1000</v>
      </c>
      <c r="C807" s="232" t="s">
        <v>199</v>
      </c>
      <c r="D807" s="230">
        <v>0</v>
      </c>
    </row>
    <row r="808" spans="1:4" ht="12" hidden="1" customHeight="1" outlineLevel="1" x14ac:dyDescent="0.3">
      <c r="A808" s="227"/>
      <c r="B808" s="234">
        <v>1100</v>
      </c>
      <c r="C808" s="235" t="s">
        <v>200</v>
      </c>
      <c r="D808" s="236"/>
    </row>
    <row r="809" spans="1:4" ht="12" hidden="1" customHeight="1" outlineLevel="1" x14ac:dyDescent="0.3">
      <c r="A809" s="227"/>
      <c r="B809" s="234">
        <v>1200</v>
      </c>
      <c r="C809" s="237" t="s">
        <v>201</v>
      </c>
      <c r="D809" s="236"/>
    </row>
    <row r="810" spans="1:4" ht="12" hidden="1" customHeight="1" outlineLevel="1" x14ac:dyDescent="0.3">
      <c r="A810" s="238"/>
      <c r="B810" s="239">
        <v>2000</v>
      </c>
      <c r="C810" s="240" t="s">
        <v>202</v>
      </c>
      <c r="D810" s="260"/>
    </row>
    <row r="811" spans="1:4" ht="12" hidden="1" customHeight="1" outlineLevel="1" x14ac:dyDescent="0.3">
      <c r="A811" s="238"/>
      <c r="B811" s="242">
        <v>2100</v>
      </c>
      <c r="C811" s="243" t="s">
        <v>203</v>
      </c>
      <c r="D811" s="244"/>
    </row>
    <row r="812" spans="1:4" ht="12" hidden="1" customHeight="1" outlineLevel="1" x14ac:dyDescent="0.3">
      <c r="A812" s="238"/>
      <c r="B812" s="242">
        <v>2200</v>
      </c>
      <c r="C812" s="243" t="s">
        <v>204</v>
      </c>
      <c r="D812" s="244"/>
    </row>
    <row r="813" spans="1:4" ht="12" hidden="1" customHeight="1" outlineLevel="1" x14ac:dyDescent="0.3">
      <c r="A813" s="238"/>
      <c r="B813" s="242">
        <v>2300</v>
      </c>
      <c r="C813" s="243" t="s">
        <v>205</v>
      </c>
      <c r="D813" s="244"/>
    </row>
    <row r="814" spans="1:4" ht="12" hidden="1" customHeight="1" outlineLevel="1" x14ac:dyDescent="0.3">
      <c r="A814" s="238"/>
      <c r="B814" s="242">
        <v>2400</v>
      </c>
      <c r="C814" s="243" t="s">
        <v>206</v>
      </c>
      <c r="D814" s="244"/>
    </row>
    <row r="815" spans="1:4" ht="12" hidden="1" customHeight="1" outlineLevel="1" x14ac:dyDescent="0.3">
      <c r="A815" s="238"/>
      <c r="B815" s="242">
        <v>2500</v>
      </c>
      <c r="C815" s="243" t="s">
        <v>207</v>
      </c>
      <c r="D815" s="244"/>
    </row>
    <row r="816" spans="1:4" ht="12" hidden="1" customHeight="1" outlineLevel="1" x14ac:dyDescent="0.3">
      <c r="A816" s="238"/>
      <c r="B816" s="199">
        <v>3000</v>
      </c>
      <c r="C816" s="245" t="s">
        <v>208</v>
      </c>
      <c r="D816" s="260">
        <v>0</v>
      </c>
    </row>
    <row r="817" spans="1:4" ht="12" hidden="1" customHeight="1" outlineLevel="1" x14ac:dyDescent="0.3">
      <c r="A817" s="238"/>
      <c r="B817" s="242">
        <v>3200</v>
      </c>
      <c r="C817" s="243" t="s">
        <v>209</v>
      </c>
      <c r="D817" s="244"/>
    </row>
    <row r="818" spans="1:4" ht="12" hidden="1" customHeight="1" outlineLevel="1" x14ac:dyDescent="0.3">
      <c r="A818" s="238"/>
      <c r="B818" s="242">
        <v>3300</v>
      </c>
      <c r="C818" s="243" t="s">
        <v>210</v>
      </c>
      <c r="D818" s="244"/>
    </row>
    <row r="819" spans="1:4" ht="12" hidden="1" customHeight="1" outlineLevel="1" x14ac:dyDescent="0.3">
      <c r="A819" s="238"/>
      <c r="B819" s="199">
        <v>4000</v>
      </c>
      <c r="C819" s="246" t="s">
        <v>211</v>
      </c>
      <c r="D819" s="260">
        <v>0</v>
      </c>
    </row>
    <row r="820" spans="1:4" ht="12" hidden="1" customHeight="1" outlineLevel="1" x14ac:dyDescent="0.3">
      <c r="A820" s="238"/>
      <c r="B820" s="242">
        <v>4200</v>
      </c>
      <c r="C820" s="247" t="s">
        <v>212</v>
      </c>
      <c r="D820" s="244"/>
    </row>
    <row r="821" spans="1:4" ht="12" hidden="1" customHeight="1" outlineLevel="1" x14ac:dyDescent="0.3">
      <c r="A821" s="238"/>
      <c r="B821" s="242">
        <v>4300</v>
      </c>
      <c r="C821" s="247" t="s">
        <v>213</v>
      </c>
      <c r="D821" s="244"/>
    </row>
    <row r="822" spans="1:4" ht="12" hidden="1" customHeight="1" outlineLevel="1" x14ac:dyDescent="0.3">
      <c r="A822" s="238"/>
      <c r="B822" s="199">
        <v>5000</v>
      </c>
      <c r="C822" s="200" t="s">
        <v>214</v>
      </c>
      <c r="D822" s="260">
        <v>0</v>
      </c>
    </row>
    <row r="823" spans="1:4" ht="12" hidden="1" customHeight="1" outlineLevel="1" x14ac:dyDescent="0.3">
      <c r="A823" s="238"/>
      <c r="B823" s="242">
        <v>5100</v>
      </c>
      <c r="C823" s="248" t="s">
        <v>215</v>
      </c>
      <c r="D823" s="260"/>
    </row>
    <row r="824" spans="1:4" ht="12" hidden="1" customHeight="1" outlineLevel="1" x14ac:dyDescent="0.3">
      <c r="A824" s="238"/>
      <c r="B824" s="242">
        <v>5200</v>
      </c>
      <c r="C824" s="248" t="s">
        <v>216</v>
      </c>
      <c r="D824" s="260"/>
    </row>
    <row r="825" spans="1:4" ht="12" hidden="1" customHeight="1" outlineLevel="1" x14ac:dyDescent="0.3">
      <c r="A825" s="238"/>
      <c r="B825" s="242">
        <v>5300</v>
      </c>
      <c r="C825" s="249" t="s">
        <v>217</v>
      </c>
      <c r="D825" s="260"/>
    </row>
    <row r="826" spans="1:4" ht="12" hidden="1" customHeight="1" outlineLevel="1" x14ac:dyDescent="0.3">
      <c r="A826" s="238"/>
      <c r="B826" s="199">
        <v>6000</v>
      </c>
      <c r="C826" s="200" t="s">
        <v>218</v>
      </c>
      <c r="D826" s="260">
        <v>0</v>
      </c>
    </row>
    <row r="827" spans="1:4" ht="12" hidden="1" customHeight="1" outlineLevel="1" x14ac:dyDescent="0.3">
      <c r="A827" s="238"/>
      <c r="B827" s="242">
        <v>6200</v>
      </c>
      <c r="C827" s="248" t="s">
        <v>219</v>
      </c>
      <c r="D827" s="244"/>
    </row>
    <row r="828" spans="1:4" ht="12" hidden="1" customHeight="1" outlineLevel="1" x14ac:dyDescent="0.3">
      <c r="A828" s="238"/>
      <c r="B828" s="242">
        <v>6300</v>
      </c>
      <c r="C828" s="248" t="s">
        <v>220</v>
      </c>
      <c r="D828" s="244"/>
    </row>
    <row r="829" spans="1:4" ht="12" hidden="1" customHeight="1" outlineLevel="1" x14ac:dyDescent="0.3">
      <c r="A829" s="238"/>
      <c r="B829" s="242">
        <v>6400</v>
      </c>
      <c r="C829" s="248" t="s">
        <v>221</v>
      </c>
      <c r="D829" s="244"/>
    </row>
    <row r="830" spans="1:4" ht="12" hidden="1" customHeight="1" outlineLevel="1" x14ac:dyDescent="0.3">
      <c r="A830" s="238"/>
      <c r="B830" s="242">
        <v>6500</v>
      </c>
      <c r="C830" s="249" t="s">
        <v>222</v>
      </c>
      <c r="D830" s="244"/>
    </row>
    <row r="831" spans="1:4" ht="12" hidden="1" customHeight="1" outlineLevel="1" x14ac:dyDescent="0.3">
      <c r="A831" s="238"/>
      <c r="B831" s="199">
        <v>7000</v>
      </c>
      <c r="C831" s="200" t="s">
        <v>223</v>
      </c>
      <c r="D831" s="260">
        <v>0</v>
      </c>
    </row>
    <row r="832" spans="1:4" ht="12" hidden="1" customHeight="1" outlineLevel="1" x14ac:dyDescent="0.3">
      <c r="A832" s="238"/>
      <c r="B832" s="250">
        <v>7200</v>
      </c>
      <c r="C832" s="251" t="s">
        <v>224</v>
      </c>
      <c r="D832" s="244"/>
    </row>
    <row r="833" spans="1:4" ht="12" hidden="1" customHeight="1" outlineLevel="1" x14ac:dyDescent="0.3">
      <c r="A833" s="238"/>
      <c r="B833" s="250">
        <v>7500</v>
      </c>
      <c r="C833" s="251" t="s">
        <v>225</v>
      </c>
      <c r="D833" s="244"/>
    </row>
    <row r="834" spans="1:4" ht="12" hidden="1" customHeight="1" outlineLevel="1" x14ac:dyDescent="0.3">
      <c r="A834" s="238"/>
      <c r="B834" s="250">
        <v>7700</v>
      </c>
      <c r="C834" s="251" t="s">
        <v>226</v>
      </c>
      <c r="D834" s="244"/>
    </row>
    <row r="835" spans="1:4" ht="12" hidden="1" customHeight="1" outlineLevel="1" x14ac:dyDescent="0.3">
      <c r="A835" s="238"/>
      <c r="B835" s="252">
        <v>8000</v>
      </c>
      <c r="C835" s="253" t="s">
        <v>227</v>
      </c>
      <c r="D835" s="260">
        <v>0</v>
      </c>
    </row>
    <row r="836" spans="1:4" ht="12" hidden="1" customHeight="1" outlineLevel="1" x14ac:dyDescent="0.3">
      <c r="A836" s="238"/>
      <c r="B836" s="254">
        <v>8100</v>
      </c>
      <c r="C836" s="255" t="s">
        <v>228</v>
      </c>
      <c r="D836" s="260"/>
    </row>
    <row r="837" spans="1:4" ht="12" hidden="1" customHeight="1" outlineLevel="1" x14ac:dyDescent="0.3">
      <c r="A837" s="238"/>
      <c r="B837" s="254">
        <v>8600</v>
      </c>
      <c r="C837" s="255" t="s">
        <v>229</v>
      </c>
      <c r="D837" s="260"/>
    </row>
    <row r="838" spans="1:4" ht="12" hidden="1" customHeight="1" outlineLevel="1" x14ac:dyDescent="0.3">
      <c r="A838" s="238"/>
      <c r="B838" s="254">
        <v>8900</v>
      </c>
      <c r="C838" s="255" t="s">
        <v>230</v>
      </c>
      <c r="D838" s="260"/>
    </row>
    <row r="839" spans="1:4" ht="12" hidden="1" customHeight="1" outlineLevel="1" x14ac:dyDescent="0.3">
      <c r="A839" s="272" t="s">
        <v>276</v>
      </c>
      <c r="B839" s="273"/>
      <c r="C839" s="274" t="s">
        <v>277</v>
      </c>
      <c r="D839" s="275">
        <v>0</v>
      </c>
    </row>
    <row r="840" spans="1:4" ht="12" hidden="1" customHeight="1" outlineLevel="1" collapsed="1" x14ac:dyDescent="0.3">
      <c r="A840" s="227"/>
      <c r="B840" s="228"/>
      <c r="C840" s="229" t="s">
        <v>198</v>
      </c>
      <c r="D840" s="230">
        <v>0</v>
      </c>
    </row>
    <row r="841" spans="1:4" ht="12" hidden="1" customHeight="1" outlineLevel="1" x14ac:dyDescent="0.3">
      <c r="A841" s="227"/>
      <c r="B841" s="231">
        <v>1000</v>
      </c>
      <c r="C841" s="232" t="s">
        <v>199</v>
      </c>
      <c r="D841" s="230">
        <v>0</v>
      </c>
    </row>
    <row r="842" spans="1:4" ht="12" hidden="1" customHeight="1" outlineLevel="1" x14ac:dyDescent="0.3">
      <c r="A842" s="227"/>
      <c r="B842" s="234">
        <v>1100</v>
      </c>
      <c r="C842" s="235" t="s">
        <v>200</v>
      </c>
      <c r="D842" s="236"/>
    </row>
    <row r="843" spans="1:4" ht="12" hidden="1" customHeight="1" outlineLevel="1" x14ac:dyDescent="0.3">
      <c r="A843" s="227"/>
      <c r="B843" s="234">
        <v>1200</v>
      </c>
      <c r="C843" s="237" t="s">
        <v>201</v>
      </c>
      <c r="D843" s="236"/>
    </row>
    <row r="844" spans="1:4" ht="12" hidden="1" customHeight="1" outlineLevel="1" x14ac:dyDescent="0.3">
      <c r="A844" s="238"/>
      <c r="B844" s="239">
        <v>2000</v>
      </c>
      <c r="C844" s="240" t="s">
        <v>202</v>
      </c>
      <c r="D844" s="260">
        <v>0</v>
      </c>
    </row>
    <row r="845" spans="1:4" ht="12" hidden="1" customHeight="1" outlineLevel="1" x14ac:dyDescent="0.3">
      <c r="A845" s="238"/>
      <c r="B845" s="242">
        <v>2100</v>
      </c>
      <c r="C845" s="243" t="s">
        <v>203</v>
      </c>
      <c r="D845" s="244"/>
    </row>
    <row r="846" spans="1:4" ht="12" hidden="1" customHeight="1" outlineLevel="1" x14ac:dyDescent="0.3">
      <c r="A846" s="238"/>
      <c r="B846" s="242">
        <v>2200</v>
      </c>
      <c r="C846" s="243" t="s">
        <v>204</v>
      </c>
      <c r="D846" s="244"/>
    </row>
    <row r="847" spans="1:4" ht="12" hidden="1" customHeight="1" outlineLevel="1" x14ac:dyDescent="0.3">
      <c r="A847" s="238"/>
      <c r="B847" s="242">
        <v>2300</v>
      </c>
      <c r="C847" s="243" t="s">
        <v>205</v>
      </c>
      <c r="D847" s="244"/>
    </row>
    <row r="848" spans="1:4" ht="12" hidden="1" customHeight="1" outlineLevel="1" x14ac:dyDescent="0.3">
      <c r="A848" s="238"/>
      <c r="B848" s="242">
        <v>2400</v>
      </c>
      <c r="C848" s="243" t="s">
        <v>206</v>
      </c>
      <c r="D848" s="244"/>
    </row>
    <row r="849" spans="1:4" ht="12" hidden="1" customHeight="1" outlineLevel="1" x14ac:dyDescent="0.3">
      <c r="A849" s="238"/>
      <c r="B849" s="242">
        <v>2500</v>
      </c>
      <c r="C849" s="243" t="s">
        <v>207</v>
      </c>
      <c r="D849" s="244"/>
    </row>
    <row r="850" spans="1:4" ht="12" hidden="1" customHeight="1" outlineLevel="1" x14ac:dyDescent="0.3">
      <c r="A850" s="238"/>
      <c r="B850" s="199">
        <v>3000</v>
      </c>
      <c r="C850" s="245" t="s">
        <v>208</v>
      </c>
      <c r="D850" s="260">
        <v>0</v>
      </c>
    </row>
    <row r="851" spans="1:4" ht="12" hidden="1" customHeight="1" outlineLevel="1" x14ac:dyDescent="0.3">
      <c r="A851" s="238"/>
      <c r="B851" s="242">
        <v>3200</v>
      </c>
      <c r="C851" s="243" t="s">
        <v>209</v>
      </c>
      <c r="D851" s="244"/>
    </row>
    <row r="852" spans="1:4" ht="12" hidden="1" customHeight="1" outlineLevel="1" x14ac:dyDescent="0.3">
      <c r="A852" s="238"/>
      <c r="B852" s="242">
        <v>3300</v>
      </c>
      <c r="C852" s="243" t="s">
        <v>210</v>
      </c>
      <c r="D852" s="244"/>
    </row>
    <row r="853" spans="1:4" ht="12" hidden="1" customHeight="1" outlineLevel="1" x14ac:dyDescent="0.3">
      <c r="A853" s="238"/>
      <c r="B853" s="199">
        <v>4000</v>
      </c>
      <c r="C853" s="246" t="s">
        <v>211</v>
      </c>
      <c r="D853" s="260">
        <v>0</v>
      </c>
    </row>
    <row r="854" spans="1:4" ht="12" hidden="1" customHeight="1" outlineLevel="1" x14ac:dyDescent="0.3">
      <c r="A854" s="238"/>
      <c r="B854" s="242">
        <v>4200</v>
      </c>
      <c r="C854" s="247" t="s">
        <v>212</v>
      </c>
      <c r="D854" s="244"/>
    </row>
    <row r="855" spans="1:4" ht="12" hidden="1" customHeight="1" outlineLevel="1" x14ac:dyDescent="0.3">
      <c r="A855" s="238"/>
      <c r="B855" s="242">
        <v>4300</v>
      </c>
      <c r="C855" s="247" t="s">
        <v>213</v>
      </c>
      <c r="D855" s="244"/>
    </row>
    <row r="856" spans="1:4" ht="12" hidden="1" customHeight="1" outlineLevel="1" x14ac:dyDescent="0.3">
      <c r="A856" s="238"/>
      <c r="B856" s="199">
        <v>5000</v>
      </c>
      <c r="C856" s="200" t="s">
        <v>214</v>
      </c>
      <c r="D856" s="260">
        <v>0</v>
      </c>
    </row>
    <row r="857" spans="1:4" ht="12" hidden="1" customHeight="1" outlineLevel="1" x14ac:dyDescent="0.3">
      <c r="A857" s="238"/>
      <c r="B857" s="242">
        <v>5100</v>
      </c>
      <c r="C857" s="248" t="s">
        <v>215</v>
      </c>
      <c r="D857" s="260"/>
    </row>
    <row r="858" spans="1:4" ht="12" hidden="1" customHeight="1" outlineLevel="1" x14ac:dyDescent="0.3">
      <c r="A858" s="238"/>
      <c r="B858" s="242">
        <v>5200</v>
      </c>
      <c r="C858" s="248" t="s">
        <v>216</v>
      </c>
      <c r="D858" s="260"/>
    </row>
    <row r="859" spans="1:4" ht="12" hidden="1" customHeight="1" outlineLevel="1" x14ac:dyDescent="0.3">
      <c r="A859" s="238"/>
      <c r="B859" s="242">
        <v>5300</v>
      </c>
      <c r="C859" s="249" t="s">
        <v>217</v>
      </c>
      <c r="D859" s="260"/>
    </row>
    <row r="860" spans="1:4" ht="12" hidden="1" customHeight="1" outlineLevel="1" x14ac:dyDescent="0.3">
      <c r="A860" s="238"/>
      <c r="B860" s="199">
        <v>6000</v>
      </c>
      <c r="C860" s="200" t="s">
        <v>218</v>
      </c>
      <c r="D860" s="260">
        <v>0</v>
      </c>
    </row>
    <row r="861" spans="1:4" ht="12" hidden="1" customHeight="1" outlineLevel="1" x14ac:dyDescent="0.3">
      <c r="A861" s="238"/>
      <c r="B861" s="242">
        <v>6200</v>
      </c>
      <c r="C861" s="248" t="s">
        <v>219</v>
      </c>
      <c r="D861" s="244"/>
    </row>
    <row r="862" spans="1:4" ht="12" hidden="1" customHeight="1" outlineLevel="1" x14ac:dyDescent="0.3">
      <c r="A862" s="238"/>
      <c r="B862" s="242">
        <v>6300</v>
      </c>
      <c r="C862" s="248" t="s">
        <v>220</v>
      </c>
      <c r="D862" s="244"/>
    </row>
    <row r="863" spans="1:4" ht="12" hidden="1" customHeight="1" outlineLevel="1" x14ac:dyDescent="0.3">
      <c r="A863" s="238"/>
      <c r="B863" s="242">
        <v>6400</v>
      </c>
      <c r="C863" s="248" t="s">
        <v>221</v>
      </c>
      <c r="D863" s="244"/>
    </row>
    <row r="864" spans="1:4" ht="12" hidden="1" customHeight="1" outlineLevel="1" x14ac:dyDescent="0.3">
      <c r="A864" s="238"/>
      <c r="B864" s="242">
        <v>6500</v>
      </c>
      <c r="C864" s="249" t="s">
        <v>222</v>
      </c>
      <c r="D864" s="244"/>
    </row>
    <row r="865" spans="1:4" ht="12" hidden="1" customHeight="1" outlineLevel="1" x14ac:dyDescent="0.3">
      <c r="A865" s="238"/>
      <c r="B865" s="199">
        <v>7000</v>
      </c>
      <c r="C865" s="200" t="s">
        <v>223</v>
      </c>
      <c r="D865" s="260">
        <v>0</v>
      </c>
    </row>
    <row r="866" spans="1:4" ht="12" hidden="1" customHeight="1" outlineLevel="1" x14ac:dyDescent="0.3">
      <c r="A866" s="238"/>
      <c r="B866" s="250">
        <v>7200</v>
      </c>
      <c r="C866" s="251" t="s">
        <v>224</v>
      </c>
      <c r="D866" s="244"/>
    </row>
    <row r="867" spans="1:4" ht="12" hidden="1" customHeight="1" outlineLevel="1" x14ac:dyDescent="0.3">
      <c r="A867" s="238"/>
      <c r="B867" s="250">
        <v>7500</v>
      </c>
      <c r="C867" s="251" t="s">
        <v>225</v>
      </c>
      <c r="D867" s="244"/>
    </row>
    <row r="868" spans="1:4" ht="12" hidden="1" customHeight="1" outlineLevel="1" x14ac:dyDescent="0.3">
      <c r="A868" s="238"/>
      <c r="B868" s="250">
        <v>7700</v>
      </c>
      <c r="C868" s="251" t="s">
        <v>226</v>
      </c>
      <c r="D868" s="244"/>
    </row>
    <row r="869" spans="1:4" ht="12" hidden="1" customHeight="1" outlineLevel="1" x14ac:dyDescent="0.3">
      <c r="A869" s="238"/>
      <c r="B869" s="252">
        <v>8000</v>
      </c>
      <c r="C869" s="253" t="s">
        <v>227</v>
      </c>
      <c r="D869" s="260">
        <v>0</v>
      </c>
    </row>
    <row r="870" spans="1:4" ht="12" hidden="1" customHeight="1" outlineLevel="1" x14ac:dyDescent="0.3">
      <c r="A870" s="238"/>
      <c r="B870" s="254">
        <v>8100</v>
      </c>
      <c r="C870" s="255" t="s">
        <v>228</v>
      </c>
      <c r="D870" s="260"/>
    </row>
    <row r="871" spans="1:4" ht="12" hidden="1" customHeight="1" outlineLevel="1" x14ac:dyDescent="0.3">
      <c r="A871" s="238"/>
      <c r="B871" s="254">
        <v>8600</v>
      </c>
      <c r="C871" s="255" t="s">
        <v>229</v>
      </c>
      <c r="D871" s="260"/>
    </row>
    <row r="872" spans="1:4" ht="12" hidden="1" customHeight="1" outlineLevel="1" x14ac:dyDescent="0.3">
      <c r="A872" s="238"/>
      <c r="B872" s="254">
        <v>8900</v>
      </c>
      <c r="C872" s="255" t="s">
        <v>230</v>
      </c>
      <c r="D872" s="260"/>
    </row>
    <row r="873" spans="1:4" ht="15.75" hidden="1" customHeight="1" outlineLevel="1" x14ac:dyDescent="0.3">
      <c r="A873" s="256" t="s">
        <v>278</v>
      </c>
      <c r="B873" s="257"/>
      <c r="C873" s="258" t="s">
        <v>279</v>
      </c>
      <c r="D873" s="259">
        <v>0</v>
      </c>
    </row>
    <row r="874" spans="1:4" ht="12" hidden="1" customHeight="1" outlineLevel="1" x14ac:dyDescent="0.3">
      <c r="A874" s="227"/>
      <c r="B874" s="228"/>
      <c r="C874" s="229" t="s">
        <v>198</v>
      </c>
      <c r="D874" s="230">
        <v>0</v>
      </c>
    </row>
    <row r="875" spans="1:4" ht="12" hidden="1" customHeight="1" outlineLevel="1" x14ac:dyDescent="0.3">
      <c r="A875" s="227"/>
      <c r="B875" s="231">
        <v>1000</v>
      </c>
      <c r="C875" s="232" t="s">
        <v>199</v>
      </c>
      <c r="D875" s="230">
        <v>0</v>
      </c>
    </row>
    <row r="876" spans="1:4" ht="12" hidden="1" customHeight="1" outlineLevel="1" x14ac:dyDescent="0.3">
      <c r="A876" s="227"/>
      <c r="B876" s="234">
        <v>1100</v>
      </c>
      <c r="C876" s="235" t="s">
        <v>200</v>
      </c>
      <c r="D876" s="236"/>
    </row>
    <row r="877" spans="1:4" ht="12" hidden="1" customHeight="1" outlineLevel="1" x14ac:dyDescent="0.3">
      <c r="A877" s="227"/>
      <c r="B877" s="234">
        <v>1200</v>
      </c>
      <c r="C877" s="237" t="s">
        <v>201</v>
      </c>
      <c r="D877" s="236"/>
    </row>
    <row r="878" spans="1:4" ht="12" hidden="1" customHeight="1" outlineLevel="1" x14ac:dyDescent="0.3">
      <c r="A878" s="238"/>
      <c r="B878" s="239">
        <v>2000</v>
      </c>
      <c r="C878" s="240" t="s">
        <v>202</v>
      </c>
      <c r="D878" s="260">
        <v>0</v>
      </c>
    </row>
    <row r="879" spans="1:4" ht="12" hidden="1" customHeight="1" outlineLevel="1" x14ac:dyDescent="0.3">
      <c r="A879" s="238"/>
      <c r="B879" s="242">
        <v>2100</v>
      </c>
      <c r="C879" s="243" t="s">
        <v>203</v>
      </c>
      <c r="D879" s="244"/>
    </row>
    <row r="880" spans="1:4" ht="8.25" hidden="1" customHeight="1" outlineLevel="1" x14ac:dyDescent="0.3">
      <c r="A880" s="238"/>
      <c r="B880" s="242">
        <v>2200</v>
      </c>
      <c r="C880" s="243" t="s">
        <v>204</v>
      </c>
      <c r="D880" s="244"/>
    </row>
    <row r="881" spans="1:4" ht="12" hidden="1" customHeight="1" outlineLevel="1" x14ac:dyDescent="0.3">
      <c r="A881" s="238"/>
      <c r="B881" s="242">
        <v>2300</v>
      </c>
      <c r="C881" s="243" t="s">
        <v>205</v>
      </c>
      <c r="D881" s="244"/>
    </row>
    <row r="882" spans="1:4" ht="12" hidden="1" customHeight="1" outlineLevel="1" x14ac:dyDescent="0.3">
      <c r="A882" s="238"/>
      <c r="B882" s="242">
        <v>2400</v>
      </c>
      <c r="C882" s="243" t="s">
        <v>206</v>
      </c>
      <c r="D882" s="244"/>
    </row>
    <row r="883" spans="1:4" ht="12" hidden="1" customHeight="1" outlineLevel="1" x14ac:dyDescent="0.3">
      <c r="A883" s="238"/>
      <c r="B883" s="242">
        <v>2500</v>
      </c>
      <c r="C883" s="243" t="s">
        <v>207</v>
      </c>
      <c r="D883" s="244"/>
    </row>
    <row r="884" spans="1:4" ht="12" hidden="1" customHeight="1" outlineLevel="1" x14ac:dyDescent="0.3">
      <c r="A884" s="238"/>
      <c r="B884" s="199">
        <v>3000</v>
      </c>
      <c r="C884" s="245" t="s">
        <v>208</v>
      </c>
      <c r="D884" s="260">
        <v>0</v>
      </c>
    </row>
    <row r="885" spans="1:4" ht="12" hidden="1" customHeight="1" outlineLevel="1" x14ac:dyDescent="0.3">
      <c r="A885" s="238"/>
      <c r="B885" s="242">
        <v>3200</v>
      </c>
      <c r="C885" s="243" t="s">
        <v>209</v>
      </c>
      <c r="D885" s="244"/>
    </row>
    <row r="886" spans="1:4" ht="12" hidden="1" customHeight="1" outlineLevel="1" x14ac:dyDescent="0.3">
      <c r="A886" s="238"/>
      <c r="B886" s="242">
        <v>3300</v>
      </c>
      <c r="C886" s="243" t="s">
        <v>210</v>
      </c>
      <c r="D886" s="244"/>
    </row>
    <row r="887" spans="1:4" ht="12" hidden="1" customHeight="1" outlineLevel="1" x14ac:dyDescent="0.3">
      <c r="A887" s="238"/>
      <c r="B887" s="199">
        <v>4000</v>
      </c>
      <c r="C887" s="246" t="s">
        <v>211</v>
      </c>
      <c r="D887" s="260">
        <v>0</v>
      </c>
    </row>
    <row r="888" spans="1:4" ht="12" hidden="1" customHeight="1" outlineLevel="1" x14ac:dyDescent="0.3">
      <c r="A888" s="238"/>
      <c r="B888" s="242">
        <v>4200</v>
      </c>
      <c r="C888" s="247" t="s">
        <v>212</v>
      </c>
      <c r="D888" s="244"/>
    </row>
    <row r="889" spans="1:4" ht="12" hidden="1" customHeight="1" outlineLevel="1" x14ac:dyDescent="0.3">
      <c r="A889" s="238"/>
      <c r="B889" s="242">
        <v>4300</v>
      </c>
      <c r="C889" s="247" t="s">
        <v>213</v>
      </c>
      <c r="D889" s="244"/>
    </row>
    <row r="890" spans="1:4" ht="12" hidden="1" customHeight="1" outlineLevel="1" x14ac:dyDescent="0.3">
      <c r="A890" s="238"/>
      <c r="B890" s="199">
        <v>5000</v>
      </c>
      <c r="C890" s="200" t="s">
        <v>214</v>
      </c>
      <c r="D890" s="260">
        <v>0</v>
      </c>
    </row>
    <row r="891" spans="1:4" ht="12" hidden="1" customHeight="1" outlineLevel="1" x14ac:dyDescent="0.3">
      <c r="A891" s="238"/>
      <c r="B891" s="242">
        <v>5100</v>
      </c>
      <c r="C891" s="248" t="s">
        <v>215</v>
      </c>
      <c r="D891" s="260"/>
    </row>
    <row r="892" spans="1:4" ht="12" hidden="1" customHeight="1" outlineLevel="1" x14ac:dyDescent="0.3">
      <c r="A892" s="238"/>
      <c r="B892" s="242">
        <v>5200</v>
      </c>
      <c r="C892" s="248" t="s">
        <v>216</v>
      </c>
      <c r="D892" s="260"/>
    </row>
    <row r="893" spans="1:4" ht="12" hidden="1" customHeight="1" outlineLevel="1" x14ac:dyDescent="0.3">
      <c r="A893" s="238"/>
      <c r="B893" s="242">
        <v>5300</v>
      </c>
      <c r="C893" s="249" t="s">
        <v>217</v>
      </c>
      <c r="D893" s="260"/>
    </row>
    <row r="894" spans="1:4" ht="12" hidden="1" customHeight="1" outlineLevel="1" x14ac:dyDescent="0.3">
      <c r="A894" s="238"/>
      <c r="B894" s="199">
        <v>6000</v>
      </c>
      <c r="C894" s="200" t="s">
        <v>218</v>
      </c>
      <c r="D894" s="260">
        <v>0</v>
      </c>
    </row>
    <row r="895" spans="1:4" ht="12" hidden="1" customHeight="1" outlineLevel="1" x14ac:dyDescent="0.3">
      <c r="A895" s="238"/>
      <c r="B895" s="242">
        <v>6200</v>
      </c>
      <c r="C895" s="248" t="s">
        <v>219</v>
      </c>
      <c r="D895" s="244"/>
    </row>
    <row r="896" spans="1:4" ht="12" hidden="1" customHeight="1" outlineLevel="1" x14ac:dyDescent="0.3">
      <c r="A896" s="238"/>
      <c r="B896" s="242">
        <v>6300</v>
      </c>
      <c r="C896" s="248" t="s">
        <v>220</v>
      </c>
      <c r="D896" s="244"/>
    </row>
    <row r="897" spans="1:4" ht="12" hidden="1" customHeight="1" outlineLevel="1" x14ac:dyDescent="0.3">
      <c r="A897" s="238"/>
      <c r="B897" s="242">
        <v>6400</v>
      </c>
      <c r="C897" s="248" t="s">
        <v>221</v>
      </c>
      <c r="D897" s="244"/>
    </row>
    <row r="898" spans="1:4" ht="12" hidden="1" customHeight="1" outlineLevel="1" x14ac:dyDescent="0.3">
      <c r="A898" s="238"/>
      <c r="B898" s="242">
        <v>6500</v>
      </c>
      <c r="C898" s="249" t="s">
        <v>222</v>
      </c>
      <c r="D898" s="244"/>
    </row>
    <row r="899" spans="1:4" ht="12" hidden="1" customHeight="1" outlineLevel="1" x14ac:dyDescent="0.3">
      <c r="A899" s="238"/>
      <c r="B899" s="199">
        <v>7000</v>
      </c>
      <c r="C899" s="200" t="s">
        <v>223</v>
      </c>
      <c r="D899" s="260">
        <v>0</v>
      </c>
    </row>
    <row r="900" spans="1:4" ht="12" hidden="1" customHeight="1" outlineLevel="1" x14ac:dyDescent="0.3">
      <c r="A900" s="238"/>
      <c r="B900" s="250">
        <v>7200</v>
      </c>
      <c r="C900" s="251" t="s">
        <v>224</v>
      </c>
      <c r="D900" s="244"/>
    </row>
    <row r="901" spans="1:4" ht="12" hidden="1" customHeight="1" outlineLevel="1" x14ac:dyDescent="0.3">
      <c r="A901" s="238"/>
      <c r="B901" s="250">
        <v>7500</v>
      </c>
      <c r="C901" s="251" t="s">
        <v>225</v>
      </c>
      <c r="D901" s="244"/>
    </row>
    <row r="902" spans="1:4" ht="12" hidden="1" customHeight="1" outlineLevel="1" x14ac:dyDescent="0.3">
      <c r="A902" s="238"/>
      <c r="B902" s="250">
        <v>7700</v>
      </c>
      <c r="C902" s="251" t="s">
        <v>226</v>
      </c>
      <c r="D902" s="244"/>
    </row>
    <row r="903" spans="1:4" ht="12" hidden="1" customHeight="1" outlineLevel="1" x14ac:dyDescent="0.3">
      <c r="A903" s="238"/>
      <c r="B903" s="252">
        <v>8000</v>
      </c>
      <c r="C903" s="253" t="s">
        <v>227</v>
      </c>
      <c r="D903" s="260">
        <v>0</v>
      </c>
    </row>
    <row r="904" spans="1:4" ht="12" hidden="1" customHeight="1" outlineLevel="1" x14ac:dyDescent="0.3">
      <c r="A904" s="238"/>
      <c r="B904" s="254">
        <v>8100</v>
      </c>
      <c r="C904" s="255" t="s">
        <v>228</v>
      </c>
      <c r="D904" s="260"/>
    </row>
    <row r="905" spans="1:4" ht="12" hidden="1" customHeight="1" outlineLevel="1" x14ac:dyDescent="0.3">
      <c r="A905" s="238"/>
      <c r="B905" s="254">
        <v>8600</v>
      </c>
      <c r="C905" s="255" t="s">
        <v>229</v>
      </c>
      <c r="D905" s="260"/>
    </row>
    <row r="906" spans="1:4" ht="12" hidden="1" customHeight="1" outlineLevel="1" x14ac:dyDescent="0.3">
      <c r="A906" s="238"/>
      <c r="B906" s="254">
        <v>8900</v>
      </c>
      <c r="C906" s="255" t="s">
        <v>230</v>
      </c>
      <c r="D906" s="260"/>
    </row>
    <row r="907" spans="1:4" ht="17.100000000000001" hidden="1" customHeight="1" outlineLevel="1" x14ac:dyDescent="0.3">
      <c r="A907" s="223" t="s">
        <v>280</v>
      </c>
      <c r="B907" s="276"/>
      <c r="C907" s="225" t="s">
        <v>281</v>
      </c>
      <c r="D907" s="226">
        <v>0</v>
      </c>
    </row>
    <row r="908" spans="1:4" ht="12" hidden="1" customHeight="1" outlineLevel="1" x14ac:dyDescent="0.3">
      <c r="A908" s="227"/>
      <c r="B908" s="228"/>
      <c r="C908" s="229" t="s">
        <v>198</v>
      </c>
      <c r="D908" s="230">
        <v>0</v>
      </c>
    </row>
    <row r="909" spans="1:4" ht="12" hidden="1" customHeight="1" outlineLevel="1" x14ac:dyDescent="0.3">
      <c r="A909" s="227"/>
      <c r="B909" s="231">
        <v>1000</v>
      </c>
      <c r="C909" s="232" t="s">
        <v>199</v>
      </c>
      <c r="D909" s="233">
        <v>0</v>
      </c>
    </row>
    <row r="910" spans="1:4" ht="12" hidden="1" customHeight="1" outlineLevel="1" x14ac:dyDescent="0.3">
      <c r="A910" s="227"/>
      <c r="B910" s="234">
        <v>1100</v>
      </c>
      <c r="C910" s="235" t="s">
        <v>200</v>
      </c>
      <c r="D910" s="236">
        <v>0</v>
      </c>
    </row>
    <row r="911" spans="1:4" ht="12" hidden="1" customHeight="1" outlineLevel="1" x14ac:dyDescent="0.3">
      <c r="A911" s="227"/>
      <c r="B911" s="234">
        <v>1200</v>
      </c>
      <c r="C911" s="237" t="s">
        <v>201</v>
      </c>
      <c r="D911" s="236">
        <v>0</v>
      </c>
    </row>
    <row r="912" spans="1:4" ht="12" hidden="1" customHeight="1" outlineLevel="1" x14ac:dyDescent="0.3">
      <c r="A912" s="238"/>
      <c r="B912" s="239">
        <v>2000</v>
      </c>
      <c r="C912" s="240" t="s">
        <v>202</v>
      </c>
      <c r="D912" s="233">
        <v>0</v>
      </c>
    </row>
    <row r="913" spans="1:4" ht="12" hidden="1" customHeight="1" outlineLevel="1" x14ac:dyDescent="0.3">
      <c r="A913" s="238"/>
      <c r="B913" s="242">
        <v>2100</v>
      </c>
      <c r="C913" s="243" t="s">
        <v>203</v>
      </c>
      <c r="D913" s="236">
        <v>0</v>
      </c>
    </row>
    <row r="914" spans="1:4" ht="12" hidden="1" customHeight="1" outlineLevel="1" x14ac:dyDescent="0.3">
      <c r="A914" s="238"/>
      <c r="B914" s="242">
        <v>2200</v>
      </c>
      <c r="C914" s="243" t="s">
        <v>204</v>
      </c>
      <c r="D914" s="236">
        <v>0</v>
      </c>
    </row>
    <row r="915" spans="1:4" ht="12" hidden="1" customHeight="1" outlineLevel="1" x14ac:dyDescent="0.3">
      <c r="A915" s="238"/>
      <c r="B915" s="242">
        <v>2300</v>
      </c>
      <c r="C915" s="243" t="s">
        <v>205</v>
      </c>
      <c r="D915" s="236">
        <v>0</v>
      </c>
    </row>
    <row r="916" spans="1:4" ht="12" hidden="1" customHeight="1" outlineLevel="1" x14ac:dyDescent="0.3">
      <c r="A916" s="238"/>
      <c r="B916" s="242">
        <v>2400</v>
      </c>
      <c r="C916" s="243" t="s">
        <v>206</v>
      </c>
      <c r="D916" s="236">
        <v>0</v>
      </c>
    </row>
    <row r="917" spans="1:4" ht="12" hidden="1" customHeight="1" outlineLevel="1" x14ac:dyDescent="0.3">
      <c r="A917" s="238"/>
      <c r="B917" s="242">
        <v>2500</v>
      </c>
      <c r="C917" s="243" t="s">
        <v>207</v>
      </c>
      <c r="D917" s="236">
        <v>0</v>
      </c>
    </row>
    <row r="918" spans="1:4" ht="12" hidden="1" customHeight="1" outlineLevel="1" x14ac:dyDescent="0.3">
      <c r="A918" s="238"/>
      <c r="B918" s="199">
        <v>3000</v>
      </c>
      <c r="C918" s="245" t="s">
        <v>208</v>
      </c>
      <c r="D918" s="233">
        <v>0</v>
      </c>
    </row>
    <row r="919" spans="1:4" ht="12" hidden="1" customHeight="1" outlineLevel="1" x14ac:dyDescent="0.3">
      <c r="A919" s="238"/>
      <c r="B919" s="242">
        <v>3200</v>
      </c>
      <c r="C919" s="243" t="s">
        <v>209</v>
      </c>
      <c r="D919" s="236">
        <v>0</v>
      </c>
    </row>
    <row r="920" spans="1:4" ht="12" hidden="1" customHeight="1" outlineLevel="1" x14ac:dyDescent="0.3">
      <c r="A920" s="238"/>
      <c r="B920" s="242">
        <v>3300</v>
      </c>
      <c r="C920" s="243" t="s">
        <v>210</v>
      </c>
      <c r="D920" s="236">
        <v>0</v>
      </c>
    </row>
    <row r="921" spans="1:4" ht="12" hidden="1" customHeight="1" outlineLevel="1" x14ac:dyDescent="0.3">
      <c r="A921" s="238"/>
      <c r="B921" s="199">
        <v>4000</v>
      </c>
      <c r="C921" s="246" t="s">
        <v>211</v>
      </c>
      <c r="D921" s="233">
        <v>0</v>
      </c>
    </row>
    <row r="922" spans="1:4" ht="12" hidden="1" customHeight="1" outlineLevel="1" x14ac:dyDescent="0.3">
      <c r="A922" s="238"/>
      <c r="B922" s="242">
        <v>4200</v>
      </c>
      <c r="C922" s="247" t="s">
        <v>212</v>
      </c>
      <c r="D922" s="236">
        <v>0</v>
      </c>
    </row>
    <row r="923" spans="1:4" ht="12" hidden="1" customHeight="1" outlineLevel="1" x14ac:dyDescent="0.3">
      <c r="A923" s="238"/>
      <c r="B923" s="242">
        <v>4300</v>
      </c>
      <c r="C923" s="247" t="s">
        <v>213</v>
      </c>
      <c r="D923" s="236">
        <v>0</v>
      </c>
    </row>
    <row r="924" spans="1:4" ht="12" hidden="1" customHeight="1" outlineLevel="1" x14ac:dyDescent="0.3">
      <c r="A924" s="238"/>
      <c r="B924" s="199">
        <v>5000</v>
      </c>
      <c r="C924" s="200" t="s">
        <v>214</v>
      </c>
      <c r="D924" s="233">
        <v>0</v>
      </c>
    </row>
    <row r="925" spans="1:4" ht="12" hidden="1" customHeight="1" outlineLevel="1" x14ac:dyDescent="0.3">
      <c r="A925" s="238"/>
      <c r="B925" s="242">
        <v>5100</v>
      </c>
      <c r="C925" s="248" t="s">
        <v>215</v>
      </c>
      <c r="D925" s="236">
        <v>0</v>
      </c>
    </row>
    <row r="926" spans="1:4" ht="12" hidden="1" customHeight="1" outlineLevel="1" x14ac:dyDescent="0.3">
      <c r="A926" s="238"/>
      <c r="B926" s="242">
        <v>5200</v>
      </c>
      <c r="C926" s="248" t="s">
        <v>216</v>
      </c>
      <c r="D926" s="236">
        <v>0</v>
      </c>
    </row>
    <row r="927" spans="1:4" ht="12" hidden="1" customHeight="1" outlineLevel="1" x14ac:dyDescent="0.3">
      <c r="A927" s="238"/>
      <c r="B927" s="242">
        <v>5300</v>
      </c>
      <c r="C927" s="249" t="s">
        <v>217</v>
      </c>
      <c r="D927" s="236">
        <v>0</v>
      </c>
    </row>
    <row r="928" spans="1:4" ht="12" hidden="1" customHeight="1" outlineLevel="1" x14ac:dyDescent="0.3">
      <c r="A928" s="238"/>
      <c r="B928" s="199">
        <v>6000</v>
      </c>
      <c r="C928" s="200" t="s">
        <v>218</v>
      </c>
      <c r="D928" s="233">
        <v>0</v>
      </c>
    </row>
    <row r="929" spans="1:4" ht="12" hidden="1" customHeight="1" outlineLevel="1" x14ac:dyDescent="0.3">
      <c r="A929" s="238"/>
      <c r="B929" s="242">
        <v>6200</v>
      </c>
      <c r="C929" s="248" t="s">
        <v>219</v>
      </c>
      <c r="D929" s="236">
        <v>0</v>
      </c>
    </row>
    <row r="930" spans="1:4" ht="12" hidden="1" customHeight="1" outlineLevel="1" x14ac:dyDescent="0.3">
      <c r="A930" s="238"/>
      <c r="B930" s="242">
        <v>6300</v>
      </c>
      <c r="C930" s="248" t="s">
        <v>220</v>
      </c>
      <c r="D930" s="236">
        <v>0</v>
      </c>
    </row>
    <row r="931" spans="1:4" ht="12" hidden="1" customHeight="1" outlineLevel="1" x14ac:dyDescent="0.3">
      <c r="A931" s="238"/>
      <c r="B931" s="242">
        <v>6400</v>
      </c>
      <c r="C931" s="248" t="s">
        <v>221</v>
      </c>
      <c r="D931" s="236">
        <v>0</v>
      </c>
    </row>
    <row r="932" spans="1:4" ht="12" hidden="1" customHeight="1" outlineLevel="1" x14ac:dyDescent="0.3">
      <c r="A932" s="238"/>
      <c r="B932" s="242">
        <v>6500</v>
      </c>
      <c r="C932" s="249" t="s">
        <v>222</v>
      </c>
      <c r="D932" s="236">
        <v>0</v>
      </c>
    </row>
    <row r="933" spans="1:4" ht="12" hidden="1" customHeight="1" outlineLevel="1" x14ac:dyDescent="0.3">
      <c r="A933" s="238"/>
      <c r="B933" s="199">
        <v>7000</v>
      </c>
      <c r="C933" s="200" t="s">
        <v>223</v>
      </c>
      <c r="D933" s="233">
        <v>0</v>
      </c>
    </row>
    <row r="934" spans="1:4" ht="12" hidden="1" customHeight="1" outlineLevel="1" x14ac:dyDescent="0.3">
      <c r="A934" s="238"/>
      <c r="B934" s="250">
        <v>7200</v>
      </c>
      <c r="C934" s="251" t="s">
        <v>224</v>
      </c>
      <c r="D934" s="236">
        <v>0</v>
      </c>
    </row>
    <row r="935" spans="1:4" ht="12" hidden="1" customHeight="1" outlineLevel="1" x14ac:dyDescent="0.3">
      <c r="A935" s="238"/>
      <c r="B935" s="250">
        <v>7500</v>
      </c>
      <c r="C935" s="251" t="s">
        <v>225</v>
      </c>
      <c r="D935" s="236">
        <v>0</v>
      </c>
    </row>
    <row r="936" spans="1:4" ht="12" hidden="1" customHeight="1" outlineLevel="1" x14ac:dyDescent="0.3">
      <c r="A936" s="238"/>
      <c r="B936" s="250">
        <v>7700</v>
      </c>
      <c r="C936" s="251" t="s">
        <v>226</v>
      </c>
      <c r="D936" s="236">
        <v>0</v>
      </c>
    </row>
    <row r="937" spans="1:4" ht="12" hidden="1" customHeight="1" outlineLevel="1" x14ac:dyDescent="0.3">
      <c r="A937" s="238"/>
      <c r="B937" s="252">
        <v>8000</v>
      </c>
      <c r="C937" s="253" t="s">
        <v>227</v>
      </c>
      <c r="D937" s="236">
        <v>0</v>
      </c>
    </row>
    <row r="938" spans="1:4" ht="12" hidden="1" customHeight="1" outlineLevel="1" x14ac:dyDescent="0.3">
      <c r="A938" s="238"/>
      <c r="B938" s="254">
        <v>8100</v>
      </c>
      <c r="C938" s="255" t="s">
        <v>228</v>
      </c>
      <c r="D938" s="233">
        <v>0</v>
      </c>
    </row>
    <row r="939" spans="1:4" ht="12" hidden="1" customHeight="1" outlineLevel="1" x14ac:dyDescent="0.3">
      <c r="A939" s="238"/>
      <c r="B939" s="254">
        <v>8600</v>
      </c>
      <c r="C939" s="255" t="s">
        <v>229</v>
      </c>
      <c r="D939" s="236">
        <v>0</v>
      </c>
    </row>
    <row r="940" spans="1:4" ht="12" hidden="1" customHeight="1" outlineLevel="1" x14ac:dyDescent="0.3">
      <c r="A940" s="238"/>
      <c r="B940" s="254">
        <v>8900</v>
      </c>
      <c r="C940" s="255" t="s">
        <v>230</v>
      </c>
      <c r="D940" s="236">
        <v>0</v>
      </c>
    </row>
    <row r="941" spans="1:4" ht="12" hidden="1" customHeight="1" outlineLevel="1" x14ac:dyDescent="0.3">
      <c r="A941" s="238"/>
      <c r="B941" s="252"/>
      <c r="C941" s="277"/>
      <c r="D941" s="236">
        <v>0</v>
      </c>
    </row>
    <row r="942" spans="1:4" ht="12" hidden="1" customHeight="1" outlineLevel="1" x14ac:dyDescent="0.3">
      <c r="A942" s="256" t="s">
        <v>282</v>
      </c>
      <c r="B942" s="257"/>
      <c r="C942" s="258" t="s">
        <v>283</v>
      </c>
      <c r="D942" s="259">
        <v>0</v>
      </c>
    </row>
    <row r="943" spans="1:4" ht="12" hidden="1" customHeight="1" outlineLevel="1" x14ac:dyDescent="0.3">
      <c r="A943" s="238"/>
      <c r="B943" s="228"/>
      <c r="C943" s="229" t="s">
        <v>198</v>
      </c>
      <c r="D943" s="230">
        <v>0</v>
      </c>
    </row>
    <row r="944" spans="1:4" ht="12" hidden="1" customHeight="1" outlineLevel="1" x14ac:dyDescent="0.3">
      <c r="A944" s="238"/>
      <c r="B944" s="231">
        <v>1000</v>
      </c>
      <c r="C944" s="232" t="s">
        <v>199</v>
      </c>
      <c r="D944" s="230">
        <v>0</v>
      </c>
    </row>
    <row r="945" spans="1:4" ht="12" hidden="1" customHeight="1" outlineLevel="1" x14ac:dyDescent="0.3">
      <c r="A945" s="238"/>
      <c r="B945" s="234">
        <v>1100</v>
      </c>
      <c r="C945" s="235" t="s">
        <v>200</v>
      </c>
      <c r="D945" s="236"/>
    </row>
    <row r="946" spans="1:4" ht="12" hidden="1" customHeight="1" outlineLevel="1" x14ac:dyDescent="0.3">
      <c r="A946" s="238"/>
      <c r="B946" s="234">
        <v>1200</v>
      </c>
      <c r="C946" s="237" t="s">
        <v>201</v>
      </c>
      <c r="D946" s="236"/>
    </row>
    <row r="947" spans="1:4" ht="12" hidden="1" customHeight="1" outlineLevel="1" x14ac:dyDescent="0.3">
      <c r="A947" s="238"/>
      <c r="B947" s="239">
        <v>2000</v>
      </c>
      <c r="C947" s="240" t="s">
        <v>202</v>
      </c>
      <c r="D947" s="260">
        <v>0</v>
      </c>
    </row>
    <row r="948" spans="1:4" ht="12" hidden="1" customHeight="1" outlineLevel="1" x14ac:dyDescent="0.3">
      <c r="A948" s="238"/>
      <c r="B948" s="242">
        <v>2100</v>
      </c>
      <c r="C948" s="243" t="s">
        <v>203</v>
      </c>
      <c r="D948" s="244"/>
    </row>
    <row r="949" spans="1:4" ht="12" hidden="1" customHeight="1" outlineLevel="1" x14ac:dyDescent="0.3">
      <c r="A949" s="238"/>
      <c r="B949" s="242">
        <v>2200</v>
      </c>
      <c r="C949" s="243" t="s">
        <v>204</v>
      </c>
      <c r="D949" s="244"/>
    </row>
    <row r="950" spans="1:4" ht="12" hidden="1" customHeight="1" outlineLevel="1" x14ac:dyDescent="0.3">
      <c r="A950" s="238"/>
      <c r="B950" s="242">
        <v>2300</v>
      </c>
      <c r="C950" s="243" t="s">
        <v>205</v>
      </c>
      <c r="D950" s="244"/>
    </row>
    <row r="951" spans="1:4" ht="12" hidden="1" customHeight="1" outlineLevel="1" x14ac:dyDescent="0.3">
      <c r="A951" s="238"/>
      <c r="B951" s="242">
        <v>2400</v>
      </c>
      <c r="C951" s="243" t="s">
        <v>206</v>
      </c>
      <c r="D951" s="244"/>
    </row>
    <row r="952" spans="1:4" ht="12" hidden="1" customHeight="1" outlineLevel="1" x14ac:dyDescent="0.3">
      <c r="A952" s="238"/>
      <c r="B952" s="242">
        <v>2500</v>
      </c>
      <c r="C952" s="243" t="s">
        <v>207</v>
      </c>
      <c r="D952" s="244"/>
    </row>
    <row r="953" spans="1:4" ht="12" hidden="1" customHeight="1" outlineLevel="1" x14ac:dyDescent="0.3">
      <c r="A953" s="238"/>
      <c r="B953" s="199">
        <v>3000</v>
      </c>
      <c r="C953" s="245" t="s">
        <v>208</v>
      </c>
      <c r="D953" s="260">
        <v>0</v>
      </c>
    </row>
    <row r="954" spans="1:4" ht="12" hidden="1" customHeight="1" outlineLevel="1" x14ac:dyDescent="0.3">
      <c r="A954" s="238"/>
      <c r="B954" s="242">
        <v>3200</v>
      </c>
      <c r="C954" s="243" t="s">
        <v>209</v>
      </c>
      <c r="D954" s="244"/>
    </row>
    <row r="955" spans="1:4" ht="12" hidden="1" customHeight="1" outlineLevel="1" x14ac:dyDescent="0.3">
      <c r="A955" s="238"/>
      <c r="B955" s="242">
        <v>3300</v>
      </c>
      <c r="C955" s="243" t="s">
        <v>210</v>
      </c>
      <c r="D955" s="244"/>
    </row>
    <row r="956" spans="1:4" ht="12" hidden="1" customHeight="1" outlineLevel="1" x14ac:dyDescent="0.3">
      <c r="A956" s="238"/>
      <c r="B956" s="199">
        <v>4000</v>
      </c>
      <c r="C956" s="246" t="s">
        <v>211</v>
      </c>
      <c r="D956" s="260">
        <v>0</v>
      </c>
    </row>
    <row r="957" spans="1:4" ht="12" hidden="1" customHeight="1" outlineLevel="1" x14ac:dyDescent="0.3">
      <c r="A957" s="238"/>
      <c r="B957" s="242">
        <v>4200</v>
      </c>
      <c r="C957" s="247" t="s">
        <v>212</v>
      </c>
      <c r="D957" s="244"/>
    </row>
    <row r="958" spans="1:4" ht="12" hidden="1" customHeight="1" outlineLevel="1" x14ac:dyDescent="0.3">
      <c r="A958" s="238"/>
      <c r="B958" s="242">
        <v>4300</v>
      </c>
      <c r="C958" s="247" t="s">
        <v>213</v>
      </c>
      <c r="D958" s="244"/>
    </row>
    <row r="959" spans="1:4" ht="12" hidden="1" customHeight="1" outlineLevel="1" x14ac:dyDescent="0.3">
      <c r="A959" s="238"/>
      <c r="B959" s="199">
        <v>5000</v>
      </c>
      <c r="C959" s="200" t="s">
        <v>214</v>
      </c>
      <c r="D959" s="260">
        <v>0</v>
      </c>
    </row>
    <row r="960" spans="1:4" ht="12" hidden="1" customHeight="1" outlineLevel="1" x14ac:dyDescent="0.3">
      <c r="A960" s="238"/>
      <c r="B960" s="242">
        <v>5100</v>
      </c>
      <c r="C960" s="248" t="s">
        <v>215</v>
      </c>
      <c r="D960" s="260"/>
    </row>
    <row r="961" spans="1:4" ht="12" hidden="1" customHeight="1" outlineLevel="1" x14ac:dyDescent="0.3">
      <c r="A961" s="238"/>
      <c r="B961" s="242">
        <v>5200</v>
      </c>
      <c r="C961" s="248" t="s">
        <v>216</v>
      </c>
      <c r="D961" s="260"/>
    </row>
    <row r="962" spans="1:4" ht="12" hidden="1" customHeight="1" outlineLevel="1" x14ac:dyDescent="0.3">
      <c r="A962" s="238"/>
      <c r="B962" s="242">
        <v>5300</v>
      </c>
      <c r="C962" s="249" t="s">
        <v>217</v>
      </c>
      <c r="D962" s="260"/>
    </row>
    <row r="963" spans="1:4" ht="12" hidden="1" customHeight="1" outlineLevel="1" x14ac:dyDescent="0.3">
      <c r="A963" s="238"/>
      <c r="B963" s="199">
        <v>6000</v>
      </c>
      <c r="C963" s="200" t="s">
        <v>218</v>
      </c>
      <c r="D963" s="260">
        <v>0</v>
      </c>
    </row>
    <row r="964" spans="1:4" ht="12" hidden="1" customHeight="1" outlineLevel="1" x14ac:dyDescent="0.3">
      <c r="A964" s="238"/>
      <c r="B964" s="242">
        <v>6200</v>
      </c>
      <c r="C964" s="248" t="s">
        <v>219</v>
      </c>
      <c r="D964" s="244"/>
    </row>
    <row r="965" spans="1:4" ht="12" hidden="1" customHeight="1" outlineLevel="1" x14ac:dyDescent="0.3">
      <c r="A965" s="238"/>
      <c r="B965" s="242">
        <v>6300</v>
      </c>
      <c r="C965" s="248" t="s">
        <v>220</v>
      </c>
      <c r="D965" s="244"/>
    </row>
    <row r="966" spans="1:4" ht="12" hidden="1" customHeight="1" outlineLevel="1" x14ac:dyDescent="0.3">
      <c r="A966" s="238"/>
      <c r="B966" s="242">
        <v>6400</v>
      </c>
      <c r="C966" s="248" t="s">
        <v>221</v>
      </c>
      <c r="D966" s="244"/>
    </row>
    <row r="967" spans="1:4" ht="12" hidden="1" customHeight="1" outlineLevel="1" x14ac:dyDescent="0.3">
      <c r="A967" s="238"/>
      <c r="B967" s="242">
        <v>6500</v>
      </c>
      <c r="C967" s="249" t="s">
        <v>222</v>
      </c>
      <c r="D967" s="244"/>
    </row>
    <row r="968" spans="1:4" ht="12" hidden="1" customHeight="1" outlineLevel="1" x14ac:dyDescent="0.3">
      <c r="A968" s="238"/>
      <c r="B968" s="199">
        <v>7000</v>
      </c>
      <c r="C968" s="200" t="s">
        <v>223</v>
      </c>
      <c r="D968" s="260">
        <v>0</v>
      </c>
    </row>
    <row r="969" spans="1:4" ht="12" hidden="1" customHeight="1" outlineLevel="1" x14ac:dyDescent="0.3">
      <c r="A969" s="238"/>
      <c r="B969" s="250">
        <v>7200</v>
      </c>
      <c r="C969" s="251" t="s">
        <v>224</v>
      </c>
      <c r="D969" s="244"/>
    </row>
    <row r="970" spans="1:4" ht="12" hidden="1" customHeight="1" outlineLevel="1" x14ac:dyDescent="0.3">
      <c r="A970" s="238"/>
      <c r="B970" s="250">
        <v>7500</v>
      </c>
      <c r="C970" s="251" t="s">
        <v>225</v>
      </c>
      <c r="D970" s="244"/>
    </row>
    <row r="971" spans="1:4" ht="12" hidden="1" customHeight="1" outlineLevel="1" x14ac:dyDescent="0.3">
      <c r="A971" s="238"/>
      <c r="B971" s="250">
        <v>7700</v>
      </c>
      <c r="C971" s="251" t="s">
        <v>226</v>
      </c>
      <c r="D971" s="244"/>
    </row>
    <row r="972" spans="1:4" ht="12" hidden="1" customHeight="1" outlineLevel="1" x14ac:dyDescent="0.3">
      <c r="A972" s="238"/>
      <c r="B972" s="252">
        <v>8000</v>
      </c>
      <c r="C972" s="253" t="s">
        <v>227</v>
      </c>
      <c r="D972" s="260">
        <v>0</v>
      </c>
    </row>
    <row r="973" spans="1:4" ht="12" hidden="1" customHeight="1" outlineLevel="1" x14ac:dyDescent="0.3">
      <c r="A973" s="238"/>
      <c r="B973" s="254">
        <v>8100</v>
      </c>
      <c r="C973" s="255" t="s">
        <v>228</v>
      </c>
      <c r="D973" s="260"/>
    </row>
    <row r="974" spans="1:4" ht="12" hidden="1" customHeight="1" outlineLevel="1" x14ac:dyDescent="0.3">
      <c r="A974" s="238"/>
      <c r="B974" s="254">
        <v>8600</v>
      </c>
      <c r="C974" s="255" t="s">
        <v>229</v>
      </c>
      <c r="D974" s="260"/>
    </row>
    <row r="975" spans="1:4" ht="12" hidden="1" customHeight="1" outlineLevel="1" x14ac:dyDescent="0.3">
      <c r="A975" s="238"/>
      <c r="B975" s="254">
        <v>8900</v>
      </c>
      <c r="C975" s="255" t="s">
        <v>230</v>
      </c>
      <c r="D975" s="260"/>
    </row>
    <row r="976" spans="1:4" ht="12" hidden="1" customHeight="1" outlineLevel="1" x14ac:dyDescent="0.3">
      <c r="A976" s="256" t="s">
        <v>284</v>
      </c>
      <c r="B976" s="257"/>
      <c r="C976" s="258" t="s">
        <v>285</v>
      </c>
      <c r="D976" s="259">
        <v>0</v>
      </c>
    </row>
    <row r="977" spans="1:4" ht="12" hidden="1" customHeight="1" outlineLevel="1" x14ac:dyDescent="0.3">
      <c r="A977" s="227"/>
      <c r="B977" s="228"/>
      <c r="C977" s="229" t="s">
        <v>198</v>
      </c>
      <c r="D977" s="230">
        <v>0</v>
      </c>
    </row>
    <row r="978" spans="1:4" ht="12" hidden="1" customHeight="1" outlineLevel="1" x14ac:dyDescent="0.3">
      <c r="A978" s="227"/>
      <c r="B978" s="231">
        <v>1000</v>
      </c>
      <c r="C978" s="232" t="s">
        <v>199</v>
      </c>
      <c r="D978" s="230">
        <v>0</v>
      </c>
    </row>
    <row r="979" spans="1:4" ht="12" hidden="1" customHeight="1" outlineLevel="1" x14ac:dyDescent="0.3">
      <c r="A979" s="227"/>
      <c r="B979" s="234">
        <v>1100</v>
      </c>
      <c r="C979" s="235" t="s">
        <v>200</v>
      </c>
      <c r="D979" s="236"/>
    </row>
    <row r="980" spans="1:4" ht="12" hidden="1" customHeight="1" outlineLevel="1" x14ac:dyDescent="0.3">
      <c r="A980" s="227"/>
      <c r="B980" s="234">
        <v>1200</v>
      </c>
      <c r="C980" s="237" t="s">
        <v>201</v>
      </c>
      <c r="D980" s="236"/>
    </row>
    <row r="981" spans="1:4" ht="12" hidden="1" customHeight="1" outlineLevel="1" x14ac:dyDescent="0.3">
      <c r="A981" s="238"/>
      <c r="B981" s="239">
        <v>2000</v>
      </c>
      <c r="C981" s="240" t="s">
        <v>202</v>
      </c>
      <c r="D981" s="260">
        <v>0</v>
      </c>
    </row>
    <row r="982" spans="1:4" ht="12" hidden="1" customHeight="1" outlineLevel="1" x14ac:dyDescent="0.3">
      <c r="A982" s="238"/>
      <c r="B982" s="242">
        <v>2100</v>
      </c>
      <c r="C982" s="243" t="s">
        <v>203</v>
      </c>
      <c r="D982" s="244"/>
    </row>
    <row r="983" spans="1:4" ht="12" hidden="1" customHeight="1" outlineLevel="1" x14ac:dyDescent="0.3">
      <c r="A983" s="238"/>
      <c r="B983" s="242">
        <v>2200</v>
      </c>
      <c r="C983" s="243" t="s">
        <v>204</v>
      </c>
      <c r="D983" s="244"/>
    </row>
    <row r="984" spans="1:4" ht="12" hidden="1" customHeight="1" outlineLevel="1" x14ac:dyDescent="0.3">
      <c r="A984" s="238"/>
      <c r="B984" s="242">
        <v>2300</v>
      </c>
      <c r="C984" s="243" t="s">
        <v>205</v>
      </c>
      <c r="D984" s="244"/>
    </row>
    <row r="985" spans="1:4" ht="12" hidden="1" customHeight="1" outlineLevel="1" x14ac:dyDescent="0.3">
      <c r="A985" s="238"/>
      <c r="B985" s="242">
        <v>2400</v>
      </c>
      <c r="C985" s="243" t="s">
        <v>206</v>
      </c>
      <c r="D985" s="244"/>
    </row>
    <row r="986" spans="1:4" ht="12" hidden="1" customHeight="1" outlineLevel="1" x14ac:dyDescent="0.3">
      <c r="A986" s="238"/>
      <c r="B986" s="242">
        <v>2500</v>
      </c>
      <c r="C986" s="243" t="s">
        <v>207</v>
      </c>
      <c r="D986" s="244"/>
    </row>
    <row r="987" spans="1:4" ht="12" hidden="1" customHeight="1" outlineLevel="1" x14ac:dyDescent="0.3">
      <c r="A987" s="238"/>
      <c r="B987" s="199">
        <v>3000</v>
      </c>
      <c r="C987" s="245" t="s">
        <v>208</v>
      </c>
      <c r="D987" s="260">
        <v>0</v>
      </c>
    </row>
    <row r="988" spans="1:4" ht="12" hidden="1" customHeight="1" outlineLevel="1" x14ac:dyDescent="0.3">
      <c r="A988" s="238"/>
      <c r="B988" s="242">
        <v>3200</v>
      </c>
      <c r="C988" s="243" t="s">
        <v>209</v>
      </c>
      <c r="D988" s="244"/>
    </row>
    <row r="989" spans="1:4" ht="12" hidden="1" customHeight="1" outlineLevel="1" x14ac:dyDescent="0.3">
      <c r="A989" s="238"/>
      <c r="B989" s="242">
        <v>3300</v>
      </c>
      <c r="C989" s="243" t="s">
        <v>210</v>
      </c>
      <c r="D989" s="244"/>
    </row>
    <row r="990" spans="1:4" ht="15" hidden="1" customHeight="1" outlineLevel="1" x14ac:dyDescent="0.3">
      <c r="A990" s="238"/>
      <c r="B990" s="199">
        <v>4000</v>
      </c>
      <c r="C990" s="246" t="s">
        <v>211</v>
      </c>
      <c r="D990" s="260">
        <v>0</v>
      </c>
    </row>
    <row r="991" spans="1:4" ht="15" hidden="1" customHeight="1" outlineLevel="1" x14ac:dyDescent="0.3">
      <c r="A991" s="238"/>
      <c r="B991" s="242">
        <v>4200</v>
      </c>
      <c r="C991" s="247" t="s">
        <v>212</v>
      </c>
      <c r="D991" s="244"/>
    </row>
    <row r="992" spans="1:4" ht="15" hidden="1" customHeight="1" outlineLevel="1" x14ac:dyDescent="0.3">
      <c r="A992" s="238"/>
      <c r="B992" s="242">
        <v>4300</v>
      </c>
      <c r="C992" s="247" t="s">
        <v>213</v>
      </c>
      <c r="D992" s="244"/>
    </row>
    <row r="993" spans="1:4" ht="12" hidden="1" customHeight="1" outlineLevel="1" x14ac:dyDescent="0.3">
      <c r="A993" s="238"/>
      <c r="B993" s="199">
        <v>5000</v>
      </c>
      <c r="C993" s="200" t="s">
        <v>214</v>
      </c>
      <c r="D993" s="260">
        <v>0</v>
      </c>
    </row>
    <row r="994" spans="1:4" ht="12" hidden="1" customHeight="1" outlineLevel="1" x14ac:dyDescent="0.3">
      <c r="A994" s="238"/>
      <c r="B994" s="242">
        <v>5100</v>
      </c>
      <c r="C994" s="248" t="s">
        <v>215</v>
      </c>
      <c r="D994" s="260"/>
    </row>
    <row r="995" spans="1:4" ht="12" hidden="1" customHeight="1" outlineLevel="1" x14ac:dyDescent="0.3">
      <c r="A995" s="238"/>
      <c r="B995" s="242">
        <v>5200</v>
      </c>
      <c r="C995" s="248" t="s">
        <v>216</v>
      </c>
      <c r="D995" s="260"/>
    </row>
    <row r="996" spans="1:4" ht="12" hidden="1" customHeight="1" outlineLevel="1" x14ac:dyDescent="0.3">
      <c r="A996" s="238"/>
      <c r="B996" s="242">
        <v>5300</v>
      </c>
      <c r="C996" s="249" t="s">
        <v>217</v>
      </c>
      <c r="D996" s="260"/>
    </row>
    <row r="997" spans="1:4" ht="12" hidden="1" customHeight="1" outlineLevel="1" x14ac:dyDescent="0.3">
      <c r="A997" s="238"/>
      <c r="B997" s="199">
        <v>6000</v>
      </c>
      <c r="C997" s="200" t="s">
        <v>218</v>
      </c>
      <c r="D997" s="260">
        <v>0</v>
      </c>
    </row>
    <row r="998" spans="1:4" ht="12" hidden="1" customHeight="1" outlineLevel="1" x14ac:dyDescent="0.3">
      <c r="A998" s="238"/>
      <c r="B998" s="242">
        <v>6200</v>
      </c>
      <c r="C998" s="248" t="s">
        <v>219</v>
      </c>
      <c r="D998" s="244"/>
    </row>
    <row r="999" spans="1:4" ht="12" hidden="1" customHeight="1" outlineLevel="1" x14ac:dyDescent="0.3">
      <c r="A999" s="238"/>
      <c r="B999" s="242">
        <v>6300</v>
      </c>
      <c r="C999" s="248" t="s">
        <v>220</v>
      </c>
      <c r="D999" s="244"/>
    </row>
    <row r="1000" spans="1:4" ht="12" hidden="1" customHeight="1" outlineLevel="1" x14ac:dyDescent="0.3">
      <c r="A1000" s="238"/>
      <c r="B1000" s="242">
        <v>6400</v>
      </c>
      <c r="C1000" s="248" t="s">
        <v>221</v>
      </c>
      <c r="D1000" s="244"/>
    </row>
    <row r="1001" spans="1:4" ht="12" hidden="1" customHeight="1" outlineLevel="1" x14ac:dyDescent="0.3">
      <c r="A1001" s="238"/>
      <c r="B1001" s="242">
        <v>6500</v>
      </c>
      <c r="C1001" s="249" t="s">
        <v>222</v>
      </c>
      <c r="D1001" s="244"/>
    </row>
    <row r="1002" spans="1:4" ht="12" hidden="1" customHeight="1" outlineLevel="1" x14ac:dyDescent="0.3">
      <c r="A1002" s="238"/>
      <c r="B1002" s="199">
        <v>7000</v>
      </c>
      <c r="C1002" s="200" t="s">
        <v>223</v>
      </c>
      <c r="D1002" s="260">
        <v>0</v>
      </c>
    </row>
    <row r="1003" spans="1:4" ht="12" hidden="1" customHeight="1" outlineLevel="1" x14ac:dyDescent="0.3">
      <c r="A1003" s="238"/>
      <c r="B1003" s="250">
        <v>7200</v>
      </c>
      <c r="C1003" s="251" t="s">
        <v>224</v>
      </c>
      <c r="D1003" s="244"/>
    </row>
    <row r="1004" spans="1:4" ht="12" hidden="1" customHeight="1" outlineLevel="1" x14ac:dyDescent="0.3">
      <c r="A1004" s="238"/>
      <c r="B1004" s="250">
        <v>7500</v>
      </c>
      <c r="C1004" s="251" t="s">
        <v>225</v>
      </c>
      <c r="D1004" s="244"/>
    </row>
    <row r="1005" spans="1:4" ht="12" hidden="1" customHeight="1" outlineLevel="1" x14ac:dyDescent="0.3">
      <c r="A1005" s="238"/>
      <c r="B1005" s="250">
        <v>7700</v>
      </c>
      <c r="C1005" s="251" t="s">
        <v>226</v>
      </c>
      <c r="D1005" s="244"/>
    </row>
    <row r="1006" spans="1:4" ht="12" hidden="1" customHeight="1" outlineLevel="1" x14ac:dyDescent="0.3">
      <c r="A1006" s="238"/>
      <c r="B1006" s="252">
        <v>8000</v>
      </c>
      <c r="C1006" s="253" t="s">
        <v>227</v>
      </c>
      <c r="D1006" s="260">
        <v>0</v>
      </c>
    </row>
    <row r="1007" spans="1:4" ht="12" hidden="1" customHeight="1" outlineLevel="1" x14ac:dyDescent="0.3">
      <c r="A1007" s="238"/>
      <c r="B1007" s="254">
        <v>8100</v>
      </c>
      <c r="C1007" s="255" t="s">
        <v>228</v>
      </c>
      <c r="D1007" s="260"/>
    </row>
    <row r="1008" spans="1:4" ht="12" hidden="1" customHeight="1" outlineLevel="1" x14ac:dyDescent="0.3">
      <c r="A1008" s="238"/>
      <c r="B1008" s="254">
        <v>8600</v>
      </c>
      <c r="C1008" s="255" t="s">
        <v>229</v>
      </c>
      <c r="D1008" s="260"/>
    </row>
    <row r="1009" spans="1:4" ht="12" hidden="1" customHeight="1" outlineLevel="1" x14ac:dyDescent="0.3">
      <c r="A1009" s="238"/>
      <c r="B1009" s="254">
        <v>8900</v>
      </c>
      <c r="C1009" s="255" t="s">
        <v>230</v>
      </c>
      <c r="D1009" s="260"/>
    </row>
    <row r="1010" spans="1:4" ht="12" hidden="1" customHeight="1" outlineLevel="1" x14ac:dyDescent="0.3">
      <c r="A1010" s="256" t="s">
        <v>286</v>
      </c>
      <c r="B1010" s="257"/>
      <c r="C1010" s="258" t="s">
        <v>287</v>
      </c>
      <c r="D1010" s="259">
        <v>0</v>
      </c>
    </row>
    <row r="1011" spans="1:4" ht="12" hidden="1" customHeight="1" outlineLevel="1" x14ac:dyDescent="0.3">
      <c r="A1011" s="238"/>
      <c r="B1011" s="228"/>
      <c r="C1011" s="229" t="s">
        <v>198</v>
      </c>
      <c r="D1011" s="230">
        <v>0</v>
      </c>
    </row>
    <row r="1012" spans="1:4" ht="12" hidden="1" customHeight="1" outlineLevel="1" x14ac:dyDescent="0.3">
      <c r="A1012" s="238"/>
      <c r="B1012" s="231">
        <v>1000</v>
      </c>
      <c r="C1012" s="232" t="s">
        <v>199</v>
      </c>
      <c r="D1012" s="230">
        <v>0</v>
      </c>
    </row>
    <row r="1013" spans="1:4" ht="12" hidden="1" customHeight="1" outlineLevel="1" x14ac:dyDescent="0.3">
      <c r="A1013" s="238"/>
      <c r="B1013" s="234">
        <v>1100</v>
      </c>
      <c r="C1013" s="235" t="s">
        <v>200</v>
      </c>
      <c r="D1013" s="236"/>
    </row>
    <row r="1014" spans="1:4" ht="12" hidden="1" customHeight="1" outlineLevel="1" x14ac:dyDescent="0.3">
      <c r="A1014" s="238"/>
      <c r="B1014" s="234">
        <v>1200</v>
      </c>
      <c r="C1014" s="237" t="s">
        <v>201</v>
      </c>
      <c r="D1014" s="236"/>
    </row>
    <row r="1015" spans="1:4" ht="12" hidden="1" customHeight="1" outlineLevel="1" x14ac:dyDescent="0.3">
      <c r="A1015" s="238"/>
      <c r="B1015" s="239">
        <v>2000</v>
      </c>
      <c r="C1015" s="240" t="s">
        <v>202</v>
      </c>
      <c r="D1015" s="260">
        <v>0</v>
      </c>
    </row>
    <row r="1016" spans="1:4" ht="12" hidden="1" customHeight="1" outlineLevel="1" x14ac:dyDescent="0.3">
      <c r="A1016" s="238"/>
      <c r="B1016" s="242">
        <v>2100</v>
      </c>
      <c r="C1016" s="243" t="s">
        <v>203</v>
      </c>
      <c r="D1016" s="244"/>
    </row>
    <row r="1017" spans="1:4" ht="12" hidden="1" customHeight="1" outlineLevel="1" x14ac:dyDescent="0.3">
      <c r="A1017" s="238"/>
      <c r="B1017" s="242">
        <v>2200</v>
      </c>
      <c r="C1017" s="243" t="s">
        <v>204</v>
      </c>
      <c r="D1017" s="244"/>
    </row>
    <row r="1018" spans="1:4" ht="12" hidden="1" customHeight="1" outlineLevel="1" x14ac:dyDescent="0.3">
      <c r="A1018" s="238"/>
      <c r="B1018" s="242">
        <v>2300</v>
      </c>
      <c r="C1018" s="243" t="s">
        <v>205</v>
      </c>
      <c r="D1018" s="244"/>
    </row>
    <row r="1019" spans="1:4" ht="12" hidden="1" customHeight="1" outlineLevel="1" x14ac:dyDescent="0.3">
      <c r="A1019" s="238"/>
      <c r="B1019" s="242">
        <v>2400</v>
      </c>
      <c r="C1019" s="243" t="s">
        <v>206</v>
      </c>
      <c r="D1019" s="244"/>
    </row>
    <row r="1020" spans="1:4" ht="12" hidden="1" customHeight="1" outlineLevel="1" x14ac:dyDescent="0.3">
      <c r="A1020" s="238"/>
      <c r="B1020" s="242">
        <v>2500</v>
      </c>
      <c r="C1020" s="243" t="s">
        <v>207</v>
      </c>
      <c r="D1020" s="244"/>
    </row>
    <row r="1021" spans="1:4" ht="12" hidden="1" customHeight="1" outlineLevel="1" x14ac:dyDescent="0.3">
      <c r="A1021" s="238"/>
      <c r="B1021" s="199">
        <v>3000</v>
      </c>
      <c r="C1021" s="245" t="s">
        <v>208</v>
      </c>
      <c r="D1021" s="260">
        <v>0</v>
      </c>
    </row>
    <row r="1022" spans="1:4" ht="12" hidden="1" customHeight="1" outlineLevel="1" x14ac:dyDescent="0.3">
      <c r="A1022" s="238"/>
      <c r="B1022" s="242">
        <v>3200</v>
      </c>
      <c r="C1022" s="243" t="s">
        <v>209</v>
      </c>
      <c r="D1022" s="244"/>
    </row>
    <row r="1023" spans="1:4" ht="12" hidden="1" customHeight="1" outlineLevel="1" x14ac:dyDescent="0.3">
      <c r="A1023" s="238"/>
      <c r="B1023" s="242">
        <v>3300</v>
      </c>
      <c r="C1023" s="243" t="s">
        <v>210</v>
      </c>
      <c r="D1023" s="244"/>
    </row>
    <row r="1024" spans="1:4" ht="12" hidden="1" customHeight="1" outlineLevel="1" x14ac:dyDescent="0.3">
      <c r="A1024" s="238"/>
      <c r="B1024" s="199">
        <v>4000</v>
      </c>
      <c r="C1024" s="246" t="s">
        <v>211</v>
      </c>
      <c r="D1024" s="260">
        <v>0</v>
      </c>
    </row>
    <row r="1025" spans="1:4" ht="12" hidden="1" customHeight="1" outlineLevel="1" x14ac:dyDescent="0.3">
      <c r="A1025" s="238"/>
      <c r="B1025" s="242">
        <v>4200</v>
      </c>
      <c r="C1025" s="247" t="s">
        <v>212</v>
      </c>
      <c r="D1025" s="244"/>
    </row>
    <row r="1026" spans="1:4" ht="12" hidden="1" customHeight="1" outlineLevel="1" x14ac:dyDescent="0.3">
      <c r="A1026" s="238"/>
      <c r="B1026" s="242">
        <v>4300</v>
      </c>
      <c r="C1026" s="247" t="s">
        <v>213</v>
      </c>
      <c r="D1026" s="244"/>
    </row>
    <row r="1027" spans="1:4" ht="12" hidden="1" customHeight="1" outlineLevel="1" x14ac:dyDescent="0.3">
      <c r="A1027" s="238"/>
      <c r="B1027" s="199">
        <v>5000</v>
      </c>
      <c r="C1027" s="200" t="s">
        <v>214</v>
      </c>
      <c r="D1027" s="260">
        <v>0</v>
      </c>
    </row>
    <row r="1028" spans="1:4" ht="12" hidden="1" customHeight="1" outlineLevel="1" x14ac:dyDescent="0.3">
      <c r="A1028" s="238"/>
      <c r="B1028" s="242">
        <v>5100</v>
      </c>
      <c r="C1028" s="248" t="s">
        <v>215</v>
      </c>
      <c r="D1028" s="260"/>
    </row>
    <row r="1029" spans="1:4" ht="12" hidden="1" customHeight="1" outlineLevel="1" x14ac:dyDescent="0.3">
      <c r="A1029" s="238"/>
      <c r="B1029" s="242">
        <v>5200</v>
      </c>
      <c r="C1029" s="248" t="s">
        <v>216</v>
      </c>
      <c r="D1029" s="260"/>
    </row>
    <row r="1030" spans="1:4" ht="12" hidden="1" customHeight="1" outlineLevel="1" x14ac:dyDescent="0.3">
      <c r="A1030" s="238"/>
      <c r="B1030" s="242">
        <v>5300</v>
      </c>
      <c r="C1030" s="249" t="s">
        <v>217</v>
      </c>
      <c r="D1030" s="260"/>
    </row>
    <row r="1031" spans="1:4" ht="12" hidden="1" customHeight="1" outlineLevel="1" x14ac:dyDescent="0.3">
      <c r="A1031" s="238"/>
      <c r="B1031" s="199">
        <v>6000</v>
      </c>
      <c r="C1031" s="200" t="s">
        <v>218</v>
      </c>
      <c r="D1031" s="260">
        <v>0</v>
      </c>
    </row>
    <row r="1032" spans="1:4" ht="12" hidden="1" customHeight="1" outlineLevel="1" x14ac:dyDescent="0.3">
      <c r="A1032" s="238"/>
      <c r="B1032" s="242">
        <v>6200</v>
      </c>
      <c r="C1032" s="248" t="s">
        <v>219</v>
      </c>
      <c r="D1032" s="244"/>
    </row>
    <row r="1033" spans="1:4" ht="12" hidden="1" customHeight="1" outlineLevel="1" x14ac:dyDescent="0.3">
      <c r="A1033" s="238"/>
      <c r="B1033" s="242">
        <v>6300</v>
      </c>
      <c r="C1033" s="248" t="s">
        <v>220</v>
      </c>
      <c r="D1033" s="244"/>
    </row>
    <row r="1034" spans="1:4" ht="12" hidden="1" customHeight="1" outlineLevel="1" x14ac:dyDescent="0.3">
      <c r="A1034" s="238"/>
      <c r="B1034" s="242">
        <v>6400</v>
      </c>
      <c r="C1034" s="248" t="s">
        <v>221</v>
      </c>
      <c r="D1034" s="244"/>
    </row>
    <row r="1035" spans="1:4" ht="12" hidden="1" customHeight="1" outlineLevel="1" x14ac:dyDescent="0.3">
      <c r="A1035" s="238"/>
      <c r="B1035" s="242">
        <v>6500</v>
      </c>
      <c r="C1035" s="249" t="s">
        <v>222</v>
      </c>
      <c r="D1035" s="244"/>
    </row>
    <row r="1036" spans="1:4" ht="12" hidden="1" customHeight="1" outlineLevel="1" x14ac:dyDescent="0.3">
      <c r="A1036" s="238"/>
      <c r="B1036" s="199">
        <v>7000</v>
      </c>
      <c r="C1036" s="200" t="s">
        <v>223</v>
      </c>
      <c r="D1036" s="260">
        <v>0</v>
      </c>
    </row>
    <row r="1037" spans="1:4" ht="12" hidden="1" customHeight="1" outlineLevel="1" x14ac:dyDescent="0.3">
      <c r="A1037" s="238"/>
      <c r="B1037" s="250">
        <v>7200</v>
      </c>
      <c r="C1037" s="251" t="s">
        <v>224</v>
      </c>
      <c r="D1037" s="244"/>
    </row>
    <row r="1038" spans="1:4" ht="12" hidden="1" customHeight="1" outlineLevel="1" x14ac:dyDescent="0.3">
      <c r="A1038" s="238"/>
      <c r="B1038" s="250">
        <v>7500</v>
      </c>
      <c r="C1038" s="251" t="s">
        <v>225</v>
      </c>
      <c r="D1038" s="244"/>
    </row>
    <row r="1039" spans="1:4" ht="12" hidden="1" customHeight="1" outlineLevel="1" x14ac:dyDescent="0.3">
      <c r="A1039" s="238"/>
      <c r="B1039" s="250">
        <v>7700</v>
      </c>
      <c r="C1039" s="251" t="s">
        <v>226</v>
      </c>
      <c r="D1039" s="244"/>
    </row>
    <row r="1040" spans="1:4" ht="12" hidden="1" customHeight="1" outlineLevel="1" x14ac:dyDescent="0.3">
      <c r="A1040" s="238"/>
      <c r="B1040" s="252">
        <v>8000</v>
      </c>
      <c r="C1040" s="253" t="s">
        <v>227</v>
      </c>
      <c r="D1040" s="260">
        <v>0</v>
      </c>
    </row>
    <row r="1041" spans="1:4" ht="12" hidden="1" customHeight="1" outlineLevel="1" x14ac:dyDescent="0.3">
      <c r="A1041" s="238"/>
      <c r="B1041" s="254">
        <v>8100</v>
      </c>
      <c r="C1041" s="255" t="s">
        <v>228</v>
      </c>
      <c r="D1041" s="260"/>
    </row>
    <row r="1042" spans="1:4" ht="12" hidden="1" customHeight="1" outlineLevel="1" x14ac:dyDescent="0.3">
      <c r="A1042" s="238"/>
      <c r="B1042" s="254">
        <v>8600</v>
      </c>
      <c r="C1042" s="255" t="s">
        <v>229</v>
      </c>
      <c r="D1042" s="260"/>
    </row>
    <row r="1043" spans="1:4" ht="12" hidden="1" customHeight="1" outlineLevel="1" x14ac:dyDescent="0.3">
      <c r="A1043" s="238"/>
      <c r="B1043" s="254">
        <v>8900</v>
      </c>
      <c r="C1043" s="255" t="s">
        <v>230</v>
      </c>
      <c r="D1043" s="260"/>
    </row>
    <row r="1044" spans="1:4" ht="12" hidden="1" customHeight="1" outlineLevel="1" x14ac:dyDescent="0.3">
      <c r="A1044" s="256" t="s">
        <v>288</v>
      </c>
      <c r="B1044" s="257"/>
      <c r="C1044" s="258" t="s">
        <v>289</v>
      </c>
      <c r="D1044" s="259">
        <v>0</v>
      </c>
    </row>
    <row r="1045" spans="1:4" ht="12" hidden="1" customHeight="1" outlineLevel="1" x14ac:dyDescent="0.3">
      <c r="A1045" s="227"/>
      <c r="B1045" s="228"/>
      <c r="C1045" s="229" t="s">
        <v>198</v>
      </c>
      <c r="D1045" s="230">
        <v>0</v>
      </c>
    </row>
    <row r="1046" spans="1:4" ht="12" hidden="1" customHeight="1" outlineLevel="1" x14ac:dyDescent="0.3">
      <c r="A1046" s="227"/>
      <c r="B1046" s="231">
        <v>1000</v>
      </c>
      <c r="C1046" s="232" t="s">
        <v>199</v>
      </c>
      <c r="D1046" s="230">
        <v>0</v>
      </c>
    </row>
    <row r="1047" spans="1:4" ht="12" hidden="1" customHeight="1" outlineLevel="1" x14ac:dyDescent="0.3">
      <c r="A1047" s="227"/>
      <c r="B1047" s="234">
        <v>1100</v>
      </c>
      <c r="C1047" s="235" t="s">
        <v>200</v>
      </c>
      <c r="D1047" s="236"/>
    </row>
    <row r="1048" spans="1:4" ht="12" hidden="1" customHeight="1" outlineLevel="1" x14ac:dyDescent="0.3">
      <c r="A1048" s="227"/>
      <c r="B1048" s="234">
        <v>1200</v>
      </c>
      <c r="C1048" s="237" t="s">
        <v>201</v>
      </c>
      <c r="D1048" s="236"/>
    </row>
    <row r="1049" spans="1:4" ht="12" hidden="1" customHeight="1" outlineLevel="1" x14ac:dyDescent="0.3">
      <c r="A1049" s="238"/>
      <c r="B1049" s="239">
        <v>2000</v>
      </c>
      <c r="C1049" s="240" t="s">
        <v>202</v>
      </c>
      <c r="D1049" s="260">
        <v>0</v>
      </c>
    </row>
    <row r="1050" spans="1:4" ht="12" hidden="1" customHeight="1" outlineLevel="1" x14ac:dyDescent="0.3">
      <c r="A1050" s="238"/>
      <c r="B1050" s="242">
        <v>2100</v>
      </c>
      <c r="C1050" s="243" t="s">
        <v>203</v>
      </c>
      <c r="D1050" s="244"/>
    </row>
    <row r="1051" spans="1:4" ht="12" hidden="1" customHeight="1" outlineLevel="1" x14ac:dyDescent="0.3">
      <c r="A1051" s="238"/>
      <c r="B1051" s="242">
        <v>2200</v>
      </c>
      <c r="C1051" s="243" t="s">
        <v>204</v>
      </c>
      <c r="D1051" s="244"/>
    </row>
    <row r="1052" spans="1:4" ht="12" hidden="1" customHeight="1" outlineLevel="1" x14ac:dyDescent="0.3">
      <c r="A1052" s="238"/>
      <c r="B1052" s="242">
        <v>2300</v>
      </c>
      <c r="C1052" s="243" t="s">
        <v>205</v>
      </c>
      <c r="D1052" s="244"/>
    </row>
    <row r="1053" spans="1:4" ht="12" hidden="1" customHeight="1" outlineLevel="1" x14ac:dyDescent="0.3">
      <c r="A1053" s="238"/>
      <c r="B1053" s="242">
        <v>2400</v>
      </c>
      <c r="C1053" s="243" t="s">
        <v>206</v>
      </c>
      <c r="D1053" s="244"/>
    </row>
    <row r="1054" spans="1:4" ht="12" hidden="1" customHeight="1" outlineLevel="1" x14ac:dyDescent="0.3">
      <c r="A1054" s="238"/>
      <c r="B1054" s="242">
        <v>2500</v>
      </c>
      <c r="C1054" s="243" t="s">
        <v>207</v>
      </c>
      <c r="D1054" s="244"/>
    </row>
    <row r="1055" spans="1:4" ht="12" hidden="1" customHeight="1" outlineLevel="1" x14ac:dyDescent="0.3">
      <c r="A1055" s="238"/>
      <c r="B1055" s="199">
        <v>3000</v>
      </c>
      <c r="C1055" s="245" t="s">
        <v>208</v>
      </c>
      <c r="D1055" s="260">
        <v>0</v>
      </c>
    </row>
    <row r="1056" spans="1:4" ht="12" hidden="1" customHeight="1" outlineLevel="1" x14ac:dyDescent="0.3">
      <c r="A1056" s="238"/>
      <c r="B1056" s="242">
        <v>3200</v>
      </c>
      <c r="C1056" s="243" t="s">
        <v>209</v>
      </c>
      <c r="D1056" s="244"/>
    </row>
    <row r="1057" spans="1:4" ht="12" hidden="1" customHeight="1" outlineLevel="1" x14ac:dyDescent="0.3">
      <c r="A1057" s="238"/>
      <c r="B1057" s="242">
        <v>3300</v>
      </c>
      <c r="C1057" s="243" t="s">
        <v>210</v>
      </c>
      <c r="D1057" s="244"/>
    </row>
    <row r="1058" spans="1:4" ht="12" hidden="1" customHeight="1" outlineLevel="1" x14ac:dyDescent="0.3">
      <c r="A1058" s="238"/>
      <c r="B1058" s="199">
        <v>4000</v>
      </c>
      <c r="C1058" s="246" t="s">
        <v>211</v>
      </c>
      <c r="D1058" s="260">
        <v>0</v>
      </c>
    </row>
    <row r="1059" spans="1:4" ht="12" hidden="1" customHeight="1" outlineLevel="1" x14ac:dyDescent="0.3">
      <c r="A1059" s="238"/>
      <c r="B1059" s="242">
        <v>4200</v>
      </c>
      <c r="C1059" s="247" t="s">
        <v>212</v>
      </c>
      <c r="D1059" s="244"/>
    </row>
    <row r="1060" spans="1:4" ht="12" hidden="1" customHeight="1" outlineLevel="1" x14ac:dyDescent="0.3">
      <c r="A1060" s="238"/>
      <c r="B1060" s="242">
        <v>4300</v>
      </c>
      <c r="C1060" s="247" t="s">
        <v>213</v>
      </c>
      <c r="D1060" s="244"/>
    </row>
    <row r="1061" spans="1:4" ht="12" hidden="1" customHeight="1" outlineLevel="1" x14ac:dyDescent="0.3">
      <c r="A1061" s="238"/>
      <c r="B1061" s="199">
        <v>5000</v>
      </c>
      <c r="C1061" s="200" t="s">
        <v>214</v>
      </c>
      <c r="D1061" s="260">
        <v>0</v>
      </c>
    </row>
    <row r="1062" spans="1:4" ht="12" hidden="1" customHeight="1" outlineLevel="1" x14ac:dyDescent="0.3">
      <c r="A1062" s="238"/>
      <c r="B1062" s="242">
        <v>5100</v>
      </c>
      <c r="C1062" s="248" t="s">
        <v>215</v>
      </c>
      <c r="D1062" s="260"/>
    </row>
    <row r="1063" spans="1:4" ht="12" hidden="1" customHeight="1" outlineLevel="1" x14ac:dyDescent="0.3">
      <c r="A1063" s="238"/>
      <c r="B1063" s="242">
        <v>5200</v>
      </c>
      <c r="C1063" s="248" t="s">
        <v>216</v>
      </c>
      <c r="D1063" s="260"/>
    </row>
    <row r="1064" spans="1:4" ht="12" hidden="1" customHeight="1" outlineLevel="1" x14ac:dyDescent="0.3">
      <c r="A1064" s="238"/>
      <c r="B1064" s="242">
        <v>5300</v>
      </c>
      <c r="C1064" s="249" t="s">
        <v>217</v>
      </c>
      <c r="D1064" s="260"/>
    </row>
    <row r="1065" spans="1:4" ht="12" hidden="1" customHeight="1" outlineLevel="1" x14ac:dyDescent="0.3">
      <c r="A1065" s="238"/>
      <c r="B1065" s="199">
        <v>6000</v>
      </c>
      <c r="C1065" s="200" t="s">
        <v>218</v>
      </c>
      <c r="D1065" s="260">
        <v>0</v>
      </c>
    </row>
    <row r="1066" spans="1:4" ht="12" hidden="1" customHeight="1" outlineLevel="1" x14ac:dyDescent="0.3">
      <c r="A1066" s="238"/>
      <c r="B1066" s="242">
        <v>6200</v>
      </c>
      <c r="C1066" s="248" t="s">
        <v>219</v>
      </c>
      <c r="D1066" s="244"/>
    </row>
    <row r="1067" spans="1:4" ht="12" hidden="1" customHeight="1" outlineLevel="1" x14ac:dyDescent="0.3">
      <c r="A1067" s="238"/>
      <c r="B1067" s="242">
        <v>6300</v>
      </c>
      <c r="C1067" s="248" t="s">
        <v>220</v>
      </c>
      <c r="D1067" s="244"/>
    </row>
    <row r="1068" spans="1:4" ht="12" hidden="1" customHeight="1" outlineLevel="1" x14ac:dyDescent="0.3">
      <c r="A1068" s="238"/>
      <c r="B1068" s="242">
        <v>6400</v>
      </c>
      <c r="C1068" s="248" t="s">
        <v>221</v>
      </c>
      <c r="D1068" s="244"/>
    </row>
    <row r="1069" spans="1:4" ht="12" hidden="1" customHeight="1" outlineLevel="1" x14ac:dyDescent="0.3">
      <c r="A1069" s="238"/>
      <c r="B1069" s="242">
        <v>6500</v>
      </c>
      <c r="C1069" s="249" t="s">
        <v>222</v>
      </c>
      <c r="D1069" s="244"/>
    </row>
    <row r="1070" spans="1:4" ht="12" hidden="1" customHeight="1" outlineLevel="1" x14ac:dyDescent="0.3">
      <c r="A1070" s="238"/>
      <c r="B1070" s="199">
        <v>7000</v>
      </c>
      <c r="C1070" s="200" t="s">
        <v>223</v>
      </c>
      <c r="D1070" s="260">
        <v>0</v>
      </c>
    </row>
    <row r="1071" spans="1:4" ht="12" hidden="1" customHeight="1" outlineLevel="1" x14ac:dyDescent="0.3">
      <c r="A1071" s="238"/>
      <c r="B1071" s="250">
        <v>7200</v>
      </c>
      <c r="C1071" s="251" t="s">
        <v>224</v>
      </c>
      <c r="D1071" s="244"/>
    </row>
    <row r="1072" spans="1:4" ht="12" hidden="1" customHeight="1" outlineLevel="1" x14ac:dyDescent="0.3">
      <c r="A1072" s="238"/>
      <c r="B1072" s="250">
        <v>7500</v>
      </c>
      <c r="C1072" s="251" t="s">
        <v>225</v>
      </c>
      <c r="D1072" s="244"/>
    </row>
    <row r="1073" spans="1:4" ht="12" hidden="1" customHeight="1" outlineLevel="1" x14ac:dyDescent="0.3">
      <c r="A1073" s="238"/>
      <c r="B1073" s="250">
        <v>7700</v>
      </c>
      <c r="C1073" s="251" t="s">
        <v>226</v>
      </c>
      <c r="D1073" s="244"/>
    </row>
    <row r="1074" spans="1:4" ht="12" hidden="1" customHeight="1" outlineLevel="1" x14ac:dyDescent="0.3">
      <c r="A1074" s="238"/>
      <c r="B1074" s="252">
        <v>8000</v>
      </c>
      <c r="C1074" s="253" t="s">
        <v>227</v>
      </c>
      <c r="D1074" s="260">
        <v>0</v>
      </c>
    </row>
    <row r="1075" spans="1:4" ht="12" hidden="1" customHeight="1" outlineLevel="1" x14ac:dyDescent="0.3">
      <c r="A1075" s="238"/>
      <c r="B1075" s="254">
        <v>8100</v>
      </c>
      <c r="C1075" s="255" t="s">
        <v>228</v>
      </c>
      <c r="D1075" s="260"/>
    </row>
    <row r="1076" spans="1:4" ht="12" hidden="1" customHeight="1" outlineLevel="1" x14ac:dyDescent="0.3">
      <c r="A1076" s="238"/>
      <c r="B1076" s="254">
        <v>8600</v>
      </c>
      <c r="C1076" s="255" t="s">
        <v>229</v>
      </c>
      <c r="D1076" s="260"/>
    </row>
    <row r="1077" spans="1:4" ht="12" hidden="1" customHeight="1" outlineLevel="1" x14ac:dyDescent="0.3">
      <c r="A1077" s="238"/>
      <c r="B1077" s="254">
        <v>8900</v>
      </c>
      <c r="C1077" s="255" t="s">
        <v>230</v>
      </c>
      <c r="D1077" s="260"/>
    </row>
    <row r="1078" spans="1:4" ht="12" hidden="1" customHeight="1" outlineLevel="1" x14ac:dyDescent="0.3">
      <c r="A1078" s="256" t="s">
        <v>290</v>
      </c>
      <c r="B1078" s="257"/>
      <c r="C1078" s="258" t="s">
        <v>291</v>
      </c>
      <c r="D1078" s="259">
        <v>0</v>
      </c>
    </row>
    <row r="1079" spans="1:4" ht="12" hidden="1" customHeight="1" outlineLevel="1" x14ac:dyDescent="0.3">
      <c r="A1079" s="227"/>
      <c r="B1079" s="228"/>
      <c r="C1079" s="229" t="s">
        <v>198</v>
      </c>
      <c r="D1079" s="230">
        <v>0</v>
      </c>
    </row>
    <row r="1080" spans="1:4" ht="12" hidden="1" customHeight="1" outlineLevel="1" x14ac:dyDescent="0.3">
      <c r="A1080" s="227"/>
      <c r="B1080" s="231">
        <v>1000</v>
      </c>
      <c r="C1080" s="232" t="s">
        <v>199</v>
      </c>
      <c r="D1080" s="230">
        <v>0</v>
      </c>
    </row>
    <row r="1081" spans="1:4" ht="12" hidden="1" customHeight="1" outlineLevel="1" x14ac:dyDescent="0.3">
      <c r="A1081" s="227"/>
      <c r="B1081" s="234">
        <v>1100</v>
      </c>
      <c r="C1081" s="235" t="s">
        <v>200</v>
      </c>
      <c r="D1081" s="236"/>
    </row>
    <row r="1082" spans="1:4" ht="12" hidden="1" customHeight="1" outlineLevel="1" x14ac:dyDescent="0.3">
      <c r="A1082" s="227"/>
      <c r="B1082" s="234">
        <v>1200</v>
      </c>
      <c r="C1082" s="237" t="s">
        <v>201</v>
      </c>
      <c r="D1082" s="236"/>
    </row>
    <row r="1083" spans="1:4" ht="12" hidden="1" customHeight="1" outlineLevel="1" x14ac:dyDescent="0.3">
      <c r="A1083" s="238"/>
      <c r="B1083" s="239">
        <v>2000</v>
      </c>
      <c r="C1083" s="240" t="s">
        <v>202</v>
      </c>
      <c r="D1083" s="260">
        <v>0</v>
      </c>
    </row>
    <row r="1084" spans="1:4" ht="12" hidden="1" customHeight="1" outlineLevel="1" x14ac:dyDescent="0.3">
      <c r="A1084" s="238"/>
      <c r="B1084" s="242">
        <v>2100</v>
      </c>
      <c r="C1084" s="243" t="s">
        <v>203</v>
      </c>
      <c r="D1084" s="244"/>
    </row>
    <row r="1085" spans="1:4" ht="12" hidden="1" customHeight="1" outlineLevel="1" x14ac:dyDescent="0.3">
      <c r="A1085" s="238"/>
      <c r="B1085" s="242">
        <v>2200</v>
      </c>
      <c r="C1085" s="243" t="s">
        <v>204</v>
      </c>
      <c r="D1085" s="244"/>
    </row>
    <row r="1086" spans="1:4" ht="12" hidden="1" customHeight="1" outlineLevel="1" x14ac:dyDescent="0.3">
      <c r="A1086" s="238"/>
      <c r="B1086" s="242">
        <v>2300</v>
      </c>
      <c r="C1086" s="243" t="s">
        <v>205</v>
      </c>
      <c r="D1086" s="244"/>
    </row>
    <row r="1087" spans="1:4" ht="12" hidden="1" customHeight="1" outlineLevel="1" x14ac:dyDescent="0.3">
      <c r="A1087" s="238"/>
      <c r="B1087" s="242">
        <v>2400</v>
      </c>
      <c r="C1087" s="243" t="s">
        <v>206</v>
      </c>
      <c r="D1087" s="244"/>
    </row>
    <row r="1088" spans="1:4" ht="12" hidden="1" customHeight="1" outlineLevel="1" x14ac:dyDescent="0.3">
      <c r="A1088" s="238"/>
      <c r="B1088" s="242">
        <v>2500</v>
      </c>
      <c r="C1088" s="243" t="s">
        <v>207</v>
      </c>
      <c r="D1088" s="244"/>
    </row>
    <row r="1089" spans="1:4" ht="12" hidden="1" customHeight="1" outlineLevel="1" x14ac:dyDescent="0.3">
      <c r="A1089" s="238"/>
      <c r="B1089" s="199">
        <v>3000</v>
      </c>
      <c r="C1089" s="245" t="s">
        <v>208</v>
      </c>
      <c r="D1089" s="260">
        <v>0</v>
      </c>
    </row>
    <row r="1090" spans="1:4" ht="12" hidden="1" customHeight="1" outlineLevel="1" x14ac:dyDescent="0.3">
      <c r="A1090" s="238"/>
      <c r="B1090" s="242">
        <v>3200</v>
      </c>
      <c r="C1090" s="243" t="s">
        <v>209</v>
      </c>
      <c r="D1090" s="244"/>
    </row>
    <row r="1091" spans="1:4" ht="12" hidden="1" customHeight="1" outlineLevel="1" x14ac:dyDescent="0.3">
      <c r="A1091" s="238"/>
      <c r="B1091" s="242">
        <v>3300</v>
      </c>
      <c r="C1091" s="243" t="s">
        <v>210</v>
      </c>
      <c r="D1091" s="244"/>
    </row>
    <row r="1092" spans="1:4" ht="12" hidden="1" customHeight="1" outlineLevel="1" x14ac:dyDescent="0.3">
      <c r="A1092" s="238"/>
      <c r="B1092" s="199">
        <v>4000</v>
      </c>
      <c r="C1092" s="246" t="s">
        <v>211</v>
      </c>
      <c r="D1092" s="260">
        <v>0</v>
      </c>
    </row>
    <row r="1093" spans="1:4" ht="12" hidden="1" customHeight="1" outlineLevel="1" x14ac:dyDescent="0.3">
      <c r="A1093" s="238"/>
      <c r="B1093" s="242">
        <v>4200</v>
      </c>
      <c r="C1093" s="247" t="s">
        <v>212</v>
      </c>
      <c r="D1093" s="244"/>
    </row>
    <row r="1094" spans="1:4" ht="12" hidden="1" customHeight="1" outlineLevel="1" x14ac:dyDescent="0.3">
      <c r="A1094" s="238"/>
      <c r="B1094" s="242">
        <v>4300</v>
      </c>
      <c r="C1094" s="247" t="s">
        <v>213</v>
      </c>
      <c r="D1094" s="244"/>
    </row>
    <row r="1095" spans="1:4" ht="12" hidden="1" customHeight="1" outlineLevel="1" x14ac:dyDescent="0.3">
      <c r="A1095" s="238"/>
      <c r="B1095" s="199">
        <v>5000</v>
      </c>
      <c r="C1095" s="200" t="s">
        <v>214</v>
      </c>
      <c r="D1095" s="260">
        <v>0</v>
      </c>
    </row>
    <row r="1096" spans="1:4" ht="12" hidden="1" customHeight="1" outlineLevel="1" x14ac:dyDescent="0.3">
      <c r="A1096" s="238"/>
      <c r="B1096" s="242">
        <v>5100</v>
      </c>
      <c r="C1096" s="248" t="s">
        <v>215</v>
      </c>
      <c r="D1096" s="260"/>
    </row>
    <row r="1097" spans="1:4" ht="12" hidden="1" customHeight="1" outlineLevel="1" x14ac:dyDescent="0.3">
      <c r="A1097" s="238"/>
      <c r="B1097" s="242">
        <v>5200</v>
      </c>
      <c r="C1097" s="248" t="s">
        <v>216</v>
      </c>
      <c r="D1097" s="260"/>
    </row>
    <row r="1098" spans="1:4" ht="12" hidden="1" customHeight="1" outlineLevel="1" x14ac:dyDescent="0.3">
      <c r="A1098" s="238"/>
      <c r="B1098" s="242">
        <v>5300</v>
      </c>
      <c r="C1098" s="249" t="s">
        <v>217</v>
      </c>
      <c r="D1098" s="260"/>
    </row>
    <row r="1099" spans="1:4" ht="12" hidden="1" customHeight="1" outlineLevel="1" x14ac:dyDescent="0.3">
      <c r="A1099" s="238"/>
      <c r="B1099" s="199">
        <v>6000</v>
      </c>
      <c r="C1099" s="200" t="s">
        <v>218</v>
      </c>
      <c r="D1099" s="260">
        <v>0</v>
      </c>
    </row>
    <row r="1100" spans="1:4" ht="12" hidden="1" customHeight="1" outlineLevel="1" x14ac:dyDescent="0.3">
      <c r="A1100" s="238"/>
      <c r="B1100" s="242">
        <v>6200</v>
      </c>
      <c r="C1100" s="248" t="s">
        <v>219</v>
      </c>
      <c r="D1100" s="244"/>
    </row>
    <row r="1101" spans="1:4" ht="12" hidden="1" customHeight="1" outlineLevel="1" x14ac:dyDescent="0.3">
      <c r="A1101" s="238"/>
      <c r="B1101" s="242">
        <v>6300</v>
      </c>
      <c r="C1101" s="248" t="s">
        <v>220</v>
      </c>
      <c r="D1101" s="244"/>
    </row>
    <row r="1102" spans="1:4" ht="12" hidden="1" customHeight="1" outlineLevel="1" x14ac:dyDescent="0.3">
      <c r="A1102" s="238"/>
      <c r="B1102" s="242">
        <v>6400</v>
      </c>
      <c r="C1102" s="248" t="s">
        <v>221</v>
      </c>
      <c r="D1102" s="244"/>
    </row>
    <row r="1103" spans="1:4" ht="12" hidden="1" customHeight="1" outlineLevel="1" x14ac:dyDescent="0.3">
      <c r="A1103" s="238"/>
      <c r="B1103" s="242">
        <v>6500</v>
      </c>
      <c r="C1103" s="249" t="s">
        <v>222</v>
      </c>
      <c r="D1103" s="244"/>
    </row>
    <row r="1104" spans="1:4" ht="12" hidden="1" customHeight="1" outlineLevel="1" x14ac:dyDescent="0.3">
      <c r="A1104" s="238"/>
      <c r="B1104" s="199">
        <v>7000</v>
      </c>
      <c r="C1104" s="200" t="s">
        <v>223</v>
      </c>
      <c r="D1104" s="260">
        <v>0</v>
      </c>
    </row>
    <row r="1105" spans="1:4" ht="12" hidden="1" customHeight="1" outlineLevel="1" x14ac:dyDescent="0.3">
      <c r="A1105" s="238"/>
      <c r="B1105" s="250">
        <v>7200</v>
      </c>
      <c r="C1105" s="251" t="s">
        <v>224</v>
      </c>
      <c r="D1105" s="244"/>
    </row>
    <row r="1106" spans="1:4" ht="12" hidden="1" customHeight="1" outlineLevel="1" x14ac:dyDescent="0.3">
      <c r="A1106" s="238"/>
      <c r="B1106" s="250">
        <v>7500</v>
      </c>
      <c r="C1106" s="251" t="s">
        <v>225</v>
      </c>
      <c r="D1106" s="244"/>
    </row>
    <row r="1107" spans="1:4" ht="12" hidden="1" customHeight="1" outlineLevel="1" x14ac:dyDescent="0.3">
      <c r="A1107" s="238"/>
      <c r="B1107" s="250">
        <v>7700</v>
      </c>
      <c r="C1107" s="251" t="s">
        <v>226</v>
      </c>
      <c r="D1107" s="244"/>
    </row>
    <row r="1108" spans="1:4" ht="12" hidden="1" customHeight="1" outlineLevel="1" x14ac:dyDescent="0.3">
      <c r="A1108" s="238"/>
      <c r="B1108" s="252">
        <v>8000</v>
      </c>
      <c r="C1108" s="253" t="s">
        <v>227</v>
      </c>
      <c r="D1108" s="260">
        <v>0</v>
      </c>
    </row>
    <row r="1109" spans="1:4" ht="12" hidden="1" customHeight="1" outlineLevel="1" x14ac:dyDescent="0.3">
      <c r="A1109" s="238"/>
      <c r="B1109" s="254">
        <v>8100</v>
      </c>
      <c r="C1109" s="255" t="s">
        <v>228</v>
      </c>
      <c r="D1109" s="260"/>
    </row>
    <row r="1110" spans="1:4" ht="12" hidden="1" customHeight="1" outlineLevel="1" x14ac:dyDescent="0.3">
      <c r="A1110" s="238"/>
      <c r="B1110" s="254">
        <v>8600</v>
      </c>
      <c r="C1110" s="255" t="s">
        <v>229</v>
      </c>
      <c r="D1110" s="260"/>
    </row>
    <row r="1111" spans="1:4" ht="12" hidden="1" customHeight="1" outlineLevel="1" x14ac:dyDescent="0.3">
      <c r="A1111" s="238"/>
      <c r="B1111" s="254">
        <v>8900</v>
      </c>
      <c r="C1111" s="255" t="s">
        <v>230</v>
      </c>
      <c r="D1111" s="260"/>
    </row>
    <row r="1112" spans="1:4" ht="12" hidden="1" customHeight="1" outlineLevel="1" x14ac:dyDescent="0.3">
      <c r="A1112" s="256" t="s">
        <v>292</v>
      </c>
      <c r="B1112" s="257"/>
      <c r="C1112" s="258" t="s">
        <v>293</v>
      </c>
      <c r="D1112" s="259">
        <v>0</v>
      </c>
    </row>
    <row r="1113" spans="1:4" ht="12" hidden="1" customHeight="1" outlineLevel="1" x14ac:dyDescent="0.3">
      <c r="A1113" s="227"/>
      <c r="B1113" s="228"/>
      <c r="C1113" s="229" t="s">
        <v>198</v>
      </c>
      <c r="D1113" s="230">
        <v>0</v>
      </c>
    </row>
    <row r="1114" spans="1:4" ht="12" hidden="1" customHeight="1" outlineLevel="1" x14ac:dyDescent="0.3">
      <c r="A1114" s="227"/>
      <c r="B1114" s="231">
        <v>1000</v>
      </c>
      <c r="C1114" s="232" t="s">
        <v>199</v>
      </c>
      <c r="D1114" s="230">
        <v>0</v>
      </c>
    </row>
    <row r="1115" spans="1:4" ht="12" hidden="1" customHeight="1" outlineLevel="1" x14ac:dyDescent="0.3">
      <c r="A1115" s="227"/>
      <c r="B1115" s="234">
        <v>1100</v>
      </c>
      <c r="C1115" s="235" t="s">
        <v>200</v>
      </c>
      <c r="D1115" s="236"/>
    </row>
    <row r="1116" spans="1:4" ht="12" hidden="1" customHeight="1" outlineLevel="1" x14ac:dyDescent="0.3">
      <c r="A1116" s="227"/>
      <c r="B1116" s="234">
        <v>1200</v>
      </c>
      <c r="C1116" s="237" t="s">
        <v>201</v>
      </c>
      <c r="D1116" s="236"/>
    </row>
    <row r="1117" spans="1:4" ht="12" hidden="1" customHeight="1" outlineLevel="1" x14ac:dyDescent="0.3">
      <c r="A1117" s="238"/>
      <c r="B1117" s="239">
        <v>2000</v>
      </c>
      <c r="C1117" s="240" t="s">
        <v>202</v>
      </c>
      <c r="D1117" s="260">
        <v>0</v>
      </c>
    </row>
    <row r="1118" spans="1:4" ht="12" hidden="1" customHeight="1" outlineLevel="1" x14ac:dyDescent="0.3">
      <c r="A1118" s="238"/>
      <c r="B1118" s="242">
        <v>2100</v>
      </c>
      <c r="C1118" s="243" t="s">
        <v>203</v>
      </c>
      <c r="D1118" s="244"/>
    </row>
    <row r="1119" spans="1:4" ht="12" hidden="1" customHeight="1" outlineLevel="1" x14ac:dyDescent="0.3">
      <c r="A1119" s="238"/>
      <c r="B1119" s="242">
        <v>2200</v>
      </c>
      <c r="C1119" s="243" t="s">
        <v>204</v>
      </c>
      <c r="D1119" s="244"/>
    </row>
    <row r="1120" spans="1:4" ht="12" hidden="1" customHeight="1" outlineLevel="1" x14ac:dyDescent="0.3">
      <c r="A1120" s="238"/>
      <c r="B1120" s="242">
        <v>2300</v>
      </c>
      <c r="C1120" s="243" t="s">
        <v>205</v>
      </c>
      <c r="D1120" s="244"/>
    </row>
    <row r="1121" spans="1:4" ht="12" hidden="1" customHeight="1" outlineLevel="1" x14ac:dyDescent="0.3">
      <c r="A1121" s="238"/>
      <c r="B1121" s="242">
        <v>2400</v>
      </c>
      <c r="C1121" s="243" t="s">
        <v>206</v>
      </c>
      <c r="D1121" s="244"/>
    </row>
    <row r="1122" spans="1:4" ht="12" hidden="1" customHeight="1" outlineLevel="1" x14ac:dyDescent="0.3">
      <c r="A1122" s="238"/>
      <c r="B1122" s="242">
        <v>2500</v>
      </c>
      <c r="C1122" s="243" t="s">
        <v>207</v>
      </c>
      <c r="D1122" s="244"/>
    </row>
    <row r="1123" spans="1:4" ht="12" hidden="1" customHeight="1" outlineLevel="1" x14ac:dyDescent="0.3">
      <c r="A1123" s="238"/>
      <c r="B1123" s="199">
        <v>3000</v>
      </c>
      <c r="C1123" s="245" t="s">
        <v>208</v>
      </c>
      <c r="D1123" s="260">
        <v>0</v>
      </c>
    </row>
    <row r="1124" spans="1:4" ht="12" hidden="1" customHeight="1" outlineLevel="1" x14ac:dyDescent="0.3">
      <c r="A1124" s="238"/>
      <c r="B1124" s="242">
        <v>3200</v>
      </c>
      <c r="C1124" s="243" t="s">
        <v>209</v>
      </c>
      <c r="D1124" s="244"/>
    </row>
    <row r="1125" spans="1:4" ht="12" hidden="1" customHeight="1" outlineLevel="1" x14ac:dyDescent="0.3">
      <c r="A1125" s="238"/>
      <c r="B1125" s="242">
        <v>3300</v>
      </c>
      <c r="C1125" s="243" t="s">
        <v>210</v>
      </c>
      <c r="D1125" s="244"/>
    </row>
    <row r="1126" spans="1:4" ht="12" hidden="1" customHeight="1" outlineLevel="1" x14ac:dyDescent="0.3">
      <c r="A1126" s="238"/>
      <c r="B1126" s="199">
        <v>4000</v>
      </c>
      <c r="C1126" s="246" t="s">
        <v>211</v>
      </c>
      <c r="D1126" s="260">
        <v>0</v>
      </c>
    </row>
    <row r="1127" spans="1:4" ht="12" hidden="1" customHeight="1" outlineLevel="1" x14ac:dyDescent="0.3">
      <c r="A1127" s="238"/>
      <c r="B1127" s="242">
        <v>4200</v>
      </c>
      <c r="C1127" s="247" t="s">
        <v>212</v>
      </c>
      <c r="D1127" s="244"/>
    </row>
    <row r="1128" spans="1:4" ht="12" hidden="1" customHeight="1" outlineLevel="1" x14ac:dyDescent="0.3">
      <c r="A1128" s="238"/>
      <c r="B1128" s="242">
        <v>4300</v>
      </c>
      <c r="C1128" s="247" t="s">
        <v>213</v>
      </c>
      <c r="D1128" s="244"/>
    </row>
    <row r="1129" spans="1:4" ht="12" hidden="1" customHeight="1" outlineLevel="1" x14ac:dyDescent="0.3">
      <c r="A1129" s="238"/>
      <c r="B1129" s="199">
        <v>5000</v>
      </c>
      <c r="C1129" s="200" t="s">
        <v>214</v>
      </c>
      <c r="D1129" s="260">
        <v>0</v>
      </c>
    </row>
    <row r="1130" spans="1:4" ht="12" hidden="1" customHeight="1" outlineLevel="1" x14ac:dyDescent="0.3">
      <c r="A1130" s="238"/>
      <c r="B1130" s="242">
        <v>5100</v>
      </c>
      <c r="C1130" s="248" t="s">
        <v>215</v>
      </c>
      <c r="D1130" s="260"/>
    </row>
    <row r="1131" spans="1:4" ht="12" hidden="1" customHeight="1" outlineLevel="1" x14ac:dyDescent="0.3">
      <c r="A1131" s="238"/>
      <c r="B1131" s="242">
        <v>5200</v>
      </c>
      <c r="C1131" s="248" t="s">
        <v>216</v>
      </c>
      <c r="D1131" s="260"/>
    </row>
    <row r="1132" spans="1:4" ht="12" hidden="1" customHeight="1" outlineLevel="1" x14ac:dyDescent="0.3">
      <c r="A1132" s="238"/>
      <c r="B1132" s="242">
        <v>5300</v>
      </c>
      <c r="C1132" s="249" t="s">
        <v>217</v>
      </c>
      <c r="D1132" s="260"/>
    </row>
    <row r="1133" spans="1:4" ht="12" hidden="1" customHeight="1" outlineLevel="1" x14ac:dyDescent="0.3">
      <c r="A1133" s="238"/>
      <c r="B1133" s="199">
        <v>6000</v>
      </c>
      <c r="C1133" s="200" t="s">
        <v>218</v>
      </c>
      <c r="D1133" s="260">
        <v>0</v>
      </c>
    </row>
    <row r="1134" spans="1:4" ht="12" hidden="1" customHeight="1" outlineLevel="1" x14ac:dyDescent="0.3">
      <c r="A1134" s="238"/>
      <c r="B1134" s="242">
        <v>6200</v>
      </c>
      <c r="C1134" s="248" t="s">
        <v>219</v>
      </c>
      <c r="D1134" s="244"/>
    </row>
    <row r="1135" spans="1:4" ht="12" hidden="1" customHeight="1" outlineLevel="1" x14ac:dyDescent="0.3">
      <c r="A1135" s="238"/>
      <c r="B1135" s="242">
        <v>6300</v>
      </c>
      <c r="C1135" s="248" t="s">
        <v>220</v>
      </c>
      <c r="D1135" s="244"/>
    </row>
    <row r="1136" spans="1:4" ht="12" hidden="1" customHeight="1" outlineLevel="1" x14ac:dyDescent="0.3">
      <c r="A1136" s="238"/>
      <c r="B1136" s="242">
        <v>6400</v>
      </c>
      <c r="C1136" s="248" t="s">
        <v>221</v>
      </c>
      <c r="D1136" s="244"/>
    </row>
    <row r="1137" spans="1:4" ht="12" hidden="1" customHeight="1" outlineLevel="1" x14ac:dyDescent="0.3">
      <c r="A1137" s="238"/>
      <c r="B1137" s="242">
        <v>6500</v>
      </c>
      <c r="C1137" s="249" t="s">
        <v>222</v>
      </c>
      <c r="D1137" s="244"/>
    </row>
    <row r="1138" spans="1:4" ht="12" hidden="1" customHeight="1" outlineLevel="1" x14ac:dyDescent="0.3">
      <c r="A1138" s="238"/>
      <c r="B1138" s="199">
        <v>7000</v>
      </c>
      <c r="C1138" s="200" t="s">
        <v>223</v>
      </c>
      <c r="D1138" s="260">
        <v>0</v>
      </c>
    </row>
    <row r="1139" spans="1:4" ht="12" hidden="1" customHeight="1" outlineLevel="1" x14ac:dyDescent="0.3">
      <c r="A1139" s="238"/>
      <c r="B1139" s="250">
        <v>7200</v>
      </c>
      <c r="C1139" s="251" t="s">
        <v>224</v>
      </c>
      <c r="D1139" s="244"/>
    </row>
    <row r="1140" spans="1:4" ht="12" hidden="1" customHeight="1" outlineLevel="1" x14ac:dyDescent="0.3">
      <c r="A1140" s="238"/>
      <c r="B1140" s="250">
        <v>7500</v>
      </c>
      <c r="C1140" s="251" t="s">
        <v>225</v>
      </c>
      <c r="D1140" s="244"/>
    </row>
    <row r="1141" spans="1:4" ht="12" hidden="1" customHeight="1" outlineLevel="1" x14ac:dyDescent="0.3">
      <c r="A1141" s="238"/>
      <c r="B1141" s="250">
        <v>7700</v>
      </c>
      <c r="C1141" s="251" t="s">
        <v>226</v>
      </c>
      <c r="D1141" s="244"/>
    </row>
    <row r="1142" spans="1:4" ht="12" hidden="1" customHeight="1" outlineLevel="1" x14ac:dyDescent="0.3">
      <c r="A1142" s="238"/>
      <c r="B1142" s="252">
        <v>8000</v>
      </c>
      <c r="C1142" s="253" t="s">
        <v>227</v>
      </c>
      <c r="D1142" s="260">
        <v>0</v>
      </c>
    </row>
    <row r="1143" spans="1:4" ht="12" hidden="1" customHeight="1" outlineLevel="1" x14ac:dyDescent="0.3">
      <c r="A1143" s="238"/>
      <c r="B1143" s="254">
        <v>8100</v>
      </c>
      <c r="C1143" s="255" t="s">
        <v>228</v>
      </c>
      <c r="D1143" s="260"/>
    </row>
    <row r="1144" spans="1:4" ht="12" hidden="1" customHeight="1" outlineLevel="1" x14ac:dyDescent="0.3">
      <c r="A1144" s="238"/>
      <c r="B1144" s="254">
        <v>8600</v>
      </c>
      <c r="C1144" s="255" t="s">
        <v>229</v>
      </c>
      <c r="D1144" s="260"/>
    </row>
    <row r="1145" spans="1:4" ht="12" hidden="1" customHeight="1" outlineLevel="1" x14ac:dyDescent="0.3">
      <c r="A1145" s="238"/>
      <c r="B1145" s="254">
        <v>8900</v>
      </c>
      <c r="C1145" s="255" t="s">
        <v>230</v>
      </c>
      <c r="D1145" s="260"/>
    </row>
    <row r="1146" spans="1:4" ht="17.100000000000001" customHeight="1" collapsed="1" x14ac:dyDescent="0.3">
      <c r="A1146" s="278" t="s">
        <v>294</v>
      </c>
      <c r="B1146" s="279"/>
      <c r="C1146" s="280" t="s">
        <v>295</v>
      </c>
      <c r="D1146" s="226">
        <v>12030</v>
      </c>
    </row>
    <row r="1147" spans="1:4" ht="12" customHeight="1" x14ac:dyDescent="0.3">
      <c r="A1147" s="227"/>
      <c r="B1147" s="228"/>
      <c r="C1147" s="229" t="s">
        <v>198</v>
      </c>
      <c r="D1147" s="230">
        <v>6368</v>
      </c>
    </row>
    <row r="1148" spans="1:4" ht="12" hidden="1" customHeight="1" outlineLevel="1" x14ac:dyDescent="0.3">
      <c r="A1148" s="227"/>
      <c r="B1148" s="231">
        <v>1000</v>
      </c>
      <c r="C1148" s="232" t="s">
        <v>199</v>
      </c>
      <c r="D1148" s="233">
        <v>0</v>
      </c>
    </row>
    <row r="1149" spans="1:4" ht="12" hidden="1" customHeight="1" outlineLevel="1" x14ac:dyDescent="0.3">
      <c r="A1149" s="227"/>
      <c r="B1149" s="234">
        <v>1100</v>
      </c>
      <c r="C1149" s="235" t="s">
        <v>200</v>
      </c>
      <c r="D1149" s="236">
        <v>0</v>
      </c>
    </row>
    <row r="1150" spans="1:4" ht="12" hidden="1" customHeight="1" outlineLevel="1" x14ac:dyDescent="0.3">
      <c r="A1150" s="227"/>
      <c r="B1150" s="234">
        <v>1200</v>
      </c>
      <c r="C1150" s="237" t="s">
        <v>201</v>
      </c>
      <c r="D1150" s="236">
        <v>0</v>
      </c>
    </row>
    <row r="1151" spans="1:4" ht="12" customHeight="1" collapsed="1" x14ac:dyDescent="0.3">
      <c r="A1151" s="238"/>
      <c r="B1151" s="239">
        <v>2000</v>
      </c>
      <c r="C1151" s="240" t="s">
        <v>202</v>
      </c>
      <c r="D1151" s="241">
        <v>6368</v>
      </c>
    </row>
    <row r="1152" spans="1:4" ht="12" hidden="1" customHeight="1" outlineLevel="1" x14ac:dyDescent="0.3">
      <c r="A1152" s="238"/>
      <c r="B1152" s="242">
        <v>2100</v>
      </c>
      <c r="C1152" s="243" t="s">
        <v>203</v>
      </c>
      <c r="D1152" s="244">
        <v>0</v>
      </c>
    </row>
    <row r="1153" spans="1:4" ht="12" customHeight="1" collapsed="1" x14ac:dyDescent="0.3">
      <c r="A1153" s="238"/>
      <c r="B1153" s="242">
        <v>2200</v>
      </c>
      <c r="C1153" s="243" t="s">
        <v>204</v>
      </c>
      <c r="D1153" s="244">
        <v>6361</v>
      </c>
    </row>
    <row r="1154" spans="1:4" ht="12" customHeight="1" x14ac:dyDescent="0.3">
      <c r="A1154" s="238"/>
      <c r="B1154" s="242">
        <v>2300</v>
      </c>
      <c r="C1154" s="243" t="s">
        <v>205</v>
      </c>
      <c r="D1154" s="244">
        <v>7</v>
      </c>
    </row>
    <row r="1155" spans="1:4" ht="12" hidden="1" customHeight="1" outlineLevel="1" x14ac:dyDescent="0.3">
      <c r="A1155" s="238"/>
      <c r="B1155" s="242">
        <v>2400</v>
      </c>
      <c r="C1155" s="243" t="s">
        <v>206</v>
      </c>
      <c r="D1155" s="244">
        <v>0</v>
      </c>
    </row>
    <row r="1156" spans="1:4" ht="12" hidden="1" customHeight="1" outlineLevel="1" x14ac:dyDescent="0.3">
      <c r="A1156" s="238"/>
      <c r="B1156" s="242">
        <v>2500</v>
      </c>
      <c r="C1156" s="243" t="s">
        <v>207</v>
      </c>
      <c r="D1156" s="244">
        <v>0</v>
      </c>
    </row>
    <row r="1157" spans="1:4" ht="12" hidden="1" customHeight="1" outlineLevel="1" x14ac:dyDescent="0.3">
      <c r="A1157" s="238"/>
      <c r="B1157" s="199">
        <v>3000</v>
      </c>
      <c r="C1157" s="245" t="s">
        <v>208</v>
      </c>
      <c r="D1157" s="241">
        <v>0</v>
      </c>
    </row>
    <row r="1158" spans="1:4" ht="12" hidden="1" customHeight="1" outlineLevel="1" x14ac:dyDescent="0.3">
      <c r="A1158" s="238"/>
      <c r="B1158" s="242">
        <v>3200</v>
      </c>
      <c r="C1158" s="243" t="s">
        <v>209</v>
      </c>
      <c r="D1158" s="244">
        <v>0</v>
      </c>
    </row>
    <row r="1159" spans="1:4" ht="12" hidden="1" customHeight="1" outlineLevel="1" x14ac:dyDescent="0.3">
      <c r="A1159" s="238"/>
      <c r="B1159" s="242">
        <v>3300</v>
      </c>
      <c r="C1159" s="243" t="s">
        <v>210</v>
      </c>
      <c r="D1159" s="244">
        <v>0</v>
      </c>
    </row>
    <row r="1160" spans="1:4" ht="12" hidden="1" customHeight="1" outlineLevel="1" x14ac:dyDescent="0.3">
      <c r="A1160" s="238"/>
      <c r="B1160" s="199">
        <v>4000</v>
      </c>
      <c r="C1160" s="246" t="s">
        <v>211</v>
      </c>
      <c r="D1160" s="241">
        <v>0</v>
      </c>
    </row>
    <row r="1161" spans="1:4" ht="12" hidden="1" customHeight="1" outlineLevel="1" x14ac:dyDescent="0.3">
      <c r="A1161" s="238"/>
      <c r="B1161" s="242">
        <v>4200</v>
      </c>
      <c r="C1161" s="247" t="s">
        <v>212</v>
      </c>
      <c r="D1161" s="244">
        <v>0</v>
      </c>
    </row>
    <row r="1162" spans="1:4" ht="12" hidden="1" customHeight="1" outlineLevel="1" x14ac:dyDescent="0.3">
      <c r="A1162" s="238"/>
      <c r="B1162" s="242">
        <v>4300</v>
      </c>
      <c r="C1162" s="247" t="s">
        <v>213</v>
      </c>
      <c r="D1162" s="244">
        <v>0</v>
      </c>
    </row>
    <row r="1163" spans="1:4" ht="12" customHeight="1" collapsed="1" x14ac:dyDescent="0.3">
      <c r="A1163" s="238"/>
      <c r="B1163" s="199">
        <v>5000</v>
      </c>
      <c r="C1163" s="200" t="s">
        <v>214</v>
      </c>
      <c r="D1163" s="241">
        <v>5662</v>
      </c>
    </row>
    <row r="1164" spans="1:4" ht="12" hidden="1" customHeight="1" outlineLevel="1" x14ac:dyDescent="0.3">
      <c r="A1164" s="238"/>
      <c r="B1164" s="242">
        <v>5100</v>
      </c>
      <c r="C1164" s="248" t="s">
        <v>215</v>
      </c>
      <c r="D1164" s="244">
        <v>0</v>
      </c>
    </row>
    <row r="1165" spans="1:4" ht="12" customHeight="1" collapsed="1" x14ac:dyDescent="0.3">
      <c r="A1165" s="238"/>
      <c r="B1165" s="242">
        <v>5200</v>
      </c>
      <c r="C1165" s="248" t="s">
        <v>216</v>
      </c>
      <c r="D1165" s="244">
        <v>5662</v>
      </c>
    </row>
    <row r="1166" spans="1:4" ht="12" hidden="1" customHeight="1" outlineLevel="1" x14ac:dyDescent="0.3">
      <c r="A1166" s="238"/>
      <c r="B1166" s="242">
        <v>5300</v>
      </c>
      <c r="C1166" s="249" t="s">
        <v>217</v>
      </c>
      <c r="D1166" s="244">
        <v>0</v>
      </c>
    </row>
    <row r="1167" spans="1:4" ht="12" hidden="1" customHeight="1" outlineLevel="1" x14ac:dyDescent="0.3">
      <c r="A1167" s="238"/>
      <c r="B1167" s="199">
        <v>6000</v>
      </c>
      <c r="C1167" s="200" t="s">
        <v>218</v>
      </c>
      <c r="D1167" s="241">
        <v>0</v>
      </c>
    </row>
    <row r="1168" spans="1:4" ht="12" hidden="1" customHeight="1" outlineLevel="1" x14ac:dyDescent="0.3">
      <c r="A1168" s="238"/>
      <c r="B1168" s="242">
        <v>6200</v>
      </c>
      <c r="C1168" s="248" t="s">
        <v>219</v>
      </c>
      <c r="D1168" s="244">
        <v>0</v>
      </c>
    </row>
    <row r="1169" spans="1:4" ht="12" hidden="1" customHeight="1" outlineLevel="1" x14ac:dyDescent="0.3">
      <c r="A1169" s="238"/>
      <c r="B1169" s="242">
        <v>6300</v>
      </c>
      <c r="C1169" s="248" t="s">
        <v>220</v>
      </c>
      <c r="D1169" s="244">
        <v>0</v>
      </c>
    </row>
    <row r="1170" spans="1:4" ht="12" hidden="1" customHeight="1" outlineLevel="1" x14ac:dyDescent="0.3">
      <c r="A1170" s="238"/>
      <c r="B1170" s="242">
        <v>6400</v>
      </c>
      <c r="C1170" s="248" t="s">
        <v>221</v>
      </c>
      <c r="D1170" s="244">
        <v>0</v>
      </c>
    </row>
    <row r="1171" spans="1:4" ht="12" hidden="1" customHeight="1" outlineLevel="1" x14ac:dyDescent="0.3">
      <c r="A1171" s="238"/>
      <c r="B1171" s="242">
        <v>6500</v>
      </c>
      <c r="C1171" s="249" t="s">
        <v>222</v>
      </c>
      <c r="D1171" s="244">
        <v>0</v>
      </c>
    </row>
    <row r="1172" spans="1:4" ht="12" hidden="1" customHeight="1" outlineLevel="1" x14ac:dyDescent="0.3">
      <c r="A1172" s="238"/>
      <c r="B1172" s="199">
        <v>7000</v>
      </c>
      <c r="C1172" s="200" t="s">
        <v>223</v>
      </c>
      <c r="D1172" s="241">
        <v>0</v>
      </c>
    </row>
    <row r="1173" spans="1:4" ht="12" hidden="1" customHeight="1" outlineLevel="1" x14ac:dyDescent="0.3">
      <c r="A1173" s="238"/>
      <c r="B1173" s="250">
        <v>7200</v>
      </c>
      <c r="C1173" s="251" t="s">
        <v>224</v>
      </c>
      <c r="D1173" s="244">
        <v>0</v>
      </c>
    </row>
    <row r="1174" spans="1:4" ht="12" hidden="1" customHeight="1" outlineLevel="1" x14ac:dyDescent="0.3">
      <c r="A1174" s="238"/>
      <c r="B1174" s="250">
        <v>7500</v>
      </c>
      <c r="C1174" s="251" t="s">
        <v>225</v>
      </c>
      <c r="D1174" s="244">
        <v>0</v>
      </c>
    </row>
    <row r="1175" spans="1:4" ht="12" hidden="1" customHeight="1" outlineLevel="1" x14ac:dyDescent="0.3">
      <c r="A1175" s="238"/>
      <c r="B1175" s="250">
        <v>7700</v>
      </c>
      <c r="C1175" s="251" t="s">
        <v>226</v>
      </c>
      <c r="D1175" s="244">
        <v>0</v>
      </c>
    </row>
    <row r="1176" spans="1:4" ht="12" hidden="1" customHeight="1" outlineLevel="1" x14ac:dyDescent="0.3">
      <c r="A1176" s="238"/>
      <c r="B1176" s="252">
        <v>8000</v>
      </c>
      <c r="C1176" s="253" t="s">
        <v>227</v>
      </c>
      <c r="D1176" s="241">
        <v>0</v>
      </c>
    </row>
    <row r="1177" spans="1:4" ht="12" hidden="1" customHeight="1" outlineLevel="1" x14ac:dyDescent="0.3">
      <c r="A1177" s="238"/>
      <c r="B1177" s="254">
        <v>8100</v>
      </c>
      <c r="C1177" s="255" t="s">
        <v>228</v>
      </c>
      <c r="D1177" s="244">
        <v>0</v>
      </c>
    </row>
    <row r="1178" spans="1:4" ht="12" hidden="1" customHeight="1" outlineLevel="1" x14ac:dyDescent="0.3">
      <c r="A1178" s="238"/>
      <c r="B1178" s="254">
        <v>8600</v>
      </c>
      <c r="C1178" s="255" t="s">
        <v>229</v>
      </c>
      <c r="D1178" s="244">
        <v>0</v>
      </c>
    </row>
    <row r="1179" spans="1:4" ht="12" hidden="1" customHeight="1" outlineLevel="1" x14ac:dyDescent="0.3">
      <c r="A1179" s="238"/>
      <c r="B1179" s="254">
        <v>8900</v>
      </c>
      <c r="C1179" s="255" t="s">
        <v>230</v>
      </c>
      <c r="D1179" s="244">
        <v>0</v>
      </c>
    </row>
    <row r="1180" spans="1:4" ht="12" hidden="1" customHeight="1" outlineLevel="1" x14ac:dyDescent="0.3">
      <c r="A1180" s="256" t="s">
        <v>296</v>
      </c>
      <c r="B1180" s="257"/>
      <c r="C1180" s="258" t="s">
        <v>297</v>
      </c>
      <c r="D1180" s="259">
        <v>0</v>
      </c>
    </row>
    <row r="1181" spans="1:4" ht="12" hidden="1" customHeight="1" outlineLevel="1" x14ac:dyDescent="0.3">
      <c r="A1181" s="227"/>
      <c r="B1181" s="228"/>
      <c r="C1181" s="229" t="s">
        <v>198</v>
      </c>
      <c r="D1181" s="230">
        <v>0</v>
      </c>
    </row>
    <row r="1182" spans="1:4" ht="12" hidden="1" customHeight="1" outlineLevel="1" x14ac:dyDescent="0.3">
      <c r="A1182" s="227"/>
      <c r="B1182" s="231">
        <v>1000</v>
      </c>
      <c r="C1182" s="232" t="s">
        <v>199</v>
      </c>
      <c r="D1182" s="230">
        <v>0</v>
      </c>
    </row>
    <row r="1183" spans="1:4" ht="12" hidden="1" customHeight="1" outlineLevel="1" x14ac:dyDescent="0.3">
      <c r="A1183" s="227"/>
      <c r="B1183" s="234">
        <v>1100</v>
      </c>
      <c r="C1183" s="235" t="s">
        <v>200</v>
      </c>
      <c r="D1183" s="236"/>
    </row>
    <row r="1184" spans="1:4" ht="12" hidden="1" customHeight="1" outlineLevel="1" x14ac:dyDescent="0.3">
      <c r="A1184" s="227"/>
      <c r="B1184" s="234">
        <v>1200</v>
      </c>
      <c r="C1184" s="237" t="s">
        <v>201</v>
      </c>
      <c r="D1184" s="236"/>
    </row>
    <row r="1185" spans="1:4" ht="12" hidden="1" customHeight="1" outlineLevel="1" x14ac:dyDescent="0.3">
      <c r="A1185" s="238"/>
      <c r="B1185" s="239">
        <v>2000</v>
      </c>
      <c r="C1185" s="240" t="s">
        <v>202</v>
      </c>
      <c r="D1185" s="260">
        <v>0</v>
      </c>
    </row>
    <row r="1186" spans="1:4" ht="12" hidden="1" customHeight="1" outlineLevel="1" x14ac:dyDescent="0.3">
      <c r="A1186" s="238"/>
      <c r="B1186" s="242">
        <v>2100</v>
      </c>
      <c r="C1186" s="243" t="s">
        <v>203</v>
      </c>
      <c r="D1186" s="244"/>
    </row>
    <row r="1187" spans="1:4" ht="12" hidden="1" customHeight="1" outlineLevel="1" x14ac:dyDescent="0.3">
      <c r="A1187" s="238"/>
      <c r="B1187" s="242">
        <v>2200</v>
      </c>
      <c r="C1187" s="243" t="s">
        <v>204</v>
      </c>
      <c r="D1187" s="244"/>
    </row>
    <row r="1188" spans="1:4" ht="12" hidden="1" customHeight="1" outlineLevel="1" x14ac:dyDescent="0.3">
      <c r="A1188" s="238"/>
      <c r="B1188" s="242">
        <v>2300</v>
      </c>
      <c r="C1188" s="243" t="s">
        <v>205</v>
      </c>
      <c r="D1188" s="244"/>
    </row>
    <row r="1189" spans="1:4" ht="12" hidden="1" customHeight="1" outlineLevel="1" x14ac:dyDescent="0.3">
      <c r="A1189" s="238"/>
      <c r="B1189" s="242">
        <v>2400</v>
      </c>
      <c r="C1189" s="243" t="s">
        <v>206</v>
      </c>
      <c r="D1189" s="244"/>
    </row>
    <row r="1190" spans="1:4" ht="12" hidden="1" customHeight="1" outlineLevel="1" x14ac:dyDescent="0.3">
      <c r="A1190" s="238"/>
      <c r="B1190" s="242">
        <v>2500</v>
      </c>
      <c r="C1190" s="243" t="s">
        <v>207</v>
      </c>
      <c r="D1190" s="244"/>
    </row>
    <row r="1191" spans="1:4" ht="12" hidden="1" customHeight="1" outlineLevel="1" x14ac:dyDescent="0.3">
      <c r="A1191" s="238"/>
      <c r="B1191" s="199">
        <v>3000</v>
      </c>
      <c r="C1191" s="245" t="s">
        <v>208</v>
      </c>
      <c r="D1191" s="260">
        <v>0</v>
      </c>
    </row>
    <row r="1192" spans="1:4" ht="12" hidden="1" customHeight="1" outlineLevel="1" x14ac:dyDescent="0.3">
      <c r="A1192" s="238"/>
      <c r="B1192" s="242">
        <v>3200</v>
      </c>
      <c r="C1192" s="243" t="s">
        <v>209</v>
      </c>
      <c r="D1192" s="244"/>
    </row>
    <row r="1193" spans="1:4" ht="12" hidden="1" customHeight="1" outlineLevel="1" x14ac:dyDescent="0.3">
      <c r="A1193" s="238"/>
      <c r="B1193" s="242">
        <v>3300</v>
      </c>
      <c r="C1193" s="243" t="s">
        <v>210</v>
      </c>
      <c r="D1193" s="244"/>
    </row>
    <row r="1194" spans="1:4" ht="12" hidden="1" customHeight="1" outlineLevel="1" x14ac:dyDescent="0.3">
      <c r="A1194" s="238"/>
      <c r="B1194" s="199">
        <v>4000</v>
      </c>
      <c r="C1194" s="246" t="s">
        <v>211</v>
      </c>
      <c r="D1194" s="260">
        <v>0</v>
      </c>
    </row>
    <row r="1195" spans="1:4" ht="12" hidden="1" customHeight="1" outlineLevel="1" x14ac:dyDescent="0.3">
      <c r="A1195" s="238"/>
      <c r="B1195" s="242">
        <v>4200</v>
      </c>
      <c r="C1195" s="247" t="s">
        <v>212</v>
      </c>
      <c r="D1195" s="244"/>
    </row>
    <row r="1196" spans="1:4" ht="12" hidden="1" customHeight="1" outlineLevel="1" x14ac:dyDescent="0.3">
      <c r="A1196" s="238"/>
      <c r="B1196" s="242">
        <v>4300</v>
      </c>
      <c r="C1196" s="247" t="s">
        <v>213</v>
      </c>
      <c r="D1196" s="244"/>
    </row>
    <row r="1197" spans="1:4" ht="12" hidden="1" customHeight="1" outlineLevel="1" x14ac:dyDescent="0.3">
      <c r="A1197" s="238"/>
      <c r="B1197" s="199">
        <v>5000</v>
      </c>
      <c r="C1197" s="200" t="s">
        <v>214</v>
      </c>
      <c r="D1197" s="260">
        <v>0</v>
      </c>
    </row>
    <row r="1198" spans="1:4" ht="12" hidden="1" customHeight="1" outlineLevel="1" x14ac:dyDescent="0.3">
      <c r="A1198" s="238"/>
      <c r="B1198" s="242">
        <v>5100</v>
      </c>
      <c r="C1198" s="248" t="s">
        <v>215</v>
      </c>
      <c r="D1198" s="260"/>
    </row>
    <row r="1199" spans="1:4" ht="12" hidden="1" customHeight="1" outlineLevel="1" x14ac:dyDescent="0.3">
      <c r="A1199" s="238"/>
      <c r="B1199" s="242">
        <v>5200</v>
      </c>
      <c r="C1199" s="248" t="s">
        <v>216</v>
      </c>
      <c r="D1199" s="244"/>
    </row>
    <row r="1200" spans="1:4" ht="12" hidden="1" customHeight="1" outlineLevel="1" x14ac:dyDescent="0.3">
      <c r="A1200" s="238"/>
      <c r="B1200" s="242">
        <v>5300</v>
      </c>
      <c r="C1200" s="249" t="s">
        <v>217</v>
      </c>
      <c r="D1200" s="260"/>
    </row>
    <row r="1201" spans="1:4" ht="12" hidden="1" customHeight="1" outlineLevel="1" x14ac:dyDescent="0.3">
      <c r="A1201" s="238"/>
      <c r="B1201" s="199">
        <v>6000</v>
      </c>
      <c r="C1201" s="200" t="s">
        <v>218</v>
      </c>
      <c r="D1201" s="260">
        <v>0</v>
      </c>
    </row>
    <row r="1202" spans="1:4" ht="12" hidden="1" customHeight="1" outlineLevel="1" x14ac:dyDescent="0.3">
      <c r="A1202" s="238"/>
      <c r="B1202" s="242">
        <v>6200</v>
      </c>
      <c r="C1202" s="248" t="s">
        <v>219</v>
      </c>
      <c r="D1202" s="244"/>
    </row>
    <row r="1203" spans="1:4" ht="12" hidden="1" customHeight="1" outlineLevel="1" x14ac:dyDescent="0.3">
      <c r="A1203" s="238"/>
      <c r="B1203" s="242">
        <v>6300</v>
      </c>
      <c r="C1203" s="248" t="s">
        <v>220</v>
      </c>
      <c r="D1203" s="244"/>
    </row>
    <row r="1204" spans="1:4" ht="12" hidden="1" customHeight="1" outlineLevel="1" x14ac:dyDescent="0.3">
      <c r="A1204" s="238"/>
      <c r="B1204" s="242">
        <v>6400</v>
      </c>
      <c r="C1204" s="248" t="s">
        <v>221</v>
      </c>
      <c r="D1204" s="244"/>
    </row>
    <row r="1205" spans="1:4" ht="12" hidden="1" customHeight="1" outlineLevel="1" x14ac:dyDescent="0.3">
      <c r="A1205" s="238"/>
      <c r="B1205" s="242">
        <v>6500</v>
      </c>
      <c r="C1205" s="249" t="s">
        <v>222</v>
      </c>
      <c r="D1205" s="244"/>
    </row>
    <row r="1206" spans="1:4" ht="12" hidden="1" customHeight="1" outlineLevel="1" x14ac:dyDescent="0.3">
      <c r="A1206" s="238"/>
      <c r="B1206" s="199">
        <v>7000</v>
      </c>
      <c r="C1206" s="200" t="s">
        <v>223</v>
      </c>
      <c r="D1206" s="260">
        <v>0</v>
      </c>
    </row>
    <row r="1207" spans="1:4" ht="12" hidden="1" customHeight="1" outlineLevel="1" x14ac:dyDescent="0.3">
      <c r="A1207" s="238"/>
      <c r="B1207" s="250">
        <v>7200</v>
      </c>
      <c r="C1207" s="251" t="s">
        <v>224</v>
      </c>
      <c r="D1207" s="244"/>
    </row>
    <row r="1208" spans="1:4" ht="12" hidden="1" customHeight="1" outlineLevel="1" x14ac:dyDescent="0.3">
      <c r="A1208" s="238"/>
      <c r="B1208" s="250">
        <v>7500</v>
      </c>
      <c r="C1208" s="251" t="s">
        <v>225</v>
      </c>
      <c r="D1208" s="244"/>
    </row>
    <row r="1209" spans="1:4" ht="12" hidden="1" customHeight="1" outlineLevel="1" x14ac:dyDescent="0.3">
      <c r="A1209" s="238"/>
      <c r="B1209" s="250">
        <v>7700</v>
      </c>
      <c r="C1209" s="251" t="s">
        <v>226</v>
      </c>
      <c r="D1209" s="244"/>
    </row>
    <row r="1210" spans="1:4" ht="12" hidden="1" customHeight="1" outlineLevel="1" x14ac:dyDescent="0.3">
      <c r="A1210" s="238"/>
      <c r="B1210" s="252">
        <v>8000</v>
      </c>
      <c r="C1210" s="253" t="s">
        <v>227</v>
      </c>
      <c r="D1210" s="260">
        <v>0</v>
      </c>
    </row>
    <row r="1211" spans="1:4" ht="12" hidden="1" customHeight="1" outlineLevel="1" x14ac:dyDescent="0.3">
      <c r="A1211" s="238"/>
      <c r="B1211" s="254">
        <v>8100</v>
      </c>
      <c r="C1211" s="255" t="s">
        <v>228</v>
      </c>
      <c r="D1211" s="260"/>
    </row>
    <row r="1212" spans="1:4" ht="12" hidden="1" customHeight="1" outlineLevel="1" x14ac:dyDescent="0.3">
      <c r="A1212" s="238"/>
      <c r="B1212" s="254">
        <v>8600</v>
      </c>
      <c r="C1212" s="255" t="s">
        <v>229</v>
      </c>
      <c r="D1212" s="260"/>
    </row>
    <row r="1213" spans="1:4" ht="12" hidden="1" customHeight="1" outlineLevel="1" x14ac:dyDescent="0.3">
      <c r="A1213" s="238"/>
      <c r="B1213" s="254">
        <v>8900</v>
      </c>
      <c r="C1213" s="255" t="s">
        <v>230</v>
      </c>
      <c r="D1213" s="260"/>
    </row>
    <row r="1214" spans="1:4" ht="12" hidden="1" customHeight="1" outlineLevel="1" x14ac:dyDescent="0.3">
      <c r="A1214" s="256" t="s">
        <v>298</v>
      </c>
      <c r="B1214" s="257"/>
      <c r="C1214" s="258" t="s">
        <v>299</v>
      </c>
      <c r="D1214" s="259">
        <v>0</v>
      </c>
    </row>
    <row r="1215" spans="1:4" ht="12" hidden="1" customHeight="1" outlineLevel="1" x14ac:dyDescent="0.3">
      <c r="A1215" s="227"/>
      <c r="B1215" s="228"/>
      <c r="C1215" s="229" t="s">
        <v>198</v>
      </c>
      <c r="D1215" s="230">
        <v>0</v>
      </c>
    </row>
    <row r="1216" spans="1:4" ht="12" hidden="1" customHeight="1" outlineLevel="1" x14ac:dyDescent="0.3">
      <c r="A1216" s="227"/>
      <c r="B1216" s="231">
        <v>1000</v>
      </c>
      <c r="C1216" s="232" t="s">
        <v>199</v>
      </c>
      <c r="D1216" s="230">
        <v>0</v>
      </c>
    </row>
    <row r="1217" spans="1:4" ht="12" hidden="1" customHeight="1" outlineLevel="1" x14ac:dyDescent="0.3">
      <c r="A1217" s="227"/>
      <c r="B1217" s="234">
        <v>1100</v>
      </c>
      <c r="C1217" s="235" t="s">
        <v>200</v>
      </c>
      <c r="D1217" s="236"/>
    </row>
    <row r="1218" spans="1:4" ht="12" hidden="1" customHeight="1" outlineLevel="1" x14ac:dyDescent="0.3">
      <c r="A1218" s="227"/>
      <c r="B1218" s="234">
        <v>1200</v>
      </c>
      <c r="C1218" s="237" t="s">
        <v>201</v>
      </c>
      <c r="D1218" s="236"/>
    </row>
    <row r="1219" spans="1:4" ht="12" hidden="1" customHeight="1" outlineLevel="1" x14ac:dyDescent="0.3">
      <c r="A1219" s="238"/>
      <c r="B1219" s="239">
        <v>2000</v>
      </c>
      <c r="C1219" s="240" t="s">
        <v>202</v>
      </c>
      <c r="D1219" s="260">
        <v>0</v>
      </c>
    </row>
    <row r="1220" spans="1:4" ht="12" hidden="1" customHeight="1" outlineLevel="1" x14ac:dyDescent="0.3">
      <c r="A1220" s="238"/>
      <c r="B1220" s="242">
        <v>2100</v>
      </c>
      <c r="C1220" s="243" t="s">
        <v>203</v>
      </c>
      <c r="D1220" s="244"/>
    </row>
    <row r="1221" spans="1:4" ht="12" hidden="1" customHeight="1" outlineLevel="1" x14ac:dyDescent="0.3">
      <c r="A1221" s="238"/>
      <c r="B1221" s="242">
        <v>2200</v>
      </c>
      <c r="C1221" s="243" t="s">
        <v>204</v>
      </c>
      <c r="D1221" s="244"/>
    </row>
    <row r="1222" spans="1:4" ht="12" hidden="1" customHeight="1" outlineLevel="1" x14ac:dyDescent="0.3">
      <c r="A1222" s="238"/>
      <c r="B1222" s="242">
        <v>2300</v>
      </c>
      <c r="C1222" s="243" t="s">
        <v>205</v>
      </c>
      <c r="D1222" s="244"/>
    </row>
    <row r="1223" spans="1:4" ht="12" hidden="1" customHeight="1" outlineLevel="1" x14ac:dyDescent="0.3">
      <c r="A1223" s="238"/>
      <c r="B1223" s="242">
        <v>2400</v>
      </c>
      <c r="C1223" s="243" t="s">
        <v>206</v>
      </c>
      <c r="D1223" s="244"/>
    </row>
    <row r="1224" spans="1:4" ht="12" hidden="1" customHeight="1" outlineLevel="1" x14ac:dyDescent="0.3">
      <c r="A1224" s="238"/>
      <c r="B1224" s="242">
        <v>2500</v>
      </c>
      <c r="C1224" s="243" t="s">
        <v>207</v>
      </c>
      <c r="D1224" s="244"/>
    </row>
    <row r="1225" spans="1:4" ht="12" hidden="1" customHeight="1" outlineLevel="1" x14ac:dyDescent="0.3">
      <c r="A1225" s="238"/>
      <c r="B1225" s="199">
        <v>3000</v>
      </c>
      <c r="C1225" s="245" t="s">
        <v>208</v>
      </c>
      <c r="D1225" s="260">
        <v>0</v>
      </c>
    </row>
    <row r="1226" spans="1:4" ht="12" hidden="1" customHeight="1" outlineLevel="1" x14ac:dyDescent="0.3">
      <c r="A1226" s="238"/>
      <c r="B1226" s="242">
        <v>3200</v>
      </c>
      <c r="C1226" s="243" t="s">
        <v>209</v>
      </c>
      <c r="D1226" s="244"/>
    </row>
    <row r="1227" spans="1:4" ht="12" hidden="1" customHeight="1" outlineLevel="1" x14ac:dyDescent="0.3">
      <c r="A1227" s="238"/>
      <c r="B1227" s="242">
        <v>3300</v>
      </c>
      <c r="C1227" s="243" t="s">
        <v>210</v>
      </c>
      <c r="D1227" s="244"/>
    </row>
    <row r="1228" spans="1:4" ht="12" hidden="1" customHeight="1" outlineLevel="1" x14ac:dyDescent="0.3">
      <c r="A1228" s="238"/>
      <c r="B1228" s="199">
        <v>4000</v>
      </c>
      <c r="C1228" s="246" t="s">
        <v>211</v>
      </c>
      <c r="D1228" s="260">
        <v>0</v>
      </c>
    </row>
    <row r="1229" spans="1:4" ht="12" hidden="1" customHeight="1" outlineLevel="1" x14ac:dyDescent="0.3">
      <c r="A1229" s="238"/>
      <c r="B1229" s="242">
        <v>4200</v>
      </c>
      <c r="C1229" s="247" t="s">
        <v>212</v>
      </c>
      <c r="D1229" s="244"/>
    </row>
    <row r="1230" spans="1:4" ht="12" hidden="1" customHeight="1" outlineLevel="1" x14ac:dyDescent="0.3">
      <c r="A1230" s="238"/>
      <c r="B1230" s="242">
        <v>4300</v>
      </c>
      <c r="C1230" s="247" t="s">
        <v>213</v>
      </c>
      <c r="D1230" s="244"/>
    </row>
    <row r="1231" spans="1:4" ht="12" hidden="1" customHeight="1" outlineLevel="1" x14ac:dyDescent="0.3">
      <c r="A1231" s="238"/>
      <c r="B1231" s="199">
        <v>5000</v>
      </c>
      <c r="C1231" s="200" t="s">
        <v>214</v>
      </c>
      <c r="D1231" s="260">
        <v>0</v>
      </c>
    </row>
    <row r="1232" spans="1:4" ht="12" hidden="1" customHeight="1" outlineLevel="1" x14ac:dyDescent="0.3">
      <c r="A1232" s="238"/>
      <c r="B1232" s="242">
        <v>5100</v>
      </c>
      <c r="C1232" s="248" t="s">
        <v>215</v>
      </c>
      <c r="D1232" s="244"/>
    </row>
    <row r="1233" spans="1:4" ht="12" hidden="1" customHeight="1" outlineLevel="1" x14ac:dyDescent="0.3">
      <c r="A1233" s="238"/>
      <c r="B1233" s="242">
        <v>5200</v>
      </c>
      <c r="C1233" s="248" t="s">
        <v>216</v>
      </c>
      <c r="D1233" s="244"/>
    </row>
    <row r="1234" spans="1:4" ht="12" hidden="1" customHeight="1" outlineLevel="1" x14ac:dyDescent="0.3">
      <c r="A1234" s="238"/>
      <c r="B1234" s="242">
        <v>5300</v>
      </c>
      <c r="C1234" s="249" t="s">
        <v>217</v>
      </c>
      <c r="D1234" s="260"/>
    </row>
    <row r="1235" spans="1:4" ht="12" hidden="1" customHeight="1" outlineLevel="1" x14ac:dyDescent="0.3">
      <c r="A1235" s="238"/>
      <c r="B1235" s="199">
        <v>6000</v>
      </c>
      <c r="C1235" s="200" t="s">
        <v>218</v>
      </c>
      <c r="D1235" s="260">
        <v>0</v>
      </c>
    </row>
    <row r="1236" spans="1:4" ht="12" hidden="1" customHeight="1" outlineLevel="1" x14ac:dyDescent="0.3">
      <c r="A1236" s="238"/>
      <c r="B1236" s="242">
        <v>6200</v>
      </c>
      <c r="C1236" s="248" t="s">
        <v>219</v>
      </c>
      <c r="D1236" s="244"/>
    </row>
    <row r="1237" spans="1:4" ht="12" hidden="1" customHeight="1" outlineLevel="1" x14ac:dyDescent="0.3">
      <c r="A1237" s="238"/>
      <c r="B1237" s="242">
        <v>6300</v>
      </c>
      <c r="C1237" s="248" t="s">
        <v>220</v>
      </c>
      <c r="D1237" s="244"/>
    </row>
    <row r="1238" spans="1:4" ht="12" hidden="1" customHeight="1" outlineLevel="1" x14ac:dyDescent="0.3">
      <c r="A1238" s="238"/>
      <c r="B1238" s="242">
        <v>6400</v>
      </c>
      <c r="C1238" s="248" t="s">
        <v>221</v>
      </c>
      <c r="D1238" s="244"/>
    </row>
    <row r="1239" spans="1:4" ht="12" hidden="1" customHeight="1" outlineLevel="1" x14ac:dyDescent="0.3">
      <c r="A1239" s="238"/>
      <c r="B1239" s="242">
        <v>6500</v>
      </c>
      <c r="C1239" s="249" t="s">
        <v>222</v>
      </c>
      <c r="D1239" s="244"/>
    </row>
    <row r="1240" spans="1:4" ht="12" hidden="1" customHeight="1" outlineLevel="1" collapsed="1" x14ac:dyDescent="0.3">
      <c r="A1240" s="238"/>
      <c r="B1240" s="199">
        <v>7000</v>
      </c>
      <c r="C1240" s="200" t="s">
        <v>223</v>
      </c>
      <c r="D1240" s="260">
        <v>0</v>
      </c>
    </row>
    <row r="1241" spans="1:4" ht="12" hidden="1" customHeight="1" outlineLevel="1" x14ac:dyDescent="0.3">
      <c r="A1241" s="238"/>
      <c r="B1241" s="250">
        <v>7200</v>
      </c>
      <c r="C1241" s="251" t="s">
        <v>224</v>
      </c>
      <c r="D1241" s="244"/>
    </row>
    <row r="1242" spans="1:4" ht="12" hidden="1" customHeight="1" outlineLevel="1" x14ac:dyDescent="0.3">
      <c r="A1242" s="238"/>
      <c r="B1242" s="250">
        <v>7500</v>
      </c>
      <c r="C1242" s="251" t="s">
        <v>225</v>
      </c>
      <c r="D1242" s="244"/>
    </row>
    <row r="1243" spans="1:4" ht="12" hidden="1" customHeight="1" outlineLevel="1" x14ac:dyDescent="0.3">
      <c r="A1243" s="238"/>
      <c r="B1243" s="250">
        <v>7700</v>
      </c>
      <c r="C1243" s="251" t="s">
        <v>226</v>
      </c>
      <c r="D1243" s="244"/>
    </row>
    <row r="1244" spans="1:4" ht="12" hidden="1" customHeight="1" outlineLevel="1" x14ac:dyDescent="0.3">
      <c r="A1244" s="238"/>
      <c r="B1244" s="252">
        <v>8000</v>
      </c>
      <c r="C1244" s="253" t="s">
        <v>227</v>
      </c>
      <c r="D1244" s="260">
        <v>0</v>
      </c>
    </row>
    <row r="1245" spans="1:4" ht="12" hidden="1" customHeight="1" outlineLevel="1" x14ac:dyDescent="0.3">
      <c r="A1245" s="238"/>
      <c r="B1245" s="254">
        <v>8100</v>
      </c>
      <c r="C1245" s="255" t="s">
        <v>228</v>
      </c>
      <c r="D1245" s="260"/>
    </row>
    <row r="1246" spans="1:4" ht="12" hidden="1" customHeight="1" outlineLevel="1" x14ac:dyDescent="0.3">
      <c r="A1246" s="238"/>
      <c r="B1246" s="254">
        <v>8600</v>
      </c>
      <c r="C1246" s="255" t="s">
        <v>229</v>
      </c>
      <c r="D1246" s="260"/>
    </row>
    <row r="1247" spans="1:4" ht="12" hidden="1" customHeight="1" outlineLevel="1" x14ac:dyDescent="0.3">
      <c r="A1247" s="238"/>
      <c r="B1247" s="254">
        <v>8900</v>
      </c>
      <c r="C1247" s="255" t="s">
        <v>230</v>
      </c>
      <c r="D1247" s="260"/>
    </row>
    <row r="1248" spans="1:4" ht="12" hidden="1" customHeight="1" outlineLevel="1" x14ac:dyDescent="0.3">
      <c r="A1248" s="256" t="s">
        <v>300</v>
      </c>
      <c r="B1248" s="257"/>
      <c r="C1248" s="258" t="s">
        <v>301</v>
      </c>
      <c r="D1248" s="259">
        <v>0</v>
      </c>
    </row>
    <row r="1249" spans="1:4" ht="12" hidden="1" customHeight="1" outlineLevel="1" x14ac:dyDescent="0.3">
      <c r="A1249" s="227"/>
      <c r="B1249" s="228"/>
      <c r="C1249" s="229" t="s">
        <v>198</v>
      </c>
      <c r="D1249" s="230">
        <v>0</v>
      </c>
    </row>
    <row r="1250" spans="1:4" ht="12" hidden="1" customHeight="1" outlineLevel="1" x14ac:dyDescent="0.3">
      <c r="A1250" s="227"/>
      <c r="B1250" s="231">
        <v>1000</v>
      </c>
      <c r="C1250" s="232" t="s">
        <v>199</v>
      </c>
      <c r="D1250" s="230">
        <v>0</v>
      </c>
    </row>
    <row r="1251" spans="1:4" ht="12" hidden="1" customHeight="1" outlineLevel="1" x14ac:dyDescent="0.3">
      <c r="A1251" s="227"/>
      <c r="B1251" s="234">
        <v>1100</v>
      </c>
      <c r="C1251" s="235" t="s">
        <v>200</v>
      </c>
      <c r="D1251" s="236"/>
    </row>
    <row r="1252" spans="1:4" ht="12" hidden="1" customHeight="1" outlineLevel="1" x14ac:dyDescent="0.3">
      <c r="A1252" s="227"/>
      <c r="B1252" s="234">
        <v>1200</v>
      </c>
      <c r="C1252" s="237" t="s">
        <v>201</v>
      </c>
      <c r="D1252" s="236"/>
    </row>
    <row r="1253" spans="1:4" ht="12" hidden="1" customHeight="1" outlineLevel="1" x14ac:dyDescent="0.3">
      <c r="A1253" s="238"/>
      <c r="B1253" s="239">
        <v>2000</v>
      </c>
      <c r="C1253" s="240" t="s">
        <v>202</v>
      </c>
      <c r="D1253" s="260">
        <v>0</v>
      </c>
    </row>
    <row r="1254" spans="1:4" ht="12" hidden="1" customHeight="1" outlineLevel="1" x14ac:dyDescent="0.3">
      <c r="A1254" s="238"/>
      <c r="B1254" s="242">
        <v>2100</v>
      </c>
      <c r="C1254" s="243" t="s">
        <v>203</v>
      </c>
      <c r="D1254" s="244"/>
    </row>
    <row r="1255" spans="1:4" ht="12" hidden="1" customHeight="1" outlineLevel="1" x14ac:dyDescent="0.3">
      <c r="A1255" s="238"/>
      <c r="B1255" s="242">
        <v>2200</v>
      </c>
      <c r="C1255" s="243" t="s">
        <v>204</v>
      </c>
      <c r="D1255" s="244"/>
    </row>
    <row r="1256" spans="1:4" ht="12" hidden="1" customHeight="1" outlineLevel="1" x14ac:dyDescent="0.3">
      <c r="A1256" s="238"/>
      <c r="B1256" s="242">
        <v>2300</v>
      </c>
      <c r="C1256" s="243" t="s">
        <v>205</v>
      </c>
      <c r="D1256" s="244"/>
    </row>
    <row r="1257" spans="1:4" ht="12" hidden="1" customHeight="1" outlineLevel="1" x14ac:dyDescent="0.3">
      <c r="A1257" s="238"/>
      <c r="B1257" s="242">
        <v>2400</v>
      </c>
      <c r="C1257" s="243" t="s">
        <v>206</v>
      </c>
      <c r="D1257" s="244"/>
    </row>
    <row r="1258" spans="1:4" ht="12" hidden="1" customHeight="1" outlineLevel="1" x14ac:dyDescent="0.3">
      <c r="A1258" s="238"/>
      <c r="B1258" s="242">
        <v>2500</v>
      </c>
      <c r="C1258" s="243" t="s">
        <v>207</v>
      </c>
      <c r="D1258" s="244"/>
    </row>
    <row r="1259" spans="1:4" ht="12" hidden="1" customHeight="1" outlineLevel="1" x14ac:dyDescent="0.3">
      <c r="A1259" s="238"/>
      <c r="B1259" s="199">
        <v>3000</v>
      </c>
      <c r="C1259" s="245" t="s">
        <v>208</v>
      </c>
      <c r="D1259" s="260">
        <v>0</v>
      </c>
    </row>
    <row r="1260" spans="1:4" ht="12" hidden="1" customHeight="1" outlineLevel="1" x14ac:dyDescent="0.3">
      <c r="A1260" s="238"/>
      <c r="B1260" s="242">
        <v>3200</v>
      </c>
      <c r="C1260" s="243" t="s">
        <v>209</v>
      </c>
      <c r="D1260" s="244"/>
    </row>
    <row r="1261" spans="1:4" ht="12" hidden="1" customHeight="1" outlineLevel="1" x14ac:dyDescent="0.3">
      <c r="A1261" s="238"/>
      <c r="B1261" s="242">
        <v>3300</v>
      </c>
      <c r="C1261" s="243" t="s">
        <v>210</v>
      </c>
      <c r="D1261" s="244"/>
    </row>
    <row r="1262" spans="1:4" ht="12" hidden="1" customHeight="1" outlineLevel="1" x14ac:dyDescent="0.3">
      <c r="A1262" s="238"/>
      <c r="B1262" s="199">
        <v>4000</v>
      </c>
      <c r="C1262" s="246" t="s">
        <v>211</v>
      </c>
      <c r="D1262" s="260">
        <v>0</v>
      </c>
    </row>
    <row r="1263" spans="1:4" ht="12" hidden="1" customHeight="1" outlineLevel="1" x14ac:dyDescent="0.3">
      <c r="A1263" s="238"/>
      <c r="B1263" s="242">
        <v>4200</v>
      </c>
      <c r="C1263" s="247" t="s">
        <v>212</v>
      </c>
      <c r="D1263" s="244"/>
    </row>
    <row r="1264" spans="1:4" ht="12" hidden="1" customHeight="1" outlineLevel="1" x14ac:dyDescent="0.3">
      <c r="A1264" s="238"/>
      <c r="B1264" s="242">
        <v>4300</v>
      </c>
      <c r="C1264" s="247" t="s">
        <v>213</v>
      </c>
      <c r="D1264" s="244"/>
    </row>
    <row r="1265" spans="1:4" ht="12" hidden="1" customHeight="1" outlineLevel="1" x14ac:dyDescent="0.3">
      <c r="A1265" s="238"/>
      <c r="B1265" s="199">
        <v>5000</v>
      </c>
      <c r="C1265" s="200" t="s">
        <v>214</v>
      </c>
      <c r="D1265" s="260">
        <v>0</v>
      </c>
    </row>
    <row r="1266" spans="1:4" ht="12" hidden="1" customHeight="1" outlineLevel="1" x14ac:dyDescent="0.3">
      <c r="A1266" s="238"/>
      <c r="B1266" s="242">
        <v>5100</v>
      </c>
      <c r="C1266" s="248" t="s">
        <v>215</v>
      </c>
      <c r="D1266" s="260"/>
    </row>
    <row r="1267" spans="1:4" ht="12" hidden="1" customHeight="1" outlineLevel="1" x14ac:dyDescent="0.3">
      <c r="A1267" s="238"/>
      <c r="B1267" s="242">
        <v>5200</v>
      </c>
      <c r="C1267" s="248" t="s">
        <v>216</v>
      </c>
      <c r="D1267" s="244"/>
    </row>
    <row r="1268" spans="1:4" ht="12" hidden="1" customHeight="1" outlineLevel="1" x14ac:dyDescent="0.3">
      <c r="A1268" s="238"/>
      <c r="B1268" s="242">
        <v>5300</v>
      </c>
      <c r="C1268" s="249" t="s">
        <v>217</v>
      </c>
      <c r="D1268" s="260"/>
    </row>
    <row r="1269" spans="1:4" ht="12" hidden="1" customHeight="1" outlineLevel="1" x14ac:dyDescent="0.3">
      <c r="A1269" s="238"/>
      <c r="B1269" s="199">
        <v>6000</v>
      </c>
      <c r="C1269" s="200" t="s">
        <v>218</v>
      </c>
      <c r="D1269" s="260">
        <v>0</v>
      </c>
    </row>
    <row r="1270" spans="1:4" ht="12" hidden="1" customHeight="1" outlineLevel="1" x14ac:dyDescent="0.3">
      <c r="A1270" s="238"/>
      <c r="B1270" s="242">
        <v>6200</v>
      </c>
      <c r="C1270" s="248" t="s">
        <v>219</v>
      </c>
      <c r="D1270" s="244"/>
    </row>
    <row r="1271" spans="1:4" ht="12" hidden="1" customHeight="1" outlineLevel="1" x14ac:dyDescent="0.3">
      <c r="A1271" s="238"/>
      <c r="B1271" s="242">
        <v>6300</v>
      </c>
      <c r="C1271" s="248" t="s">
        <v>220</v>
      </c>
      <c r="D1271" s="244"/>
    </row>
    <row r="1272" spans="1:4" ht="12" hidden="1" customHeight="1" outlineLevel="1" x14ac:dyDescent="0.3">
      <c r="A1272" s="238"/>
      <c r="B1272" s="242">
        <v>6400</v>
      </c>
      <c r="C1272" s="248" t="s">
        <v>221</v>
      </c>
      <c r="D1272" s="244"/>
    </row>
    <row r="1273" spans="1:4" ht="12" hidden="1" customHeight="1" outlineLevel="1" x14ac:dyDescent="0.3">
      <c r="A1273" s="238"/>
      <c r="B1273" s="242">
        <v>6500</v>
      </c>
      <c r="C1273" s="249" t="s">
        <v>222</v>
      </c>
      <c r="D1273" s="244"/>
    </row>
    <row r="1274" spans="1:4" ht="12" hidden="1" customHeight="1" outlineLevel="1" x14ac:dyDescent="0.3">
      <c r="A1274" s="238"/>
      <c r="B1274" s="199">
        <v>7000</v>
      </c>
      <c r="C1274" s="200" t="s">
        <v>223</v>
      </c>
      <c r="D1274" s="260">
        <v>0</v>
      </c>
    </row>
    <row r="1275" spans="1:4" ht="12" hidden="1" customHeight="1" outlineLevel="1" x14ac:dyDescent="0.3">
      <c r="A1275" s="238"/>
      <c r="B1275" s="250">
        <v>7200</v>
      </c>
      <c r="C1275" s="251" t="s">
        <v>224</v>
      </c>
      <c r="D1275" s="244"/>
    </row>
    <row r="1276" spans="1:4" ht="12" hidden="1" customHeight="1" outlineLevel="1" x14ac:dyDescent="0.3">
      <c r="A1276" s="238"/>
      <c r="B1276" s="250">
        <v>7500</v>
      </c>
      <c r="C1276" s="251" t="s">
        <v>225</v>
      </c>
      <c r="D1276" s="244"/>
    </row>
    <row r="1277" spans="1:4" ht="12" hidden="1" customHeight="1" outlineLevel="1" x14ac:dyDescent="0.3">
      <c r="A1277" s="238"/>
      <c r="B1277" s="250">
        <v>7700</v>
      </c>
      <c r="C1277" s="251" t="s">
        <v>226</v>
      </c>
      <c r="D1277" s="244"/>
    </row>
    <row r="1278" spans="1:4" ht="12" hidden="1" customHeight="1" outlineLevel="1" x14ac:dyDescent="0.3">
      <c r="A1278" s="238"/>
      <c r="B1278" s="252">
        <v>8000</v>
      </c>
      <c r="C1278" s="253" t="s">
        <v>227</v>
      </c>
      <c r="D1278" s="260">
        <v>0</v>
      </c>
    </row>
    <row r="1279" spans="1:4" ht="12" hidden="1" customHeight="1" outlineLevel="1" x14ac:dyDescent="0.3">
      <c r="A1279" s="238"/>
      <c r="B1279" s="254">
        <v>8100</v>
      </c>
      <c r="C1279" s="255" t="s">
        <v>228</v>
      </c>
      <c r="D1279" s="260"/>
    </row>
    <row r="1280" spans="1:4" ht="12" hidden="1" customHeight="1" outlineLevel="1" x14ac:dyDescent="0.3">
      <c r="A1280" s="238"/>
      <c r="B1280" s="254">
        <v>8600</v>
      </c>
      <c r="C1280" s="255" t="s">
        <v>229</v>
      </c>
      <c r="D1280" s="260"/>
    </row>
    <row r="1281" spans="1:4" ht="12" hidden="1" customHeight="1" outlineLevel="1" x14ac:dyDescent="0.3">
      <c r="A1281" s="238"/>
      <c r="B1281" s="254">
        <v>8900</v>
      </c>
      <c r="C1281" s="255" t="s">
        <v>230</v>
      </c>
      <c r="D1281" s="260"/>
    </row>
    <row r="1282" spans="1:4" ht="12" hidden="1" customHeight="1" outlineLevel="1" x14ac:dyDescent="0.3">
      <c r="A1282" s="256" t="s">
        <v>302</v>
      </c>
      <c r="B1282" s="257"/>
      <c r="C1282" s="258" t="s">
        <v>303</v>
      </c>
      <c r="D1282" s="259">
        <v>0</v>
      </c>
    </row>
    <row r="1283" spans="1:4" ht="12" hidden="1" customHeight="1" outlineLevel="1" x14ac:dyDescent="0.3">
      <c r="A1283" s="227"/>
      <c r="B1283" s="228"/>
      <c r="C1283" s="229" t="s">
        <v>198</v>
      </c>
      <c r="D1283" s="230">
        <v>0</v>
      </c>
    </row>
    <row r="1284" spans="1:4" ht="12" hidden="1" customHeight="1" outlineLevel="1" x14ac:dyDescent="0.3">
      <c r="A1284" s="227"/>
      <c r="B1284" s="231">
        <v>1000</v>
      </c>
      <c r="C1284" s="232" t="s">
        <v>199</v>
      </c>
      <c r="D1284" s="230">
        <v>0</v>
      </c>
    </row>
    <row r="1285" spans="1:4" ht="12" hidden="1" customHeight="1" outlineLevel="1" x14ac:dyDescent="0.3">
      <c r="A1285" s="227"/>
      <c r="B1285" s="234">
        <v>1100</v>
      </c>
      <c r="C1285" s="235" t="s">
        <v>200</v>
      </c>
      <c r="D1285" s="236"/>
    </row>
    <row r="1286" spans="1:4" ht="12" hidden="1" customHeight="1" outlineLevel="1" x14ac:dyDescent="0.3">
      <c r="A1286" s="227"/>
      <c r="B1286" s="234">
        <v>1200</v>
      </c>
      <c r="C1286" s="237" t="s">
        <v>201</v>
      </c>
      <c r="D1286" s="236"/>
    </row>
    <row r="1287" spans="1:4" ht="12" hidden="1" customHeight="1" outlineLevel="1" x14ac:dyDescent="0.3">
      <c r="A1287" s="238"/>
      <c r="B1287" s="239">
        <v>2000</v>
      </c>
      <c r="C1287" s="240" t="s">
        <v>202</v>
      </c>
      <c r="D1287" s="260">
        <v>0</v>
      </c>
    </row>
    <row r="1288" spans="1:4" ht="12" hidden="1" customHeight="1" outlineLevel="1" x14ac:dyDescent="0.3">
      <c r="A1288" s="238"/>
      <c r="B1288" s="242">
        <v>2100</v>
      </c>
      <c r="C1288" s="243" t="s">
        <v>203</v>
      </c>
      <c r="D1288" s="244"/>
    </row>
    <row r="1289" spans="1:4" ht="12" hidden="1" customHeight="1" outlineLevel="1" x14ac:dyDescent="0.3">
      <c r="A1289" s="238"/>
      <c r="B1289" s="242">
        <v>2200</v>
      </c>
      <c r="C1289" s="243" t="s">
        <v>204</v>
      </c>
      <c r="D1289" s="244"/>
    </row>
    <row r="1290" spans="1:4" ht="12" hidden="1" customHeight="1" outlineLevel="1" x14ac:dyDescent="0.3">
      <c r="A1290" s="238"/>
      <c r="B1290" s="242">
        <v>2300</v>
      </c>
      <c r="C1290" s="243" t="s">
        <v>205</v>
      </c>
      <c r="D1290" s="244"/>
    </row>
    <row r="1291" spans="1:4" ht="12" hidden="1" customHeight="1" outlineLevel="1" x14ac:dyDescent="0.3">
      <c r="A1291" s="238"/>
      <c r="B1291" s="242">
        <v>2400</v>
      </c>
      <c r="C1291" s="243" t="s">
        <v>206</v>
      </c>
      <c r="D1291" s="244"/>
    </row>
    <row r="1292" spans="1:4" ht="12" hidden="1" customHeight="1" outlineLevel="1" x14ac:dyDescent="0.3">
      <c r="A1292" s="238"/>
      <c r="B1292" s="242">
        <v>2500</v>
      </c>
      <c r="C1292" s="243" t="s">
        <v>207</v>
      </c>
      <c r="D1292" s="244"/>
    </row>
    <row r="1293" spans="1:4" ht="12" hidden="1" customHeight="1" outlineLevel="1" x14ac:dyDescent="0.3">
      <c r="A1293" s="238"/>
      <c r="B1293" s="199">
        <v>3000</v>
      </c>
      <c r="C1293" s="245" t="s">
        <v>208</v>
      </c>
      <c r="D1293" s="260">
        <v>0</v>
      </c>
    </row>
    <row r="1294" spans="1:4" ht="12" hidden="1" customHeight="1" outlineLevel="1" x14ac:dyDescent="0.3">
      <c r="A1294" s="238"/>
      <c r="B1294" s="242">
        <v>3200</v>
      </c>
      <c r="C1294" s="243" t="s">
        <v>209</v>
      </c>
      <c r="D1294" s="244"/>
    </row>
    <row r="1295" spans="1:4" ht="12" hidden="1" customHeight="1" outlineLevel="1" x14ac:dyDescent="0.3">
      <c r="A1295" s="238"/>
      <c r="B1295" s="242">
        <v>3300</v>
      </c>
      <c r="C1295" s="243" t="s">
        <v>210</v>
      </c>
      <c r="D1295" s="244"/>
    </row>
    <row r="1296" spans="1:4" ht="12" hidden="1" customHeight="1" outlineLevel="1" x14ac:dyDescent="0.3">
      <c r="A1296" s="238"/>
      <c r="B1296" s="199">
        <v>4000</v>
      </c>
      <c r="C1296" s="246" t="s">
        <v>211</v>
      </c>
      <c r="D1296" s="260">
        <v>0</v>
      </c>
    </row>
    <row r="1297" spans="1:4" ht="12" hidden="1" customHeight="1" outlineLevel="1" x14ac:dyDescent="0.3">
      <c r="A1297" s="238"/>
      <c r="B1297" s="242">
        <v>4200</v>
      </c>
      <c r="C1297" s="247" t="s">
        <v>212</v>
      </c>
      <c r="D1297" s="244"/>
    </row>
    <row r="1298" spans="1:4" ht="12" hidden="1" customHeight="1" outlineLevel="1" x14ac:dyDescent="0.3">
      <c r="A1298" s="238"/>
      <c r="B1298" s="242">
        <v>4300</v>
      </c>
      <c r="C1298" s="247" t="s">
        <v>213</v>
      </c>
      <c r="D1298" s="244"/>
    </row>
    <row r="1299" spans="1:4" ht="12" hidden="1" customHeight="1" outlineLevel="1" x14ac:dyDescent="0.3">
      <c r="A1299" s="238"/>
      <c r="B1299" s="199">
        <v>5000</v>
      </c>
      <c r="C1299" s="200" t="s">
        <v>214</v>
      </c>
      <c r="D1299" s="260">
        <v>0</v>
      </c>
    </row>
    <row r="1300" spans="1:4" ht="12" hidden="1" customHeight="1" outlineLevel="1" x14ac:dyDescent="0.3">
      <c r="A1300" s="238"/>
      <c r="B1300" s="242">
        <v>5100</v>
      </c>
      <c r="C1300" s="248" t="s">
        <v>215</v>
      </c>
      <c r="D1300" s="260"/>
    </row>
    <row r="1301" spans="1:4" ht="12" hidden="1" customHeight="1" outlineLevel="1" x14ac:dyDescent="0.3">
      <c r="A1301" s="238"/>
      <c r="B1301" s="242">
        <v>5200</v>
      </c>
      <c r="C1301" s="248" t="s">
        <v>216</v>
      </c>
      <c r="D1301" s="260"/>
    </row>
    <row r="1302" spans="1:4" ht="12" hidden="1" customHeight="1" outlineLevel="1" x14ac:dyDescent="0.3">
      <c r="A1302" s="238"/>
      <c r="B1302" s="242">
        <v>5300</v>
      </c>
      <c r="C1302" s="249" t="s">
        <v>217</v>
      </c>
      <c r="D1302" s="260"/>
    </row>
    <row r="1303" spans="1:4" ht="12" hidden="1" customHeight="1" outlineLevel="1" x14ac:dyDescent="0.3">
      <c r="A1303" s="238"/>
      <c r="B1303" s="199">
        <v>6000</v>
      </c>
      <c r="C1303" s="200" t="s">
        <v>218</v>
      </c>
      <c r="D1303" s="260">
        <v>0</v>
      </c>
    </row>
    <row r="1304" spans="1:4" ht="12" hidden="1" customHeight="1" outlineLevel="1" x14ac:dyDescent="0.3">
      <c r="A1304" s="238"/>
      <c r="B1304" s="242">
        <v>6200</v>
      </c>
      <c r="C1304" s="248" t="s">
        <v>219</v>
      </c>
      <c r="D1304" s="244"/>
    </row>
    <row r="1305" spans="1:4" ht="12" hidden="1" customHeight="1" outlineLevel="1" x14ac:dyDescent="0.3">
      <c r="A1305" s="238"/>
      <c r="B1305" s="242">
        <v>6300</v>
      </c>
      <c r="C1305" s="248" t="s">
        <v>220</v>
      </c>
      <c r="D1305" s="244"/>
    </row>
    <row r="1306" spans="1:4" ht="12" hidden="1" customHeight="1" outlineLevel="1" x14ac:dyDescent="0.3">
      <c r="A1306" s="238"/>
      <c r="B1306" s="242">
        <v>6400</v>
      </c>
      <c r="C1306" s="248" t="s">
        <v>221</v>
      </c>
      <c r="D1306" s="244"/>
    </row>
    <row r="1307" spans="1:4" ht="12" hidden="1" customHeight="1" outlineLevel="1" x14ac:dyDescent="0.3">
      <c r="A1307" s="238"/>
      <c r="B1307" s="242">
        <v>6500</v>
      </c>
      <c r="C1307" s="249" t="s">
        <v>222</v>
      </c>
      <c r="D1307" s="244"/>
    </row>
    <row r="1308" spans="1:4" ht="12" hidden="1" customHeight="1" outlineLevel="1" x14ac:dyDescent="0.3">
      <c r="A1308" s="238"/>
      <c r="B1308" s="199">
        <v>7000</v>
      </c>
      <c r="C1308" s="200" t="s">
        <v>223</v>
      </c>
      <c r="D1308" s="260">
        <v>0</v>
      </c>
    </row>
    <row r="1309" spans="1:4" ht="12" hidden="1" customHeight="1" outlineLevel="1" x14ac:dyDescent="0.3">
      <c r="A1309" s="238"/>
      <c r="B1309" s="250">
        <v>7200</v>
      </c>
      <c r="C1309" s="251" t="s">
        <v>224</v>
      </c>
      <c r="D1309" s="244"/>
    </row>
    <row r="1310" spans="1:4" ht="12" hidden="1" customHeight="1" outlineLevel="1" x14ac:dyDescent="0.3">
      <c r="A1310" s="238"/>
      <c r="B1310" s="250">
        <v>7500</v>
      </c>
      <c r="C1310" s="251" t="s">
        <v>225</v>
      </c>
      <c r="D1310" s="244"/>
    </row>
    <row r="1311" spans="1:4" ht="12" hidden="1" customHeight="1" outlineLevel="1" x14ac:dyDescent="0.3">
      <c r="A1311" s="238"/>
      <c r="B1311" s="250">
        <v>7700</v>
      </c>
      <c r="C1311" s="251" t="s">
        <v>226</v>
      </c>
      <c r="D1311" s="244"/>
    </row>
    <row r="1312" spans="1:4" ht="12" hidden="1" customHeight="1" outlineLevel="1" x14ac:dyDescent="0.3">
      <c r="A1312" s="238"/>
      <c r="B1312" s="252">
        <v>8000</v>
      </c>
      <c r="C1312" s="253" t="s">
        <v>227</v>
      </c>
      <c r="D1312" s="260">
        <v>0</v>
      </c>
    </row>
    <row r="1313" spans="1:4" ht="12" hidden="1" customHeight="1" outlineLevel="1" x14ac:dyDescent="0.3">
      <c r="A1313" s="238"/>
      <c r="B1313" s="254">
        <v>8100</v>
      </c>
      <c r="C1313" s="255" t="s">
        <v>228</v>
      </c>
      <c r="D1313" s="260"/>
    </row>
    <row r="1314" spans="1:4" ht="12" hidden="1" customHeight="1" outlineLevel="1" x14ac:dyDescent="0.3">
      <c r="A1314" s="238"/>
      <c r="B1314" s="254">
        <v>8600</v>
      </c>
      <c r="C1314" s="255" t="s">
        <v>229</v>
      </c>
      <c r="D1314" s="260"/>
    </row>
    <row r="1315" spans="1:4" ht="12" hidden="1" customHeight="1" outlineLevel="1" x14ac:dyDescent="0.3">
      <c r="A1315" s="238"/>
      <c r="B1315" s="254">
        <v>8900</v>
      </c>
      <c r="C1315" s="255" t="s">
        <v>230</v>
      </c>
      <c r="D1315" s="260"/>
    </row>
    <row r="1316" spans="1:4" ht="28.5" customHeight="1" collapsed="1" x14ac:dyDescent="0.3">
      <c r="A1316" s="256" t="s">
        <v>304</v>
      </c>
      <c r="B1316" s="257"/>
      <c r="C1316" s="281" t="s">
        <v>305</v>
      </c>
      <c r="D1316" s="259">
        <v>12030</v>
      </c>
    </row>
    <row r="1317" spans="1:4" ht="12" customHeight="1" x14ac:dyDescent="0.3">
      <c r="A1317" s="227"/>
      <c r="B1317" s="228"/>
      <c r="C1317" s="229" t="s">
        <v>198</v>
      </c>
      <c r="D1317" s="230">
        <v>6368</v>
      </c>
    </row>
    <row r="1318" spans="1:4" ht="12" hidden="1" customHeight="1" outlineLevel="1" x14ac:dyDescent="0.3">
      <c r="A1318" s="227"/>
      <c r="B1318" s="231">
        <v>1000</v>
      </c>
      <c r="C1318" s="232" t="s">
        <v>199</v>
      </c>
      <c r="D1318" s="230">
        <v>0</v>
      </c>
    </row>
    <row r="1319" spans="1:4" ht="12" hidden="1" customHeight="1" outlineLevel="1" x14ac:dyDescent="0.3">
      <c r="A1319" s="227"/>
      <c r="B1319" s="234">
        <v>1100</v>
      </c>
      <c r="C1319" s="235" t="s">
        <v>200</v>
      </c>
      <c r="D1319" s="236"/>
    </row>
    <row r="1320" spans="1:4" ht="12" hidden="1" customHeight="1" outlineLevel="1" x14ac:dyDescent="0.3">
      <c r="A1320" s="227"/>
      <c r="B1320" s="234">
        <v>1200</v>
      </c>
      <c r="C1320" s="237" t="s">
        <v>201</v>
      </c>
      <c r="D1320" s="236"/>
    </row>
    <row r="1321" spans="1:4" ht="12" customHeight="1" collapsed="1" x14ac:dyDescent="0.3">
      <c r="A1321" s="238"/>
      <c r="B1321" s="239">
        <v>2000</v>
      </c>
      <c r="C1321" s="240" t="s">
        <v>202</v>
      </c>
      <c r="D1321" s="260">
        <v>6368</v>
      </c>
    </row>
    <row r="1322" spans="1:4" ht="12" hidden="1" customHeight="1" outlineLevel="1" x14ac:dyDescent="0.3">
      <c r="A1322" s="238"/>
      <c r="B1322" s="242">
        <v>2100</v>
      </c>
      <c r="C1322" s="243" t="s">
        <v>203</v>
      </c>
      <c r="D1322" s="244"/>
    </row>
    <row r="1323" spans="1:4" ht="12" customHeight="1" collapsed="1" x14ac:dyDescent="0.3">
      <c r="A1323" s="238"/>
      <c r="B1323" s="242">
        <v>2200</v>
      </c>
      <c r="C1323" s="243" t="s">
        <v>204</v>
      </c>
      <c r="D1323" s="244">
        <v>6361</v>
      </c>
    </row>
    <row r="1324" spans="1:4" ht="12" customHeight="1" x14ac:dyDescent="0.3">
      <c r="A1324" s="238"/>
      <c r="B1324" s="242">
        <v>2300</v>
      </c>
      <c r="C1324" s="243" t="s">
        <v>205</v>
      </c>
      <c r="D1324" s="244">
        <v>7</v>
      </c>
    </row>
    <row r="1325" spans="1:4" ht="12" hidden="1" customHeight="1" outlineLevel="1" x14ac:dyDescent="0.3">
      <c r="A1325" s="238"/>
      <c r="B1325" s="242">
        <v>2400</v>
      </c>
      <c r="C1325" s="243" t="s">
        <v>206</v>
      </c>
      <c r="D1325" s="244"/>
    </row>
    <row r="1326" spans="1:4" ht="12" hidden="1" customHeight="1" outlineLevel="1" x14ac:dyDescent="0.3">
      <c r="A1326" s="238"/>
      <c r="B1326" s="242">
        <v>2500</v>
      </c>
      <c r="C1326" s="243" t="s">
        <v>207</v>
      </c>
      <c r="D1326" s="244"/>
    </row>
    <row r="1327" spans="1:4" ht="12" hidden="1" customHeight="1" outlineLevel="1" x14ac:dyDescent="0.3">
      <c r="A1327" s="238"/>
      <c r="B1327" s="199">
        <v>3000</v>
      </c>
      <c r="C1327" s="245" t="s">
        <v>208</v>
      </c>
      <c r="D1327" s="260">
        <v>0</v>
      </c>
    </row>
    <row r="1328" spans="1:4" ht="12" hidden="1" customHeight="1" outlineLevel="1" x14ac:dyDescent="0.3">
      <c r="A1328" s="238"/>
      <c r="B1328" s="242">
        <v>3200</v>
      </c>
      <c r="C1328" s="243" t="s">
        <v>209</v>
      </c>
      <c r="D1328" s="244"/>
    </row>
    <row r="1329" spans="1:4" ht="12" hidden="1" customHeight="1" outlineLevel="1" x14ac:dyDescent="0.3">
      <c r="A1329" s="238"/>
      <c r="B1329" s="242">
        <v>3300</v>
      </c>
      <c r="C1329" s="243" t="s">
        <v>210</v>
      </c>
      <c r="D1329" s="244"/>
    </row>
    <row r="1330" spans="1:4" ht="12" hidden="1" customHeight="1" outlineLevel="1" x14ac:dyDescent="0.3">
      <c r="A1330" s="238"/>
      <c r="B1330" s="199">
        <v>4000</v>
      </c>
      <c r="C1330" s="246" t="s">
        <v>211</v>
      </c>
      <c r="D1330" s="260">
        <v>0</v>
      </c>
    </row>
    <row r="1331" spans="1:4" ht="12" hidden="1" customHeight="1" outlineLevel="1" x14ac:dyDescent="0.3">
      <c r="A1331" s="238"/>
      <c r="B1331" s="242">
        <v>4200</v>
      </c>
      <c r="C1331" s="247" t="s">
        <v>212</v>
      </c>
      <c r="D1331" s="244"/>
    </row>
    <row r="1332" spans="1:4" ht="12" hidden="1" customHeight="1" outlineLevel="1" x14ac:dyDescent="0.3">
      <c r="A1332" s="238"/>
      <c r="B1332" s="242">
        <v>4300</v>
      </c>
      <c r="C1332" s="247" t="s">
        <v>213</v>
      </c>
      <c r="D1332" s="244"/>
    </row>
    <row r="1333" spans="1:4" ht="12" customHeight="1" collapsed="1" x14ac:dyDescent="0.3">
      <c r="A1333" s="238"/>
      <c r="B1333" s="199">
        <v>5000</v>
      </c>
      <c r="C1333" s="200" t="s">
        <v>214</v>
      </c>
      <c r="D1333" s="260">
        <v>5662</v>
      </c>
    </row>
    <row r="1334" spans="1:4" ht="12" hidden="1" customHeight="1" outlineLevel="1" x14ac:dyDescent="0.3">
      <c r="A1334" s="238"/>
      <c r="B1334" s="242">
        <v>5100</v>
      </c>
      <c r="C1334" s="248" t="s">
        <v>215</v>
      </c>
      <c r="D1334" s="260"/>
    </row>
    <row r="1335" spans="1:4" ht="12" customHeight="1" collapsed="1" x14ac:dyDescent="0.3">
      <c r="A1335" s="238"/>
      <c r="B1335" s="242">
        <v>5200</v>
      </c>
      <c r="C1335" s="248" t="s">
        <v>216</v>
      </c>
      <c r="D1335" s="244">
        <v>5662</v>
      </c>
    </row>
    <row r="1336" spans="1:4" ht="12" hidden="1" customHeight="1" outlineLevel="1" x14ac:dyDescent="0.3">
      <c r="A1336" s="238"/>
      <c r="B1336" s="242">
        <v>5300</v>
      </c>
      <c r="C1336" s="249" t="s">
        <v>217</v>
      </c>
      <c r="D1336" s="260"/>
    </row>
    <row r="1337" spans="1:4" ht="12" hidden="1" customHeight="1" outlineLevel="1" x14ac:dyDescent="0.3">
      <c r="A1337" s="238"/>
      <c r="B1337" s="199">
        <v>6000</v>
      </c>
      <c r="C1337" s="200" t="s">
        <v>218</v>
      </c>
      <c r="D1337" s="260">
        <v>0</v>
      </c>
    </row>
    <row r="1338" spans="1:4" ht="12" hidden="1" customHeight="1" outlineLevel="1" x14ac:dyDescent="0.3">
      <c r="A1338" s="238"/>
      <c r="B1338" s="242">
        <v>6200</v>
      </c>
      <c r="C1338" s="248" t="s">
        <v>219</v>
      </c>
      <c r="D1338" s="244"/>
    </row>
    <row r="1339" spans="1:4" ht="12" hidden="1" customHeight="1" outlineLevel="1" x14ac:dyDescent="0.3">
      <c r="A1339" s="238"/>
      <c r="B1339" s="242">
        <v>6300</v>
      </c>
      <c r="C1339" s="248" t="s">
        <v>220</v>
      </c>
      <c r="D1339" s="244"/>
    </row>
    <row r="1340" spans="1:4" ht="12" hidden="1" customHeight="1" outlineLevel="1" x14ac:dyDescent="0.3">
      <c r="A1340" s="238"/>
      <c r="B1340" s="242">
        <v>6400</v>
      </c>
      <c r="C1340" s="248" t="s">
        <v>221</v>
      </c>
      <c r="D1340" s="244"/>
    </row>
    <row r="1341" spans="1:4" ht="12" hidden="1" customHeight="1" outlineLevel="1" x14ac:dyDescent="0.3">
      <c r="A1341" s="238"/>
      <c r="B1341" s="242">
        <v>6500</v>
      </c>
      <c r="C1341" s="249" t="s">
        <v>222</v>
      </c>
      <c r="D1341" s="244"/>
    </row>
    <row r="1342" spans="1:4" ht="12" hidden="1" customHeight="1" outlineLevel="1" x14ac:dyDescent="0.3">
      <c r="A1342" s="238"/>
      <c r="B1342" s="199">
        <v>7000</v>
      </c>
      <c r="C1342" s="200" t="s">
        <v>223</v>
      </c>
      <c r="D1342" s="260">
        <v>0</v>
      </c>
    </row>
    <row r="1343" spans="1:4" ht="12" hidden="1" customHeight="1" outlineLevel="1" x14ac:dyDescent="0.3">
      <c r="A1343" s="238"/>
      <c r="B1343" s="250">
        <v>7200</v>
      </c>
      <c r="C1343" s="251" t="s">
        <v>224</v>
      </c>
      <c r="D1343" s="244"/>
    </row>
    <row r="1344" spans="1:4" ht="12" hidden="1" customHeight="1" outlineLevel="1" x14ac:dyDescent="0.3">
      <c r="A1344" s="238"/>
      <c r="B1344" s="250">
        <v>7500</v>
      </c>
      <c r="C1344" s="251" t="s">
        <v>225</v>
      </c>
      <c r="D1344" s="244"/>
    </row>
    <row r="1345" spans="1:4" ht="12" hidden="1" customHeight="1" outlineLevel="1" x14ac:dyDescent="0.3">
      <c r="A1345" s="238"/>
      <c r="B1345" s="250">
        <v>7700</v>
      </c>
      <c r="C1345" s="251" t="s">
        <v>226</v>
      </c>
      <c r="D1345" s="244"/>
    </row>
    <row r="1346" spans="1:4" ht="12" hidden="1" customHeight="1" outlineLevel="1" x14ac:dyDescent="0.3">
      <c r="A1346" s="238"/>
      <c r="B1346" s="252">
        <v>8000</v>
      </c>
      <c r="C1346" s="253" t="s">
        <v>227</v>
      </c>
      <c r="D1346" s="260">
        <v>0</v>
      </c>
    </row>
    <row r="1347" spans="1:4" ht="12" hidden="1" customHeight="1" outlineLevel="1" x14ac:dyDescent="0.3">
      <c r="A1347" s="238"/>
      <c r="B1347" s="254">
        <v>8100</v>
      </c>
      <c r="C1347" s="255" t="s">
        <v>228</v>
      </c>
      <c r="D1347" s="260"/>
    </row>
    <row r="1348" spans="1:4" ht="12" hidden="1" customHeight="1" outlineLevel="1" x14ac:dyDescent="0.3">
      <c r="A1348" s="238"/>
      <c r="B1348" s="254">
        <v>8600</v>
      </c>
      <c r="C1348" s="255" t="s">
        <v>229</v>
      </c>
      <c r="D1348" s="260"/>
    </row>
    <row r="1349" spans="1:4" ht="12" hidden="1" customHeight="1" outlineLevel="1" x14ac:dyDescent="0.3">
      <c r="A1349" s="238"/>
      <c r="B1349" s="254">
        <v>8900</v>
      </c>
      <c r="C1349" s="255" t="s">
        <v>230</v>
      </c>
      <c r="D1349" s="260"/>
    </row>
    <row r="1350" spans="1:4" ht="14.25" hidden="1" customHeight="1" outlineLevel="1" x14ac:dyDescent="0.3">
      <c r="A1350" s="278" t="s">
        <v>306</v>
      </c>
      <c r="B1350" s="279"/>
      <c r="C1350" s="280" t="s">
        <v>307</v>
      </c>
      <c r="D1350" s="226">
        <v>0</v>
      </c>
    </row>
    <row r="1351" spans="1:4" ht="12" hidden="1" customHeight="1" outlineLevel="1" x14ac:dyDescent="0.3">
      <c r="A1351" s="227"/>
      <c r="B1351" s="228"/>
      <c r="C1351" s="229" t="s">
        <v>198</v>
      </c>
      <c r="D1351" s="230">
        <v>0</v>
      </c>
    </row>
    <row r="1352" spans="1:4" ht="12" hidden="1" customHeight="1" outlineLevel="1" x14ac:dyDescent="0.3">
      <c r="A1352" s="227"/>
      <c r="B1352" s="231">
        <v>1000</v>
      </c>
      <c r="C1352" s="232" t="s">
        <v>199</v>
      </c>
      <c r="D1352" s="236">
        <v>0</v>
      </c>
    </row>
    <row r="1353" spans="1:4" ht="12" hidden="1" customHeight="1" outlineLevel="1" x14ac:dyDescent="0.3">
      <c r="A1353" s="238"/>
      <c r="B1353" s="239">
        <v>2000</v>
      </c>
      <c r="C1353" s="240" t="s">
        <v>202</v>
      </c>
      <c r="D1353" s="244">
        <v>0</v>
      </c>
    </row>
    <row r="1354" spans="1:4" ht="12" hidden="1" customHeight="1" outlineLevel="1" x14ac:dyDescent="0.3">
      <c r="A1354" s="238"/>
      <c r="B1354" s="199">
        <v>3000</v>
      </c>
      <c r="C1354" s="245" t="s">
        <v>208</v>
      </c>
      <c r="D1354" s="244">
        <v>0</v>
      </c>
    </row>
    <row r="1355" spans="1:4" ht="12" hidden="1" customHeight="1" outlineLevel="1" x14ac:dyDescent="0.3">
      <c r="A1355" s="238"/>
      <c r="B1355" s="199">
        <v>4000</v>
      </c>
      <c r="C1355" s="246" t="s">
        <v>211</v>
      </c>
      <c r="D1355" s="244">
        <v>0</v>
      </c>
    </row>
    <row r="1356" spans="1:4" ht="12" hidden="1" customHeight="1" outlineLevel="1" x14ac:dyDescent="0.3">
      <c r="A1356" s="238"/>
      <c r="B1356" s="199">
        <v>5000</v>
      </c>
      <c r="C1356" s="200" t="s">
        <v>214</v>
      </c>
      <c r="D1356" s="260">
        <v>0</v>
      </c>
    </row>
    <row r="1357" spans="1:4" ht="12" hidden="1" customHeight="1" outlineLevel="1" x14ac:dyDescent="0.3">
      <c r="A1357" s="238"/>
      <c r="B1357" s="199">
        <v>6000</v>
      </c>
      <c r="C1357" s="200" t="s">
        <v>218</v>
      </c>
      <c r="D1357" s="244">
        <v>0</v>
      </c>
    </row>
    <row r="1358" spans="1:4" ht="12" hidden="1" customHeight="1" outlineLevel="1" x14ac:dyDescent="0.3">
      <c r="A1358" s="238"/>
      <c r="B1358" s="199">
        <v>7000</v>
      </c>
      <c r="C1358" s="200" t="s">
        <v>223</v>
      </c>
      <c r="D1358" s="244">
        <v>0</v>
      </c>
    </row>
    <row r="1359" spans="1:4" ht="12" hidden="1" customHeight="1" outlineLevel="1" x14ac:dyDescent="0.3">
      <c r="A1359" s="238"/>
      <c r="B1359" s="252">
        <v>8000</v>
      </c>
      <c r="C1359" s="405" t="s">
        <v>227</v>
      </c>
      <c r="D1359" s="260">
        <v>0</v>
      </c>
    </row>
    <row r="1360" spans="1:4" ht="12" hidden="1" customHeight="1" outlineLevel="1" x14ac:dyDescent="0.3">
      <c r="A1360" s="256" t="s">
        <v>308</v>
      </c>
      <c r="B1360" s="257"/>
      <c r="C1360" s="258" t="s">
        <v>309</v>
      </c>
      <c r="D1360" s="259">
        <v>0</v>
      </c>
    </row>
    <row r="1361" spans="1:4" ht="12" hidden="1" customHeight="1" outlineLevel="1" x14ac:dyDescent="0.3">
      <c r="A1361" s="227"/>
      <c r="B1361" s="228"/>
      <c r="C1361" s="229" t="s">
        <v>198</v>
      </c>
      <c r="D1361" s="230">
        <v>0</v>
      </c>
    </row>
    <row r="1362" spans="1:4" ht="12" hidden="1" customHeight="1" outlineLevel="1" x14ac:dyDescent="0.3">
      <c r="A1362" s="227"/>
      <c r="B1362" s="231">
        <v>1000</v>
      </c>
      <c r="C1362" s="232" t="s">
        <v>199</v>
      </c>
      <c r="D1362" s="230">
        <v>0</v>
      </c>
    </row>
    <row r="1363" spans="1:4" ht="12" hidden="1" customHeight="1" outlineLevel="1" x14ac:dyDescent="0.3">
      <c r="A1363" s="227"/>
      <c r="B1363" s="234">
        <v>1100</v>
      </c>
      <c r="C1363" s="235" t="s">
        <v>200</v>
      </c>
      <c r="D1363" s="236"/>
    </row>
    <row r="1364" spans="1:4" ht="12" hidden="1" customHeight="1" outlineLevel="1" x14ac:dyDescent="0.3">
      <c r="A1364" s="227"/>
      <c r="B1364" s="234">
        <v>1200</v>
      </c>
      <c r="C1364" s="237" t="s">
        <v>201</v>
      </c>
      <c r="D1364" s="236"/>
    </row>
    <row r="1365" spans="1:4" ht="12" hidden="1" customHeight="1" outlineLevel="1" x14ac:dyDescent="0.3">
      <c r="A1365" s="238"/>
      <c r="B1365" s="239">
        <v>2000</v>
      </c>
      <c r="C1365" s="240" t="s">
        <v>202</v>
      </c>
      <c r="D1365" s="260">
        <v>0</v>
      </c>
    </row>
    <row r="1366" spans="1:4" ht="12" hidden="1" customHeight="1" outlineLevel="1" x14ac:dyDescent="0.3">
      <c r="A1366" s="238"/>
      <c r="B1366" s="242">
        <v>2100</v>
      </c>
      <c r="C1366" s="243" t="s">
        <v>203</v>
      </c>
      <c r="D1366" s="244"/>
    </row>
    <row r="1367" spans="1:4" ht="12" hidden="1" customHeight="1" outlineLevel="1" x14ac:dyDescent="0.3">
      <c r="A1367" s="238"/>
      <c r="B1367" s="242">
        <v>2200</v>
      </c>
      <c r="C1367" s="243" t="s">
        <v>204</v>
      </c>
      <c r="D1367" s="244"/>
    </row>
    <row r="1368" spans="1:4" ht="12" hidden="1" customHeight="1" outlineLevel="1" x14ac:dyDescent="0.3">
      <c r="A1368" s="238"/>
      <c r="B1368" s="242">
        <v>2300</v>
      </c>
      <c r="C1368" s="243" t="s">
        <v>205</v>
      </c>
      <c r="D1368" s="244"/>
    </row>
    <row r="1369" spans="1:4" ht="12" hidden="1" customHeight="1" outlineLevel="1" x14ac:dyDescent="0.3">
      <c r="A1369" s="238"/>
      <c r="B1369" s="242">
        <v>2400</v>
      </c>
      <c r="C1369" s="243" t="s">
        <v>206</v>
      </c>
      <c r="D1369" s="244"/>
    </row>
    <row r="1370" spans="1:4" ht="12" hidden="1" customHeight="1" outlineLevel="1" x14ac:dyDescent="0.3">
      <c r="A1370" s="238"/>
      <c r="B1370" s="242">
        <v>2500</v>
      </c>
      <c r="C1370" s="243" t="s">
        <v>207</v>
      </c>
      <c r="D1370" s="244"/>
    </row>
    <row r="1371" spans="1:4" ht="12" hidden="1" customHeight="1" outlineLevel="1" x14ac:dyDescent="0.3">
      <c r="A1371" s="238"/>
      <c r="B1371" s="199">
        <v>3000</v>
      </c>
      <c r="C1371" s="245" t="s">
        <v>208</v>
      </c>
      <c r="D1371" s="260">
        <v>0</v>
      </c>
    </row>
    <row r="1372" spans="1:4" ht="12" hidden="1" customHeight="1" outlineLevel="1" x14ac:dyDescent="0.3">
      <c r="A1372" s="238"/>
      <c r="B1372" s="242">
        <v>3200</v>
      </c>
      <c r="C1372" s="243" t="s">
        <v>209</v>
      </c>
      <c r="D1372" s="244"/>
    </row>
    <row r="1373" spans="1:4" ht="12" hidden="1" customHeight="1" outlineLevel="1" x14ac:dyDescent="0.3">
      <c r="A1373" s="238"/>
      <c r="B1373" s="242">
        <v>3300</v>
      </c>
      <c r="C1373" s="243" t="s">
        <v>210</v>
      </c>
      <c r="D1373" s="244"/>
    </row>
    <row r="1374" spans="1:4" ht="12" hidden="1" customHeight="1" outlineLevel="1" x14ac:dyDescent="0.3">
      <c r="A1374" s="238"/>
      <c r="B1374" s="199">
        <v>4000</v>
      </c>
      <c r="C1374" s="246" t="s">
        <v>211</v>
      </c>
      <c r="D1374" s="260">
        <v>0</v>
      </c>
    </row>
    <row r="1375" spans="1:4" ht="12" hidden="1" customHeight="1" outlineLevel="1" x14ac:dyDescent="0.3">
      <c r="A1375" s="238"/>
      <c r="B1375" s="242">
        <v>4200</v>
      </c>
      <c r="C1375" s="247" t="s">
        <v>212</v>
      </c>
      <c r="D1375" s="244"/>
    </row>
    <row r="1376" spans="1:4" ht="12" hidden="1" customHeight="1" outlineLevel="1" x14ac:dyDescent="0.3">
      <c r="A1376" s="238"/>
      <c r="B1376" s="242">
        <v>4300</v>
      </c>
      <c r="C1376" s="247" t="s">
        <v>213</v>
      </c>
      <c r="D1376" s="244"/>
    </row>
    <row r="1377" spans="1:4" ht="12" hidden="1" customHeight="1" outlineLevel="1" x14ac:dyDescent="0.3">
      <c r="A1377" s="238"/>
      <c r="B1377" s="199">
        <v>5000</v>
      </c>
      <c r="C1377" s="200" t="s">
        <v>214</v>
      </c>
      <c r="D1377" s="260">
        <v>0</v>
      </c>
    </row>
    <row r="1378" spans="1:4" ht="12" hidden="1" customHeight="1" outlineLevel="1" x14ac:dyDescent="0.3">
      <c r="A1378" s="238"/>
      <c r="B1378" s="242">
        <v>5100</v>
      </c>
      <c r="C1378" s="248" t="s">
        <v>215</v>
      </c>
      <c r="D1378" s="260"/>
    </row>
    <row r="1379" spans="1:4" ht="12" hidden="1" customHeight="1" outlineLevel="1" x14ac:dyDescent="0.3">
      <c r="A1379" s="238"/>
      <c r="B1379" s="242">
        <v>5200</v>
      </c>
      <c r="C1379" s="248" t="s">
        <v>216</v>
      </c>
      <c r="D1379" s="260"/>
    </row>
    <row r="1380" spans="1:4" ht="12" hidden="1" customHeight="1" outlineLevel="1" x14ac:dyDescent="0.3">
      <c r="A1380" s="238"/>
      <c r="B1380" s="242">
        <v>5300</v>
      </c>
      <c r="C1380" s="249" t="s">
        <v>217</v>
      </c>
      <c r="D1380" s="260"/>
    </row>
    <row r="1381" spans="1:4" ht="12" hidden="1" customHeight="1" outlineLevel="1" x14ac:dyDescent="0.3">
      <c r="A1381" s="238"/>
      <c r="B1381" s="199">
        <v>6000</v>
      </c>
      <c r="C1381" s="200" t="s">
        <v>218</v>
      </c>
      <c r="D1381" s="260">
        <v>0</v>
      </c>
    </row>
    <row r="1382" spans="1:4" ht="12" hidden="1" customHeight="1" outlineLevel="1" x14ac:dyDescent="0.3">
      <c r="A1382" s="238"/>
      <c r="B1382" s="242">
        <v>6200</v>
      </c>
      <c r="C1382" s="248" t="s">
        <v>219</v>
      </c>
      <c r="D1382" s="244"/>
    </row>
    <row r="1383" spans="1:4" ht="12" hidden="1" customHeight="1" outlineLevel="1" x14ac:dyDescent="0.3">
      <c r="A1383" s="238"/>
      <c r="B1383" s="242">
        <v>6300</v>
      </c>
      <c r="C1383" s="248" t="s">
        <v>220</v>
      </c>
      <c r="D1383" s="244"/>
    </row>
    <row r="1384" spans="1:4" ht="12" hidden="1" customHeight="1" outlineLevel="1" x14ac:dyDescent="0.3">
      <c r="A1384" s="238"/>
      <c r="B1384" s="242">
        <v>6400</v>
      </c>
      <c r="C1384" s="248" t="s">
        <v>221</v>
      </c>
      <c r="D1384" s="244"/>
    </row>
    <row r="1385" spans="1:4" ht="12" hidden="1" customHeight="1" outlineLevel="1" x14ac:dyDescent="0.3">
      <c r="A1385" s="238"/>
      <c r="B1385" s="242">
        <v>6500</v>
      </c>
      <c r="C1385" s="249" t="s">
        <v>222</v>
      </c>
      <c r="D1385" s="244"/>
    </row>
    <row r="1386" spans="1:4" ht="12" hidden="1" customHeight="1" outlineLevel="1" x14ac:dyDescent="0.3">
      <c r="A1386" s="238"/>
      <c r="B1386" s="199">
        <v>7000</v>
      </c>
      <c r="C1386" s="200" t="s">
        <v>223</v>
      </c>
      <c r="D1386" s="260">
        <v>0</v>
      </c>
    </row>
    <row r="1387" spans="1:4" ht="12" hidden="1" customHeight="1" outlineLevel="1" x14ac:dyDescent="0.3">
      <c r="A1387" s="238"/>
      <c r="B1387" s="250">
        <v>7200</v>
      </c>
      <c r="C1387" s="251" t="s">
        <v>224</v>
      </c>
      <c r="D1387" s="244"/>
    </row>
    <row r="1388" spans="1:4" ht="12" hidden="1" customHeight="1" outlineLevel="1" x14ac:dyDescent="0.3">
      <c r="A1388" s="238"/>
      <c r="B1388" s="250">
        <v>7500</v>
      </c>
      <c r="C1388" s="251" t="s">
        <v>225</v>
      </c>
      <c r="D1388" s="244"/>
    </row>
    <row r="1389" spans="1:4" ht="12" hidden="1" customHeight="1" outlineLevel="1" x14ac:dyDescent="0.3">
      <c r="A1389" s="238"/>
      <c r="B1389" s="250">
        <v>7700</v>
      </c>
      <c r="C1389" s="251" t="s">
        <v>226</v>
      </c>
      <c r="D1389" s="244"/>
    </row>
    <row r="1390" spans="1:4" ht="12" hidden="1" customHeight="1" outlineLevel="1" x14ac:dyDescent="0.3">
      <c r="A1390" s="238"/>
      <c r="B1390" s="252">
        <v>8000</v>
      </c>
      <c r="C1390" s="253" t="s">
        <v>227</v>
      </c>
      <c r="D1390" s="260">
        <v>0</v>
      </c>
    </row>
    <row r="1391" spans="1:4" ht="12" hidden="1" customHeight="1" outlineLevel="1" x14ac:dyDescent="0.3">
      <c r="A1391" s="238"/>
      <c r="B1391" s="254">
        <v>8100</v>
      </c>
      <c r="C1391" s="255" t="s">
        <v>228</v>
      </c>
      <c r="D1391" s="260"/>
    </row>
    <row r="1392" spans="1:4" ht="12" hidden="1" customHeight="1" outlineLevel="1" x14ac:dyDescent="0.3">
      <c r="A1392" s="238"/>
      <c r="B1392" s="254">
        <v>8600</v>
      </c>
      <c r="C1392" s="255" t="s">
        <v>229</v>
      </c>
      <c r="D1392" s="260"/>
    </row>
    <row r="1393" spans="1:4" ht="12" hidden="1" customHeight="1" outlineLevel="1" x14ac:dyDescent="0.3">
      <c r="A1393" s="238"/>
      <c r="B1393" s="254">
        <v>8900</v>
      </c>
      <c r="C1393" s="255" t="s">
        <v>230</v>
      </c>
      <c r="D1393" s="260"/>
    </row>
    <row r="1394" spans="1:4" ht="12" hidden="1" customHeight="1" outlineLevel="1" x14ac:dyDescent="0.3">
      <c r="A1394" s="256" t="s">
        <v>310</v>
      </c>
      <c r="B1394" s="257"/>
      <c r="C1394" s="258" t="s">
        <v>311</v>
      </c>
      <c r="D1394" s="259">
        <v>0</v>
      </c>
    </row>
    <row r="1395" spans="1:4" ht="12" hidden="1" customHeight="1" outlineLevel="1" x14ac:dyDescent="0.3">
      <c r="A1395" s="227"/>
      <c r="B1395" s="228"/>
      <c r="C1395" s="229" t="s">
        <v>198</v>
      </c>
      <c r="D1395" s="230">
        <v>0</v>
      </c>
    </row>
    <row r="1396" spans="1:4" ht="12" hidden="1" customHeight="1" outlineLevel="1" x14ac:dyDescent="0.3">
      <c r="A1396" s="227"/>
      <c r="B1396" s="231">
        <v>1000</v>
      </c>
      <c r="C1396" s="232" t="s">
        <v>199</v>
      </c>
      <c r="D1396" s="230">
        <v>0</v>
      </c>
    </row>
    <row r="1397" spans="1:4" ht="12" hidden="1" customHeight="1" outlineLevel="1" x14ac:dyDescent="0.3">
      <c r="A1397" s="227"/>
      <c r="B1397" s="234">
        <v>1100</v>
      </c>
      <c r="C1397" s="235" t="s">
        <v>200</v>
      </c>
      <c r="D1397" s="236"/>
    </row>
    <row r="1398" spans="1:4" ht="12" hidden="1" customHeight="1" outlineLevel="1" x14ac:dyDescent="0.3">
      <c r="A1398" s="227"/>
      <c r="B1398" s="234">
        <v>1200</v>
      </c>
      <c r="C1398" s="237" t="s">
        <v>201</v>
      </c>
      <c r="D1398" s="236"/>
    </row>
    <row r="1399" spans="1:4" ht="12" hidden="1" customHeight="1" outlineLevel="1" x14ac:dyDescent="0.3">
      <c r="A1399" s="238"/>
      <c r="B1399" s="239">
        <v>2000</v>
      </c>
      <c r="C1399" s="240" t="s">
        <v>202</v>
      </c>
      <c r="D1399" s="260">
        <v>0</v>
      </c>
    </row>
    <row r="1400" spans="1:4" ht="12" hidden="1" customHeight="1" outlineLevel="1" x14ac:dyDescent="0.3">
      <c r="A1400" s="238"/>
      <c r="B1400" s="242">
        <v>2100</v>
      </c>
      <c r="C1400" s="243" t="s">
        <v>203</v>
      </c>
      <c r="D1400" s="244"/>
    </row>
    <row r="1401" spans="1:4" ht="12" hidden="1" customHeight="1" outlineLevel="1" x14ac:dyDescent="0.3">
      <c r="A1401" s="238"/>
      <c r="B1401" s="242">
        <v>2200</v>
      </c>
      <c r="C1401" s="243" t="s">
        <v>204</v>
      </c>
      <c r="D1401" s="244"/>
    </row>
    <row r="1402" spans="1:4" ht="12" hidden="1" customHeight="1" outlineLevel="1" x14ac:dyDescent="0.3">
      <c r="A1402" s="238"/>
      <c r="B1402" s="242">
        <v>2300</v>
      </c>
      <c r="C1402" s="243" t="s">
        <v>205</v>
      </c>
      <c r="D1402" s="244"/>
    </row>
    <row r="1403" spans="1:4" ht="12" hidden="1" customHeight="1" outlineLevel="1" x14ac:dyDescent="0.3">
      <c r="A1403" s="238"/>
      <c r="B1403" s="242">
        <v>2400</v>
      </c>
      <c r="C1403" s="243" t="s">
        <v>206</v>
      </c>
      <c r="D1403" s="244"/>
    </row>
    <row r="1404" spans="1:4" ht="12" hidden="1" customHeight="1" outlineLevel="1" x14ac:dyDescent="0.3">
      <c r="A1404" s="238"/>
      <c r="B1404" s="242">
        <v>2500</v>
      </c>
      <c r="C1404" s="243" t="s">
        <v>207</v>
      </c>
      <c r="D1404" s="244"/>
    </row>
    <row r="1405" spans="1:4" ht="12" hidden="1" customHeight="1" outlineLevel="1" x14ac:dyDescent="0.3">
      <c r="A1405" s="238"/>
      <c r="B1405" s="199">
        <v>3000</v>
      </c>
      <c r="C1405" s="245" t="s">
        <v>208</v>
      </c>
      <c r="D1405" s="260">
        <v>0</v>
      </c>
    </row>
    <row r="1406" spans="1:4" ht="12" hidden="1" customHeight="1" outlineLevel="1" x14ac:dyDescent="0.3">
      <c r="A1406" s="238"/>
      <c r="B1406" s="242">
        <v>3200</v>
      </c>
      <c r="C1406" s="243" t="s">
        <v>209</v>
      </c>
      <c r="D1406" s="244"/>
    </row>
    <row r="1407" spans="1:4" ht="12" hidden="1" customHeight="1" outlineLevel="1" x14ac:dyDescent="0.3">
      <c r="A1407" s="238"/>
      <c r="B1407" s="242">
        <v>3300</v>
      </c>
      <c r="C1407" s="243" t="s">
        <v>210</v>
      </c>
      <c r="D1407" s="244"/>
    </row>
    <row r="1408" spans="1:4" ht="12" hidden="1" customHeight="1" outlineLevel="1" x14ac:dyDescent="0.3">
      <c r="A1408" s="238"/>
      <c r="B1408" s="199">
        <v>4000</v>
      </c>
      <c r="C1408" s="246" t="s">
        <v>211</v>
      </c>
      <c r="D1408" s="260">
        <v>0</v>
      </c>
    </row>
    <row r="1409" spans="1:4" ht="12" hidden="1" customHeight="1" outlineLevel="1" x14ac:dyDescent="0.3">
      <c r="A1409" s="238"/>
      <c r="B1409" s="242">
        <v>4200</v>
      </c>
      <c r="C1409" s="247" t="s">
        <v>212</v>
      </c>
      <c r="D1409" s="244"/>
    </row>
    <row r="1410" spans="1:4" ht="12" hidden="1" customHeight="1" outlineLevel="1" x14ac:dyDescent="0.3">
      <c r="A1410" s="238"/>
      <c r="B1410" s="242">
        <v>4300</v>
      </c>
      <c r="C1410" s="247" t="s">
        <v>213</v>
      </c>
      <c r="D1410" s="244"/>
    </row>
    <row r="1411" spans="1:4" ht="12" hidden="1" customHeight="1" outlineLevel="1" x14ac:dyDescent="0.3">
      <c r="A1411" s="238"/>
      <c r="B1411" s="199">
        <v>5000</v>
      </c>
      <c r="C1411" s="200" t="s">
        <v>214</v>
      </c>
      <c r="D1411" s="260">
        <v>0</v>
      </c>
    </row>
    <row r="1412" spans="1:4" ht="12" hidden="1" customHeight="1" outlineLevel="1" x14ac:dyDescent="0.3">
      <c r="A1412" s="238"/>
      <c r="B1412" s="242">
        <v>5100</v>
      </c>
      <c r="C1412" s="248" t="s">
        <v>215</v>
      </c>
      <c r="D1412" s="260"/>
    </row>
    <row r="1413" spans="1:4" ht="12" hidden="1" customHeight="1" outlineLevel="1" x14ac:dyDescent="0.3">
      <c r="A1413" s="238"/>
      <c r="B1413" s="242">
        <v>5200</v>
      </c>
      <c r="C1413" s="248" t="s">
        <v>216</v>
      </c>
      <c r="D1413" s="260"/>
    </row>
    <row r="1414" spans="1:4" ht="12" hidden="1" customHeight="1" outlineLevel="1" x14ac:dyDescent="0.3">
      <c r="A1414" s="238"/>
      <c r="B1414" s="242">
        <v>5300</v>
      </c>
      <c r="C1414" s="249" t="s">
        <v>217</v>
      </c>
      <c r="D1414" s="260"/>
    </row>
    <row r="1415" spans="1:4" ht="12" hidden="1" customHeight="1" outlineLevel="1" x14ac:dyDescent="0.3">
      <c r="A1415" s="238"/>
      <c r="B1415" s="199">
        <v>6000</v>
      </c>
      <c r="C1415" s="200" t="s">
        <v>218</v>
      </c>
      <c r="D1415" s="260">
        <v>0</v>
      </c>
    </row>
    <row r="1416" spans="1:4" ht="12" hidden="1" customHeight="1" outlineLevel="1" x14ac:dyDescent="0.3">
      <c r="A1416" s="238"/>
      <c r="B1416" s="242">
        <v>6200</v>
      </c>
      <c r="C1416" s="248" t="s">
        <v>219</v>
      </c>
      <c r="D1416" s="244"/>
    </row>
    <row r="1417" spans="1:4" ht="12" hidden="1" customHeight="1" outlineLevel="1" x14ac:dyDescent="0.3">
      <c r="A1417" s="238"/>
      <c r="B1417" s="242">
        <v>6300</v>
      </c>
      <c r="C1417" s="248" t="s">
        <v>220</v>
      </c>
      <c r="D1417" s="244"/>
    </row>
    <row r="1418" spans="1:4" ht="12" hidden="1" customHeight="1" outlineLevel="1" x14ac:dyDescent="0.3">
      <c r="A1418" s="238"/>
      <c r="B1418" s="242">
        <v>6400</v>
      </c>
      <c r="C1418" s="248" t="s">
        <v>221</v>
      </c>
      <c r="D1418" s="244"/>
    </row>
    <row r="1419" spans="1:4" ht="12" hidden="1" customHeight="1" outlineLevel="1" x14ac:dyDescent="0.3">
      <c r="A1419" s="238"/>
      <c r="B1419" s="242">
        <v>6500</v>
      </c>
      <c r="C1419" s="249" t="s">
        <v>222</v>
      </c>
      <c r="D1419" s="244"/>
    </row>
    <row r="1420" spans="1:4" ht="12" hidden="1" customHeight="1" outlineLevel="1" x14ac:dyDescent="0.3">
      <c r="A1420" s="238"/>
      <c r="B1420" s="199">
        <v>7000</v>
      </c>
      <c r="C1420" s="200" t="s">
        <v>223</v>
      </c>
      <c r="D1420" s="260">
        <v>0</v>
      </c>
    </row>
    <row r="1421" spans="1:4" ht="12" hidden="1" customHeight="1" outlineLevel="1" x14ac:dyDescent="0.3">
      <c r="A1421" s="238"/>
      <c r="B1421" s="250">
        <v>7200</v>
      </c>
      <c r="C1421" s="251" t="s">
        <v>224</v>
      </c>
      <c r="D1421" s="244"/>
    </row>
    <row r="1422" spans="1:4" ht="12" hidden="1" customHeight="1" outlineLevel="1" x14ac:dyDescent="0.3">
      <c r="A1422" s="238"/>
      <c r="B1422" s="250">
        <v>7500</v>
      </c>
      <c r="C1422" s="251" t="s">
        <v>225</v>
      </c>
      <c r="D1422" s="244"/>
    </row>
    <row r="1423" spans="1:4" ht="12" hidden="1" customHeight="1" outlineLevel="1" x14ac:dyDescent="0.3">
      <c r="A1423" s="238"/>
      <c r="B1423" s="250">
        <v>7700</v>
      </c>
      <c r="C1423" s="251" t="s">
        <v>226</v>
      </c>
      <c r="D1423" s="244"/>
    </row>
    <row r="1424" spans="1:4" ht="12" hidden="1" customHeight="1" outlineLevel="1" x14ac:dyDescent="0.3">
      <c r="A1424" s="238"/>
      <c r="B1424" s="252">
        <v>8000</v>
      </c>
      <c r="C1424" s="253" t="s">
        <v>227</v>
      </c>
      <c r="D1424" s="260">
        <v>0</v>
      </c>
    </row>
    <row r="1425" spans="1:4" ht="12" hidden="1" customHeight="1" outlineLevel="1" x14ac:dyDescent="0.3">
      <c r="A1425" s="238"/>
      <c r="B1425" s="254">
        <v>8100</v>
      </c>
      <c r="C1425" s="255" t="s">
        <v>228</v>
      </c>
      <c r="D1425" s="260"/>
    </row>
    <row r="1426" spans="1:4" ht="12" hidden="1" customHeight="1" outlineLevel="1" x14ac:dyDescent="0.3">
      <c r="A1426" s="238"/>
      <c r="B1426" s="254">
        <v>8600</v>
      </c>
      <c r="C1426" s="255" t="s">
        <v>229</v>
      </c>
      <c r="D1426" s="260"/>
    </row>
    <row r="1427" spans="1:4" ht="12" hidden="1" customHeight="1" outlineLevel="1" x14ac:dyDescent="0.3">
      <c r="A1427" s="238"/>
      <c r="B1427" s="254">
        <v>8900</v>
      </c>
      <c r="C1427" s="255" t="s">
        <v>230</v>
      </c>
      <c r="D1427" s="260"/>
    </row>
    <row r="1428" spans="1:4" ht="12" hidden="1" customHeight="1" outlineLevel="1" x14ac:dyDescent="0.3">
      <c r="A1428" s="256" t="s">
        <v>312</v>
      </c>
      <c r="B1428" s="257"/>
      <c r="C1428" s="258" t="s">
        <v>313</v>
      </c>
      <c r="D1428" s="259">
        <v>0</v>
      </c>
    </row>
    <row r="1429" spans="1:4" ht="12" hidden="1" customHeight="1" outlineLevel="1" x14ac:dyDescent="0.3">
      <c r="A1429" s="227"/>
      <c r="B1429" s="228"/>
      <c r="C1429" s="229" t="s">
        <v>198</v>
      </c>
      <c r="D1429" s="230">
        <v>0</v>
      </c>
    </row>
    <row r="1430" spans="1:4" ht="12" hidden="1" customHeight="1" outlineLevel="1" x14ac:dyDescent="0.3">
      <c r="A1430" s="227"/>
      <c r="B1430" s="231">
        <v>1000</v>
      </c>
      <c r="C1430" s="232" t="s">
        <v>199</v>
      </c>
      <c r="D1430" s="230">
        <v>0</v>
      </c>
    </row>
    <row r="1431" spans="1:4" ht="12" hidden="1" customHeight="1" outlineLevel="1" x14ac:dyDescent="0.3">
      <c r="A1431" s="227"/>
      <c r="B1431" s="234">
        <v>1100</v>
      </c>
      <c r="C1431" s="235" t="s">
        <v>200</v>
      </c>
      <c r="D1431" s="236"/>
    </row>
    <row r="1432" spans="1:4" ht="12" hidden="1" customHeight="1" outlineLevel="1" x14ac:dyDescent="0.3">
      <c r="A1432" s="227"/>
      <c r="B1432" s="234">
        <v>1200</v>
      </c>
      <c r="C1432" s="237" t="s">
        <v>201</v>
      </c>
      <c r="D1432" s="236"/>
    </row>
    <row r="1433" spans="1:4" ht="12" hidden="1" customHeight="1" outlineLevel="1" x14ac:dyDescent="0.3">
      <c r="A1433" s="238"/>
      <c r="B1433" s="239">
        <v>2000</v>
      </c>
      <c r="C1433" s="240" t="s">
        <v>202</v>
      </c>
      <c r="D1433" s="260">
        <v>0</v>
      </c>
    </row>
    <row r="1434" spans="1:4" ht="12" hidden="1" customHeight="1" outlineLevel="1" x14ac:dyDescent="0.3">
      <c r="A1434" s="238"/>
      <c r="B1434" s="242">
        <v>2100</v>
      </c>
      <c r="C1434" s="243" t="s">
        <v>203</v>
      </c>
      <c r="D1434" s="244"/>
    </row>
    <row r="1435" spans="1:4" ht="12" hidden="1" customHeight="1" outlineLevel="1" x14ac:dyDescent="0.3">
      <c r="A1435" s="238"/>
      <c r="B1435" s="242">
        <v>2200</v>
      </c>
      <c r="C1435" s="243" t="s">
        <v>204</v>
      </c>
      <c r="D1435" s="244"/>
    </row>
    <row r="1436" spans="1:4" ht="12" hidden="1" customHeight="1" outlineLevel="1" x14ac:dyDescent="0.3">
      <c r="A1436" s="238"/>
      <c r="B1436" s="242">
        <v>2300</v>
      </c>
      <c r="C1436" s="243" t="s">
        <v>205</v>
      </c>
      <c r="D1436" s="244"/>
    </row>
    <row r="1437" spans="1:4" ht="12" hidden="1" customHeight="1" outlineLevel="1" x14ac:dyDescent="0.3">
      <c r="A1437" s="238"/>
      <c r="B1437" s="242">
        <v>2400</v>
      </c>
      <c r="C1437" s="243" t="s">
        <v>206</v>
      </c>
      <c r="D1437" s="244"/>
    </row>
    <row r="1438" spans="1:4" ht="12" hidden="1" customHeight="1" outlineLevel="1" x14ac:dyDescent="0.3">
      <c r="A1438" s="238"/>
      <c r="B1438" s="242">
        <v>2500</v>
      </c>
      <c r="C1438" s="243" t="s">
        <v>207</v>
      </c>
      <c r="D1438" s="244"/>
    </row>
    <row r="1439" spans="1:4" ht="12" hidden="1" customHeight="1" outlineLevel="1" x14ac:dyDescent="0.3">
      <c r="A1439" s="238"/>
      <c r="B1439" s="199">
        <v>3000</v>
      </c>
      <c r="C1439" s="245" t="s">
        <v>208</v>
      </c>
      <c r="D1439" s="260">
        <v>0</v>
      </c>
    </row>
    <row r="1440" spans="1:4" ht="12" hidden="1" customHeight="1" outlineLevel="1" x14ac:dyDescent="0.3">
      <c r="A1440" s="238"/>
      <c r="B1440" s="242">
        <v>3200</v>
      </c>
      <c r="C1440" s="243" t="s">
        <v>209</v>
      </c>
      <c r="D1440" s="244"/>
    </row>
    <row r="1441" spans="1:4" ht="12" hidden="1" customHeight="1" outlineLevel="1" x14ac:dyDescent="0.3">
      <c r="A1441" s="238"/>
      <c r="B1441" s="242">
        <v>3300</v>
      </c>
      <c r="C1441" s="243" t="s">
        <v>210</v>
      </c>
      <c r="D1441" s="244"/>
    </row>
    <row r="1442" spans="1:4" ht="12" hidden="1" customHeight="1" outlineLevel="1" x14ac:dyDescent="0.3">
      <c r="A1442" s="238"/>
      <c r="B1442" s="199">
        <v>4000</v>
      </c>
      <c r="C1442" s="246" t="s">
        <v>211</v>
      </c>
      <c r="D1442" s="260">
        <v>0</v>
      </c>
    </row>
    <row r="1443" spans="1:4" ht="12" hidden="1" customHeight="1" outlineLevel="1" x14ac:dyDescent="0.3">
      <c r="A1443" s="238"/>
      <c r="B1443" s="242">
        <v>4200</v>
      </c>
      <c r="C1443" s="247" t="s">
        <v>212</v>
      </c>
      <c r="D1443" s="244"/>
    </row>
    <row r="1444" spans="1:4" ht="12" hidden="1" customHeight="1" outlineLevel="1" x14ac:dyDescent="0.3">
      <c r="A1444" s="238"/>
      <c r="B1444" s="242">
        <v>4300</v>
      </c>
      <c r="C1444" s="247" t="s">
        <v>213</v>
      </c>
      <c r="D1444" s="244"/>
    </row>
    <row r="1445" spans="1:4" ht="12" hidden="1" customHeight="1" outlineLevel="1" x14ac:dyDescent="0.3">
      <c r="A1445" s="238"/>
      <c r="B1445" s="199">
        <v>5000</v>
      </c>
      <c r="C1445" s="200" t="s">
        <v>214</v>
      </c>
      <c r="D1445" s="260">
        <v>0</v>
      </c>
    </row>
    <row r="1446" spans="1:4" ht="12" hidden="1" customHeight="1" outlineLevel="1" x14ac:dyDescent="0.3">
      <c r="A1446" s="238"/>
      <c r="B1446" s="242">
        <v>5100</v>
      </c>
      <c r="C1446" s="248" t="s">
        <v>215</v>
      </c>
      <c r="D1446" s="260"/>
    </row>
    <row r="1447" spans="1:4" ht="12" hidden="1" customHeight="1" outlineLevel="1" x14ac:dyDescent="0.3">
      <c r="A1447" s="238"/>
      <c r="B1447" s="242">
        <v>5200</v>
      </c>
      <c r="C1447" s="248" t="s">
        <v>216</v>
      </c>
      <c r="D1447" s="260"/>
    </row>
    <row r="1448" spans="1:4" ht="12" hidden="1" customHeight="1" outlineLevel="1" x14ac:dyDescent="0.3">
      <c r="A1448" s="238"/>
      <c r="B1448" s="242">
        <v>5300</v>
      </c>
      <c r="C1448" s="249" t="s">
        <v>217</v>
      </c>
      <c r="D1448" s="260"/>
    </row>
    <row r="1449" spans="1:4" ht="12" hidden="1" customHeight="1" outlineLevel="1" x14ac:dyDescent="0.3">
      <c r="A1449" s="238"/>
      <c r="B1449" s="199">
        <v>6000</v>
      </c>
      <c r="C1449" s="200" t="s">
        <v>218</v>
      </c>
      <c r="D1449" s="260">
        <v>0</v>
      </c>
    </row>
    <row r="1450" spans="1:4" ht="12" hidden="1" customHeight="1" outlineLevel="1" x14ac:dyDescent="0.3">
      <c r="A1450" s="238"/>
      <c r="B1450" s="242">
        <v>6200</v>
      </c>
      <c r="C1450" s="248" t="s">
        <v>219</v>
      </c>
      <c r="D1450" s="244"/>
    </row>
    <row r="1451" spans="1:4" ht="12" hidden="1" customHeight="1" outlineLevel="1" x14ac:dyDescent="0.3">
      <c r="A1451" s="238"/>
      <c r="B1451" s="242">
        <v>6300</v>
      </c>
      <c r="C1451" s="248" t="s">
        <v>220</v>
      </c>
      <c r="D1451" s="244"/>
    </row>
    <row r="1452" spans="1:4" ht="12" hidden="1" customHeight="1" outlineLevel="1" x14ac:dyDescent="0.3">
      <c r="A1452" s="238"/>
      <c r="B1452" s="242">
        <v>6400</v>
      </c>
      <c r="C1452" s="248" t="s">
        <v>221</v>
      </c>
      <c r="D1452" s="244"/>
    </row>
    <row r="1453" spans="1:4" ht="12" hidden="1" customHeight="1" outlineLevel="1" x14ac:dyDescent="0.3">
      <c r="A1453" s="238"/>
      <c r="B1453" s="242">
        <v>6500</v>
      </c>
      <c r="C1453" s="249" t="s">
        <v>222</v>
      </c>
      <c r="D1453" s="244"/>
    </row>
    <row r="1454" spans="1:4" ht="12" hidden="1" customHeight="1" outlineLevel="1" x14ac:dyDescent="0.3">
      <c r="A1454" s="238"/>
      <c r="B1454" s="199">
        <v>7000</v>
      </c>
      <c r="C1454" s="200" t="s">
        <v>223</v>
      </c>
      <c r="D1454" s="260">
        <v>0</v>
      </c>
    </row>
    <row r="1455" spans="1:4" ht="12" hidden="1" customHeight="1" outlineLevel="1" x14ac:dyDescent="0.3">
      <c r="A1455" s="238"/>
      <c r="B1455" s="250">
        <v>7200</v>
      </c>
      <c r="C1455" s="251" t="s">
        <v>224</v>
      </c>
      <c r="D1455" s="244"/>
    </row>
    <row r="1456" spans="1:4" ht="12" hidden="1" customHeight="1" outlineLevel="1" x14ac:dyDescent="0.3">
      <c r="A1456" s="238"/>
      <c r="B1456" s="250">
        <v>7500</v>
      </c>
      <c r="C1456" s="251" t="s">
        <v>225</v>
      </c>
      <c r="D1456" s="244"/>
    </row>
    <row r="1457" spans="1:4" ht="12" hidden="1" customHeight="1" outlineLevel="1" x14ac:dyDescent="0.3">
      <c r="A1457" s="238"/>
      <c r="B1457" s="250">
        <v>7700</v>
      </c>
      <c r="C1457" s="251" t="s">
        <v>226</v>
      </c>
      <c r="D1457" s="244"/>
    </row>
    <row r="1458" spans="1:4" ht="12" hidden="1" customHeight="1" outlineLevel="1" x14ac:dyDescent="0.3">
      <c r="A1458" s="238"/>
      <c r="B1458" s="252">
        <v>8000</v>
      </c>
      <c r="C1458" s="253" t="s">
        <v>227</v>
      </c>
      <c r="D1458" s="260">
        <v>0</v>
      </c>
    </row>
    <row r="1459" spans="1:4" ht="12" hidden="1" customHeight="1" outlineLevel="1" x14ac:dyDescent="0.3">
      <c r="A1459" s="238"/>
      <c r="B1459" s="254">
        <v>8100</v>
      </c>
      <c r="C1459" s="255" t="s">
        <v>228</v>
      </c>
      <c r="D1459" s="260"/>
    </row>
    <row r="1460" spans="1:4" ht="12" hidden="1" customHeight="1" outlineLevel="1" x14ac:dyDescent="0.3">
      <c r="A1460" s="238"/>
      <c r="B1460" s="254">
        <v>8600</v>
      </c>
      <c r="C1460" s="255" t="s">
        <v>229</v>
      </c>
      <c r="D1460" s="260"/>
    </row>
    <row r="1461" spans="1:4" ht="12" hidden="1" customHeight="1" outlineLevel="1" x14ac:dyDescent="0.3">
      <c r="A1461" s="238"/>
      <c r="B1461" s="254">
        <v>8900</v>
      </c>
      <c r="C1461" s="255" t="s">
        <v>230</v>
      </c>
      <c r="D1461" s="260"/>
    </row>
    <row r="1462" spans="1:4" ht="17.100000000000001" customHeight="1" collapsed="1" x14ac:dyDescent="0.3">
      <c r="A1462" s="278" t="s">
        <v>314</v>
      </c>
      <c r="B1462" s="279"/>
      <c r="C1462" s="280" t="s">
        <v>315</v>
      </c>
      <c r="D1462" s="226">
        <v>266</v>
      </c>
    </row>
    <row r="1463" spans="1:4" ht="12" customHeight="1" x14ac:dyDescent="0.3">
      <c r="A1463" s="227"/>
      <c r="B1463" s="228"/>
      <c r="C1463" s="229" t="s">
        <v>198</v>
      </c>
      <c r="D1463" s="233">
        <v>266</v>
      </c>
    </row>
    <row r="1464" spans="1:4" ht="12" customHeight="1" x14ac:dyDescent="0.3">
      <c r="A1464" s="227"/>
      <c r="B1464" s="231">
        <v>1000</v>
      </c>
      <c r="C1464" s="232" t="s">
        <v>199</v>
      </c>
      <c r="D1464" s="233">
        <v>0</v>
      </c>
    </row>
    <row r="1465" spans="1:4" ht="12" hidden="1" customHeight="1" outlineLevel="1" x14ac:dyDescent="0.3">
      <c r="A1465" s="227"/>
      <c r="B1465" s="234">
        <v>1100</v>
      </c>
      <c r="C1465" s="235" t="s">
        <v>200</v>
      </c>
      <c r="D1465" s="236">
        <v>0</v>
      </c>
    </row>
    <row r="1466" spans="1:4" ht="12" hidden="1" customHeight="1" outlineLevel="1" x14ac:dyDescent="0.3">
      <c r="A1466" s="227"/>
      <c r="B1466" s="234">
        <v>1200</v>
      </c>
      <c r="C1466" s="237" t="s">
        <v>201</v>
      </c>
      <c r="D1466" s="236">
        <v>0</v>
      </c>
    </row>
    <row r="1467" spans="1:4" ht="12" customHeight="1" collapsed="1" x14ac:dyDescent="0.3">
      <c r="A1467" s="238"/>
      <c r="B1467" s="239">
        <v>2000</v>
      </c>
      <c r="C1467" s="240" t="s">
        <v>202</v>
      </c>
      <c r="D1467" s="241">
        <v>266</v>
      </c>
    </row>
    <row r="1468" spans="1:4" ht="12" hidden="1" customHeight="1" outlineLevel="1" x14ac:dyDescent="0.3">
      <c r="A1468" s="238"/>
      <c r="B1468" s="242">
        <v>2100</v>
      </c>
      <c r="C1468" s="243" t="s">
        <v>203</v>
      </c>
      <c r="D1468" s="244">
        <v>0</v>
      </c>
    </row>
    <row r="1469" spans="1:4" ht="12" customHeight="1" collapsed="1" x14ac:dyDescent="0.3">
      <c r="A1469" s="238"/>
      <c r="B1469" s="242">
        <v>2200</v>
      </c>
      <c r="C1469" s="243" t="s">
        <v>204</v>
      </c>
      <c r="D1469" s="244">
        <v>266</v>
      </c>
    </row>
    <row r="1470" spans="1:4" ht="12" hidden="1" customHeight="1" outlineLevel="1" x14ac:dyDescent="0.3">
      <c r="A1470" s="238"/>
      <c r="B1470" s="242">
        <v>2300</v>
      </c>
      <c r="C1470" s="243" t="s">
        <v>205</v>
      </c>
      <c r="D1470" s="244">
        <v>0</v>
      </c>
    </row>
    <row r="1471" spans="1:4" ht="12" hidden="1" customHeight="1" outlineLevel="1" x14ac:dyDescent="0.3">
      <c r="A1471" s="238"/>
      <c r="B1471" s="242">
        <v>2400</v>
      </c>
      <c r="C1471" s="243" t="s">
        <v>206</v>
      </c>
      <c r="D1471" s="244">
        <v>0</v>
      </c>
    </row>
    <row r="1472" spans="1:4" ht="12" hidden="1" customHeight="1" outlineLevel="1" x14ac:dyDescent="0.3">
      <c r="A1472" s="238"/>
      <c r="B1472" s="242">
        <v>2500</v>
      </c>
      <c r="C1472" s="243" t="s">
        <v>207</v>
      </c>
      <c r="D1472" s="244">
        <v>0</v>
      </c>
    </row>
    <row r="1473" spans="1:4" ht="12" hidden="1" customHeight="1" outlineLevel="1" x14ac:dyDescent="0.3">
      <c r="A1473" s="238"/>
      <c r="B1473" s="199">
        <v>3000</v>
      </c>
      <c r="C1473" s="245" t="s">
        <v>208</v>
      </c>
      <c r="D1473" s="241">
        <v>0</v>
      </c>
    </row>
    <row r="1474" spans="1:4" ht="12" hidden="1" customHeight="1" outlineLevel="1" x14ac:dyDescent="0.3">
      <c r="A1474" s="238"/>
      <c r="B1474" s="242">
        <v>3200</v>
      </c>
      <c r="C1474" s="243" t="s">
        <v>209</v>
      </c>
      <c r="D1474" s="244">
        <v>0</v>
      </c>
    </row>
    <row r="1475" spans="1:4" ht="12" hidden="1" customHeight="1" outlineLevel="1" x14ac:dyDescent="0.3">
      <c r="A1475" s="238"/>
      <c r="B1475" s="242">
        <v>3300</v>
      </c>
      <c r="C1475" s="243" t="s">
        <v>210</v>
      </c>
      <c r="D1475" s="244">
        <v>0</v>
      </c>
    </row>
    <row r="1476" spans="1:4" ht="12" hidden="1" customHeight="1" outlineLevel="1" x14ac:dyDescent="0.3">
      <c r="A1476" s="238"/>
      <c r="B1476" s="199">
        <v>4000</v>
      </c>
      <c r="C1476" s="246" t="s">
        <v>211</v>
      </c>
      <c r="D1476" s="241">
        <v>0</v>
      </c>
    </row>
    <row r="1477" spans="1:4" ht="12" hidden="1" customHeight="1" outlineLevel="1" x14ac:dyDescent="0.3">
      <c r="A1477" s="238"/>
      <c r="B1477" s="242">
        <v>4200</v>
      </c>
      <c r="C1477" s="247" t="s">
        <v>212</v>
      </c>
      <c r="D1477" s="244">
        <v>0</v>
      </c>
    </row>
    <row r="1478" spans="1:4" ht="12" hidden="1" customHeight="1" outlineLevel="1" x14ac:dyDescent="0.3">
      <c r="A1478" s="238"/>
      <c r="B1478" s="242">
        <v>4300</v>
      </c>
      <c r="C1478" s="247" t="s">
        <v>213</v>
      </c>
      <c r="D1478" s="244">
        <v>0</v>
      </c>
    </row>
    <row r="1479" spans="1:4" ht="12" hidden="1" customHeight="1" outlineLevel="1" collapsed="1" x14ac:dyDescent="0.3">
      <c r="A1479" s="238"/>
      <c r="B1479" s="199">
        <v>5000</v>
      </c>
      <c r="C1479" s="200" t="s">
        <v>214</v>
      </c>
      <c r="D1479" s="241">
        <v>0</v>
      </c>
    </row>
    <row r="1480" spans="1:4" ht="12" hidden="1" customHeight="1" outlineLevel="1" x14ac:dyDescent="0.3">
      <c r="A1480" s="238"/>
      <c r="B1480" s="242">
        <v>5100</v>
      </c>
      <c r="C1480" s="248" t="s">
        <v>215</v>
      </c>
      <c r="D1480" s="244">
        <v>0</v>
      </c>
    </row>
    <row r="1481" spans="1:4" ht="12" hidden="1" customHeight="1" outlineLevel="1" collapsed="1" x14ac:dyDescent="0.3">
      <c r="A1481" s="238"/>
      <c r="B1481" s="242">
        <v>5200</v>
      </c>
      <c r="C1481" s="248" t="s">
        <v>216</v>
      </c>
      <c r="D1481" s="244">
        <v>0</v>
      </c>
    </row>
    <row r="1482" spans="1:4" ht="12" hidden="1" customHeight="1" outlineLevel="1" x14ac:dyDescent="0.3">
      <c r="A1482" s="238"/>
      <c r="B1482" s="242">
        <v>5300</v>
      </c>
      <c r="C1482" s="249" t="s">
        <v>217</v>
      </c>
      <c r="D1482" s="244">
        <v>0</v>
      </c>
    </row>
    <row r="1483" spans="1:4" ht="12" hidden="1" customHeight="1" outlineLevel="1" x14ac:dyDescent="0.3">
      <c r="A1483" s="238"/>
      <c r="B1483" s="199">
        <v>6000</v>
      </c>
      <c r="C1483" s="200" t="s">
        <v>218</v>
      </c>
      <c r="D1483" s="241">
        <v>0</v>
      </c>
    </row>
    <row r="1484" spans="1:4" ht="12" hidden="1" customHeight="1" outlineLevel="1" x14ac:dyDescent="0.3">
      <c r="A1484" s="238"/>
      <c r="B1484" s="242">
        <v>6200</v>
      </c>
      <c r="C1484" s="248" t="s">
        <v>219</v>
      </c>
      <c r="D1484" s="244">
        <v>0</v>
      </c>
    </row>
    <row r="1485" spans="1:4" ht="12" hidden="1" customHeight="1" outlineLevel="1" x14ac:dyDescent="0.3">
      <c r="A1485" s="238"/>
      <c r="B1485" s="242">
        <v>6300</v>
      </c>
      <c r="C1485" s="248" t="s">
        <v>220</v>
      </c>
      <c r="D1485" s="244">
        <v>0</v>
      </c>
    </row>
    <row r="1486" spans="1:4" ht="12" hidden="1" customHeight="1" outlineLevel="1" x14ac:dyDescent="0.3">
      <c r="A1486" s="238"/>
      <c r="B1486" s="242">
        <v>6400</v>
      </c>
      <c r="C1486" s="248" t="s">
        <v>221</v>
      </c>
      <c r="D1486" s="244">
        <v>0</v>
      </c>
    </row>
    <row r="1487" spans="1:4" ht="12" hidden="1" customHeight="1" outlineLevel="1" x14ac:dyDescent="0.3">
      <c r="A1487" s="238"/>
      <c r="B1487" s="242">
        <v>6500</v>
      </c>
      <c r="C1487" s="249" t="s">
        <v>222</v>
      </c>
      <c r="D1487" s="244">
        <v>0</v>
      </c>
    </row>
    <row r="1488" spans="1:4" ht="12" hidden="1" customHeight="1" outlineLevel="1" x14ac:dyDescent="0.3">
      <c r="A1488" s="238"/>
      <c r="B1488" s="199">
        <v>7000</v>
      </c>
      <c r="C1488" s="200" t="s">
        <v>223</v>
      </c>
      <c r="D1488" s="241">
        <v>0</v>
      </c>
    </row>
    <row r="1489" spans="1:4" ht="12" hidden="1" customHeight="1" outlineLevel="1" x14ac:dyDescent="0.3">
      <c r="A1489" s="238"/>
      <c r="B1489" s="250">
        <v>7200</v>
      </c>
      <c r="C1489" s="251" t="s">
        <v>224</v>
      </c>
      <c r="D1489" s="244">
        <v>0</v>
      </c>
    </row>
    <row r="1490" spans="1:4" ht="12" hidden="1" customHeight="1" outlineLevel="1" x14ac:dyDescent="0.3">
      <c r="A1490" s="238"/>
      <c r="B1490" s="250">
        <v>7500</v>
      </c>
      <c r="C1490" s="251" t="s">
        <v>225</v>
      </c>
      <c r="D1490" s="244">
        <v>0</v>
      </c>
    </row>
    <row r="1491" spans="1:4" ht="12" hidden="1" customHeight="1" outlineLevel="1" x14ac:dyDescent="0.3">
      <c r="A1491" s="238"/>
      <c r="B1491" s="250">
        <v>7700</v>
      </c>
      <c r="C1491" s="251" t="s">
        <v>226</v>
      </c>
      <c r="D1491" s="244">
        <v>0</v>
      </c>
    </row>
    <row r="1492" spans="1:4" ht="12" hidden="1" customHeight="1" outlineLevel="1" x14ac:dyDescent="0.3">
      <c r="A1492" s="238"/>
      <c r="B1492" s="252">
        <v>8000</v>
      </c>
      <c r="C1492" s="253" t="s">
        <v>227</v>
      </c>
      <c r="D1492" s="241">
        <v>0</v>
      </c>
    </row>
    <row r="1493" spans="1:4" ht="12" hidden="1" customHeight="1" outlineLevel="1" x14ac:dyDescent="0.3">
      <c r="A1493" s="238"/>
      <c r="B1493" s="254">
        <v>8100</v>
      </c>
      <c r="C1493" s="255" t="s">
        <v>228</v>
      </c>
      <c r="D1493" s="244">
        <v>0</v>
      </c>
    </row>
    <row r="1494" spans="1:4" ht="12" hidden="1" customHeight="1" outlineLevel="1" x14ac:dyDescent="0.3">
      <c r="A1494" s="238"/>
      <c r="B1494" s="254">
        <v>8600</v>
      </c>
      <c r="C1494" s="255" t="s">
        <v>229</v>
      </c>
      <c r="D1494" s="244">
        <v>0</v>
      </c>
    </row>
    <row r="1495" spans="1:4" ht="12" hidden="1" customHeight="1" outlineLevel="1" x14ac:dyDescent="0.3">
      <c r="A1495" s="238"/>
      <c r="B1495" s="254">
        <v>8900</v>
      </c>
      <c r="C1495" s="255" t="s">
        <v>230</v>
      </c>
      <c r="D1495" s="244">
        <v>0</v>
      </c>
    </row>
    <row r="1496" spans="1:4" ht="12" hidden="1" customHeight="1" outlineLevel="1" collapsed="1" x14ac:dyDescent="0.3">
      <c r="A1496" s="256" t="s">
        <v>156</v>
      </c>
      <c r="B1496" s="257"/>
      <c r="C1496" s="258" t="s">
        <v>316</v>
      </c>
      <c r="D1496" s="259">
        <v>0</v>
      </c>
    </row>
    <row r="1497" spans="1:4" ht="12" hidden="1" customHeight="1" outlineLevel="1" x14ac:dyDescent="0.3">
      <c r="A1497" s="227"/>
      <c r="B1497" s="228"/>
      <c r="C1497" s="229" t="s">
        <v>198</v>
      </c>
      <c r="D1497" s="230">
        <v>0</v>
      </c>
    </row>
    <row r="1498" spans="1:4" ht="12" hidden="1" customHeight="1" outlineLevel="1" x14ac:dyDescent="0.3">
      <c r="A1498" s="227"/>
      <c r="B1498" s="231">
        <v>1000</v>
      </c>
      <c r="C1498" s="232" t="s">
        <v>199</v>
      </c>
      <c r="D1498" s="230">
        <v>0</v>
      </c>
    </row>
    <row r="1499" spans="1:4" ht="12" hidden="1" customHeight="1" outlineLevel="1" x14ac:dyDescent="0.3">
      <c r="A1499" s="227"/>
      <c r="B1499" s="234">
        <v>1100</v>
      </c>
      <c r="C1499" s="235" t="s">
        <v>200</v>
      </c>
      <c r="D1499" s="236"/>
    </row>
    <row r="1500" spans="1:4" ht="12" hidden="1" customHeight="1" outlineLevel="1" x14ac:dyDescent="0.3">
      <c r="A1500" s="227"/>
      <c r="B1500" s="234">
        <v>1200</v>
      </c>
      <c r="C1500" s="237" t="s">
        <v>201</v>
      </c>
      <c r="D1500" s="236"/>
    </row>
    <row r="1501" spans="1:4" ht="12" hidden="1" customHeight="1" outlineLevel="1" x14ac:dyDescent="0.3">
      <c r="A1501" s="238"/>
      <c r="B1501" s="239">
        <v>2000</v>
      </c>
      <c r="C1501" s="240" t="s">
        <v>202</v>
      </c>
      <c r="D1501" s="260">
        <v>0</v>
      </c>
    </row>
    <row r="1502" spans="1:4" ht="12" hidden="1" customHeight="1" outlineLevel="1" x14ac:dyDescent="0.3">
      <c r="A1502" s="238"/>
      <c r="B1502" s="242">
        <v>2100</v>
      </c>
      <c r="C1502" s="243" t="s">
        <v>203</v>
      </c>
      <c r="D1502" s="244"/>
    </row>
    <row r="1503" spans="1:4" ht="12" hidden="1" customHeight="1" outlineLevel="1" x14ac:dyDescent="0.3">
      <c r="A1503" s="238"/>
      <c r="B1503" s="242">
        <v>2200</v>
      </c>
      <c r="C1503" s="243" t="s">
        <v>204</v>
      </c>
      <c r="D1503" s="244"/>
    </row>
    <row r="1504" spans="1:4" ht="12" hidden="1" customHeight="1" outlineLevel="1" x14ac:dyDescent="0.3">
      <c r="A1504" s="238"/>
      <c r="B1504" s="242">
        <v>2300</v>
      </c>
      <c r="C1504" s="243" t="s">
        <v>205</v>
      </c>
      <c r="D1504" s="244"/>
    </row>
    <row r="1505" spans="1:4" ht="14.25" hidden="1" customHeight="1" outlineLevel="1" x14ac:dyDescent="0.3">
      <c r="A1505" s="238"/>
      <c r="B1505" s="242">
        <v>2400</v>
      </c>
      <c r="C1505" s="243" t="s">
        <v>206</v>
      </c>
      <c r="D1505" s="244"/>
    </row>
    <row r="1506" spans="1:4" ht="12" hidden="1" customHeight="1" outlineLevel="1" x14ac:dyDescent="0.3">
      <c r="A1506" s="238"/>
      <c r="B1506" s="242">
        <v>2500</v>
      </c>
      <c r="C1506" s="243" t="s">
        <v>207</v>
      </c>
      <c r="D1506" s="244"/>
    </row>
    <row r="1507" spans="1:4" ht="12" hidden="1" customHeight="1" outlineLevel="1" x14ac:dyDescent="0.3">
      <c r="A1507" s="238"/>
      <c r="B1507" s="199">
        <v>3000</v>
      </c>
      <c r="C1507" s="245" t="s">
        <v>208</v>
      </c>
      <c r="D1507" s="260">
        <v>0</v>
      </c>
    </row>
    <row r="1508" spans="1:4" ht="12" hidden="1" customHeight="1" outlineLevel="1" x14ac:dyDescent="0.3">
      <c r="A1508" s="238"/>
      <c r="B1508" s="242">
        <v>3200</v>
      </c>
      <c r="C1508" s="243" t="s">
        <v>209</v>
      </c>
      <c r="D1508" s="244"/>
    </row>
    <row r="1509" spans="1:4" ht="12" hidden="1" customHeight="1" outlineLevel="1" x14ac:dyDescent="0.3">
      <c r="A1509" s="238"/>
      <c r="B1509" s="242">
        <v>3300</v>
      </c>
      <c r="C1509" s="243" t="s">
        <v>210</v>
      </c>
      <c r="D1509" s="244"/>
    </row>
    <row r="1510" spans="1:4" ht="12" hidden="1" customHeight="1" outlineLevel="1" x14ac:dyDescent="0.3">
      <c r="A1510" s="238"/>
      <c r="B1510" s="199">
        <v>4000</v>
      </c>
      <c r="C1510" s="246" t="s">
        <v>211</v>
      </c>
      <c r="D1510" s="260">
        <v>0</v>
      </c>
    </row>
    <row r="1511" spans="1:4" ht="12" hidden="1" customHeight="1" outlineLevel="1" x14ac:dyDescent="0.3">
      <c r="A1511" s="238"/>
      <c r="B1511" s="242">
        <v>4200</v>
      </c>
      <c r="C1511" s="247" t="s">
        <v>212</v>
      </c>
      <c r="D1511" s="244"/>
    </row>
    <row r="1512" spans="1:4" ht="12" hidden="1" customHeight="1" outlineLevel="1" x14ac:dyDescent="0.3">
      <c r="A1512" s="238"/>
      <c r="B1512" s="242">
        <v>4300</v>
      </c>
      <c r="C1512" s="247" t="s">
        <v>213</v>
      </c>
      <c r="D1512" s="244"/>
    </row>
    <row r="1513" spans="1:4" ht="12" hidden="1" customHeight="1" outlineLevel="1" x14ac:dyDescent="0.3">
      <c r="A1513" s="238"/>
      <c r="B1513" s="199">
        <v>5000</v>
      </c>
      <c r="C1513" s="200" t="s">
        <v>214</v>
      </c>
      <c r="D1513" s="260">
        <v>0</v>
      </c>
    </row>
    <row r="1514" spans="1:4" ht="12" hidden="1" customHeight="1" outlineLevel="1" x14ac:dyDescent="0.3">
      <c r="A1514" s="238"/>
      <c r="B1514" s="242">
        <v>5100</v>
      </c>
      <c r="C1514" s="248" t="s">
        <v>215</v>
      </c>
      <c r="D1514" s="260"/>
    </row>
    <row r="1515" spans="1:4" ht="12" hidden="1" customHeight="1" outlineLevel="1" x14ac:dyDescent="0.3">
      <c r="A1515" s="238"/>
      <c r="B1515" s="242">
        <v>5200</v>
      </c>
      <c r="C1515" s="248" t="s">
        <v>216</v>
      </c>
      <c r="D1515" s="260"/>
    </row>
    <row r="1516" spans="1:4" ht="12" hidden="1" customHeight="1" outlineLevel="1" x14ac:dyDescent="0.3">
      <c r="A1516" s="238"/>
      <c r="B1516" s="242">
        <v>5300</v>
      </c>
      <c r="C1516" s="249" t="s">
        <v>217</v>
      </c>
      <c r="D1516" s="260"/>
    </row>
    <row r="1517" spans="1:4" ht="12" hidden="1" customHeight="1" outlineLevel="1" x14ac:dyDescent="0.3">
      <c r="A1517" s="238"/>
      <c r="B1517" s="199">
        <v>6000</v>
      </c>
      <c r="C1517" s="200" t="s">
        <v>218</v>
      </c>
      <c r="D1517" s="260">
        <v>0</v>
      </c>
    </row>
    <row r="1518" spans="1:4" ht="12" hidden="1" customHeight="1" outlineLevel="1" x14ac:dyDescent="0.3">
      <c r="A1518" s="238"/>
      <c r="B1518" s="242">
        <v>6200</v>
      </c>
      <c r="C1518" s="248" t="s">
        <v>219</v>
      </c>
      <c r="D1518" s="244"/>
    </row>
    <row r="1519" spans="1:4" ht="12" hidden="1" customHeight="1" outlineLevel="1" x14ac:dyDescent="0.3">
      <c r="A1519" s="238"/>
      <c r="B1519" s="242">
        <v>6300</v>
      </c>
      <c r="C1519" s="248" t="s">
        <v>220</v>
      </c>
      <c r="D1519" s="244"/>
    </row>
    <row r="1520" spans="1:4" ht="12" hidden="1" customHeight="1" outlineLevel="1" x14ac:dyDescent="0.3">
      <c r="A1520" s="238"/>
      <c r="B1520" s="242">
        <v>6400</v>
      </c>
      <c r="C1520" s="248" t="s">
        <v>221</v>
      </c>
      <c r="D1520" s="244"/>
    </row>
    <row r="1521" spans="1:4" ht="12" hidden="1" customHeight="1" outlineLevel="1" x14ac:dyDescent="0.3">
      <c r="A1521" s="238"/>
      <c r="B1521" s="242">
        <v>6500</v>
      </c>
      <c r="C1521" s="249" t="s">
        <v>222</v>
      </c>
      <c r="D1521" s="244"/>
    </row>
    <row r="1522" spans="1:4" ht="12" hidden="1" customHeight="1" outlineLevel="1" x14ac:dyDescent="0.3">
      <c r="A1522" s="238"/>
      <c r="B1522" s="199">
        <v>7000</v>
      </c>
      <c r="C1522" s="200" t="s">
        <v>223</v>
      </c>
      <c r="D1522" s="260">
        <v>0</v>
      </c>
    </row>
    <row r="1523" spans="1:4" ht="12" hidden="1" customHeight="1" outlineLevel="1" x14ac:dyDescent="0.3">
      <c r="A1523" s="238"/>
      <c r="B1523" s="250">
        <v>7200</v>
      </c>
      <c r="C1523" s="251" t="s">
        <v>224</v>
      </c>
      <c r="D1523" s="244"/>
    </row>
    <row r="1524" spans="1:4" ht="12" hidden="1" customHeight="1" outlineLevel="1" x14ac:dyDescent="0.3">
      <c r="A1524" s="238"/>
      <c r="B1524" s="250">
        <v>7500</v>
      </c>
      <c r="C1524" s="251" t="s">
        <v>225</v>
      </c>
      <c r="D1524" s="244"/>
    </row>
    <row r="1525" spans="1:4" ht="12" hidden="1" customHeight="1" outlineLevel="1" x14ac:dyDescent="0.3">
      <c r="A1525" s="238"/>
      <c r="B1525" s="250">
        <v>7700</v>
      </c>
      <c r="C1525" s="251" t="s">
        <v>226</v>
      </c>
      <c r="D1525" s="244"/>
    </row>
    <row r="1526" spans="1:4" ht="12" hidden="1" customHeight="1" outlineLevel="1" x14ac:dyDescent="0.3">
      <c r="A1526" s="238"/>
      <c r="B1526" s="252">
        <v>8000</v>
      </c>
      <c r="C1526" s="253" t="s">
        <v>227</v>
      </c>
      <c r="D1526" s="260">
        <v>0</v>
      </c>
    </row>
    <row r="1527" spans="1:4" ht="12" hidden="1" customHeight="1" outlineLevel="1" x14ac:dyDescent="0.3">
      <c r="A1527" s="238"/>
      <c r="B1527" s="254">
        <v>8100</v>
      </c>
      <c r="C1527" s="255" t="s">
        <v>228</v>
      </c>
      <c r="D1527" s="260"/>
    </row>
    <row r="1528" spans="1:4" ht="12" hidden="1" customHeight="1" outlineLevel="1" x14ac:dyDescent="0.3">
      <c r="A1528" s="238"/>
      <c r="B1528" s="254">
        <v>8600</v>
      </c>
      <c r="C1528" s="255" t="s">
        <v>229</v>
      </c>
      <c r="D1528" s="260"/>
    </row>
    <row r="1529" spans="1:4" ht="12" hidden="1" customHeight="1" outlineLevel="1" x14ac:dyDescent="0.3">
      <c r="A1529" s="238"/>
      <c r="B1529" s="254">
        <v>8900</v>
      </c>
      <c r="C1529" s="255" t="s">
        <v>230</v>
      </c>
      <c r="D1529" s="260"/>
    </row>
    <row r="1530" spans="1:4" ht="12" customHeight="1" collapsed="1" x14ac:dyDescent="0.3">
      <c r="A1530" s="256" t="s">
        <v>317</v>
      </c>
      <c r="B1530" s="257"/>
      <c r="C1530" s="258" t="s">
        <v>318</v>
      </c>
      <c r="D1530" s="259">
        <v>266</v>
      </c>
    </row>
    <row r="1531" spans="1:4" ht="12" customHeight="1" x14ac:dyDescent="0.3">
      <c r="A1531" s="238"/>
      <c r="B1531" s="228"/>
      <c r="C1531" s="229" t="s">
        <v>198</v>
      </c>
      <c r="D1531" s="230">
        <v>266</v>
      </c>
    </row>
    <row r="1532" spans="1:4" ht="12" hidden="1" customHeight="1" outlineLevel="1" x14ac:dyDescent="0.3">
      <c r="A1532" s="238"/>
      <c r="B1532" s="231">
        <v>1000</v>
      </c>
      <c r="C1532" s="232" t="s">
        <v>199</v>
      </c>
      <c r="D1532" s="233">
        <v>0</v>
      </c>
    </row>
    <row r="1533" spans="1:4" ht="12" hidden="1" customHeight="1" outlineLevel="1" x14ac:dyDescent="0.3">
      <c r="A1533" s="238"/>
      <c r="B1533" s="234">
        <v>1100</v>
      </c>
      <c r="C1533" s="235" t="s">
        <v>200</v>
      </c>
      <c r="D1533" s="236">
        <v>0</v>
      </c>
    </row>
    <row r="1534" spans="1:4" ht="12" hidden="1" customHeight="1" outlineLevel="1" x14ac:dyDescent="0.3">
      <c r="A1534" s="238"/>
      <c r="B1534" s="234">
        <v>1200</v>
      </c>
      <c r="C1534" s="237" t="s">
        <v>201</v>
      </c>
      <c r="D1534" s="236">
        <v>0</v>
      </c>
    </row>
    <row r="1535" spans="1:4" ht="12" customHeight="1" collapsed="1" x14ac:dyDescent="0.3">
      <c r="A1535" s="238"/>
      <c r="B1535" s="239">
        <v>2000</v>
      </c>
      <c r="C1535" s="240" t="s">
        <v>202</v>
      </c>
      <c r="D1535" s="241">
        <v>266</v>
      </c>
    </row>
    <row r="1536" spans="1:4" ht="12" hidden="1" customHeight="1" outlineLevel="1" x14ac:dyDescent="0.3">
      <c r="A1536" s="238"/>
      <c r="B1536" s="242">
        <v>2100</v>
      </c>
      <c r="C1536" s="243" t="s">
        <v>203</v>
      </c>
      <c r="D1536" s="244">
        <v>0</v>
      </c>
    </row>
    <row r="1537" spans="1:4" ht="12" customHeight="1" collapsed="1" x14ac:dyDescent="0.3">
      <c r="A1537" s="238"/>
      <c r="B1537" s="242">
        <v>2200</v>
      </c>
      <c r="C1537" s="243" t="s">
        <v>204</v>
      </c>
      <c r="D1537" s="244">
        <v>266</v>
      </c>
    </row>
    <row r="1538" spans="1:4" ht="12" hidden="1" customHeight="1" outlineLevel="1" x14ac:dyDescent="0.3">
      <c r="A1538" s="238"/>
      <c r="B1538" s="242">
        <v>2300</v>
      </c>
      <c r="C1538" s="243" t="s">
        <v>205</v>
      </c>
      <c r="D1538" s="244">
        <v>0</v>
      </c>
    </row>
    <row r="1539" spans="1:4" ht="12" hidden="1" customHeight="1" outlineLevel="1" x14ac:dyDescent="0.3">
      <c r="A1539" s="238"/>
      <c r="B1539" s="242">
        <v>2400</v>
      </c>
      <c r="C1539" s="243" t="s">
        <v>206</v>
      </c>
      <c r="D1539" s="244">
        <v>0</v>
      </c>
    </row>
    <row r="1540" spans="1:4" ht="12" hidden="1" customHeight="1" outlineLevel="1" x14ac:dyDescent="0.3">
      <c r="A1540" s="238"/>
      <c r="B1540" s="242">
        <v>2500</v>
      </c>
      <c r="C1540" s="243" t="s">
        <v>207</v>
      </c>
      <c r="D1540" s="244">
        <v>0</v>
      </c>
    </row>
    <row r="1541" spans="1:4" ht="12" hidden="1" customHeight="1" outlineLevel="1" x14ac:dyDescent="0.3">
      <c r="A1541" s="238"/>
      <c r="B1541" s="199">
        <v>3000</v>
      </c>
      <c r="C1541" s="245" t="s">
        <v>208</v>
      </c>
      <c r="D1541" s="241">
        <v>0</v>
      </c>
    </row>
    <row r="1542" spans="1:4" ht="12" hidden="1" customHeight="1" outlineLevel="1" x14ac:dyDescent="0.3">
      <c r="A1542" s="238"/>
      <c r="B1542" s="242">
        <v>3200</v>
      </c>
      <c r="C1542" s="243" t="s">
        <v>209</v>
      </c>
      <c r="D1542" s="244">
        <v>0</v>
      </c>
    </row>
    <row r="1543" spans="1:4" ht="12" hidden="1" customHeight="1" outlineLevel="1" x14ac:dyDescent="0.3">
      <c r="A1543" s="238"/>
      <c r="B1543" s="242">
        <v>3300</v>
      </c>
      <c r="C1543" s="243" t="s">
        <v>210</v>
      </c>
      <c r="D1543" s="244">
        <v>0</v>
      </c>
    </row>
    <row r="1544" spans="1:4" ht="12" hidden="1" customHeight="1" outlineLevel="1" x14ac:dyDescent="0.3">
      <c r="A1544" s="238"/>
      <c r="B1544" s="199">
        <v>4000</v>
      </c>
      <c r="C1544" s="246" t="s">
        <v>211</v>
      </c>
      <c r="D1544" s="241">
        <v>0</v>
      </c>
    </row>
    <row r="1545" spans="1:4" ht="12" hidden="1" customHeight="1" outlineLevel="1" x14ac:dyDescent="0.3">
      <c r="A1545" s="238"/>
      <c r="B1545" s="242">
        <v>4200</v>
      </c>
      <c r="C1545" s="247" t="s">
        <v>212</v>
      </c>
      <c r="D1545" s="244">
        <v>0</v>
      </c>
    </row>
    <row r="1546" spans="1:4" ht="12" hidden="1" customHeight="1" outlineLevel="1" x14ac:dyDescent="0.3">
      <c r="A1546" s="238"/>
      <c r="B1546" s="242">
        <v>4300</v>
      </c>
      <c r="C1546" s="247" t="s">
        <v>213</v>
      </c>
      <c r="D1546" s="244">
        <v>0</v>
      </c>
    </row>
    <row r="1547" spans="1:4" ht="12" hidden="1" customHeight="1" outlineLevel="1" x14ac:dyDescent="0.3">
      <c r="A1547" s="238"/>
      <c r="B1547" s="199">
        <v>5000</v>
      </c>
      <c r="C1547" s="200" t="s">
        <v>214</v>
      </c>
      <c r="D1547" s="241">
        <v>0</v>
      </c>
    </row>
    <row r="1548" spans="1:4" ht="12" hidden="1" customHeight="1" outlineLevel="1" x14ac:dyDescent="0.3">
      <c r="A1548" s="238"/>
      <c r="B1548" s="242">
        <v>5100</v>
      </c>
      <c r="C1548" s="248" t="s">
        <v>215</v>
      </c>
      <c r="D1548" s="244">
        <v>0</v>
      </c>
    </row>
    <row r="1549" spans="1:4" ht="12" hidden="1" customHeight="1" outlineLevel="1" x14ac:dyDescent="0.3">
      <c r="A1549" s="238"/>
      <c r="B1549" s="242">
        <v>5200</v>
      </c>
      <c r="C1549" s="248" t="s">
        <v>216</v>
      </c>
      <c r="D1549" s="244">
        <v>0</v>
      </c>
    </row>
    <row r="1550" spans="1:4" ht="12" hidden="1" customHeight="1" outlineLevel="1" x14ac:dyDescent="0.3">
      <c r="A1550" s="238"/>
      <c r="B1550" s="242">
        <v>5300</v>
      </c>
      <c r="C1550" s="249" t="s">
        <v>217</v>
      </c>
      <c r="D1550" s="244">
        <v>0</v>
      </c>
    </row>
    <row r="1551" spans="1:4" ht="12" hidden="1" customHeight="1" outlineLevel="1" x14ac:dyDescent="0.3">
      <c r="A1551" s="238"/>
      <c r="B1551" s="199">
        <v>6000</v>
      </c>
      <c r="C1551" s="200" t="s">
        <v>218</v>
      </c>
      <c r="D1551" s="241">
        <v>0</v>
      </c>
    </row>
    <row r="1552" spans="1:4" ht="12" hidden="1" customHeight="1" outlineLevel="1" x14ac:dyDescent="0.3">
      <c r="A1552" s="238"/>
      <c r="B1552" s="242">
        <v>6200</v>
      </c>
      <c r="C1552" s="248" t="s">
        <v>219</v>
      </c>
      <c r="D1552" s="244">
        <v>0</v>
      </c>
    </row>
    <row r="1553" spans="1:4" ht="12" hidden="1" customHeight="1" outlineLevel="1" x14ac:dyDescent="0.3">
      <c r="A1553" s="238"/>
      <c r="B1553" s="242">
        <v>6300</v>
      </c>
      <c r="C1553" s="248" t="s">
        <v>220</v>
      </c>
      <c r="D1553" s="244">
        <v>0</v>
      </c>
    </row>
    <row r="1554" spans="1:4" ht="12" hidden="1" customHeight="1" outlineLevel="1" x14ac:dyDescent="0.3">
      <c r="A1554" s="238"/>
      <c r="B1554" s="242">
        <v>6400</v>
      </c>
      <c r="C1554" s="248" t="s">
        <v>221</v>
      </c>
      <c r="D1554" s="244">
        <v>0</v>
      </c>
    </row>
    <row r="1555" spans="1:4" ht="12" hidden="1" customHeight="1" outlineLevel="1" x14ac:dyDescent="0.3">
      <c r="A1555" s="238"/>
      <c r="B1555" s="242">
        <v>6500</v>
      </c>
      <c r="C1555" s="249" t="s">
        <v>222</v>
      </c>
      <c r="D1555" s="244">
        <v>0</v>
      </c>
    </row>
    <row r="1556" spans="1:4" ht="12" hidden="1" customHeight="1" outlineLevel="1" x14ac:dyDescent="0.3">
      <c r="A1556" s="238"/>
      <c r="B1556" s="199">
        <v>7000</v>
      </c>
      <c r="C1556" s="200" t="s">
        <v>223</v>
      </c>
      <c r="D1556" s="241">
        <v>0</v>
      </c>
    </row>
    <row r="1557" spans="1:4" ht="12" hidden="1" customHeight="1" outlineLevel="1" x14ac:dyDescent="0.3">
      <c r="A1557" s="238"/>
      <c r="B1557" s="250">
        <v>7200</v>
      </c>
      <c r="C1557" s="251" t="s">
        <v>224</v>
      </c>
      <c r="D1557" s="244">
        <v>0</v>
      </c>
    </row>
    <row r="1558" spans="1:4" ht="12" hidden="1" customHeight="1" outlineLevel="1" x14ac:dyDescent="0.3">
      <c r="A1558" s="238"/>
      <c r="B1558" s="250">
        <v>7500</v>
      </c>
      <c r="C1558" s="251" t="s">
        <v>225</v>
      </c>
      <c r="D1558" s="244">
        <v>0</v>
      </c>
    </row>
    <row r="1559" spans="1:4" ht="12" hidden="1" customHeight="1" outlineLevel="1" x14ac:dyDescent="0.3">
      <c r="A1559" s="238"/>
      <c r="B1559" s="250">
        <v>7700</v>
      </c>
      <c r="C1559" s="251" t="s">
        <v>226</v>
      </c>
      <c r="D1559" s="244">
        <v>0</v>
      </c>
    </row>
    <row r="1560" spans="1:4" ht="12" hidden="1" customHeight="1" outlineLevel="1" x14ac:dyDescent="0.3">
      <c r="A1560" s="238"/>
      <c r="B1560" s="252">
        <v>8000</v>
      </c>
      <c r="C1560" s="253" t="s">
        <v>227</v>
      </c>
      <c r="D1560" s="241">
        <v>0</v>
      </c>
    </row>
    <row r="1561" spans="1:4" ht="12" hidden="1" customHeight="1" outlineLevel="1" x14ac:dyDescent="0.3">
      <c r="A1561" s="238"/>
      <c r="B1561" s="254">
        <v>8100</v>
      </c>
      <c r="C1561" s="255" t="s">
        <v>228</v>
      </c>
      <c r="D1561" s="244">
        <v>0</v>
      </c>
    </row>
    <row r="1562" spans="1:4" ht="12" hidden="1" customHeight="1" outlineLevel="1" x14ac:dyDescent="0.3">
      <c r="A1562" s="238"/>
      <c r="B1562" s="254">
        <v>8600</v>
      </c>
      <c r="C1562" s="255" t="s">
        <v>229</v>
      </c>
      <c r="D1562" s="244">
        <v>0</v>
      </c>
    </row>
    <row r="1563" spans="1:4" ht="12" hidden="1" customHeight="1" outlineLevel="1" x14ac:dyDescent="0.3">
      <c r="A1563" s="238"/>
      <c r="B1563" s="254">
        <v>8900</v>
      </c>
      <c r="C1563" s="255" t="s">
        <v>230</v>
      </c>
      <c r="D1563" s="244">
        <v>0</v>
      </c>
    </row>
    <row r="1564" spans="1:4" ht="12" hidden="1" customHeight="1" outlineLevel="1" x14ac:dyDescent="0.3">
      <c r="A1564" s="272" t="s">
        <v>319</v>
      </c>
      <c r="B1564" s="273"/>
      <c r="C1564" s="274" t="s">
        <v>320</v>
      </c>
      <c r="D1564" s="275">
        <v>0</v>
      </c>
    </row>
    <row r="1565" spans="1:4" ht="12" hidden="1" customHeight="1" outlineLevel="1" x14ac:dyDescent="0.3">
      <c r="A1565" s="227"/>
      <c r="B1565" s="228"/>
      <c r="C1565" s="229" t="s">
        <v>198</v>
      </c>
      <c r="D1565" s="230">
        <v>0</v>
      </c>
    </row>
    <row r="1566" spans="1:4" ht="12" hidden="1" customHeight="1" outlineLevel="1" x14ac:dyDescent="0.3">
      <c r="A1566" s="227"/>
      <c r="B1566" s="231">
        <v>1000</v>
      </c>
      <c r="C1566" s="232" t="s">
        <v>199</v>
      </c>
      <c r="D1566" s="230">
        <v>0</v>
      </c>
    </row>
    <row r="1567" spans="1:4" ht="12" hidden="1" customHeight="1" outlineLevel="1" x14ac:dyDescent="0.3">
      <c r="A1567" s="227"/>
      <c r="B1567" s="234">
        <v>1100</v>
      </c>
      <c r="C1567" s="235" t="s">
        <v>200</v>
      </c>
      <c r="D1567" s="236"/>
    </row>
    <row r="1568" spans="1:4" ht="12" hidden="1" customHeight="1" outlineLevel="1" x14ac:dyDescent="0.3">
      <c r="A1568" s="227"/>
      <c r="B1568" s="234">
        <v>1200</v>
      </c>
      <c r="C1568" s="237" t="s">
        <v>201</v>
      </c>
      <c r="D1568" s="236"/>
    </row>
    <row r="1569" spans="1:4" ht="12" hidden="1" customHeight="1" outlineLevel="1" x14ac:dyDescent="0.3">
      <c r="A1569" s="238"/>
      <c r="B1569" s="239">
        <v>2000</v>
      </c>
      <c r="C1569" s="240" t="s">
        <v>202</v>
      </c>
      <c r="D1569" s="260">
        <v>0</v>
      </c>
    </row>
    <row r="1570" spans="1:4" ht="12" hidden="1" customHeight="1" outlineLevel="1" x14ac:dyDescent="0.3">
      <c r="A1570" s="238"/>
      <c r="B1570" s="242">
        <v>2100</v>
      </c>
      <c r="C1570" s="243" t="s">
        <v>203</v>
      </c>
      <c r="D1570" s="244"/>
    </row>
    <row r="1571" spans="1:4" ht="12" hidden="1" customHeight="1" outlineLevel="1" x14ac:dyDescent="0.3">
      <c r="A1571" s="238"/>
      <c r="B1571" s="242">
        <v>2200</v>
      </c>
      <c r="C1571" s="243" t="s">
        <v>204</v>
      </c>
      <c r="D1571" s="244"/>
    </row>
    <row r="1572" spans="1:4" ht="12" hidden="1" customHeight="1" outlineLevel="1" x14ac:dyDescent="0.3">
      <c r="A1572" s="238"/>
      <c r="B1572" s="242">
        <v>2300</v>
      </c>
      <c r="C1572" s="243" t="s">
        <v>205</v>
      </c>
      <c r="D1572" s="244"/>
    </row>
    <row r="1573" spans="1:4" ht="12" hidden="1" customHeight="1" outlineLevel="1" x14ac:dyDescent="0.3">
      <c r="A1573" s="238"/>
      <c r="B1573" s="242">
        <v>2400</v>
      </c>
      <c r="C1573" s="243" t="s">
        <v>206</v>
      </c>
      <c r="D1573" s="244"/>
    </row>
    <row r="1574" spans="1:4" ht="12" hidden="1" customHeight="1" outlineLevel="1" x14ac:dyDescent="0.3">
      <c r="A1574" s="238"/>
      <c r="B1574" s="242">
        <v>2500</v>
      </c>
      <c r="C1574" s="243" t="s">
        <v>207</v>
      </c>
      <c r="D1574" s="244"/>
    </row>
    <row r="1575" spans="1:4" ht="12" hidden="1" customHeight="1" outlineLevel="1" x14ac:dyDescent="0.3">
      <c r="A1575" s="238"/>
      <c r="B1575" s="199">
        <v>3000</v>
      </c>
      <c r="C1575" s="245" t="s">
        <v>208</v>
      </c>
      <c r="D1575" s="260">
        <v>0</v>
      </c>
    </row>
    <row r="1576" spans="1:4" ht="12" hidden="1" customHeight="1" outlineLevel="1" x14ac:dyDescent="0.3">
      <c r="A1576" s="238"/>
      <c r="B1576" s="242">
        <v>3200</v>
      </c>
      <c r="C1576" s="243" t="s">
        <v>209</v>
      </c>
      <c r="D1576" s="244"/>
    </row>
    <row r="1577" spans="1:4" ht="12" hidden="1" customHeight="1" outlineLevel="1" x14ac:dyDescent="0.3">
      <c r="A1577" s="238"/>
      <c r="B1577" s="242">
        <v>3300</v>
      </c>
      <c r="C1577" s="243" t="s">
        <v>210</v>
      </c>
      <c r="D1577" s="244"/>
    </row>
    <row r="1578" spans="1:4" ht="12" hidden="1" customHeight="1" outlineLevel="1" x14ac:dyDescent="0.3">
      <c r="A1578" s="238"/>
      <c r="B1578" s="199">
        <v>4000</v>
      </c>
      <c r="C1578" s="246" t="s">
        <v>211</v>
      </c>
      <c r="D1578" s="260">
        <v>0</v>
      </c>
    </row>
    <row r="1579" spans="1:4" ht="12" hidden="1" customHeight="1" outlineLevel="1" x14ac:dyDescent="0.3">
      <c r="A1579" s="238"/>
      <c r="B1579" s="242">
        <v>4200</v>
      </c>
      <c r="C1579" s="247" t="s">
        <v>212</v>
      </c>
      <c r="D1579" s="244"/>
    </row>
    <row r="1580" spans="1:4" ht="12" hidden="1" customHeight="1" outlineLevel="1" x14ac:dyDescent="0.3">
      <c r="A1580" s="238"/>
      <c r="B1580" s="242">
        <v>4300</v>
      </c>
      <c r="C1580" s="247" t="s">
        <v>213</v>
      </c>
      <c r="D1580" s="244"/>
    </row>
    <row r="1581" spans="1:4" ht="12" hidden="1" customHeight="1" outlineLevel="1" x14ac:dyDescent="0.3">
      <c r="A1581" s="238"/>
      <c r="B1581" s="199">
        <v>5000</v>
      </c>
      <c r="C1581" s="200" t="s">
        <v>214</v>
      </c>
      <c r="D1581" s="260">
        <v>0</v>
      </c>
    </row>
    <row r="1582" spans="1:4" ht="12" hidden="1" customHeight="1" outlineLevel="1" x14ac:dyDescent="0.3">
      <c r="A1582" s="238"/>
      <c r="B1582" s="242">
        <v>5100</v>
      </c>
      <c r="C1582" s="248" t="s">
        <v>215</v>
      </c>
      <c r="D1582" s="260"/>
    </row>
    <row r="1583" spans="1:4" ht="12" hidden="1" customHeight="1" outlineLevel="1" x14ac:dyDescent="0.3">
      <c r="A1583" s="238"/>
      <c r="B1583" s="242">
        <v>5200</v>
      </c>
      <c r="C1583" s="248" t="s">
        <v>216</v>
      </c>
      <c r="D1583" s="260"/>
    </row>
    <row r="1584" spans="1:4" ht="12" hidden="1" customHeight="1" outlineLevel="1" x14ac:dyDescent="0.3">
      <c r="A1584" s="238"/>
      <c r="B1584" s="242">
        <v>5300</v>
      </c>
      <c r="C1584" s="249" t="s">
        <v>217</v>
      </c>
      <c r="D1584" s="260"/>
    </row>
    <row r="1585" spans="1:4" ht="12" hidden="1" customHeight="1" outlineLevel="1" x14ac:dyDescent="0.3">
      <c r="A1585" s="238"/>
      <c r="B1585" s="199">
        <v>6000</v>
      </c>
      <c r="C1585" s="200" t="s">
        <v>218</v>
      </c>
      <c r="D1585" s="260">
        <v>0</v>
      </c>
    </row>
    <row r="1586" spans="1:4" ht="12" hidden="1" customHeight="1" outlineLevel="1" x14ac:dyDescent="0.3">
      <c r="A1586" s="238"/>
      <c r="B1586" s="242">
        <v>6200</v>
      </c>
      <c r="C1586" s="248" t="s">
        <v>219</v>
      </c>
      <c r="D1586" s="244"/>
    </row>
    <row r="1587" spans="1:4" ht="12" hidden="1" customHeight="1" outlineLevel="1" x14ac:dyDescent="0.3">
      <c r="A1587" s="238"/>
      <c r="B1587" s="242">
        <v>6300</v>
      </c>
      <c r="C1587" s="248" t="s">
        <v>220</v>
      </c>
      <c r="D1587" s="244"/>
    </row>
    <row r="1588" spans="1:4" ht="12" hidden="1" customHeight="1" outlineLevel="1" x14ac:dyDescent="0.3">
      <c r="A1588" s="238"/>
      <c r="B1588" s="242">
        <v>6400</v>
      </c>
      <c r="C1588" s="248" t="s">
        <v>221</v>
      </c>
      <c r="D1588" s="244"/>
    </row>
    <row r="1589" spans="1:4" ht="12" hidden="1" customHeight="1" outlineLevel="1" x14ac:dyDescent="0.3">
      <c r="A1589" s="238"/>
      <c r="B1589" s="242">
        <v>6500</v>
      </c>
      <c r="C1589" s="249" t="s">
        <v>222</v>
      </c>
      <c r="D1589" s="244"/>
    </row>
    <row r="1590" spans="1:4" ht="12" hidden="1" customHeight="1" outlineLevel="1" x14ac:dyDescent="0.3">
      <c r="A1590" s="238"/>
      <c r="B1590" s="199">
        <v>7000</v>
      </c>
      <c r="C1590" s="200" t="s">
        <v>223</v>
      </c>
      <c r="D1590" s="260">
        <v>0</v>
      </c>
    </row>
    <row r="1591" spans="1:4" ht="12" hidden="1" customHeight="1" outlineLevel="1" x14ac:dyDescent="0.3">
      <c r="A1591" s="238"/>
      <c r="B1591" s="250">
        <v>7200</v>
      </c>
      <c r="C1591" s="251" t="s">
        <v>224</v>
      </c>
      <c r="D1591" s="244"/>
    </row>
    <row r="1592" spans="1:4" ht="12" hidden="1" customHeight="1" outlineLevel="1" x14ac:dyDescent="0.3">
      <c r="A1592" s="238"/>
      <c r="B1592" s="250">
        <v>7500</v>
      </c>
      <c r="C1592" s="251" t="s">
        <v>225</v>
      </c>
      <c r="D1592" s="244"/>
    </row>
    <row r="1593" spans="1:4" ht="12" hidden="1" customHeight="1" outlineLevel="1" x14ac:dyDescent="0.3">
      <c r="A1593" s="238"/>
      <c r="B1593" s="250">
        <v>7700</v>
      </c>
      <c r="C1593" s="251" t="s">
        <v>226</v>
      </c>
      <c r="D1593" s="244"/>
    </row>
    <row r="1594" spans="1:4" ht="12" hidden="1" customHeight="1" outlineLevel="1" x14ac:dyDescent="0.3">
      <c r="A1594" s="238"/>
      <c r="B1594" s="252">
        <v>8000</v>
      </c>
      <c r="C1594" s="253" t="s">
        <v>227</v>
      </c>
      <c r="D1594" s="260">
        <v>0</v>
      </c>
    </row>
    <row r="1595" spans="1:4" ht="12" hidden="1" customHeight="1" outlineLevel="1" x14ac:dyDescent="0.3">
      <c r="A1595" s="238"/>
      <c r="B1595" s="254">
        <v>8100</v>
      </c>
      <c r="C1595" s="255" t="s">
        <v>228</v>
      </c>
      <c r="D1595" s="260"/>
    </row>
    <row r="1596" spans="1:4" ht="12" hidden="1" customHeight="1" outlineLevel="1" x14ac:dyDescent="0.3">
      <c r="A1596" s="238"/>
      <c r="B1596" s="254">
        <v>8600</v>
      </c>
      <c r="C1596" s="255" t="s">
        <v>229</v>
      </c>
      <c r="D1596" s="260"/>
    </row>
    <row r="1597" spans="1:4" ht="12" hidden="1" customHeight="1" outlineLevel="1" x14ac:dyDescent="0.3">
      <c r="A1597" s="238"/>
      <c r="B1597" s="254">
        <v>8900</v>
      </c>
      <c r="C1597" s="255" t="s">
        <v>230</v>
      </c>
      <c r="D1597" s="260"/>
    </row>
    <row r="1598" spans="1:4" ht="12" customHeight="1" collapsed="1" x14ac:dyDescent="0.3">
      <c r="A1598" s="272" t="s">
        <v>321</v>
      </c>
      <c r="B1598" s="273"/>
      <c r="C1598" s="274" t="s">
        <v>322</v>
      </c>
      <c r="D1598" s="275">
        <v>266</v>
      </c>
    </row>
    <row r="1599" spans="1:4" ht="12" customHeight="1" x14ac:dyDescent="0.3">
      <c r="A1599" s="227"/>
      <c r="B1599" s="228"/>
      <c r="C1599" s="229" t="s">
        <v>198</v>
      </c>
      <c r="D1599" s="230">
        <v>266</v>
      </c>
    </row>
    <row r="1600" spans="1:4" ht="12" customHeight="1" x14ac:dyDescent="0.3">
      <c r="A1600" s="227"/>
      <c r="B1600" s="231">
        <v>1000</v>
      </c>
      <c r="C1600" s="232" t="s">
        <v>199</v>
      </c>
      <c r="D1600" s="230">
        <v>0</v>
      </c>
    </row>
    <row r="1601" spans="1:4" ht="12" hidden="1" customHeight="1" outlineLevel="1" x14ac:dyDescent="0.3">
      <c r="A1601" s="227"/>
      <c r="B1601" s="234">
        <v>1100</v>
      </c>
      <c r="C1601" s="235" t="s">
        <v>200</v>
      </c>
      <c r="D1601" s="236"/>
    </row>
    <row r="1602" spans="1:4" ht="12" hidden="1" customHeight="1" outlineLevel="1" x14ac:dyDescent="0.3">
      <c r="A1602" s="227"/>
      <c r="B1602" s="234">
        <v>1200</v>
      </c>
      <c r="C1602" s="237" t="s">
        <v>201</v>
      </c>
      <c r="D1602" s="236"/>
    </row>
    <row r="1603" spans="1:4" ht="12" customHeight="1" collapsed="1" x14ac:dyDescent="0.3">
      <c r="A1603" s="238"/>
      <c r="B1603" s="239">
        <v>2000</v>
      </c>
      <c r="C1603" s="240" t="s">
        <v>202</v>
      </c>
      <c r="D1603" s="260">
        <v>266</v>
      </c>
    </row>
    <row r="1604" spans="1:4" ht="12" hidden="1" customHeight="1" outlineLevel="1" x14ac:dyDescent="0.3">
      <c r="A1604" s="238"/>
      <c r="B1604" s="242">
        <v>2100</v>
      </c>
      <c r="C1604" s="243" t="s">
        <v>203</v>
      </c>
      <c r="D1604" s="244"/>
    </row>
    <row r="1605" spans="1:4" ht="12" customHeight="1" collapsed="1" x14ac:dyDescent="0.3">
      <c r="A1605" s="238"/>
      <c r="B1605" s="242">
        <v>2200</v>
      </c>
      <c r="C1605" s="243" t="s">
        <v>204</v>
      </c>
      <c r="D1605" s="244">
        <v>266</v>
      </c>
    </row>
    <row r="1606" spans="1:4" ht="12" hidden="1" customHeight="1" outlineLevel="1" x14ac:dyDescent="0.3">
      <c r="A1606" s="238"/>
      <c r="B1606" s="242">
        <v>2300</v>
      </c>
      <c r="C1606" s="243" t="s">
        <v>205</v>
      </c>
      <c r="D1606" s="244"/>
    </row>
    <row r="1607" spans="1:4" ht="12" hidden="1" customHeight="1" outlineLevel="1" x14ac:dyDescent="0.3">
      <c r="A1607" s="238"/>
      <c r="B1607" s="242">
        <v>2400</v>
      </c>
      <c r="C1607" s="243" t="s">
        <v>206</v>
      </c>
      <c r="D1607" s="244"/>
    </row>
    <row r="1608" spans="1:4" ht="12" hidden="1" customHeight="1" outlineLevel="1" x14ac:dyDescent="0.3">
      <c r="A1608" s="238"/>
      <c r="B1608" s="242">
        <v>2500</v>
      </c>
      <c r="C1608" s="243" t="s">
        <v>207</v>
      </c>
      <c r="D1608" s="244"/>
    </row>
    <row r="1609" spans="1:4" ht="12" hidden="1" customHeight="1" outlineLevel="1" x14ac:dyDescent="0.3">
      <c r="A1609" s="238"/>
      <c r="B1609" s="199">
        <v>3000</v>
      </c>
      <c r="C1609" s="245" t="s">
        <v>208</v>
      </c>
      <c r="D1609" s="260">
        <v>0</v>
      </c>
    </row>
    <row r="1610" spans="1:4" ht="12" hidden="1" customHeight="1" outlineLevel="1" x14ac:dyDescent="0.3">
      <c r="A1610" s="238"/>
      <c r="B1610" s="242">
        <v>3200</v>
      </c>
      <c r="C1610" s="243" t="s">
        <v>209</v>
      </c>
      <c r="D1610" s="244"/>
    </row>
    <row r="1611" spans="1:4" ht="12" hidden="1" customHeight="1" outlineLevel="1" x14ac:dyDescent="0.3">
      <c r="A1611" s="238"/>
      <c r="B1611" s="242">
        <v>3300</v>
      </c>
      <c r="C1611" s="243" t="s">
        <v>210</v>
      </c>
      <c r="D1611" s="244"/>
    </row>
    <row r="1612" spans="1:4" ht="12" hidden="1" customHeight="1" outlineLevel="1" x14ac:dyDescent="0.3">
      <c r="A1612" s="238"/>
      <c r="B1612" s="199">
        <v>4000</v>
      </c>
      <c r="C1612" s="246" t="s">
        <v>211</v>
      </c>
      <c r="D1612" s="260">
        <v>0</v>
      </c>
    </row>
    <row r="1613" spans="1:4" ht="12" hidden="1" customHeight="1" outlineLevel="1" x14ac:dyDescent="0.3">
      <c r="A1613" s="238"/>
      <c r="B1613" s="242">
        <v>4200</v>
      </c>
      <c r="C1613" s="247" t="s">
        <v>212</v>
      </c>
      <c r="D1613" s="244"/>
    </row>
    <row r="1614" spans="1:4" ht="12" hidden="1" customHeight="1" outlineLevel="1" x14ac:dyDescent="0.3">
      <c r="A1614" s="238"/>
      <c r="B1614" s="242">
        <v>4300</v>
      </c>
      <c r="C1614" s="247" t="s">
        <v>213</v>
      </c>
      <c r="D1614" s="244"/>
    </row>
    <row r="1615" spans="1:4" ht="12" hidden="1" customHeight="1" outlineLevel="1" x14ac:dyDescent="0.3">
      <c r="A1615" s="238"/>
      <c r="B1615" s="199">
        <v>5000</v>
      </c>
      <c r="C1615" s="200" t="s">
        <v>214</v>
      </c>
      <c r="D1615" s="260">
        <v>0</v>
      </c>
    </row>
    <row r="1616" spans="1:4" ht="12" hidden="1" customHeight="1" outlineLevel="1" x14ac:dyDescent="0.3">
      <c r="A1616" s="238"/>
      <c r="B1616" s="242">
        <v>5100</v>
      </c>
      <c r="C1616" s="248" t="s">
        <v>215</v>
      </c>
      <c r="D1616" s="260"/>
    </row>
    <row r="1617" spans="1:4" ht="12" hidden="1" customHeight="1" outlineLevel="1" x14ac:dyDescent="0.3">
      <c r="A1617" s="238"/>
      <c r="B1617" s="242">
        <v>5200</v>
      </c>
      <c r="C1617" s="248" t="s">
        <v>216</v>
      </c>
      <c r="D1617" s="260"/>
    </row>
    <row r="1618" spans="1:4" ht="12" hidden="1" customHeight="1" outlineLevel="1" x14ac:dyDescent="0.3">
      <c r="A1618" s="238"/>
      <c r="B1618" s="242">
        <v>5300</v>
      </c>
      <c r="C1618" s="249" t="s">
        <v>217</v>
      </c>
      <c r="D1618" s="260"/>
    </row>
    <row r="1619" spans="1:4" ht="12" hidden="1" customHeight="1" outlineLevel="1" x14ac:dyDescent="0.3">
      <c r="A1619" s="238"/>
      <c r="B1619" s="199">
        <v>6000</v>
      </c>
      <c r="C1619" s="200" t="s">
        <v>218</v>
      </c>
      <c r="D1619" s="260">
        <v>0</v>
      </c>
    </row>
    <row r="1620" spans="1:4" ht="12" hidden="1" customHeight="1" outlineLevel="1" x14ac:dyDescent="0.3">
      <c r="A1620" s="238"/>
      <c r="B1620" s="242">
        <v>6200</v>
      </c>
      <c r="C1620" s="248" t="s">
        <v>219</v>
      </c>
      <c r="D1620" s="244"/>
    </row>
    <row r="1621" spans="1:4" ht="12" hidden="1" customHeight="1" outlineLevel="1" x14ac:dyDescent="0.3">
      <c r="A1621" s="238"/>
      <c r="B1621" s="242">
        <v>6300</v>
      </c>
      <c r="C1621" s="248" t="s">
        <v>220</v>
      </c>
      <c r="D1621" s="244"/>
    </row>
    <row r="1622" spans="1:4" ht="12" hidden="1" customHeight="1" outlineLevel="1" x14ac:dyDescent="0.3">
      <c r="A1622" s="238"/>
      <c r="B1622" s="242">
        <v>6400</v>
      </c>
      <c r="C1622" s="248" t="s">
        <v>221</v>
      </c>
      <c r="D1622" s="244"/>
    </row>
    <row r="1623" spans="1:4" ht="12" hidden="1" customHeight="1" outlineLevel="1" x14ac:dyDescent="0.3">
      <c r="A1623" s="238"/>
      <c r="B1623" s="242">
        <v>6500</v>
      </c>
      <c r="C1623" s="249" t="s">
        <v>222</v>
      </c>
      <c r="D1623" s="244"/>
    </row>
    <row r="1624" spans="1:4" ht="12" hidden="1" customHeight="1" outlineLevel="1" x14ac:dyDescent="0.3">
      <c r="A1624" s="238"/>
      <c r="B1624" s="199">
        <v>7000</v>
      </c>
      <c r="C1624" s="200" t="s">
        <v>223</v>
      </c>
      <c r="D1624" s="260">
        <v>0</v>
      </c>
    </row>
    <row r="1625" spans="1:4" ht="12" hidden="1" customHeight="1" outlineLevel="1" x14ac:dyDescent="0.3">
      <c r="A1625" s="238"/>
      <c r="B1625" s="250">
        <v>7200</v>
      </c>
      <c r="C1625" s="251" t="s">
        <v>224</v>
      </c>
      <c r="D1625" s="244"/>
    </row>
    <row r="1626" spans="1:4" ht="12" hidden="1" customHeight="1" outlineLevel="1" x14ac:dyDescent="0.3">
      <c r="A1626" s="238"/>
      <c r="B1626" s="250">
        <v>7500</v>
      </c>
      <c r="C1626" s="251" t="s">
        <v>225</v>
      </c>
      <c r="D1626" s="244"/>
    </row>
    <row r="1627" spans="1:4" ht="12" hidden="1" customHeight="1" outlineLevel="1" x14ac:dyDescent="0.3">
      <c r="A1627" s="238"/>
      <c r="B1627" s="250">
        <v>7700</v>
      </c>
      <c r="C1627" s="251" t="s">
        <v>226</v>
      </c>
      <c r="D1627" s="244"/>
    </row>
    <row r="1628" spans="1:4" ht="12" hidden="1" customHeight="1" outlineLevel="1" x14ac:dyDescent="0.3">
      <c r="A1628" s="238"/>
      <c r="B1628" s="252">
        <v>8000</v>
      </c>
      <c r="C1628" s="253" t="s">
        <v>227</v>
      </c>
      <c r="D1628" s="260">
        <v>0</v>
      </c>
    </row>
    <row r="1629" spans="1:4" ht="12" hidden="1" customHeight="1" outlineLevel="1" x14ac:dyDescent="0.3">
      <c r="A1629" s="238"/>
      <c r="B1629" s="254">
        <v>8100</v>
      </c>
      <c r="C1629" s="255" t="s">
        <v>228</v>
      </c>
      <c r="D1629" s="260"/>
    </row>
    <row r="1630" spans="1:4" ht="12" hidden="1" customHeight="1" outlineLevel="1" x14ac:dyDescent="0.3">
      <c r="A1630" s="238"/>
      <c r="B1630" s="254">
        <v>8600</v>
      </c>
      <c r="C1630" s="255" t="s">
        <v>229</v>
      </c>
      <c r="D1630" s="260"/>
    </row>
    <row r="1631" spans="1:4" ht="12" hidden="1" customHeight="1" outlineLevel="1" x14ac:dyDescent="0.3">
      <c r="A1631" s="238"/>
      <c r="B1631" s="254">
        <v>8900</v>
      </c>
      <c r="C1631" s="255" t="s">
        <v>230</v>
      </c>
      <c r="D1631" s="260"/>
    </row>
    <row r="1632" spans="1:4" ht="12" hidden="1" customHeight="1" outlineLevel="1" x14ac:dyDescent="0.3">
      <c r="A1632" s="272" t="s">
        <v>323</v>
      </c>
      <c r="B1632" s="273"/>
      <c r="C1632" s="274" t="s">
        <v>324</v>
      </c>
      <c r="D1632" s="275">
        <v>0</v>
      </c>
    </row>
    <row r="1633" spans="1:4" ht="12" hidden="1" customHeight="1" outlineLevel="1" x14ac:dyDescent="0.3">
      <c r="A1633" s="227"/>
      <c r="B1633" s="228"/>
      <c r="C1633" s="229" t="s">
        <v>198</v>
      </c>
      <c r="D1633" s="230">
        <v>0</v>
      </c>
    </row>
    <row r="1634" spans="1:4" ht="12" hidden="1" customHeight="1" outlineLevel="1" x14ac:dyDescent="0.3">
      <c r="A1634" s="227"/>
      <c r="B1634" s="231">
        <v>1000</v>
      </c>
      <c r="C1634" s="232" t="s">
        <v>199</v>
      </c>
      <c r="D1634" s="230">
        <v>0</v>
      </c>
    </row>
    <row r="1635" spans="1:4" ht="12" hidden="1" customHeight="1" outlineLevel="1" x14ac:dyDescent="0.3">
      <c r="A1635" s="227"/>
      <c r="B1635" s="234">
        <v>1100</v>
      </c>
      <c r="C1635" s="235" t="s">
        <v>200</v>
      </c>
      <c r="D1635" s="236"/>
    </row>
    <row r="1636" spans="1:4" ht="12" hidden="1" customHeight="1" outlineLevel="1" x14ac:dyDescent="0.3">
      <c r="A1636" s="227"/>
      <c r="B1636" s="234">
        <v>1200</v>
      </c>
      <c r="C1636" s="237" t="s">
        <v>201</v>
      </c>
      <c r="D1636" s="236"/>
    </row>
    <row r="1637" spans="1:4" ht="12" hidden="1" customHeight="1" outlineLevel="1" x14ac:dyDescent="0.3">
      <c r="A1637" s="238"/>
      <c r="B1637" s="239">
        <v>2000</v>
      </c>
      <c r="C1637" s="240" t="s">
        <v>202</v>
      </c>
      <c r="D1637" s="260">
        <v>0</v>
      </c>
    </row>
    <row r="1638" spans="1:4" ht="12" hidden="1" customHeight="1" outlineLevel="1" x14ac:dyDescent="0.3">
      <c r="A1638" s="238"/>
      <c r="B1638" s="242">
        <v>2100</v>
      </c>
      <c r="C1638" s="243" t="s">
        <v>203</v>
      </c>
      <c r="D1638" s="244"/>
    </row>
    <row r="1639" spans="1:4" ht="12" hidden="1" customHeight="1" outlineLevel="1" x14ac:dyDescent="0.3">
      <c r="A1639" s="238"/>
      <c r="B1639" s="242">
        <v>2200</v>
      </c>
      <c r="C1639" s="243" t="s">
        <v>204</v>
      </c>
      <c r="D1639" s="244"/>
    </row>
    <row r="1640" spans="1:4" ht="12" hidden="1" customHeight="1" outlineLevel="1" x14ac:dyDescent="0.3">
      <c r="A1640" s="238"/>
      <c r="B1640" s="242">
        <v>2300</v>
      </c>
      <c r="C1640" s="243" t="s">
        <v>205</v>
      </c>
      <c r="D1640" s="244"/>
    </row>
    <row r="1641" spans="1:4" ht="12" hidden="1" customHeight="1" outlineLevel="1" x14ac:dyDescent="0.3">
      <c r="A1641" s="238"/>
      <c r="B1641" s="242">
        <v>2400</v>
      </c>
      <c r="C1641" s="243" t="s">
        <v>206</v>
      </c>
      <c r="D1641" s="244"/>
    </row>
    <row r="1642" spans="1:4" ht="12" hidden="1" customHeight="1" outlineLevel="1" x14ac:dyDescent="0.3">
      <c r="A1642" s="238"/>
      <c r="B1642" s="242">
        <v>2500</v>
      </c>
      <c r="C1642" s="243" t="s">
        <v>207</v>
      </c>
      <c r="D1642" s="244"/>
    </row>
    <row r="1643" spans="1:4" ht="12" hidden="1" customHeight="1" outlineLevel="1" x14ac:dyDescent="0.3">
      <c r="A1643" s="238"/>
      <c r="B1643" s="199">
        <v>3000</v>
      </c>
      <c r="C1643" s="245" t="s">
        <v>208</v>
      </c>
      <c r="D1643" s="260">
        <v>0</v>
      </c>
    </row>
    <row r="1644" spans="1:4" ht="12" hidden="1" customHeight="1" outlineLevel="1" x14ac:dyDescent="0.3">
      <c r="A1644" s="238"/>
      <c r="B1644" s="242">
        <v>3200</v>
      </c>
      <c r="C1644" s="243" t="s">
        <v>209</v>
      </c>
      <c r="D1644" s="244"/>
    </row>
    <row r="1645" spans="1:4" ht="12" hidden="1" customHeight="1" outlineLevel="1" x14ac:dyDescent="0.3">
      <c r="A1645" s="238"/>
      <c r="B1645" s="242">
        <v>3300</v>
      </c>
      <c r="C1645" s="243" t="s">
        <v>210</v>
      </c>
      <c r="D1645" s="244"/>
    </row>
    <row r="1646" spans="1:4" ht="12" hidden="1" customHeight="1" outlineLevel="1" x14ac:dyDescent="0.3">
      <c r="A1646" s="238"/>
      <c r="B1646" s="199">
        <v>4000</v>
      </c>
      <c r="C1646" s="246" t="s">
        <v>211</v>
      </c>
      <c r="D1646" s="260">
        <v>0</v>
      </c>
    </row>
    <row r="1647" spans="1:4" ht="12" hidden="1" customHeight="1" outlineLevel="1" x14ac:dyDescent="0.3">
      <c r="A1647" s="238"/>
      <c r="B1647" s="242">
        <v>4200</v>
      </c>
      <c r="C1647" s="247" t="s">
        <v>212</v>
      </c>
      <c r="D1647" s="244"/>
    </row>
    <row r="1648" spans="1:4" ht="12" hidden="1" customHeight="1" outlineLevel="1" x14ac:dyDescent="0.3">
      <c r="A1648" s="238"/>
      <c r="B1648" s="242">
        <v>4300</v>
      </c>
      <c r="C1648" s="247" t="s">
        <v>213</v>
      </c>
      <c r="D1648" s="244"/>
    </row>
    <row r="1649" spans="1:4" ht="12" hidden="1" customHeight="1" outlineLevel="1" x14ac:dyDescent="0.3">
      <c r="A1649" s="238"/>
      <c r="B1649" s="199">
        <v>5000</v>
      </c>
      <c r="C1649" s="200" t="s">
        <v>214</v>
      </c>
      <c r="D1649" s="260">
        <v>0</v>
      </c>
    </row>
    <row r="1650" spans="1:4" ht="12" hidden="1" customHeight="1" outlineLevel="1" x14ac:dyDescent="0.3">
      <c r="A1650" s="238"/>
      <c r="B1650" s="242">
        <v>5100</v>
      </c>
      <c r="C1650" s="248" t="s">
        <v>215</v>
      </c>
      <c r="D1650" s="260"/>
    </row>
    <row r="1651" spans="1:4" ht="12" hidden="1" customHeight="1" outlineLevel="1" x14ac:dyDescent="0.3">
      <c r="A1651" s="238"/>
      <c r="B1651" s="242">
        <v>5200</v>
      </c>
      <c r="C1651" s="248" t="s">
        <v>216</v>
      </c>
      <c r="D1651" s="260"/>
    </row>
    <row r="1652" spans="1:4" ht="12" hidden="1" customHeight="1" outlineLevel="1" x14ac:dyDescent="0.3">
      <c r="A1652" s="238"/>
      <c r="B1652" s="242">
        <v>5300</v>
      </c>
      <c r="C1652" s="249" t="s">
        <v>217</v>
      </c>
      <c r="D1652" s="260"/>
    </row>
    <row r="1653" spans="1:4" ht="12" hidden="1" customHeight="1" outlineLevel="1" x14ac:dyDescent="0.3">
      <c r="A1653" s="238"/>
      <c r="B1653" s="199">
        <v>6000</v>
      </c>
      <c r="C1653" s="200" t="s">
        <v>218</v>
      </c>
      <c r="D1653" s="260">
        <v>0</v>
      </c>
    </row>
    <row r="1654" spans="1:4" ht="12" hidden="1" customHeight="1" outlineLevel="1" x14ac:dyDescent="0.3">
      <c r="A1654" s="238"/>
      <c r="B1654" s="242">
        <v>6200</v>
      </c>
      <c r="C1654" s="248" t="s">
        <v>219</v>
      </c>
      <c r="D1654" s="244"/>
    </row>
    <row r="1655" spans="1:4" ht="12" hidden="1" customHeight="1" outlineLevel="1" x14ac:dyDescent="0.3">
      <c r="A1655" s="238"/>
      <c r="B1655" s="242">
        <v>6300</v>
      </c>
      <c r="C1655" s="248" t="s">
        <v>220</v>
      </c>
      <c r="D1655" s="244"/>
    </row>
    <row r="1656" spans="1:4" ht="12" hidden="1" customHeight="1" outlineLevel="1" x14ac:dyDescent="0.3">
      <c r="A1656" s="238"/>
      <c r="B1656" s="242">
        <v>6400</v>
      </c>
      <c r="C1656" s="248" t="s">
        <v>221</v>
      </c>
      <c r="D1656" s="244"/>
    </row>
    <row r="1657" spans="1:4" ht="12" hidden="1" customHeight="1" outlineLevel="1" x14ac:dyDescent="0.3">
      <c r="A1657" s="238"/>
      <c r="B1657" s="242">
        <v>6500</v>
      </c>
      <c r="C1657" s="249" t="s">
        <v>222</v>
      </c>
      <c r="D1657" s="244"/>
    </row>
    <row r="1658" spans="1:4" ht="12" hidden="1" customHeight="1" outlineLevel="1" x14ac:dyDescent="0.3">
      <c r="A1658" s="238"/>
      <c r="B1658" s="199">
        <v>7000</v>
      </c>
      <c r="C1658" s="200" t="s">
        <v>223</v>
      </c>
      <c r="D1658" s="260">
        <v>0</v>
      </c>
    </row>
    <row r="1659" spans="1:4" ht="12" hidden="1" customHeight="1" outlineLevel="1" x14ac:dyDescent="0.3">
      <c r="A1659" s="238"/>
      <c r="B1659" s="250">
        <v>7200</v>
      </c>
      <c r="C1659" s="251" t="s">
        <v>224</v>
      </c>
      <c r="D1659" s="244"/>
    </row>
    <row r="1660" spans="1:4" ht="12" hidden="1" customHeight="1" outlineLevel="1" x14ac:dyDescent="0.3">
      <c r="A1660" s="238"/>
      <c r="B1660" s="250">
        <v>7500</v>
      </c>
      <c r="C1660" s="251" t="s">
        <v>225</v>
      </c>
      <c r="D1660" s="244"/>
    </row>
    <row r="1661" spans="1:4" ht="12" hidden="1" customHeight="1" outlineLevel="1" x14ac:dyDescent="0.3">
      <c r="A1661" s="238"/>
      <c r="B1661" s="250">
        <v>7700</v>
      </c>
      <c r="C1661" s="251" t="s">
        <v>226</v>
      </c>
      <c r="D1661" s="244"/>
    </row>
    <row r="1662" spans="1:4" ht="12" hidden="1" customHeight="1" outlineLevel="1" x14ac:dyDescent="0.3">
      <c r="A1662" s="238"/>
      <c r="B1662" s="252">
        <v>8000</v>
      </c>
      <c r="C1662" s="253" t="s">
        <v>227</v>
      </c>
      <c r="D1662" s="260">
        <v>0</v>
      </c>
    </row>
    <row r="1663" spans="1:4" ht="12" hidden="1" customHeight="1" outlineLevel="1" x14ac:dyDescent="0.3">
      <c r="A1663" s="238"/>
      <c r="B1663" s="254">
        <v>8100</v>
      </c>
      <c r="C1663" s="255" t="s">
        <v>228</v>
      </c>
      <c r="D1663" s="260"/>
    </row>
    <row r="1664" spans="1:4" ht="12" hidden="1" customHeight="1" outlineLevel="1" x14ac:dyDescent="0.3">
      <c r="A1664" s="238"/>
      <c r="B1664" s="254">
        <v>8600</v>
      </c>
      <c r="C1664" s="255" t="s">
        <v>229</v>
      </c>
      <c r="D1664" s="260"/>
    </row>
    <row r="1665" spans="1:4" ht="12" hidden="1" customHeight="1" outlineLevel="1" x14ac:dyDescent="0.3">
      <c r="A1665" s="238"/>
      <c r="B1665" s="254">
        <v>8900</v>
      </c>
      <c r="C1665" s="255" t="s">
        <v>230</v>
      </c>
      <c r="D1665" s="260"/>
    </row>
    <row r="1666" spans="1:4" ht="12" hidden="1" customHeight="1" outlineLevel="1" x14ac:dyDescent="0.3">
      <c r="A1666" s="272" t="s">
        <v>325</v>
      </c>
      <c r="B1666" s="273"/>
      <c r="C1666" s="274" t="s">
        <v>326</v>
      </c>
      <c r="D1666" s="275">
        <v>0</v>
      </c>
    </row>
    <row r="1667" spans="1:4" ht="10.5" hidden="1" customHeight="1" outlineLevel="1" x14ac:dyDescent="0.3">
      <c r="A1667" s="227"/>
      <c r="B1667" s="228"/>
      <c r="C1667" s="229" t="s">
        <v>198</v>
      </c>
      <c r="D1667" s="230">
        <v>0</v>
      </c>
    </row>
    <row r="1668" spans="1:4" ht="12" hidden="1" customHeight="1" outlineLevel="1" x14ac:dyDescent="0.3">
      <c r="A1668" s="227"/>
      <c r="B1668" s="231">
        <v>1000</v>
      </c>
      <c r="C1668" s="232" t="s">
        <v>199</v>
      </c>
      <c r="D1668" s="230">
        <v>0</v>
      </c>
    </row>
    <row r="1669" spans="1:4" ht="12" hidden="1" customHeight="1" outlineLevel="1" x14ac:dyDescent="0.3">
      <c r="A1669" s="227"/>
      <c r="B1669" s="234">
        <v>1100</v>
      </c>
      <c r="C1669" s="235" t="s">
        <v>200</v>
      </c>
      <c r="D1669" s="236"/>
    </row>
    <row r="1670" spans="1:4" ht="12" hidden="1" customHeight="1" outlineLevel="1" x14ac:dyDescent="0.3">
      <c r="A1670" s="227"/>
      <c r="B1670" s="234">
        <v>1200</v>
      </c>
      <c r="C1670" s="237" t="s">
        <v>201</v>
      </c>
      <c r="D1670" s="236"/>
    </row>
    <row r="1671" spans="1:4" ht="12" hidden="1" customHeight="1" outlineLevel="1" x14ac:dyDescent="0.3">
      <c r="A1671" s="238"/>
      <c r="B1671" s="239">
        <v>2000</v>
      </c>
      <c r="C1671" s="240" t="s">
        <v>202</v>
      </c>
      <c r="D1671" s="260">
        <v>0</v>
      </c>
    </row>
    <row r="1672" spans="1:4" ht="12" hidden="1" customHeight="1" outlineLevel="1" x14ac:dyDescent="0.3">
      <c r="A1672" s="238"/>
      <c r="B1672" s="242">
        <v>2100</v>
      </c>
      <c r="C1672" s="243" t="s">
        <v>203</v>
      </c>
      <c r="D1672" s="244"/>
    </row>
    <row r="1673" spans="1:4" ht="12" hidden="1" customHeight="1" outlineLevel="1" x14ac:dyDescent="0.3">
      <c r="A1673" s="238"/>
      <c r="B1673" s="242">
        <v>2200</v>
      </c>
      <c r="C1673" s="243" t="s">
        <v>204</v>
      </c>
      <c r="D1673" s="244"/>
    </row>
    <row r="1674" spans="1:4" ht="12" hidden="1" customHeight="1" outlineLevel="1" x14ac:dyDescent="0.3">
      <c r="A1674" s="238"/>
      <c r="B1674" s="242">
        <v>2300</v>
      </c>
      <c r="C1674" s="243" t="s">
        <v>205</v>
      </c>
      <c r="D1674" s="244"/>
    </row>
    <row r="1675" spans="1:4" ht="12" hidden="1" customHeight="1" outlineLevel="1" x14ac:dyDescent="0.3">
      <c r="A1675" s="238"/>
      <c r="B1675" s="242">
        <v>2400</v>
      </c>
      <c r="C1675" s="243" t="s">
        <v>206</v>
      </c>
      <c r="D1675" s="244"/>
    </row>
    <row r="1676" spans="1:4" ht="12" hidden="1" customHeight="1" outlineLevel="1" x14ac:dyDescent="0.3">
      <c r="A1676" s="238"/>
      <c r="B1676" s="242">
        <v>2500</v>
      </c>
      <c r="C1676" s="243" t="s">
        <v>207</v>
      </c>
      <c r="D1676" s="244"/>
    </row>
    <row r="1677" spans="1:4" ht="12" hidden="1" customHeight="1" outlineLevel="1" x14ac:dyDescent="0.3">
      <c r="A1677" s="238"/>
      <c r="B1677" s="199">
        <v>3000</v>
      </c>
      <c r="C1677" s="245" t="s">
        <v>208</v>
      </c>
      <c r="D1677" s="260">
        <v>0</v>
      </c>
    </row>
    <row r="1678" spans="1:4" ht="12" hidden="1" customHeight="1" outlineLevel="1" x14ac:dyDescent="0.3">
      <c r="A1678" s="238"/>
      <c r="B1678" s="242">
        <v>3200</v>
      </c>
      <c r="C1678" s="243" t="s">
        <v>209</v>
      </c>
      <c r="D1678" s="244"/>
    </row>
    <row r="1679" spans="1:4" ht="12" hidden="1" customHeight="1" outlineLevel="1" x14ac:dyDescent="0.3">
      <c r="A1679" s="238"/>
      <c r="B1679" s="242">
        <v>3300</v>
      </c>
      <c r="C1679" s="243" t="s">
        <v>210</v>
      </c>
      <c r="D1679" s="244"/>
    </row>
    <row r="1680" spans="1:4" ht="12" hidden="1" customHeight="1" outlineLevel="1" x14ac:dyDescent="0.3">
      <c r="A1680" s="238"/>
      <c r="B1680" s="199">
        <v>4000</v>
      </c>
      <c r="C1680" s="246" t="s">
        <v>211</v>
      </c>
      <c r="D1680" s="260">
        <v>0</v>
      </c>
    </row>
    <row r="1681" spans="1:4" ht="12" hidden="1" customHeight="1" outlineLevel="1" x14ac:dyDescent="0.3">
      <c r="A1681" s="238"/>
      <c r="B1681" s="242">
        <v>4200</v>
      </c>
      <c r="C1681" s="247" t="s">
        <v>212</v>
      </c>
      <c r="D1681" s="244"/>
    </row>
    <row r="1682" spans="1:4" ht="12" hidden="1" customHeight="1" outlineLevel="1" x14ac:dyDescent="0.3">
      <c r="A1682" s="238"/>
      <c r="B1682" s="242">
        <v>4300</v>
      </c>
      <c r="C1682" s="247" t="s">
        <v>213</v>
      </c>
      <c r="D1682" s="244"/>
    </row>
    <row r="1683" spans="1:4" ht="12" hidden="1" customHeight="1" outlineLevel="1" x14ac:dyDescent="0.3">
      <c r="A1683" s="238"/>
      <c r="B1683" s="199">
        <v>5000</v>
      </c>
      <c r="C1683" s="200" t="s">
        <v>214</v>
      </c>
      <c r="D1683" s="260">
        <v>0</v>
      </c>
    </row>
    <row r="1684" spans="1:4" ht="12" hidden="1" customHeight="1" outlineLevel="1" x14ac:dyDescent="0.3">
      <c r="A1684" s="238"/>
      <c r="B1684" s="242">
        <v>5100</v>
      </c>
      <c r="C1684" s="248" t="s">
        <v>215</v>
      </c>
      <c r="D1684" s="260"/>
    </row>
    <row r="1685" spans="1:4" ht="12" hidden="1" customHeight="1" outlineLevel="1" x14ac:dyDescent="0.3">
      <c r="A1685" s="238"/>
      <c r="B1685" s="242">
        <v>5200</v>
      </c>
      <c r="C1685" s="248" t="s">
        <v>216</v>
      </c>
      <c r="D1685" s="260"/>
    </row>
    <row r="1686" spans="1:4" ht="12" hidden="1" customHeight="1" outlineLevel="1" x14ac:dyDescent="0.3">
      <c r="A1686" s="238"/>
      <c r="B1686" s="242">
        <v>5300</v>
      </c>
      <c r="C1686" s="249" t="s">
        <v>217</v>
      </c>
      <c r="D1686" s="260"/>
    </row>
    <row r="1687" spans="1:4" ht="12" hidden="1" customHeight="1" outlineLevel="1" x14ac:dyDescent="0.3">
      <c r="A1687" s="238"/>
      <c r="B1687" s="199">
        <v>6000</v>
      </c>
      <c r="C1687" s="200" t="s">
        <v>218</v>
      </c>
      <c r="D1687" s="260">
        <v>0</v>
      </c>
    </row>
    <row r="1688" spans="1:4" ht="12" hidden="1" customHeight="1" outlineLevel="1" x14ac:dyDescent="0.3">
      <c r="A1688" s="238"/>
      <c r="B1688" s="242">
        <v>6200</v>
      </c>
      <c r="C1688" s="248" t="s">
        <v>219</v>
      </c>
      <c r="D1688" s="244"/>
    </row>
    <row r="1689" spans="1:4" ht="12" hidden="1" customHeight="1" outlineLevel="1" x14ac:dyDescent="0.3">
      <c r="A1689" s="238"/>
      <c r="B1689" s="242">
        <v>6300</v>
      </c>
      <c r="C1689" s="248" t="s">
        <v>220</v>
      </c>
      <c r="D1689" s="244"/>
    </row>
    <row r="1690" spans="1:4" ht="12" hidden="1" customHeight="1" outlineLevel="1" x14ac:dyDescent="0.3">
      <c r="A1690" s="238"/>
      <c r="B1690" s="242">
        <v>6400</v>
      </c>
      <c r="C1690" s="248" t="s">
        <v>221</v>
      </c>
      <c r="D1690" s="244"/>
    </row>
    <row r="1691" spans="1:4" ht="12" hidden="1" customHeight="1" outlineLevel="1" x14ac:dyDescent="0.3">
      <c r="A1691" s="238"/>
      <c r="B1691" s="242">
        <v>6500</v>
      </c>
      <c r="C1691" s="249" t="s">
        <v>222</v>
      </c>
      <c r="D1691" s="244"/>
    </row>
    <row r="1692" spans="1:4" ht="12" hidden="1" customHeight="1" outlineLevel="1" x14ac:dyDescent="0.3">
      <c r="A1692" s="238"/>
      <c r="B1692" s="199">
        <v>7000</v>
      </c>
      <c r="C1692" s="200" t="s">
        <v>223</v>
      </c>
      <c r="D1692" s="260">
        <v>0</v>
      </c>
    </row>
    <row r="1693" spans="1:4" ht="12" hidden="1" customHeight="1" outlineLevel="1" x14ac:dyDescent="0.3">
      <c r="A1693" s="238"/>
      <c r="B1693" s="250">
        <v>7200</v>
      </c>
      <c r="C1693" s="251" t="s">
        <v>224</v>
      </c>
      <c r="D1693" s="244"/>
    </row>
    <row r="1694" spans="1:4" ht="12" hidden="1" customHeight="1" outlineLevel="1" x14ac:dyDescent="0.3">
      <c r="A1694" s="238"/>
      <c r="B1694" s="250">
        <v>7500</v>
      </c>
      <c r="C1694" s="251" t="s">
        <v>225</v>
      </c>
      <c r="D1694" s="244"/>
    </row>
    <row r="1695" spans="1:4" ht="12" hidden="1" customHeight="1" outlineLevel="1" x14ac:dyDescent="0.3">
      <c r="A1695" s="238"/>
      <c r="B1695" s="250">
        <v>7700</v>
      </c>
      <c r="C1695" s="251" t="s">
        <v>226</v>
      </c>
      <c r="D1695" s="244"/>
    </row>
    <row r="1696" spans="1:4" ht="12" hidden="1" customHeight="1" outlineLevel="1" x14ac:dyDescent="0.3">
      <c r="A1696" s="238"/>
      <c r="B1696" s="252">
        <v>8000</v>
      </c>
      <c r="C1696" s="253" t="s">
        <v>227</v>
      </c>
      <c r="D1696" s="260">
        <v>0</v>
      </c>
    </row>
    <row r="1697" spans="1:4" ht="12" hidden="1" customHeight="1" outlineLevel="1" x14ac:dyDescent="0.3">
      <c r="A1697" s="238"/>
      <c r="B1697" s="254">
        <v>8100</v>
      </c>
      <c r="C1697" s="255" t="s">
        <v>228</v>
      </c>
      <c r="D1697" s="260"/>
    </row>
    <row r="1698" spans="1:4" ht="12" hidden="1" customHeight="1" outlineLevel="1" x14ac:dyDescent="0.3">
      <c r="A1698" s="238"/>
      <c r="B1698" s="254">
        <v>8600</v>
      </c>
      <c r="C1698" s="255" t="s">
        <v>229</v>
      </c>
      <c r="D1698" s="260"/>
    </row>
    <row r="1699" spans="1:4" ht="12" hidden="1" customHeight="1" outlineLevel="1" x14ac:dyDescent="0.3">
      <c r="A1699" s="238"/>
      <c r="B1699" s="254">
        <v>8900</v>
      </c>
      <c r="C1699" s="255" t="s">
        <v>230</v>
      </c>
      <c r="D1699" s="260"/>
    </row>
    <row r="1700" spans="1:4" ht="12" hidden="1" customHeight="1" outlineLevel="1" x14ac:dyDescent="0.3">
      <c r="A1700" s="272" t="s">
        <v>327</v>
      </c>
      <c r="B1700" s="273"/>
      <c r="C1700" s="274" t="s">
        <v>328</v>
      </c>
      <c r="D1700" s="275">
        <v>0</v>
      </c>
    </row>
    <row r="1701" spans="1:4" ht="12" hidden="1" customHeight="1" outlineLevel="1" x14ac:dyDescent="0.3">
      <c r="A1701" s="227"/>
      <c r="B1701" s="228"/>
      <c r="C1701" s="229" t="s">
        <v>198</v>
      </c>
      <c r="D1701" s="230">
        <v>0</v>
      </c>
    </row>
    <row r="1702" spans="1:4" ht="12.75" hidden="1" customHeight="1" outlineLevel="1" x14ac:dyDescent="0.3">
      <c r="A1702" s="227"/>
      <c r="B1702" s="231">
        <v>1000</v>
      </c>
      <c r="C1702" s="232" t="s">
        <v>199</v>
      </c>
      <c r="D1702" s="230">
        <v>0</v>
      </c>
    </row>
    <row r="1703" spans="1:4" ht="12.75" hidden="1" customHeight="1" outlineLevel="1" x14ac:dyDescent="0.3">
      <c r="A1703" s="227"/>
      <c r="B1703" s="234">
        <v>1100</v>
      </c>
      <c r="C1703" s="235" t="s">
        <v>200</v>
      </c>
      <c r="D1703" s="236"/>
    </row>
    <row r="1704" spans="1:4" ht="12.75" hidden="1" customHeight="1" outlineLevel="1" x14ac:dyDescent="0.3">
      <c r="A1704" s="227"/>
      <c r="B1704" s="234">
        <v>1200</v>
      </c>
      <c r="C1704" s="237" t="s">
        <v>201</v>
      </c>
      <c r="D1704" s="236"/>
    </row>
    <row r="1705" spans="1:4" ht="12" hidden="1" customHeight="1" outlineLevel="1" x14ac:dyDescent="0.3">
      <c r="A1705" s="238"/>
      <c r="B1705" s="239">
        <v>2000</v>
      </c>
      <c r="C1705" s="240" t="s">
        <v>202</v>
      </c>
      <c r="D1705" s="260">
        <v>0</v>
      </c>
    </row>
    <row r="1706" spans="1:4" ht="12" hidden="1" customHeight="1" outlineLevel="1" x14ac:dyDescent="0.3">
      <c r="A1706" s="238"/>
      <c r="B1706" s="242">
        <v>2100</v>
      </c>
      <c r="C1706" s="243" t="s">
        <v>203</v>
      </c>
      <c r="D1706" s="244"/>
    </row>
    <row r="1707" spans="1:4" ht="12" hidden="1" customHeight="1" outlineLevel="1" x14ac:dyDescent="0.3">
      <c r="A1707" s="238"/>
      <c r="B1707" s="242">
        <v>2200</v>
      </c>
      <c r="C1707" s="243" t="s">
        <v>204</v>
      </c>
      <c r="D1707" s="244"/>
    </row>
    <row r="1708" spans="1:4" ht="12" hidden="1" customHeight="1" outlineLevel="1" x14ac:dyDescent="0.3">
      <c r="A1708" s="238"/>
      <c r="B1708" s="242">
        <v>2300</v>
      </c>
      <c r="C1708" s="243" t="s">
        <v>205</v>
      </c>
      <c r="D1708" s="244"/>
    </row>
    <row r="1709" spans="1:4" ht="12" hidden="1" customHeight="1" outlineLevel="1" x14ac:dyDescent="0.3">
      <c r="A1709" s="238"/>
      <c r="B1709" s="242">
        <v>2400</v>
      </c>
      <c r="C1709" s="243" t="s">
        <v>206</v>
      </c>
      <c r="D1709" s="244"/>
    </row>
    <row r="1710" spans="1:4" ht="12" hidden="1" customHeight="1" outlineLevel="1" x14ac:dyDescent="0.3">
      <c r="A1710" s="238"/>
      <c r="B1710" s="242">
        <v>2500</v>
      </c>
      <c r="C1710" s="243" t="s">
        <v>207</v>
      </c>
      <c r="D1710" s="244"/>
    </row>
    <row r="1711" spans="1:4" ht="12" hidden="1" customHeight="1" outlineLevel="1" x14ac:dyDescent="0.3">
      <c r="A1711" s="238"/>
      <c r="B1711" s="199">
        <v>3000</v>
      </c>
      <c r="C1711" s="245" t="s">
        <v>208</v>
      </c>
      <c r="D1711" s="260">
        <v>0</v>
      </c>
    </row>
    <row r="1712" spans="1:4" ht="12" hidden="1" customHeight="1" outlineLevel="1" x14ac:dyDescent="0.3">
      <c r="A1712" s="238"/>
      <c r="B1712" s="242">
        <v>3200</v>
      </c>
      <c r="C1712" s="243" t="s">
        <v>209</v>
      </c>
      <c r="D1712" s="244"/>
    </row>
    <row r="1713" spans="1:4" ht="12" hidden="1" customHeight="1" outlineLevel="1" x14ac:dyDescent="0.3">
      <c r="A1713" s="238"/>
      <c r="B1713" s="242">
        <v>3300</v>
      </c>
      <c r="C1713" s="243" t="s">
        <v>210</v>
      </c>
      <c r="D1713" s="244"/>
    </row>
    <row r="1714" spans="1:4" ht="12" hidden="1" customHeight="1" outlineLevel="1" x14ac:dyDescent="0.3">
      <c r="A1714" s="238"/>
      <c r="B1714" s="199">
        <v>4000</v>
      </c>
      <c r="C1714" s="246" t="s">
        <v>211</v>
      </c>
      <c r="D1714" s="260">
        <v>0</v>
      </c>
    </row>
    <row r="1715" spans="1:4" ht="12" hidden="1" customHeight="1" outlineLevel="1" x14ac:dyDescent="0.3">
      <c r="A1715" s="238"/>
      <c r="B1715" s="242">
        <v>4200</v>
      </c>
      <c r="C1715" s="247" t="s">
        <v>212</v>
      </c>
      <c r="D1715" s="244"/>
    </row>
    <row r="1716" spans="1:4" ht="12" hidden="1" customHeight="1" outlineLevel="1" x14ac:dyDescent="0.3">
      <c r="A1716" s="238"/>
      <c r="B1716" s="242">
        <v>4300</v>
      </c>
      <c r="C1716" s="247" t="s">
        <v>213</v>
      </c>
      <c r="D1716" s="244"/>
    </row>
    <row r="1717" spans="1:4" ht="12" hidden="1" customHeight="1" outlineLevel="1" x14ac:dyDescent="0.3">
      <c r="A1717" s="238"/>
      <c r="B1717" s="199">
        <v>5000</v>
      </c>
      <c r="C1717" s="200" t="s">
        <v>214</v>
      </c>
      <c r="D1717" s="260">
        <v>0</v>
      </c>
    </row>
    <row r="1718" spans="1:4" ht="12" hidden="1" customHeight="1" outlineLevel="1" x14ac:dyDescent="0.3">
      <c r="A1718" s="238"/>
      <c r="B1718" s="242">
        <v>5100</v>
      </c>
      <c r="C1718" s="248" t="s">
        <v>215</v>
      </c>
      <c r="D1718" s="260"/>
    </row>
    <row r="1719" spans="1:4" ht="12" hidden="1" customHeight="1" outlineLevel="1" x14ac:dyDescent="0.3">
      <c r="A1719" s="238"/>
      <c r="B1719" s="242">
        <v>5200</v>
      </c>
      <c r="C1719" s="248" t="s">
        <v>216</v>
      </c>
      <c r="D1719" s="260"/>
    </row>
    <row r="1720" spans="1:4" ht="12" hidden="1" customHeight="1" outlineLevel="1" x14ac:dyDescent="0.3">
      <c r="A1720" s="238"/>
      <c r="B1720" s="242">
        <v>5300</v>
      </c>
      <c r="C1720" s="249" t="s">
        <v>217</v>
      </c>
      <c r="D1720" s="260"/>
    </row>
    <row r="1721" spans="1:4" ht="12" hidden="1" customHeight="1" outlineLevel="1" x14ac:dyDescent="0.3">
      <c r="A1721" s="238"/>
      <c r="B1721" s="199">
        <v>6000</v>
      </c>
      <c r="C1721" s="200" t="s">
        <v>218</v>
      </c>
      <c r="D1721" s="260">
        <v>0</v>
      </c>
    </row>
    <row r="1722" spans="1:4" ht="12" hidden="1" customHeight="1" outlineLevel="1" x14ac:dyDescent="0.3">
      <c r="A1722" s="238"/>
      <c r="B1722" s="242">
        <v>6200</v>
      </c>
      <c r="C1722" s="248" t="s">
        <v>219</v>
      </c>
      <c r="D1722" s="244"/>
    </row>
    <row r="1723" spans="1:4" ht="12" hidden="1" customHeight="1" outlineLevel="1" x14ac:dyDescent="0.3">
      <c r="A1723" s="238"/>
      <c r="B1723" s="242">
        <v>6300</v>
      </c>
      <c r="C1723" s="248" t="s">
        <v>220</v>
      </c>
      <c r="D1723" s="244"/>
    </row>
    <row r="1724" spans="1:4" ht="12" hidden="1" customHeight="1" outlineLevel="1" x14ac:dyDescent="0.3">
      <c r="A1724" s="238"/>
      <c r="B1724" s="242">
        <v>6400</v>
      </c>
      <c r="C1724" s="248" t="s">
        <v>221</v>
      </c>
      <c r="D1724" s="244"/>
    </row>
    <row r="1725" spans="1:4" ht="12" hidden="1" customHeight="1" outlineLevel="1" x14ac:dyDescent="0.3">
      <c r="A1725" s="238"/>
      <c r="B1725" s="242">
        <v>6500</v>
      </c>
      <c r="C1725" s="249" t="s">
        <v>222</v>
      </c>
      <c r="D1725" s="244"/>
    </row>
    <row r="1726" spans="1:4" ht="12" hidden="1" customHeight="1" outlineLevel="1" x14ac:dyDescent="0.3">
      <c r="A1726" s="238"/>
      <c r="B1726" s="199">
        <v>7000</v>
      </c>
      <c r="C1726" s="200" t="s">
        <v>223</v>
      </c>
      <c r="D1726" s="260">
        <v>0</v>
      </c>
    </row>
    <row r="1727" spans="1:4" ht="12" hidden="1" customHeight="1" outlineLevel="1" x14ac:dyDescent="0.3">
      <c r="A1727" s="238"/>
      <c r="B1727" s="250">
        <v>7200</v>
      </c>
      <c r="C1727" s="251" t="s">
        <v>224</v>
      </c>
      <c r="D1727" s="244"/>
    </row>
    <row r="1728" spans="1:4" ht="12" hidden="1" customHeight="1" outlineLevel="1" x14ac:dyDescent="0.3">
      <c r="A1728" s="238"/>
      <c r="B1728" s="250">
        <v>7500</v>
      </c>
      <c r="C1728" s="251" t="s">
        <v>225</v>
      </c>
      <c r="D1728" s="244"/>
    </row>
    <row r="1729" spans="1:4" ht="12" hidden="1" customHeight="1" outlineLevel="1" x14ac:dyDescent="0.3">
      <c r="A1729" s="238"/>
      <c r="B1729" s="250">
        <v>7700</v>
      </c>
      <c r="C1729" s="251" t="s">
        <v>226</v>
      </c>
      <c r="D1729" s="244"/>
    </row>
    <row r="1730" spans="1:4" ht="12" hidden="1" customHeight="1" outlineLevel="1" x14ac:dyDescent="0.3">
      <c r="A1730" s="238"/>
      <c r="B1730" s="252">
        <v>8000</v>
      </c>
      <c r="C1730" s="253" t="s">
        <v>227</v>
      </c>
      <c r="D1730" s="260">
        <v>0</v>
      </c>
    </row>
    <row r="1731" spans="1:4" ht="12" hidden="1" customHeight="1" outlineLevel="1" x14ac:dyDescent="0.3">
      <c r="A1731" s="238"/>
      <c r="B1731" s="254">
        <v>8100</v>
      </c>
      <c r="C1731" s="255" t="s">
        <v>228</v>
      </c>
      <c r="D1731" s="260"/>
    </row>
    <row r="1732" spans="1:4" ht="12" hidden="1" customHeight="1" outlineLevel="1" x14ac:dyDescent="0.3">
      <c r="A1732" s="238"/>
      <c r="B1732" s="254">
        <v>8600</v>
      </c>
      <c r="C1732" s="255" t="s">
        <v>229</v>
      </c>
      <c r="D1732" s="260"/>
    </row>
    <row r="1733" spans="1:4" ht="12" hidden="1" customHeight="1" outlineLevel="1" x14ac:dyDescent="0.3">
      <c r="A1733" s="238"/>
      <c r="B1733" s="254">
        <v>8900</v>
      </c>
      <c r="C1733" s="255" t="s">
        <v>230</v>
      </c>
      <c r="D1733" s="260"/>
    </row>
    <row r="1734" spans="1:4" ht="28.5" hidden="1" customHeight="1" outlineLevel="1" x14ac:dyDescent="0.3">
      <c r="A1734" s="256" t="s">
        <v>160</v>
      </c>
      <c r="B1734" s="257"/>
      <c r="C1734" s="281" t="s">
        <v>329</v>
      </c>
      <c r="D1734" s="259">
        <v>0</v>
      </c>
    </row>
    <row r="1735" spans="1:4" ht="12" hidden="1" customHeight="1" outlineLevel="1" x14ac:dyDescent="0.3">
      <c r="A1735" s="227"/>
      <c r="B1735" s="228"/>
      <c r="C1735" s="229" t="s">
        <v>198</v>
      </c>
      <c r="D1735" s="230">
        <v>0</v>
      </c>
    </row>
    <row r="1736" spans="1:4" ht="12" hidden="1" customHeight="1" outlineLevel="1" x14ac:dyDescent="0.3">
      <c r="A1736" s="227"/>
      <c r="B1736" s="231">
        <v>1000</v>
      </c>
      <c r="C1736" s="232" t="s">
        <v>199</v>
      </c>
      <c r="D1736" s="230">
        <v>0</v>
      </c>
    </row>
    <row r="1737" spans="1:4" ht="12" hidden="1" customHeight="1" outlineLevel="1" x14ac:dyDescent="0.3">
      <c r="A1737" s="227"/>
      <c r="B1737" s="234">
        <v>1100</v>
      </c>
      <c r="C1737" s="235" t="s">
        <v>200</v>
      </c>
      <c r="D1737" s="236"/>
    </row>
    <row r="1738" spans="1:4" ht="12" hidden="1" customHeight="1" outlineLevel="1" x14ac:dyDescent="0.3">
      <c r="A1738" s="227"/>
      <c r="B1738" s="234">
        <v>1200</v>
      </c>
      <c r="C1738" s="237" t="s">
        <v>201</v>
      </c>
      <c r="D1738" s="236"/>
    </row>
    <row r="1739" spans="1:4" ht="12" hidden="1" customHeight="1" outlineLevel="1" x14ac:dyDescent="0.3">
      <c r="A1739" s="238"/>
      <c r="B1739" s="239">
        <v>2000</v>
      </c>
      <c r="C1739" s="240" t="s">
        <v>202</v>
      </c>
      <c r="D1739" s="260">
        <v>0</v>
      </c>
    </row>
    <row r="1740" spans="1:4" ht="12" hidden="1" customHeight="1" outlineLevel="1" x14ac:dyDescent="0.3">
      <c r="A1740" s="238"/>
      <c r="B1740" s="242">
        <v>2100</v>
      </c>
      <c r="C1740" s="243" t="s">
        <v>203</v>
      </c>
      <c r="D1740" s="244"/>
    </row>
    <row r="1741" spans="1:4" ht="12" hidden="1" customHeight="1" outlineLevel="1" x14ac:dyDescent="0.3">
      <c r="A1741" s="238"/>
      <c r="B1741" s="242">
        <v>2200</v>
      </c>
      <c r="C1741" s="243" t="s">
        <v>204</v>
      </c>
      <c r="D1741" s="244"/>
    </row>
    <row r="1742" spans="1:4" ht="12" hidden="1" customHeight="1" outlineLevel="1" x14ac:dyDescent="0.3">
      <c r="A1742" s="238"/>
      <c r="B1742" s="242">
        <v>2300</v>
      </c>
      <c r="C1742" s="243" t="s">
        <v>205</v>
      </c>
      <c r="D1742" s="244"/>
    </row>
    <row r="1743" spans="1:4" ht="12" hidden="1" customHeight="1" outlineLevel="1" x14ac:dyDescent="0.3">
      <c r="A1743" s="238"/>
      <c r="B1743" s="242">
        <v>2400</v>
      </c>
      <c r="C1743" s="243" t="s">
        <v>206</v>
      </c>
      <c r="D1743" s="244"/>
    </row>
    <row r="1744" spans="1:4" ht="12" hidden="1" customHeight="1" outlineLevel="1" x14ac:dyDescent="0.3">
      <c r="A1744" s="238"/>
      <c r="B1744" s="242">
        <v>2500</v>
      </c>
      <c r="C1744" s="243" t="s">
        <v>207</v>
      </c>
      <c r="D1744" s="244"/>
    </row>
    <row r="1745" spans="1:4" ht="12" hidden="1" customHeight="1" outlineLevel="1" x14ac:dyDescent="0.3">
      <c r="A1745" s="238"/>
      <c r="B1745" s="199">
        <v>3000</v>
      </c>
      <c r="C1745" s="245" t="s">
        <v>208</v>
      </c>
      <c r="D1745" s="260">
        <v>0</v>
      </c>
    </row>
    <row r="1746" spans="1:4" ht="12" hidden="1" customHeight="1" outlineLevel="1" x14ac:dyDescent="0.3">
      <c r="A1746" s="238"/>
      <c r="B1746" s="242">
        <v>3200</v>
      </c>
      <c r="C1746" s="243" t="s">
        <v>209</v>
      </c>
      <c r="D1746" s="244"/>
    </row>
    <row r="1747" spans="1:4" ht="12" hidden="1" customHeight="1" outlineLevel="1" x14ac:dyDescent="0.3">
      <c r="A1747" s="238"/>
      <c r="B1747" s="242">
        <v>3300</v>
      </c>
      <c r="C1747" s="243" t="s">
        <v>210</v>
      </c>
      <c r="D1747" s="244"/>
    </row>
    <row r="1748" spans="1:4" ht="12" hidden="1" customHeight="1" outlineLevel="1" x14ac:dyDescent="0.3">
      <c r="A1748" s="238"/>
      <c r="B1748" s="199">
        <v>4000</v>
      </c>
      <c r="C1748" s="246" t="s">
        <v>211</v>
      </c>
      <c r="D1748" s="260">
        <v>0</v>
      </c>
    </row>
    <row r="1749" spans="1:4" ht="12" hidden="1" customHeight="1" outlineLevel="1" x14ac:dyDescent="0.3">
      <c r="A1749" s="238"/>
      <c r="B1749" s="242">
        <v>4200</v>
      </c>
      <c r="C1749" s="247" t="s">
        <v>212</v>
      </c>
      <c r="D1749" s="244"/>
    </row>
    <row r="1750" spans="1:4" ht="12" hidden="1" customHeight="1" outlineLevel="1" x14ac:dyDescent="0.3">
      <c r="A1750" s="238"/>
      <c r="B1750" s="242">
        <v>4300</v>
      </c>
      <c r="C1750" s="247" t="s">
        <v>213</v>
      </c>
      <c r="D1750" s="244"/>
    </row>
    <row r="1751" spans="1:4" ht="12" hidden="1" customHeight="1" outlineLevel="1" x14ac:dyDescent="0.3">
      <c r="A1751" s="238"/>
      <c r="B1751" s="199">
        <v>5000</v>
      </c>
      <c r="C1751" s="200" t="s">
        <v>214</v>
      </c>
      <c r="D1751" s="260">
        <v>0</v>
      </c>
    </row>
    <row r="1752" spans="1:4" ht="12" hidden="1" customHeight="1" outlineLevel="1" x14ac:dyDescent="0.3">
      <c r="A1752" s="238"/>
      <c r="B1752" s="242">
        <v>5100</v>
      </c>
      <c r="C1752" s="248" t="s">
        <v>215</v>
      </c>
      <c r="D1752" s="260"/>
    </row>
    <row r="1753" spans="1:4" ht="12" hidden="1" customHeight="1" outlineLevel="1" x14ac:dyDescent="0.3">
      <c r="A1753" s="238"/>
      <c r="B1753" s="242">
        <v>5200</v>
      </c>
      <c r="C1753" s="248" t="s">
        <v>216</v>
      </c>
      <c r="D1753" s="260"/>
    </row>
    <row r="1754" spans="1:4" ht="12" hidden="1" customHeight="1" outlineLevel="1" x14ac:dyDescent="0.3">
      <c r="A1754" s="238"/>
      <c r="B1754" s="242">
        <v>5300</v>
      </c>
      <c r="C1754" s="249" t="s">
        <v>217</v>
      </c>
      <c r="D1754" s="260"/>
    </row>
    <row r="1755" spans="1:4" ht="12" hidden="1" customHeight="1" outlineLevel="1" x14ac:dyDescent="0.3">
      <c r="A1755" s="238"/>
      <c r="B1755" s="199">
        <v>6000</v>
      </c>
      <c r="C1755" s="200" t="s">
        <v>218</v>
      </c>
      <c r="D1755" s="260">
        <v>0</v>
      </c>
    </row>
    <row r="1756" spans="1:4" ht="12" hidden="1" customHeight="1" outlineLevel="1" x14ac:dyDescent="0.3">
      <c r="A1756" s="238"/>
      <c r="B1756" s="242">
        <v>6200</v>
      </c>
      <c r="C1756" s="248" t="s">
        <v>219</v>
      </c>
      <c r="D1756" s="244"/>
    </row>
    <row r="1757" spans="1:4" ht="12" hidden="1" customHeight="1" outlineLevel="1" x14ac:dyDescent="0.3">
      <c r="A1757" s="238"/>
      <c r="B1757" s="242">
        <v>6300</v>
      </c>
      <c r="C1757" s="248" t="s">
        <v>220</v>
      </c>
      <c r="D1757" s="244"/>
    </row>
    <row r="1758" spans="1:4" ht="12" hidden="1" customHeight="1" outlineLevel="1" x14ac:dyDescent="0.3">
      <c r="A1758" s="238"/>
      <c r="B1758" s="242">
        <v>6400</v>
      </c>
      <c r="C1758" s="248" t="s">
        <v>221</v>
      </c>
      <c r="D1758" s="244"/>
    </row>
    <row r="1759" spans="1:4" ht="12" hidden="1" customHeight="1" outlineLevel="1" x14ac:dyDescent="0.3">
      <c r="A1759" s="238"/>
      <c r="B1759" s="242">
        <v>6500</v>
      </c>
      <c r="C1759" s="249" t="s">
        <v>222</v>
      </c>
      <c r="D1759" s="244"/>
    </row>
    <row r="1760" spans="1:4" ht="12" hidden="1" customHeight="1" outlineLevel="1" x14ac:dyDescent="0.3">
      <c r="A1760" s="238"/>
      <c r="B1760" s="199">
        <v>7000</v>
      </c>
      <c r="C1760" s="200" t="s">
        <v>223</v>
      </c>
      <c r="D1760" s="260">
        <v>0</v>
      </c>
    </row>
    <row r="1761" spans="1:4" ht="12" hidden="1" customHeight="1" outlineLevel="1" x14ac:dyDescent="0.3">
      <c r="A1761" s="238"/>
      <c r="B1761" s="250">
        <v>7200</v>
      </c>
      <c r="C1761" s="251" t="s">
        <v>224</v>
      </c>
      <c r="D1761" s="244"/>
    </row>
    <row r="1762" spans="1:4" ht="12" hidden="1" customHeight="1" outlineLevel="1" x14ac:dyDescent="0.3">
      <c r="A1762" s="238"/>
      <c r="B1762" s="250">
        <v>7500</v>
      </c>
      <c r="C1762" s="251" t="s">
        <v>225</v>
      </c>
      <c r="D1762" s="244"/>
    </row>
    <row r="1763" spans="1:4" ht="12" hidden="1" customHeight="1" outlineLevel="1" x14ac:dyDescent="0.3">
      <c r="A1763" s="238"/>
      <c r="B1763" s="250">
        <v>7700</v>
      </c>
      <c r="C1763" s="251" t="s">
        <v>226</v>
      </c>
      <c r="D1763" s="244"/>
    </row>
    <row r="1764" spans="1:4" ht="12" hidden="1" customHeight="1" outlineLevel="1" x14ac:dyDescent="0.3">
      <c r="A1764" s="238"/>
      <c r="B1764" s="252">
        <v>8000</v>
      </c>
      <c r="C1764" s="253" t="s">
        <v>227</v>
      </c>
      <c r="D1764" s="260">
        <v>0</v>
      </c>
    </row>
    <row r="1765" spans="1:4" ht="12" hidden="1" customHeight="1" outlineLevel="1" x14ac:dyDescent="0.3">
      <c r="A1765" s="238"/>
      <c r="B1765" s="254">
        <v>8100</v>
      </c>
      <c r="C1765" s="255" t="s">
        <v>228</v>
      </c>
      <c r="D1765" s="260"/>
    </row>
    <row r="1766" spans="1:4" ht="12" hidden="1" customHeight="1" outlineLevel="1" x14ac:dyDescent="0.3">
      <c r="A1766" s="238"/>
      <c r="B1766" s="254">
        <v>8600</v>
      </c>
      <c r="C1766" s="255" t="s">
        <v>229</v>
      </c>
      <c r="D1766" s="260"/>
    </row>
    <row r="1767" spans="1:4" ht="12" hidden="1" customHeight="1" outlineLevel="1" x14ac:dyDescent="0.3">
      <c r="A1767" s="238"/>
      <c r="B1767" s="254">
        <v>8900</v>
      </c>
      <c r="C1767" s="255" t="s">
        <v>230</v>
      </c>
      <c r="D1767" s="260"/>
    </row>
    <row r="1768" spans="1:4" ht="12" hidden="1" customHeight="1" outlineLevel="1" x14ac:dyDescent="0.3">
      <c r="A1768" s="256" t="s">
        <v>162</v>
      </c>
      <c r="B1768" s="257"/>
      <c r="C1768" s="258" t="s">
        <v>330</v>
      </c>
      <c r="D1768" s="259">
        <v>0</v>
      </c>
    </row>
    <row r="1769" spans="1:4" ht="12" hidden="1" customHeight="1" outlineLevel="1" x14ac:dyDescent="0.3">
      <c r="A1769" s="227"/>
      <c r="B1769" s="228"/>
      <c r="C1769" s="229" t="s">
        <v>198</v>
      </c>
      <c r="D1769" s="230">
        <v>0</v>
      </c>
    </row>
    <row r="1770" spans="1:4" ht="12" hidden="1" customHeight="1" outlineLevel="1" x14ac:dyDescent="0.3">
      <c r="A1770" s="227"/>
      <c r="B1770" s="231">
        <v>1000</v>
      </c>
      <c r="C1770" s="232" t="s">
        <v>199</v>
      </c>
      <c r="D1770" s="230">
        <v>0</v>
      </c>
    </row>
    <row r="1771" spans="1:4" ht="12" hidden="1" customHeight="1" outlineLevel="1" x14ac:dyDescent="0.3">
      <c r="A1771" s="227"/>
      <c r="B1771" s="234">
        <v>1100</v>
      </c>
      <c r="C1771" s="235" t="s">
        <v>200</v>
      </c>
      <c r="D1771" s="236"/>
    </row>
    <row r="1772" spans="1:4" ht="12" hidden="1" customHeight="1" outlineLevel="1" x14ac:dyDescent="0.3">
      <c r="A1772" s="227"/>
      <c r="B1772" s="234">
        <v>1200</v>
      </c>
      <c r="C1772" s="237" t="s">
        <v>201</v>
      </c>
      <c r="D1772" s="236"/>
    </row>
    <row r="1773" spans="1:4" ht="12" hidden="1" customHeight="1" outlineLevel="1" x14ac:dyDescent="0.3">
      <c r="A1773" s="238"/>
      <c r="B1773" s="239">
        <v>2000</v>
      </c>
      <c r="C1773" s="240" t="s">
        <v>202</v>
      </c>
      <c r="D1773" s="260">
        <v>0</v>
      </c>
    </row>
    <row r="1774" spans="1:4" ht="12" hidden="1" customHeight="1" outlineLevel="1" x14ac:dyDescent="0.3">
      <c r="A1774" s="238"/>
      <c r="B1774" s="242">
        <v>2100</v>
      </c>
      <c r="C1774" s="243" t="s">
        <v>203</v>
      </c>
      <c r="D1774" s="244"/>
    </row>
    <row r="1775" spans="1:4" ht="12" hidden="1" customHeight="1" outlineLevel="1" x14ac:dyDescent="0.3">
      <c r="A1775" s="238"/>
      <c r="B1775" s="242">
        <v>2200</v>
      </c>
      <c r="C1775" s="243" t="s">
        <v>204</v>
      </c>
      <c r="D1775" s="244"/>
    </row>
    <row r="1776" spans="1:4" ht="12" hidden="1" customHeight="1" outlineLevel="1" x14ac:dyDescent="0.3">
      <c r="A1776" s="238"/>
      <c r="B1776" s="242">
        <v>2300</v>
      </c>
      <c r="C1776" s="243" t="s">
        <v>205</v>
      </c>
      <c r="D1776" s="244"/>
    </row>
    <row r="1777" spans="1:4" ht="12" hidden="1" customHeight="1" outlineLevel="1" x14ac:dyDescent="0.3">
      <c r="A1777" s="238"/>
      <c r="B1777" s="242">
        <v>2400</v>
      </c>
      <c r="C1777" s="243" t="s">
        <v>206</v>
      </c>
      <c r="D1777" s="244"/>
    </row>
    <row r="1778" spans="1:4" ht="12" hidden="1" customHeight="1" outlineLevel="1" x14ac:dyDescent="0.3">
      <c r="A1778" s="238"/>
      <c r="B1778" s="242">
        <v>2500</v>
      </c>
      <c r="C1778" s="243" t="s">
        <v>207</v>
      </c>
      <c r="D1778" s="244"/>
    </row>
    <row r="1779" spans="1:4" ht="12" hidden="1" customHeight="1" outlineLevel="1" x14ac:dyDescent="0.3">
      <c r="A1779" s="238"/>
      <c r="B1779" s="199">
        <v>3000</v>
      </c>
      <c r="C1779" s="245" t="s">
        <v>208</v>
      </c>
      <c r="D1779" s="260">
        <v>0</v>
      </c>
    </row>
    <row r="1780" spans="1:4" ht="12" hidden="1" customHeight="1" outlineLevel="1" x14ac:dyDescent="0.3">
      <c r="A1780" s="238"/>
      <c r="B1780" s="242">
        <v>3200</v>
      </c>
      <c r="C1780" s="243" t="s">
        <v>209</v>
      </c>
      <c r="D1780" s="244"/>
    </row>
    <row r="1781" spans="1:4" ht="12" hidden="1" customHeight="1" outlineLevel="1" x14ac:dyDescent="0.3">
      <c r="A1781" s="238"/>
      <c r="B1781" s="242">
        <v>3300</v>
      </c>
      <c r="C1781" s="243" t="s">
        <v>210</v>
      </c>
      <c r="D1781" s="244"/>
    </row>
    <row r="1782" spans="1:4" ht="12" hidden="1" customHeight="1" outlineLevel="1" x14ac:dyDescent="0.3">
      <c r="A1782" s="238"/>
      <c r="B1782" s="199">
        <v>4000</v>
      </c>
      <c r="C1782" s="246" t="s">
        <v>211</v>
      </c>
      <c r="D1782" s="260">
        <v>0</v>
      </c>
    </row>
    <row r="1783" spans="1:4" ht="12" hidden="1" customHeight="1" outlineLevel="1" x14ac:dyDescent="0.3">
      <c r="A1783" s="238"/>
      <c r="B1783" s="242">
        <v>4200</v>
      </c>
      <c r="C1783" s="247" t="s">
        <v>212</v>
      </c>
      <c r="D1783" s="244"/>
    </row>
    <row r="1784" spans="1:4" ht="12" hidden="1" customHeight="1" outlineLevel="1" x14ac:dyDescent="0.3">
      <c r="A1784" s="238"/>
      <c r="B1784" s="242">
        <v>4300</v>
      </c>
      <c r="C1784" s="247" t="s">
        <v>213</v>
      </c>
      <c r="D1784" s="244"/>
    </row>
    <row r="1785" spans="1:4" ht="12" hidden="1" customHeight="1" outlineLevel="1" x14ac:dyDescent="0.3">
      <c r="A1785" s="238"/>
      <c r="B1785" s="199">
        <v>5000</v>
      </c>
      <c r="C1785" s="200" t="s">
        <v>214</v>
      </c>
      <c r="D1785" s="260">
        <v>0</v>
      </c>
    </row>
    <row r="1786" spans="1:4" ht="12" hidden="1" customHeight="1" outlineLevel="1" x14ac:dyDescent="0.3">
      <c r="A1786" s="238"/>
      <c r="B1786" s="242">
        <v>5100</v>
      </c>
      <c r="C1786" s="248" t="s">
        <v>215</v>
      </c>
      <c r="D1786" s="260"/>
    </row>
    <row r="1787" spans="1:4" ht="12" hidden="1" customHeight="1" outlineLevel="1" x14ac:dyDescent="0.3">
      <c r="A1787" s="238"/>
      <c r="B1787" s="242">
        <v>5200</v>
      </c>
      <c r="C1787" s="248" t="s">
        <v>216</v>
      </c>
      <c r="D1787" s="260"/>
    </row>
    <row r="1788" spans="1:4" ht="12" hidden="1" customHeight="1" outlineLevel="1" x14ac:dyDescent="0.3">
      <c r="A1788" s="238"/>
      <c r="B1788" s="242">
        <v>5300</v>
      </c>
      <c r="C1788" s="249" t="s">
        <v>217</v>
      </c>
      <c r="D1788" s="260"/>
    </row>
    <row r="1789" spans="1:4" ht="12" hidden="1" customHeight="1" outlineLevel="1" x14ac:dyDescent="0.3">
      <c r="A1789" s="238"/>
      <c r="B1789" s="199">
        <v>6000</v>
      </c>
      <c r="C1789" s="200" t="s">
        <v>218</v>
      </c>
      <c r="D1789" s="260">
        <v>0</v>
      </c>
    </row>
    <row r="1790" spans="1:4" ht="12" hidden="1" customHeight="1" outlineLevel="1" x14ac:dyDescent="0.3">
      <c r="A1790" s="238"/>
      <c r="B1790" s="242">
        <v>6200</v>
      </c>
      <c r="C1790" s="248" t="s">
        <v>219</v>
      </c>
      <c r="D1790" s="244"/>
    </row>
    <row r="1791" spans="1:4" ht="12" hidden="1" customHeight="1" outlineLevel="1" x14ac:dyDescent="0.3">
      <c r="A1791" s="238"/>
      <c r="B1791" s="242">
        <v>6300</v>
      </c>
      <c r="C1791" s="248" t="s">
        <v>220</v>
      </c>
      <c r="D1791" s="244"/>
    </row>
    <row r="1792" spans="1:4" ht="12" hidden="1" customHeight="1" outlineLevel="1" x14ac:dyDescent="0.3">
      <c r="A1792" s="238"/>
      <c r="B1792" s="242">
        <v>6400</v>
      </c>
      <c r="C1792" s="248" t="s">
        <v>221</v>
      </c>
      <c r="D1792" s="244"/>
    </row>
    <row r="1793" spans="1:4" ht="12" hidden="1" customHeight="1" outlineLevel="1" x14ac:dyDescent="0.3">
      <c r="A1793" s="238"/>
      <c r="B1793" s="242">
        <v>6500</v>
      </c>
      <c r="C1793" s="249" t="s">
        <v>222</v>
      </c>
      <c r="D1793" s="244"/>
    </row>
    <row r="1794" spans="1:4" ht="12" hidden="1" customHeight="1" outlineLevel="1" x14ac:dyDescent="0.3">
      <c r="A1794" s="238"/>
      <c r="B1794" s="199">
        <v>7000</v>
      </c>
      <c r="C1794" s="200" t="s">
        <v>223</v>
      </c>
      <c r="D1794" s="260">
        <v>0</v>
      </c>
    </row>
    <row r="1795" spans="1:4" ht="12" hidden="1" customHeight="1" outlineLevel="1" x14ac:dyDescent="0.3">
      <c r="A1795" s="238"/>
      <c r="B1795" s="250">
        <v>7200</v>
      </c>
      <c r="C1795" s="251" t="s">
        <v>224</v>
      </c>
      <c r="D1795" s="244"/>
    </row>
    <row r="1796" spans="1:4" ht="12" hidden="1" customHeight="1" outlineLevel="1" x14ac:dyDescent="0.3">
      <c r="A1796" s="238"/>
      <c r="B1796" s="250">
        <v>7500</v>
      </c>
      <c r="C1796" s="251" t="s">
        <v>225</v>
      </c>
      <c r="D1796" s="244"/>
    </row>
    <row r="1797" spans="1:4" ht="12" hidden="1" customHeight="1" outlineLevel="1" x14ac:dyDescent="0.3">
      <c r="A1797" s="238"/>
      <c r="B1797" s="250">
        <v>7700</v>
      </c>
      <c r="C1797" s="251" t="s">
        <v>226</v>
      </c>
      <c r="D1797" s="244"/>
    </row>
    <row r="1798" spans="1:4" ht="12" hidden="1" customHeight="1" outlineLevel="1" x14ac:dyDescent="0.3">
      <c r="A1798" s="238"/>
      <c r="B1798" s="252">
        <v>8000</v>
      </c>
      <c r="C1798" s="253" t="s">
        <v>227</v>
      </c>
      <c r="D1798" s="260">
        <v>0</v>
      </c>
    </row>
    <row r="1799" spans="1:4" ht="12" hidden="1" customHeight="1" outlineLevel="1" x14ac:dyDescent="0.3">
      <c r="A1799" s="238"/>
      <c r="B1799" s="254">
        <v>8100</v>
      </c>
      <c r="C1799" s="255" t="s">
        <v>228</v>
      </c>
      <c r="D1799" s="260"/>
    </row>
    <row r="1800" spans="1:4" ht="12" hidden="1" customHeight="1" outlineLevel="1" x14ac:dyDescent="0.3">
      <c r="A1800" s="238"/>
      <c r="B1800" s="254">
        <v>8600</v>
      </c>
      <c r="C1800" s="255" t="s">
        <v>229</v>
      </c>
      <c r="D1800" s="260"/>
    </row>
    <row r="1801" spans="1:4" ht="12" hidden="1" customHeight="1" outlineLevel="1" x14ac:dyDescent="0.3">
      <c r="A1801" s="238"/>
      <c r="B1801" s="254">
        <v>8900</v>
      </c>
      <c r="C1801" s="255" t="s">
        <v>230</v>
      </c>
      <c r="D1801" s="260"/>
    </row>
    <row r="1802" spans="1:4" ht="17.100000000000001" customHeight="1" collapsed="1" x14ac:dyDescent="0.3">
      <c r="A1802" s="278" t="s">
        <v>331</v>
      </c>
      <c r="B1802" s="279"/>
      <c r="C1802" s="280" t="s">
        <v>332</v>
      </c>
      <c r="D1802" s="226">
        <v>275979</v>
      </c>
    </row>
    <row r="1803" spans="1:4" ht="12" customHeight="1" x14ac:dyDescent="0.3">
      <c r="A1803" s="227"/>
      <c r="B1803" s="228"/>
      <c r="C1803" s="229" t="s">
        <v>198</v>
      </c>
      <c r="D1803" s="230">
        <v>271530</v>
      </c>
    </row>
    <row r="1804" spans="1:4" ht="12" customHeight="1" x14ac:dyDescent="0.3">
      <c r="A1804" s="227"/>
      <c r="B1804" s="231">
        <v>1000</v>
      </c>
      <c r="C1804" s="232" t="s">
        <v>199</v>
      </c>
      <c r="D1804" s="233">
        <v>0</v>
      </c>
    </row>
    <row r="1805" spans="1:4" ht="12" customHeight="1" x14ac:dyDescent="0.3">
      <c r="A1805" s="227"/>
      <c r="B1805" s="234">
        <v>1100</v>
      </c>
      <c r="C1805" s="235" t="s">
        <v>200</v>
      </c>
      <c r="D1805" s="236">
        <v>0</v>
      </c>
    </row>
    <row r="1806" spans="1:4" ht="12" customHeight="1" x14ac:dyDescent="0.3">
      <c r="A1806" s="227"/>
      <c r="B1806" s="234">
        <v>1200</v>
      </c>
      <c r="C1806" s="237" t="s">
        <v>201</v>
      </c>
      <c r="D1806" s="236">
        <v>0</v>
      </c>
    </row>
    <row r="1807" spans="1:4" ht="12" customHeight="1" x14ac:dyDescent="0.3">
      <c r="A1807" s="238"/>
      <c r="B1807" s="239">
        <v>2000</v>
      </c>
      <c r="C1807" s="240" t="s">
        <v>202</v>
      </c>
      <c r="D1807" s="241">
        <v>270930</v>
      </c>
    </row>
    <row r="1808" spans="1:4" ht="12" hidden="1" customHeight="1" outlineLevel="1" x14ac:dyDescent="0.3">
      <c r="A1808" s="238"/>
      <c r="B1808" s="242">
        <v>2100</v>
      </c>
      <c r="C1808" s="243" t="s">
        <v>203</v>
      </c>
      <c r="D1808" s="244">
        <v>0</v>
      </c>
    </row>
    <row r="1809" spans="1:4" ht="12" customHeight="1" collapsed="1" x14ac:dyDescent="0.3">
      <c r="A1809" s="238"/>
      <c r="B1809" s="242">
        <v>2200</v>
      </c>
      <c r="C1809" s="243" t="s">
        <v>204</v>
      </c>
      <c r="D1809" s="244">
        <v>268630</v>
      </c>
    </row>
    <row r="1810" spans="1:4" ht="12" customHeight="1" x14ac:dyDescent="0.3">
      <c r="A1810" s="238"/>
      <c r="B1810" s="242">
        <v>2300</v>
      </c>
      <c r="C1810" s="243" t="s">
        <v>205</v>
      </c>
      <c r="D1810" s="244">
        <v>2300</v>
      </c>
    </row>
    <row r="1811" spans="1:4" ht="12" hidden="1" customHeight="1" outlineLevel="1" x14ac:dyDescent="0.3">
      <c r="A1811" s="238"/>
      <c r="B1811" s="242">
        <v>2400</v>
      </c>
      <c r="C1811" s="243" t="s">
        <v>206</v>
      </c>
      <c r="D1811" s="244">
        <v>0</v>
      </c>
    </row>
    <row r="1812" spans="1:4" ht="12" hidden="1" customHeight="1" outlineLevel="1" x14ac:dyDescent="0.3">
      <c r="A1812" s="238"/>
      <c r="B1812" s="242">
        <v>2500</v>
      </c>
      <c r="C1812" s="243" t="s">
        <v>207</v>
      </c>
      <c r="D1812" s="244">
        <v>0</v>
      </c>
    </row>
    <row r="1813" spans="1:4" ht="12" hidden="1" customHeight="1" outlineLevel="1" x14ac:dyDescent="0.3">
      <c r="A1813" s="238"/>
      <c r="B1813" s="199">
        <v>3000</v>
      </c>
      <c r="C1813" s="245" t="s">
        <v>208</v>
      </c>
      <c r="D1813" s="241">
        <v>0</v>
      </c>
    </row>
    <row r="1814" spans="1:4" ht="12" hidden="1" customHeight="1" outlineLevel="1" x14ac:dyDescent="0.3">
      <c r="A1814" s="238"/>
      <c r="B1814" s="242">
        <v>3200</v>
      </c>
      <c r="C1814" s="243" t="s">
        <v>209</v>
      </c>
      <c r="D1814" s="244">
        <v>0</v>
      </c>
    </row>
    <row r="1815" spans="1:4" ht="12" hidden="1" customHeight="1" outlineLevel="1" x14ac:dyDescent="0.3">
      <c r="A1815" s="238"/>
      <c r="B1815" s="242">
        <v>3300</v>
      </c>
      <c r="C1815" s="243" t="s">
        <v>210</v>
      </c>
      <c r="D1815" s="244">
        <v>0</v>
      </c>
    </row>
    <row r="1816" spans="1:4" ht="12" hidden="1" customHeight="1" outlineLevel="1" x14ac:dyDescent="0.3">
      <c r="A1816" s="238"/>
      <c r="B1816" s="199">
        <v>4000</v>
      </c>
      <c r="C1816" s="246" t="s">
        <v>211</v>
      </c>
      <c r="D1816" s="241">
        <v>0</v>
      </c>
    </row>
    <row r="1817" spans="1:4" ht="12" hidden="1" customHeight="1" outlineLevel="1" x14ac:dyDescent="0.3">
      <c r="A1817" s="238"/>
      <c r="B1817" s="242">
        <v>4200</v>
      </c>
      <c r="C1817" s="247" t="s">
        <v>212</v>
      </c>
      <c r="D1817" s="244">
        <v>0</v>
      </c>
    </row>
    <row r="1818" spans="1:4" ht="12" hidden="1" customHeight="1" outlineLevel="1" x14ac:dyDescent="0.3">
      <c r="A1818" s="238"/>
      <c r="B1818" s="242">
        <v>4300</v>
      </c>
      <c r="C1818" s="247" t="s">
        <v>213</v>
      </c>
      <c r="D1818" s="244">
        <v>0</v>
      </c>
    </row>
    <row r="1819" spans="1:4" ht="12" hidden="1" customHeight="1" outlineLevel="1" collapsed="1" x14ac:dyDescent="0.3">
      <c r="A1819" s="238"/>
      <c r="B1819" s="199">
        <v>5000</v>
      </c>
      <c r="C1819" s="200" t="s">
        <v>214</v>
      </c>
      <c r="D1819" s="241">
        <v>4449</v>
      </c>
    </row>
    <row r="1820" spans="1:4" ht="12" hidden="1" customHeight="1" outlineLevel="1" x14ac:dyDescent="0.3">
      <c r="A1820" s="238"/>
      <c r="B1820" s="242">
        <v>5100</v>
      </c>
      <c r="C1820" s="248" t="s">
        <v>215</v>
      </c>
      <c r="D1820" s="244">
        <v>0</v>
      </c>
    </row>
    <row r="1821" spans="1:4" ht="12" hidden="1" customHeight="1" outlineLevel="1" x14ac:dyDescent="0.3">
      <c r="A1821" s="238"/>
      <c r="B1821" s="242">
        <v>5200</v>
      </c>
      <c r="C1821" s="248" t="s">
        <v>216</v>
      </c>
      <c r="D1821" s="244">
        <v>4449</v>
      </c>
    </row>
    <row r="1822" spans="1:4" ht="12" hidden="1" customHeight="1" outlineLevel="1" x14ac:dyDescent="0.3">
      <c r="A1822" s="238"/>
      <c r="B1822" s="242">
        <v>5300</v>
      </c>
      <c r="C1822" s="249" t="s">
        <v>217</v>
      </c>
      <c r="D1822" s="244">
        <v>0</v>
      </c>
    </row>
    <row r="1823" spans="1:4" ht="12" hidden="1" customHeight="1" outlineLevel="1" collapsed="1" x14ac:dyDescent="0.3">
      <c r="A1823" s="238"/>
      <c r="B1823" s="199">
        <v>6000</v>
      </c>
      <c r="C1823" s="200" t="s">
        <v>218</v>
      </c>
      <c r="D1823" s="241">
        <v>600</v>
      </c>
    </row>
    <row r="1824" spans="1:4" ht="12" hidden="1" customHeight="1" outlineLevel="1" x14ac:dyDescent="0.3">
      <c r="A1824" s="238"/>
      <c r="B1824" s="242">
        <v>6200</v>
      </c>
      <c r="C1824" s="248" t="s">
        <v>219</v>
      </c>
      <c r="D1824" s="244">
        <v>0</v>
      </c>
    </row>
    <row r="1825" spans="1:4" ht="12" hidden="1" customHeight="1" outlineLevel="1" x14ac:dyDescent="0.3">
      <c r="A1825" s="238"/>
      <c r="B1825" s="242">
        <v>6300</v>
      </c>
      <c r="C1825" s="248" t="s">
        <v>220</v>
      </c>
      <c r="D1825" s="244">
        <v>0</v>
      </c>
    </row>
    <row r="1826" spans="1:4" ht="12" hidden="1" customHeight="1" outlineLevel="1" x14ac:dyDescent="0.3">
      <c r="A1826" s="238"/>
      <c r="B1826" s="242">
        <v>6400</v>
      </c>
      <c r="C1826" s="248" t="s">
        <v>221</v>
      </c>
      <c r="D1826" s="244">
        <v>600</v>
      </c>
    </row>
    <row r="1827" spans="1:4" ht="12" hidden="1" customHeight="1" outlineLevel="1" x14ac:dyDescent="0.3">
      <c r="A1827" s="238"/>
      <c r="B1827" s="242">
        <v>6500</v>
      </c>
      <c r="C1827" s="249" t="s">
        <v>222</v>
      </c>
      <c r="D1827" s="244">
        <v>0</v>
      </c>
    </row>
    <row r="1828" spans="1:4" ht="24" hidden="1" customHeight="1" outlineLevel="1" x14ac:dyDescent="0.3">
      <c r="A1828" s="238"/>
      <c r="B1828" s="199">
        <v>7000</v>
      </c>
      <c r="C1828" s="200" t="s">
        <v>223</v>
      </c>
      <c r="D1828" s="241">
        <v>0</v>
      </c>
    </row>
    <row r="1829" spans="1:4" ht="14.25" hidden="1" customHeight="1" outlineLevel="1" x14ac:dyDescent="0.3">
      <c r="A1829" s="238"/>
      <c r="B1829" s="250">
        <v>7200</v>
      </c>
      <c r="C1829" s="251" t="s">
        <v>224</v>
      </c>
      <c r="D1829" s="244">
        <v>0</v>
      </c>
    </row>
    <row r="1830" spans="1:4" ht="14.25" hidden="1" customHeight="1" outlineLevel="1" x14ac:dyDescent="0.3">
      <c r="A1830" s="238"/>
      <c r="B1830" s="250">
        <v>7500</v>
      </c>
      <c r="C1830" s="251" t="s">
        <v>225</v>
      </c>
      <c r="D1830" s="244">
        <v>0</v>
      </c>
    </row>
    <row r="1831" spans="1:4" ht="14.25" hidden="1" customHeight="1" outlineLevel="1" collapsed="1" x14ac:dyDescent="0.3">
      <c r="A1831" s="238"/>
      <c r="B1831" s="250">
        <v>7700</v>
      </c>
      <c r="C1831" s="251" t="s">
        <v>226</v>
      </c>
      <c r="D1831" s="244">
        <v>0</v>
      </c>
    </row>
    <row r="1832" spans="1:4" ht="12" hidden="1" customHeight="1" outlineLevel="1" x14ac:dyDescent="0.3">
      <c r="A1832" s="238"/>
      <c r="B1832" s="252">
        <v>8000</v>
      </c>
      <c r="C1832" s="253" t="s">
        <v>227</v>
      </c>
      <c r="D1832" s="241">
        <v>0</v>
      </c>
    </row>
    <row r="1833" spans="1:4" ht="12" hidden="1" customHeight="1" outlineLevel="1" x14ac:dyDescent="0.3">
      <c r="A1833" s="238"/>
      <c r="B1833" s="254">
        <v>8100</v>
      </c>
      <c r="C1833" s="255" t="s">
        <v>228</v>
      </c>
      <c r="D1833" s="244">
        <v>0</v>
      </c>
    </row>
    <row r="1834" spans="1:4" ht="12" hidden="1" customHeight="1" outlineLevel="1" x14ac:dyDescent="0.3">
      <c r="A1834" s="238"/>
      <c r="B1834" s="254">
        <v>8600</v>
      </c>
      <c r="C1834" s="255" t="s">
        <v>229</v>
      </c>
      <c r="D1834" s="244">
        <v>0</v>
      </c>
    </row>
    <row r="1835" spans="1:4" ht="12" hidden="1" customHeight="1" outlineLevel="1" x14ac:dyDescent="0.3">
      <c r="A1835" s="238"/>
      <c r="B1835" s="254">
        <v>8900</v>
      </c>
      <c r="C1835" s="255" t="s">
        <v>230</v>
      </c>
      <c r="D1835" s="244">
        <v>0</v>
      </c>
    </row>
    <row r="1836" spans="1:4" ht="12" customHeight="1" collapsed="1" x14ac:dyDescent="0.3">
      <c r="A1836" s="256" t="s">
        <v>166</v>
      </c>
      <c r="B1836" s="257"/>
      <c r="C1836" s="258" t="s">
        <v>333</v>
      </c>
      <c r="D1836" s="259">
        <v>809</v>
      </c>
    </row>
    <row r="1837" spans="1:4" ht="12" customHeight="1" x14ac:dyDescent="0.3">
      <c r="A1837" s="227"/>
      <c r="B1837" s="228"/>
      <c r="C1837" s="229" t="s">
        <v>198</v>
      </c>
      <c r="D1837" s="230">
        <v>809</v>
      </c>
    </row>
    <row r="1838" spans="1:4" ht="12" hidden="1" customHeight="1" outlineLevel="1" x14ac:dyDescent="0.3">
      <c r="A1838" s="227"/>
      <c r="B1838" s="231">
        <v>1000</v>
      </c>
      <c r="C1838" s="232" t="s">
        <v>199</v>
      </c>
      <c r="D1838" s="230">
        <v>0</v>
      </c>
    </row>
    <row r="1839" spans="1:4" ht="12" hidden="1" customHeight="1" outlineLevel="1" x14ac:dyDescent="0.3">
      <c r="A1839" s="227"/>
      <c r="B1839" s="234">
        <v>1100</v>
      </c>
      <c r="C1839" s="235" t="s">
        <v>200</v>
      </c>
      <c r="D1839" s="236"/>
    </row>
    <row r="1840" spans="1:4" ht="12" hidden="1" customHeight="1" outlineLevel="1" x14ac:dyDescent="0.3">
      <c r="A1840" s="227"/>
      <c r="B1840" s="234">
        <v>1200</v>
      </c>
      <c r="C1840" s="237" t="s">
        <v>201</v>
      </c>
      <c r="D1840" s="236"/>
    </row>
    <row r="1841" spans="1:4" ht="12" customHeight="1" collapsed="1" x14ac:dyDescent="0.3">
      <c r="A1841" s="238"/>
      <c r="B1841" s="239">
        <v>2000</v>
      </c>
      <c r="C1841" s="240" t="s">
        <v>202</v>
      </c>
      <c r="D1841" s="260">
        <v>809</v>
      </c>
    </row>
    <row r="1842" spans="1:4" ht="12" hidden="1" customHeight="1" outlineLevel="1" x14ac:dyDescent="0.3">
      <c r="A1842" s="238"/>
      <c r="B1842" s="242">
        <v>2100</v>
      </c>
      <c r="C1842" s="243" t="s">
        <v>203</v>
      </c>
      <c r="D1842" s="244"/>
    </row>
    <row r="1843" spans="1:4" ht="12" hidden="1" customHeight="1" outlineLevel="1" x14ac:dyDescent="0.3">
      <c r="A1843" s="238"/>
      <c r="B1843" s="242">
        <v>2200</v>
      </c>
      <c r="C1843" s="243" t="s">
        <v>204</v>
      </c>
      <c r="D1843" s="244"/>
    </row>
    <row r="1844" spans="1:4" ht="12" customHeight="1" collapsed="1" x14ac:dyDescent="0.3">
      <c r="A1844" s="238"/>
      <c r="B1844" s="242">
        <v>2300</v>
      </c>
      <c r="C1844" s="243" t="s">
        <v>205</v>
      </c>
      <c r="D1844" s="244">
        <v>809</v>
      </c>
    </row>
    <row r="1845" spans="1:4" ht="12" hidden="1" customHeight="1" outlineLevel="1" x14ac:dyDescent="0.3">
      <c r="A1845" s="238"/>
      <c r="B1845" s="242">
        <v>2400</v>
      </c>
      <c r="C1845" s="243" t="s">
        <v>206</v>
      </c>
      <c r="D1845" s="244"/>
    </row>
    <row r="1846" spans="1:4" ht="12" hidden="1" customHeight="1" outlineLevel="1" x14ac:dyDescent="0.3">
      <c r="A1846" s="238"/>
      <c r="B1846" s="242">
        <v>2500</v>
      </c>
      <c r="C1846" s="243" t="s">
        <v>207</v>
      </c>
      <c r="D1846" s="244"/>
    </row>
    <row r="1847" spans="1:4" ht="12" hidden="1" customHeight="1" outlineLevel="1" x14ac:dyDescent="0.3">
      <c r="A1847" s="238"/>
      <c r="B1847" s="199">
        <v>3000</v>
      </c>
      <c r="C1847" s="245" t="s">
        <v>208</v>
      </c>
      <c r="D1847" s="260">
        <v>0</v>
      </c>
    </row>
    <row r="1848" spans="1:4" ht="12" hidden="1" customHeight="1" outlineLevel="1" x14ac:dyDescent="0.3">
      <c r="A1848" s="238"/>
      <c r="B1848" s="242">
        <v>3200</v>
      </c>
      <c r="C1848" s="243" t="s">
        <v>209</v>
      </c>
      <c r="D1848" s="244"/>
    </row>
    <row r="1849" spans="1:4" ht="12" hidden="1" customHeight="1" outlineLevel="1" x14ac:dyDescent="0.3">
      <c r="A1849" s="238"/>
      <c r="B1849" s="242">
        <v>3300</v>
      </c>
      <c r="C1849" s="243" t="s">
        <v>210</v>
      </c>
      <c r="D1849" s="244"/>
    </row>
    <row r="1850" spans="1:4" ht="12" hidden="1" customHeight="1" outlineLevel="1" x14ac:dyDescent="0.3">
      <c r="A1850" s="238"/>
      <c r="B1850" s="199">
        <v>4000</v>
      </c>
      <c r="C1850" s="246" t="s">
        <v>211</v>
      </c>
      <c r="D1850" s="260">
        <v>0</v>
      </c>
    </row>
    <row r="1851" spans="1:4" ht="12" hidden="1" customHeight="1" outlineLevel="1" x14ac:dyDescent="0.3">
      <c r="A1851" s="238"/>
      <c r="B1851" s="242">
        <v>4200</v>
      </c>
      <c r="C1851" s="247" t="s">
        <v>212</v>
      </c>
      <c r="D1851" s="244"/>
    </row>
    <row r="1852" spans="1:4" ht="12" hidden="1" customHeight="1" outlineLevel="1" x14ac:dyDescent="0.3">
      <c r="A1852" s="238"/>
      <c r="B1852" s="242">
        <v>4300</v>
      </c>
      <c r="C1852" s="247" t="s">
        <v>213</v>
      </c>
      <c r="D1852" s="244"/>
    </row>
    <row r="1853" spans="1:4" ht="12" hidden="1" customHeight="1" outlineLevel="1" x14ac:dyDescent="0.3">
      <c r="A1853" s="238"/>
      <c r="B1853" s="199">
        <v>5000</v>
      </c>
      <c r="C1853" s="200" t="s">
        <v>214</v>
      </c>
      <c r="D1853" s="260">
        <v>0</v>
      </c>
    </row>
    <row r="1854" spans="1:4" ht="12" hidden="1" customHeight="1" outlineLevel="1" x14ac:dyDescent="0.3">
      <c r="A1854" s="238"/>
      <c r="B1854" s="242">
        <v>5100</v>
      </c>
      <c r="C1854" s="248" t="s">
        <v>215</v>
      </c>
      <c r="D1854" s="260"/>
    </row>
    <row r="1855" spans="1:4" ht="12" hidden="1" customHeight="1" outlineLevel="1" x14ac:dyDescent="0.3">
      <c r="A1855" s="238"/>
      <c r="B1855" s="242">
        <v>5200</v>
      </c>
      <c r="C1855" s="248" t="s">
        <v>216</v>
      </c>
      <c r="D1855" s="260"/>
    </row>
    <row r="1856" spans="1:4" ht="12" hidden="1" customHeight="1" outlineLevel="1" x14ac:dyDescent="0.3">
      <c r="A1856" s="238"/>
      <c r="B1856" s="242">
        <v>5300</v>
      </c>
      <c r="C1856" s="249" t="s">
        <v>217</v>
      </c>
      <c r="D1856" s="260"/>
    </row>
    <row r="1857" spans="1:4" ht="12" hidden="1" customHeight="1" outlineLevel="1" x14ac:dyDescent="0.3">
      <c r="A1857" s="238"/>
      <c r="B1857" s="199">
        <v>6000</v>
      </c>
      <c r="C1857" s="200" t="s">
        <v>218</v>
      </c>
      <c r="D1857" s="260">
        <v>0</v>
      </c>
    </row>
    <row r="1858" spans="1:4" ht="12" hidden="1" customHeight="1" outlineLevel="1" x14ac:dyDescent="0.3">
      <c r="A1858" s="238"/>
      <c r="B1858" s="242">
        <v>6200</v>
      </c>
      <c r="C1858" s="248" t="s">
        <v>219</v>
      </c>
      <c r="D1858" s="244"/>
    </row>
    <row r="1859" spans="1:4" ht="12" hidden="1" customHeight="1" outlineLevel="1" x14ac:dyDescent="0.3">
      <c r="A1859" s="238"/>
      <c r="B1859" s="242">
        <v>6300</v>
      </c>
      <c r="C1859" s="248" t="s">
        <v>220</v>
      </c>
      <c r="D1859" s="244"/>
    </row>
    <row r="1860" spans="1:4" ht="12" hidden="1" customHeight="1" outlineLevel="1" x14ac:dyDescent="0.3">
      <c r="A1860" s="238"/>
      <c r="B1860" s="242">
        <v>6400</v>
      </c>
      <c r="C1860" s="248" t="s">
        <v>221</v>
      </c>
      <c r="D1860" s="244"/>
    </row>
    <row r="1861" spans="1:4" ht="12" hidden="1" customHeight="1" outlineLevel="1" x14ac:dyDescent="0.3">
      <c r="A1861" s="238"/>
      <c r="B1861" s="242">
        <v>6500</v>
      </c>
      <c r="C1861" s="249" t="s">
        <v>222</v>
      </c>
      <c r="D1861" s="244"/>
    </row>
    <row r="1862" spans="1:4" ht="16.5" hidden="1" customHeight="1" outlineLevel="1" x14ac:dyDescent="0.3">
      <c r="A1862" s="238"/>
      <c r="B1862" s="199">
        <v>7000</v>
      </c>
      <c r="C1862" s="200" t="s">
        <v>223</v>
      </c>
      <c r="D1862" s="260">
        <v>0</v>
      </c>
    </row>
    <row r="1863" spans="1:4" ht="16.5" hidden="1" customHeight="1" outlineLevel="1" x14ac:dyDescent="0.3">
      <c r="A1863" s="238"/>
      <c r="B1863" s="250">
        <v>7200</v>
      </c>
      <c r="C1863" s="251" t="s">
        <v>224</v>
      </c>
      <c r="D1863" s="244"/>
    </row>
    <row r="1864" spans="1:4" ht="16.5" hidden="1" customHeight="1" outlineLevel="1" x14ac:dyDescent="0.3">
      <c r="A1864" s="238"/>
      <c r="B1864" s="250">
        <v>7500</v>
      </c>
      <c r="C1864" s="251" t="s">
        <v>225</v>
      </c>
      <c r="D1864" s="244"/>
    </row>
    <row r="1865" spans="1:4" ht="16.5" hidden="1" customHeight="1" outlineLevel="1" x14ac:dyDescent="0.3">
      <c r="A1865" s="238"/>
      <c r="B1865" s="250">
        <v>7700</v>
      </c>
      <c r="C1865" s="251" t="s">
        <v>226</v>
      </c>
      <c r="D1865" s="244"/>
    </row>
    <row r="1866" spans="1:4" ht="12" hidden="1" customHeight="1" outlineLevel="1" x14ac:dyDescent="0.3">
      <c r="A1866" s="238"/>
      <c r="B1866" s="252">
        <v>8000</v>
      </c>
      <c r="C1866" s="253" t="s">
        <v>227</v>
      </c>
      <c r="D1866" s="260">
        <v>0</v>
      </c>
    </row>
    <row r="1867" spans="1:4" ht="12" hidden="1" customHeight="1" outlineLevel="1" x14ac:dyDescent="0.3">
      <c r="A1867" s="238"/>
      <c r="B1867" s="254">
        <v>8100</v>
      </c>
      <c r="C1867" s="255" t="s">
        <v>228</v>
      </c>
      <c r="D1867" s="260"/>
    </row>
    <row r="1868" spans="1:4" ht="12" hidden="1" customHeight="1" outlineLevel="1" x14ac:dyDescent="0.3">
      <c r="A1868" s="238"/>
      <c r="B1868" s="254">
        <v>8600</v>
      </c>
      <c r="C1868" s="255" t="s">
        <v>229</v>
      </c>
      <c r="D1868" s="260"/>
    </row>
    <row r="1869" spans="1:4" ht="12" hidden="1" customHeight="1" outlineLevel="1" x14ac:dyDescent="0.3">
      <c r="A1869" s="238"/>
      <c r="B1869" s="254">
        <v>8900</v>
      </c>
      <c r="C1869" s="255" t="s">
        <v>230</v>
      </c>
      <c r="D1869" s="260"/>
    </row>
    <row r="1870" spans="1:4" ht="12" customHeight="1" collapsed="1" x14ac:dyDescent="0.3">
      <c r="A1870" s="256" t="s">
        <v>334</v>
      </c>
      <c r="B1870" s="257"/>
      <c r="C1870" s="258" t="s">
        <v>335</v>
      </c>
      <c r="D1870" s="259">
        <v>275022</v>
      </c>
    </row>
    <row r="1871" spans="1:4" ht="12" customHeight="1" x14ac:dyDescent="0.3">
      <c r="A1871" s="227"/>
      <c r="B1871" s="228"/>
      <c r="C1871" s="229" t="s">
        <v>198</v>
      </c>
      <c r="D1871" s="230">
        <v>270573</v>
      </c>
    </row>
    <row r="1872" spans="1:4" ht="12" customHeight="1" x14ac:dyDescent="0.3">
      <c r="A1872" s="227"/>
      <c r="B1872" s="231">
        <v>1000</v>
      </c>
      <c r="C1872" s="232" t="s">
        <v>199</v>
      </c>
      <c r="D1872" s="233">
        <v>0</v>
      </c>
    </row>
    <row r="1873" spans="1:4" ht="12" customHeight="1" x14ac:dyDescent="0.3">
      <c r="A1873" s="227"/>
      <c r="B1873" s="234">
        <v>1100</v>
      </c>
      <c r="C1873" s="235" t="s">
        <v>200</v>
      </c>
      <c r="D1873" s="236">
        <v>0</v>
      </c>
    </row>
    <row r="1874" spans="1:4" ht="12" customHeight="1" x14ac:dyDescent="0.3">
      <c r="A1874" s="227"/>
      <c r="B1874" s="234">
        <v>1200</v>
      </c>
      <c r="C1874" s="237" t="s">
        <v>201</v>
      </c>
      <c r="D1874" s="236">
        <v>0</v>
      </c>
    </row>
    <row r="1875" spans="1:4" ht="12" customHeight="1" x14ac:dyDescent="0.3">
      <c r="A1875" s="238"/>
      <c r="B1875" s="239">
        <v>2000</v>
      </c>
      <c r="C1875" s="240" t="s">
        <v>202</v>
      </c>
      <c r="D1875" s="241">
        <v>269973</v>
      </c>
    </row>
    <row r="1876" spans="1:4" ht="12" hidden="1" customHeight="1" outlineLevel="1" x14ac:dyDescent="0.3">
      <c r="A1876" s="238"/>
      <c r="B1876" s="242">
        <v>2100</v>
      </c>
      <c r="C1876" s="243" t="s">
        <v>203</v>
      </c>
      <c r="D1876" s="244">
        <v>0</v>
      </c>
    </row>
    <row r="1877" spans="1:4" ht="12" customHeight="1" collapsed="1" x14ac:dyDescent="0.3">
      <c r="A1877" s="238"/>
      <c r="B1877" s="242">
        <v>2200</v>
      </c>
      <c r="C1877" s="243" t="s">
        <v>204</v>
      </c>
      <c r="D1877" s="244">
        <v>268482</v>
      </c>
    </row>
    <row r="1878" spans="1:4" ht="12" customHeight="1" x14ac:dyDescent="0.3">
      <c r="A1878" s="238"/>
      <c r="B1878" s="242">
        <v>2300</v>
      </c>
      <c r="C1878" s="243" t="s">
        <v>205</v>
      </c>
      <c r="D1878" s="244">
        <v>1491</v>
      </c>
    </row>
    <row r="1879" spans="1:4" ht="12" hidden="1" customHeight="1" outlineLevel="1" x14ac:dyDescent="0.3">
      <c r="A1879" s="238"/>
      <c r="B1879" s="242">
        <v>2400</v>
      </c>
      <c r="C1879" s="243" t="s">
        <v>206</v>
      </c>
      <c r="D1879" s="244">
        <v>0</v>
      </c>
    </row>
    <row r="1880" spans="1:4" ht="12" hidden="1" customHeight="1" outlineLevel="1" x14ac:dyDescent="0.3">
      <c r="A1880" s="238"/>
      <c r="B1880" s="242">
        <v>2500</v>
      </c>
      <c r="C1880" s="243" t="s">
        <v>207</v>
      </c>
      <c r="D1880" s="244">
        <v>0</v>
      </c>
    </row>
    <row r="1881" spans="1:4" ht="12" hidden="1" customHeight="1" outlineLevel="1" x14ac:dyDescent="0.3">
      <c r="A1881" s="238"/>
      <c r="B1881" s="199">
        <v>3000</v>
      </c>
      <c r="C1881" s="245" t="s">
        <v>208</v>
      </c>
      <c r="D1881" s="241">
        <v>0</v>
      </c>
    </row>
    <row r="1882" spans="1:4" ht="12" hidden="1" customHeight="1" outlineLevel="1" x14ac:dyDescent="0.3">
      <c r="A1882" s="238"/>
      <c r="B1882" s="242">
        <v>3200</v>
      </c>
      <c r="C1882" s="243" t="s">
        <v>209</v>
      </c>
      <c r="D1882" s="244">
        <v>0</v>
      </c>
    </row>
    <row r="1883" spans="1:4" ht="12" hidden="1" customHeight="1" outlineLevel="1" x14ac:dyDescent="0.3">
      <c r="A1883" s="238"/>
      <c r="B1883" s="242">
        <v>3300</v>
      </c>
      <c r="C1883" s="243" t="s">
        <v>210</v>
      </c>
      <c r="D1883" s="244">
        <v>0</v>
      </c>
    </row>
    <row r="1884" spans="1:4" ht="12" hidden="1" customHeight="1" outlineLevel="1" x14ac:dyDescent="0.3">
      <c r="A1884" s="238"/>
      <c r="B1884" s="199">
        <v>4000</v>
      </c>
      <c r="C1884" s="246" t="s">
        <v>211</v>
      </c>
      <c r="D1884" s="241">
        <v>0</v>
      </c>
    </row>
    <row r="1885" spans="1:4" ht="12" hidden="1" customHeight="1" outlineLevel="1" x14ac:dyDescent="0.3">
      <c r="A1885" s="238"/>
      <c r="B1885" s="242">
        <v>4200</v>
      </c>
      <c r="C1885" s="247" t="s">
        <v>212</v>
      </c>
      <c r="D1885" s="244">
        <v>0</v>
      </c>
    </row>
    <row r="1886" spans="1:4" ht="12" hidden="1" customHeight="1" outlineLevel="1" x14ac:dyDescent="0.3">
      <c r="A1886" s="238"/>
      <c r="B1886" s="242">
        <v>4300</v>
      </c>
      <c r="C1886" s="247" t="s">
        <v>213</v>
      </c>
      <c r="D1886" s="244">
        <v>0</v>
      </c>
    </row>
    <row r="1887" spans="1:4" ht="12" hidden="1" customHeight="1" outlineLevel="1" collapsed="1" x14ac:dyDescent="0.3">
      <c r="A1887" s="238"/>
      <c r="B1887" s="199">
        <v>5000</v>
      </c>
      <c r="C1887" s="200" t="s">
        <v>214</v>
      </c>
      <c r="D1887" s="241">
        <v>4449</v>
      </c>
    </row>
    <row r="1888" spans="1:4" ht="12" hidden="1" customHeight="1" outlineLevel="1" x14ac:dyDescent="0.3">
      <c r="A1888" s="238"/>
      <c r="B1888" s="242">
        <v>5100</v>
      </c>
      <c r="C1888" s="248" t="s">
        <v>215</v>
      </c>
      <c r="D1888" s="244">
        <v>0</v>
      </c>
    </row>
    <row r="1889" spans="1:4" ht="12" hidden="1" customHeight="1" outlineLevel="1" x14ac:dyDescent="0.3">
      <c r="A1889" s="238"/>
      <c r="B1889" s="242">
        <v>5200</v>
      </c>
      <c r="C1889" s="248" t="s">
        <v>216</v>
      </c>
      <c r="D1889" s="244">
        <v>4449</v>
      </c>
    </row>
    <row r="1890" spans="1:4" ht="12" hidden="1" customHeight="1" outlineLevel="1" x14ac:dyDescent="0.3">
      <c r="A1890" s="238"/>
      <c r="B1890" s="242">
        <v>5300</v>
      </c>
      <c r="C1890" s="249" t="s">
        <v>217</v>
      </c>
      <c r="D1890" s="244">
        <v>0</v>
      </c>
    </row>
    <row r="1891" spans="1:4" ht="12" hidden="1" customHeight="1" outlineLevel="1" x14ac:dyDescent="0.3">
      <c r="A1891" s="238"/>
      <c r="B1891" s="199">
        <v>6000</v>
      </c>
      <c r="C1891" s="200" t="s">
        <v>218</v>
      </c>
      <c r="D1891" s="241">
        <v>600</v>
      </c>
    </row>
    <row r="1892" spans="1:4" ht="12" hidden="1" customHeight="1" outlineLevel="1" x14ac:dyDescent="0.3">
      <c r="A1892" s="238"/>
      <c r="B1892" s="242">
        <v>6200</v>
      </c>
      <c r="C1892" s="248" t="s">
        <v>219</v>
      </c>
      <c r="D1892" s="244">
        <v>0</v>
      </c>
    </row>
    <row r="1893" spans="1:4" ht="12" hidden="1" customHeight="1" outlineLevel="1" x14ac:dyDescent="0.3">
      <c r="A1893" s="238"/>
      <c r="B1893" s="242">
        <v>6300</v>
      </c>
      <c r="C1893" s="248" t="s">
        <v>220</v>
      </c>
      <c r="D1893" s="244">
        <v>0</v>
      </c>
    </row>
    <row r="1894" spans="1:4" ht="12" hidden="1" customHeight="1" outlineLevel="1" x14ac:dyDescent="0.3">
      <c r="A1894" s="238"/>
      <c r="B1894" s="242">
        <v>6400</v>
      </c>
      <c r="C1894" s="248" t="s">
        <v>221</v>
      </c>
      <c r="D1894" s="244">
        <v>600</v>
      </c>
    </row>
    <row r="1895" spans="1:4" ht="12" hidden="1" customHeight="1" outlineLevel="1" x14ac:dyDescent="0.3">
      <c r="A1895" s="238"/>
      <c r="B1895" s="242">
        <v>6500</v>
      </c>
      <c r="C1895" s="249" t="s">
        <v>222</v>
      </c>
      <c r="D1895" s="244">
        <v>0</v>
      </c>
    </row>
    <row r="1896" spans="1:4" ht="12" hidden="1" customHeight="1" outlineLevel="1" x14ac:dyDescent="0.3">
      <c r="A1896" s="238"/>
      <c r="B1896" s="199">
        <v>7000</v>
      </c>
      <c r="C1896" s="200" t="s">
        <v>223</v>
      </c>
      <c r="D1896" s="241">
        <v>0</v>
      </c>
    </row>
    <row r="1897" spans="1:4" ht="12" hidden="1" customHeight="1" outlineLevel="1" x14ac:dyDescent="0.3">
      <c r="A1897" s="238"/>
      <c r="B1897" s="250">
        <v>7200</v>
      </c>
      <c r="C1897" s="251" t="s">
        <v>224</v>
      </c>
      <c r="D1897" s="244">
        <v>0</v>
      </c>
    </row>
    <row r="1898" spans="1:4" ht="12" hidden="1" customHeight="1" outlineLevel="1" x14ac:dyDescent="0.3">
      <c r="A1898" s="238"/>
      <c r="B1898" s="250">
        <v>7500</v>
      </c>
      <c r="C1898" s="251" t="s">
        <v>225</v>
      </c>
      <c r="D1898" s="244">
        <v>0</v>
      </c>
    </row>
    <row r="1899" spans="1:4" ht="12" hidden="1" customHeight="1" outlineLevel="1" x14ac:dyDescent="0.3">
      <c r="A1899" s="238"/>
      <c r="B1899" s="250">
        <v>7700</v>
      </c>
      <c r="C1899" s="251" t="s">
        <v>226</v>
      </c>
      <c r="D1899" s="244">
        <v>0</v>
      </c>
    </row>
    <row r="1900" spans="1:4" ht="12" hidden="1" customHeight="1" outlineLevel="1" x14ac:dyDescent="0.3">
      <c r="A1900" s="238"/>
      <c r="B1900" s="252">
        <v>8000</v>
      </c>
      <c r="C1900" s="253" t="s">
        <v>227</v>
      </c>
      <c r="D1900" s="241">
        <v>0</v>
      </c>
    </row>
    <row r="1901" spans="1:4" ht="12" hidden="1" customHeight="1" outlineLevel="1" x14ac:dyDescent="0.3">
      <c r="A1901" s="238"/>
      <c r="B1901" s="254">
        <v>8100</v>
      </c>
      <c r="C1901" s="255" t="s">
        <v>228</v>
      </c>
      <c r="D1901" s="244">
        <v>0</v>
      </c>
    </row>
    <row r="1902" spans="1:4" ht="12" hidden="1" customHeight="1" outlineLevel="1" x14ac:dyDescent="0.3">
      <c r="A1902" s="238"/>
      <c r="B1902" s="254">
        <v>8600</v>
      </c>
      <c r="C1902" s="255" t="s">
        <v>229</v>
      </c>
      <c r="D1902" s="244">
        <v>0</v>
      </c>
    </row>
    <row r="1903" spans="1:4" ht="12" hidden="1" customHeight="1" outlineLevel="1" x14ac:dyDescent="0.3">
      <c r="A1903" s="238"/>
      <c r="B1903" s="254">
        <v>8900</v>
      </c>
      <c r="C1903" s="255" t="s">
        <v>230</v>
      </c>
      <c r="D1903" s="244">
        <v>0</v>
      </c>
    </row>
    <row r="1904" spans="1:4" ht="12" hidden="1" customHeight="1" outlineLevel="1" x14ac:dyDescent="0.3">
      <c r="A1904" s="272" t="s">
        <v>336</v>
      </c>
      <c r="B1904" s="273"/>
      <c r="C1904" s="274" t="s">
        <v>337</v>
      </c>
      <c r="D1904" s="275">
        <v>0</v>
      </c>
    </row>
    <row r="1905" spans="1:4" ht="12" hidden="1" customHeight="1" outlineLevel="1" x14ac:dyDescent="0.3">
      <c r="A1905" s="238"/>
      <c r="B1905" s="228"/>
      <c r="C1905" s="229" t="s">
        <v>198</v>
      </c>
      <c r="D1905" s="230">
        <v>0</v>
      </c>
    </row>
    <row r="1906" spans="1:4" ht="12" hidden="1" customHeight="1" outlineLevel="1" x14ac:dyDescent="0.3">
      <c r="A1906" s="238"/>
      <c r="B1906" s="231">
        <v>1000</v>
      </c>
      <c r="C1906" s="232" t="s">
        <v>199</v>
      </c>
      <c r="D1906" s="230">
        <v>0</v>
      </c>
    </row>
    <row r="1907" spans="1:4" ht="12" hidden="1" customHeight="1" outlineLevel="1" x14ac:dyDescent="0.3">
      <c r="A1907" s="238"/>
      <c r="B1907" s="234">
        <v>1100</v>
      </c>
      <c r="C1907" s="235" t="s">
        <v>200</v>
      </c>
      <c r="D1907" s="236"/>
    </row>
    <row r="1908" spans="1:4" ht="12" hidden="1" customHeight="1" outlineLevel="1" x14ac:dyDescent="0.3">
      <c r="A1908" s="238"/>
      <c r="B1908" s="234">
        <v>1200</v>
      </c>
      <c r="C1908" s="237" t="s">
        <v>201</v>
      </c>
      <c r="D1908" s="236"/>
    </row>
    <row r="1909" spans="1:4" ht="12" hidden="1" customHeight="1" outlineLevel="1" x14ac:dyDescent="0.3">
      <c r="A1909" s="238"/>
      <c r="B1909" s="239">
        <v>2000</v>
      </c>
      <c r="C1909" s="240" t="s">
        <v>202</v>
      </c>
      <c r="D1909" s="260">
        <v>0</v>
      </c>
    </row>
    <row r="1910" spans="1:4" ht="12" hidden="1" customHeight="1" outlineLevel="1" x14ac:dyDescent="0.3">
      <c r="A1910" s="238"/>
      <c r="B1910" s="242">
        <v>2100</v>
      </c>
      <c r="C1910" s="243" t="s">
        <v>203</v>
      </c>
      <c r="D1910" s="244"/>
    </row>
    <row r="1911" spans="1:4" ht="12" hidden="1" customHeight="1" outlineLevel="1" x14ac:dyDescent="0.3">
      <c r="A1911" s="238"/>
      <c r="B1911" s="242">
        <v>2200</v>
      </c>
      <c r="C1911" s="243" t="s">
        <v>204</v>
      </c>
      <c r="D1911" s="244"/>
    </row>
    <row r="1912" spans="1:4" ht="12" hidden="1" customHeight="1" outlineLevel="1" x14ac:dyDescent="0.3">
      <c r="A1912" s="238"/>
      <c r="B1912" s="242">
        <v>2300</v>
      </c>
      <c r="C1912" s="243" t="s">
        <v>205</v>
      </c>
      <c r="D1912" s="244"/>
    </row>
    <row r="1913" spans="1:4" ht="12" hidden="1" customHeight="1" outlineLevel="1" x14ac:dyDescent="0.3">
      <c r="A1913" s="238"/>
      <c r="B1913" s="242">
        <v>2400</v>
      </c>
      <c r="C1913" s="243" t="s">
        <v>206</v>
      </c>
      <c r="D1913" s="244"/>
    </row>
    <row r="1914" spans="1:4" ht="12" hidden="1" customHeight="1" outlineLevel="1" x14ac:dyDescent="0.3">
      <c r="A1914" s="238"/>
      <c r="B1914" s="242">
        <v>2500</v>
      </c>
      <c r="C1914" s="243" t="s">
        <v>207</v>
      </c>
      <c r="D1914" s="244"/>
    </row>
    <row r="1915" spans="1:4" ht="12" hidden="1" customHeight="1" outlineLevel="1" x14ac:dyDescent="0.3">
      <c r="A1915" s="238"/>
      <c r="B1915" s="199">
        <v>3000</v>
      </c>
      <c r="C1915" s="245" t="s">
        <v>208</v>
      </c>
      <c r="D1915" s="260">
        <v>0</v>
      </c>
    </row>
    <row r="1916" spans="1:4" ht="12" hidden="1" customHeight="1" outlineLevel="1" x14ac:dyDescent="0.3">
      <c r="A1916" s="238"/>
      <c r="B1916" s="242">
        <v>3200</v>
      </c>
      <c r="C1916" s="243" t="s">
        <v>209</v>
      </c>
      <c r="D1916" s="244"/>
    </row>
    <row r="1917" spans="1:4" ht="12" hidden="1" customHeight="1" outlineLevel="1" x14ac:dyDescent="0.3">
      <c r="A1917" s="238"/>
      <c r="B1917" s="242">
        <v>3300</v>
      </c>
      <c r="C1917" s="243" t="s">
        <v>210</v>
      </c>
      <c r="D1917" s="244"/>
    </row>
    <row r="1918" spans="1:4" ht="12" hidden="1" customHeight="1" outlineLevel="1" x14ac:dyDescent="0.3">
      <c r="A1918" s="238"/>
      <c r="B1918" s="199">
        <v>4000</v>
      </c>
      <c r="C1918" s="246" t="s">
        <v>211</v>
      </c>
      <c r="D1918" s="260">
        <v>0</v>
      </c>
    </row>
    <row r="1919" spans="1:4" ht="12" hidden="1" customHeight="1" outlineLevel="1" x14ac:dyDescent="0.3">
      <c r="A1919" s="238"/>
      <c r="B1919" s="242">
        <v>4200</v>
      </c>
      <c r="C1919" s="247" t="s">
        <v>212</v>
      </c>
      <c r="D1919" s="244"/>
    </row>
    <row r="1920" spans="1:4" ht="12" hidden="1" customHeight="1" outlineLevel="1" x14ac:dyDescent="0.3">
      <c r="A1920" s="238"/>
      <c r="B1920" s="242">
        <v>4300</v>
      </c>
      <c r="C1920" s="247" t="s">
        <v>213</v>
      </c>
      <c r="D1920" s="244"/>
    </row>
    <row r="1921" spans="1:4" ht="12" hidden="1" customHeight="1" outlineLevel="1" x14ac:dyDescent="0.3">
      <c r="A1921" s="238"/>
      <c r="B1921" s="199">
        <v>5000</v>
      </c>
      <c r="C1921" s="200" t="s">
        <v>214</v>
      </c>
      <c r="D1921" s="260">
        <v>0</v>
      </c>
    </row>
    <row r="1922" spans="1:4" ht="12" hidden="1" customHeight="1" outlineLevel="1" x14ac:dyDescent="0.3">
      <c r="A1922" s="238"/>
      <c r="B1922" s="242">
        <v>5100</v>
      </c>
      <c r="C1922" s="248" t="s">
        <v>215</v>
      </c>
      <c r="D1922" s="260"/>
    </row>
    <row r="1923" spans="1:4" ht="12" hidden="1" customHeight="1" outlineLevel="1" x14ac:dyDescent="0.3">
      <c r="A1923" s="238"/>
      <c r="B1923" s="242">
        <v>5200</v>
      </c>
      <c r="C1923" s="248" t="s">
        <v>216</v>
      </c>
      <c r="D1923" s="260"/>
    </row>
    <row r="1924" spans="1:4" ht="12" hidden="1" customHeight="1" outlineLevel="1" x14ac:dyDescent="0.3">
      <c r="A1924" s="238"/>
      <c r="B1924" s="242">
        <v>5300</v>
      </c>
      <c r="C1924" s="249" t="s">
        <v>217</v>
      </c>
      <c r="D1924" s="260"/>
    </row>
    <row r="1925" spans="1:4" ht="12" hidden="1" customHeight="1" outlineLevel="1" x14ac:dyDescent="0.3">
      <c r="A1925" s="238"/>
      <c r="B1925" s="199">
        <v>6000</v>
      </c>
      <c r="C1925" s="200" t="s">
        <v>218</v>
      </c>
      <c r="D1925" s="260">
        <v>0</v>
      </c>
    </row>
    <row r="1926" spans="1:4" ht="12" hidden="1" customHeight="1" outlineLevel="1" x14ac:dyDescent="0.3">
      <c r="A1926" s="238"/>
      <c r="B1926" s="242">
        <v>6200</v>
      </c>
      <c r="C1926" s="248" t="s">
        <v>219</v>
      </c>
      <c r="D1926" s="244"/>
    </row>
    <row r="1927" spans="1:4" ht="12" hidden="1" customHeight="1" outlineLevel="1" x14ac:dyDescent="0.3">
      <c r="A1927" s="238"/>
      <c r="B1927" s="242">
        <v>6300</v>
      </c>
      <c r="C1927" s="248" t="s">
        <v>220</v>
      </c>
      <c r="D1927" s="244"/>
    </row>
    <row r="1928" spans="1:4" ht="12" hidden="1" customHeight="1" outlineLevel="1" x14ac:dyDescent="0.3">
      <c r="A1928" s="238"/>
      <c r="B1928" s="242">
        <v>6400</v>
      </c>
      <c r="C1928" s="248" t="s">
        <v>221</v>
      </c>
      <c r="D1928" s="244"/>
    </row>
    <row r="1929" spans="1:4" ht="12" hidden="1" customHeight="1" outlineLevel="1" x14ac:dyDescent="0.3">
      <c r="A1929" s="238"/>
      <c r="B1929" s="242">
        <v>6500</v>
      </c>
      <c r="C1929" s="249" t="s">
        <v>222</v>
      </c>
      <c r="D1929" s="244"/>
    </row>
    <row r="1930" spans="1:4" ht="12" hidden="1" customHeight="1" outlineLevel="1" x14ac:dyDescent="0.3">
      <c r="A1930" s="238"/>
      <c r="B1930" s="199">
        <v>7000</v>
      </c>
      <c r="C1930" s="200" t="s">
        <v>223</v>
      </c>
      <c r="D1930" s="260">
        <v>0</v>
      </c>
    </row>
    <row r="1931" spans="1:4" ht="12" hidden="1" customHeight="1" outlineLevel="1" x14ac:dyDescent="0.3">
      <c r="A1931" s="238"/>
      <c r="B1931" s="250">
        <v>7200</v>
      </c>
      <c r="C1931" s="251" t="s">
        <v>224</v>
      </c>
      <c r="D1931" s="244"/>
    </row>
    <row r="1932" spans="1:4" ht="12" hidden="1" customHeight="1" outlineLevel="1" x14ac:dyDescent="0.3">
      <c r="A1932" s="238"/>
      <c r="B1932" s="250">
        <v>7500</v>
      </c>
      <c r="C1932" s="251" t="s">
        <v>225</v>
      </c>
      <c r="D1932" s="244"/>
    </row>
    <row r="1933" spans="1:4" ht="12" hidden="1" customHeight="1" outlineLevel="1" x14ac:dyDescent="0.3">
      <c r="A1933" s="238"/>
      <c r="B1933" s="250">
        <v>7700</v>
      </c>
      <c r="C1933" s="251" t="s">
        <v>226</v>
      </c>
      <c r="D1933" s="244"/>
    </row>
    <row r="1934" spans="1:4" ht="12" hidden="1" customHeight="1" outlineLevel="1" x14ac:dyDescent="0.3">
      <c r="A1934" s="238"/>
      <c r="B1934" s="252">
        <v>8000</v>
      </c>
      <c r="C1934" s="253" t="s">
        <v>227</v>
      </c>
      <c r="D1934" s="260">
        <v>0</v>
      </c>
    </row>
    <row r="1935" spans="1:4" ht="12" hidden="1" customHeight="1" outlineLevel="1" x14ac:dyDescent="0.3">
      <c r="A1935" s="238"/>
      <c r="B1935" s="254">
        <v>8100</v>
      </c>
      <c r="C1935" s="255" t="s">
        <v>228</v>
      </c>
      <c r="D1935" s="260"/>
    </row>
    <row r="1936" spans="1:4" ht="12" hidden="1" customHeight="1" outlineLevel="1" x14ac:dyDescent="0.3">
      <c r="A1936" s="238"/>
      <c r="B1936" s="254">
        <v>8600</v>
      </c>
      <c r="C1936" s="255" t="s">
        <v>229</v>
      </c>
      <c r="D1936" s="260"/>
    </row>
    <row r="1937" spans="1:4" ht="12" hidden="1" customHeight="1" outlineLevel="1" x14ac:dyDescent="0.3">
      <c r="A1937" s="238"/>
      <c r="B1937" s="254">
        <v>8900</v>
      </c>
      <c r="C1937" s="255" t="s">
        <v>230</v>
      </c>
      <c r="D1937" s="260"/>
    </row>
    <row r="1938" spans="1:4" ht="25.5" customHeight="1" collapsed="1" x14ac:dyDescent="0.3">
      <c r="A1938" s="272" t="s">
        <v>338</v>
      </c>
      <c r="B1938" s="273"/>
      <c r="C1938" s="282" t="s">
        <v>339</v>
      </c>
      <c r="D1938" s="275">
        <v>275022</v>
      </c>
    </row>
    <row r="1939" spans="1:4" ht="12" customHeight="1" x14ac:dyDescent="0.3">
      <c r="A1939" s="227"/>
      <c r="B1939" s="228"/>
      <c r="C1939" s="229" t="s">
        <v>198</v>
      </c>
      <c r="D1939" s="230">
        <v>270573</v>
      </c>
    </row>
    <row r="1940" spans="1:4" ht="12" customHeight="1" x14ac:dyDescent="0.3">
      <c r="A1940" s="227"/>
      <c r="B1940" s="231">
        <v>1000</v>
      </c>
      <c r="C1940" s="232" t="s">
        <v>199</v>
      </c>
      <c r="D1940" s="230">
        <v>0</v>
      </c>
    </row>
    <row r="1941" spans="1:4" ht="12" customHeight="1" x14ac:dyDescent="0.3">
      <c r="A1941" s="227"/>
      <c r="B1941" s="234">
        <v>1100</v>
      </c>
      <c r="C1941" s="235" t="s">
        <v>200</v>
      </c>
      <c r="D1941" s="236">
        <v>0</v>
      </c>
    </row>
    <row r="1942" spans="1:4" ht="12" customHeight="1" x14ac:dyDescent="0.3">
      <c r="A1942" s="227"/>
      <c r="B1942" s="234">
        <v>1200</v>
      </c>
      <c r="C1942" s="237" t="s">
        <v>201</v>
      </c>
      <c r="D1942" s="236">
        <v>0</v>
      </c>
    </row>
    <row r="1943" spans="1:4" ht="12" customHeight="1" x14ac:dyDescent="0.3">
      <c r="A1943" s="238"/>
      <c r="B1943" s="239">
        <v>2000</v>
      </c>
      <c r="C1943" s="240" t="s">
        <v>202</v>
      </c>
      <c r="D1943" s="260">
        <v>269973</v>
      </c>
    </row>
    <row r="1944" spans="1:4" ht="12" hidden="1" customHeight="1" outlineLevel="1" x14ac:dyDescent="0.3">
      <c r="A1944" s="238"/>
      <c r="B1944" s="242">
        <v>2100</v>
      </c>
      <c r="C1944" s="243" t="s">
        <v>203</v>
      </c>
      <c r="D1944" s="244"/>
    </row>
    <row r="1945" spans="1:4" ht="12" customHeight="1" collapsed="1" x14ac:dyDescent="0.3">
      <c r="A1945" s="238"/>
      <c r="B1945" s="242">
        <v>2200</v>
      </c>
      <c r="C1945" s="243" t="s">
        <v>204</v>
      </c>
      <c r="D1945" s="244">
        <v>268482</v>
      </c>
    </row>
    <row r="1946" spans="1:4" ht="12" customHeight="1" x14ac:dyDescent="0.3">
      <c r="A1946" s="238"/>
      <c r="B1946" s="242">
        <v>2300</v>
      </c>
      <c r="C1946" s="243" t="s">
        <v>205</v>
      </c>
      <c r="D1946" s="244">
        <v>1491</v>
      </c>
    </row>
    <row r="1947" spans="1:4" ht="12" hidden="1" customHeight="1" outlineLevel="1" x14ac:dyDescent="0.3">
      <c r="A1947" s="238"/>
      <c r="B1947" s="242">
        <v>2400</v>
      </c>
      <c r="C1947" s="243" t="s">
        <v>206</v>
      </c>
      <c r="D1947" s="244"/>
    </row>
    <row r="1948" spans="1:4" ht="12" hidden="1" customHeight="1" outlineLevel="1" x14ac:dyDescent="0.3">
      <c r="A1948" s="238"/>
      <c r="B1948" s="242">
        <v>2500</v>
      </c>
      <c r="C1948" s="243" t="s">
        <v>207</v>
      </c>
      <c r="D1948" s="244"/>
    </row>
    <row r="1949" spans="1:4" ht="12" hidden="1" customHeight="1" outlineLevel="1" x14ac:dyDescent="0.3">
      <c r="A1949" s="238"/>
      <c r="B1949" s="199">
        <v>3000</v>
      </c>
      <c r="C1949" s="245" t="s">
        <v>208</v>
      </c>
      <c r="D1949" s="260">
        <v>0</v>
      </c>
    </row>
    <row r="1950" spans="1:4" ht="12" hidden="1" customHeight="1" outlineLevel="1" x14ac:dyDescent="0.3">
      <c r="A1950" s="238"/>
      <c r="B1950" s="242">
        <v>3200</v>
      </c>
      <c r="C1950" s="243" t="s">
        <v>209</v>
      </c>
      <c r="D1950" s="244"/>
    </row>
    <row r="1951" spans="1:4" ht="12" hidden="1" customHeight="1" outlineLevel="1" x14ac:dyDescent="0.3">
      <c r="A1951" s="238"/>
      <c r="B1951" s="242">
        <v>3300</v>
      </c>
      <c r="C1951" s="243" t="s">
        <v>210</v>
      </c>
      <c r="D1951" s="244"/>
    </row>
    <row r="1952" spans="1:4" ht="12" hidden="1" customHeight="1" outlineLevel="1" x14ac:dyDescent="0.3">
      <c r="A1952" s="238"/>
      <c r="B1952" s="199">
        <v>4000</v>
      </c>
      <c r="C1952" s="246" t="s">
        <v>211</v>
      </c>
      <c r="D1952" s="260">
        <v>0</v>
      </c>
    </row>
    <row r="1953" spans="1:4" ht="12" hidden="1" customHeight="1" outlineLevel="1" x14ac:dyDescent="0.3">
      <c r="A1953" s="238"/>
      <c r="B1953" s="242">
        <v>4200</v>
      </c>
      <c r="C1953" s="247" t="s">
        <v>212</v>
      </c>
      <c r="D1953" s="244"/>
    </row>
    <row r="1954" spans="1:4" ht="12" hidden="1" customHeight="1" outlineLevel="1" x14ac:dyDescent="0.3">
      <c r="A1954" s="238"/>
      <c r="B1954" s="242">
        <v>4300</v>
      </c>
      <c r="C1954" s="247" t="s">
        <v>213</v>
      </c>
      <c r="D1954" s="244"/>
    </row>
    <row r="1955" spans="1:4" ht="12" customHeight="1" collapsed="1" x14ac:dyDescent="0.3">
      <c r="A1955" s="238"/>
      <c r="B1955" s="199">
        <v>5000</v>
      </c>
      <c r="C1955" s="200" t="s">
        <v>214</v>
      </c>
      <c r="D1955" s="260">
        <v>4449</v>
      </c>
    </row>
    <row r="1956" spans="1:4" ht="12" hidden="1" customHeight="1" outlineLevel="1" x14ac:dyDescent="0.3">
      <c r="A1956" s="238"/>
      <c r="B1956" s="242">
        <v>5100</v>
      </c>
      <c r="C1956" s="248" t="s">
        <v>215</v>
      </c>
      <c r="D1956" s="260"/>
    </row>
    <row r="1957" spans="1:4" ht="12" customHeight="1" collapsed="1" x14ac:dyDescent="0.3">
      <c r="A1957" s="238"/>
      <c r="B1957" s="242">
        <v>5200</v>
      </c>
      <c r="C1957" s="248" t="s">
        <v>216</v>
      </c>
      <c r="D1957" s="260">
        <v>4449</v>
      </c>
    </row>
    <row r="1958" spans="1:4" ht="12" hidden="1" customHeight="1" outlineLevel="1" x14ac:dyDescent="0.3">
      <c r="A1958" s="238"/>
      <c r="B1958" s="242">
        <v>5300</v>
      </c>
      <c r="C1958" s="249" t="s">
        <v>217</v>
      </c>
      <c r="D1958" s="260"/>
    </row>
    <row r="1959" spans="1:4" ht="12" customHeight="1" collapsed="1" x14ac:dyDescent="0.3">
      <c r="A1959" s="238"/>
      <c r="B1959" s="199">
        <v>6000</v>
      </c>
      <c r="C1959" s="200" t="s">
        <v>218</v>
      </c>
      <c r="D1959" s="260">
        <v>600</v>
      </c>
    </row>
    <row r="1960" spans="1:4" ht="12" hidden="1" customHeight="1" outlineLevel="1" x14ac:dyDescent="0.3">
      <c r="A1960" s="238"/>
      <c r="B1960" s="242">
        <v>6200</v>
      </c>
      <c r="C1960" s="248" t="s">
        <v>219</v>
      </c>
      <c r="D1960" s="244"/>
    </row>
    <row r="1961" spans="1:4" ht="12" hidden="1" customHeight="1" outlineLevel="1" x14ac:dyDescent="0.3">
      <c r="A1961" s="238"/>
      <c r="B1961" s="242">
        <v>6300</v>
      </c>
      <c r="C1961" s="248" t="s">
        <v>220</v>
      </c>
      <c r="D1961" s="244"/>
    </row>
    <row r="1962" spans="1:4" ht="12" customHeight="1" collapsed="1" x14ac:dyDescent="0.3">
      <c r="A1962" s="238"/>
      <c r="B1962" s="242">
        <v>6400</v>
      </c>
      <c r="C1962" s="248" t="s">
        <v>221</v>
      </c>
      <c r="D1962" s="244">
        <v>600</v>
      </c>
    </row>
    <row r="1963" spans="1:4" ht="12" hidden="1" customHeight="1" outlineLevel="1" x14ac:dyDescent="0.3">
      <c r="A1963" s="238"/>
      <c r="B1963" s="242">
        <v>6500</v>
      </c>
      <c r="C1963" s="249" t="s">
        <v>222</v>
      </c>
      <c r="D1963" s="244"/>
    </row>
    <row r="1964" spans="1:4" ht="12" hidden="1" customHeight="1" outlineLevel="1" x14ac:dyDescent="0.3">
      <c r="A1964" s="238"/>
      <c r="B1964" s="199">
        <v>7000</v>
      </c>
      <c r="C1964" s="200" t="s">
        <v>223</v>
      </c>
      <c r="D1964" s="260">
        <v>0</v>
      </c>
    </row>
    <row r="1965" spans="1:4" ht="12" hidden="1" customHeight="1" outlineLevel="1" x14ac:dyDescent="0.3">
      <c r="A1965" s="238"/>
      <c r="B1965" s="250">
        <v>7200</v>
      </c>
      <c r="C1965" s="251" t="s">
        <v>224</v>
      </c>
      <c r="D1965" s="244"/>
    </row>
    <row r="1966" spans="1:4" ht="12" hidden="1" customHeight="1" outlineLevel="1" x14ac:dyDescent="0.3">
      <c r="A1966" s="238"/>
      <c r="B1966" s="250">
        <v>7500</v>
      </c>
      <c r="C1966" s="251" t="s">
        <v>225</v>
      </c>
      <c r="D1966" s="244"/>
    </row>
    <row r="1967" spans="1:4" ht="12" hidden="1" customHeight="1" outlineLevel="1" x14ac:dyDescent="0.3">
      <c r="A1967" s="238"/>
      <c r="B1967" s="250">
        <v>7700</v>
      </c>
      <c r="C1967" s="251" t="s">
        <v>226</v>
      </c>
      <c r="D1967" s="244"/>
    </row>
    <row r="1968" spans="1:4" ht="12" hidden="1" customHeight="1" outlineLevel="1" x14ac:dyDescent="0.3">
      <c r="A1968" s="238"/>
      <c r="B1968" s="252">
        <v>8000</v>
      </c>
      <c r="C1968" s="253" t="s">
        <v>227</v>
      </c>
      <c r="D1968" s="260">
        <v>0</v>
      </c>
    </row>
    <row r="1969" spans="1:4" ht="12" hidden="1" customHeight="1" outlineLevel="1" x14ac:dyDescent="0.3">
      <c r="A1969" s="238"/>
      <c r="B1969" s="254">
        <v>8100</v>
      </c>
      <c r="C1969" s="255" t="s">
        <v>228</v>
      </c>
      <c r="D1969" s="260"/>
    </row>
    <row r="1970" spans="1:4" ht="12" hidden="1" customHeight="1" outlineLevel="1" x14ac:dyDescent="0.3">
      <c r="A1970" s="238"/>
      <c r="B1970" s="254">
        <v>8600</v>
      </c>
      <c r="C1970" s="255" t="s">
        <v>229</v>
      </c>
      <c r="D1970" s="260"/>
    </row>
    <row r="1971" spans="1:4" ht="12" hidden="1" customHeight="1" outlineLevel="1" x14ac:dyDescent="0.3">
      <c r="A1971" s="238"/>
      <c r="B1971" s="254">
        <v>8900</v>
      </c>
      <c r="C1971" s="255" t="s">
        <v>230</v>
      </c>
      <c r="D1971" s="260"/>
    </row>
    <row r="1972" spans="1:4" ht="14.25" hidden="1" customHeight="1" outlineLevel="1" x14ac:dyDescent="0.3">
      <c r="A1972" s="256" t="s">
        <v>340</v>
      </c>
      <c r="B1972" s="257"/>
      <c r="C1972" s="258" t="s">
        <v>341</v>
      </c>
      <c r="D1972" s="259">
        <v>0</v>
      </c>
    </row>
    <row r="1973" spans="1:4" ht="12" hidden="1" customHeight="1" outlineLevel="1" x14ac:dyDescent="0.3">
      <c r="A1973" s="227"/>
      <c r="B1973" s="228"/>
      <c r="C1973" s="229" t="s">
        <v>198</v>
      </c>
      <c r="D1973" s="230">
        <v>0</v>
      </c>
    </row>
    <row r="1974" spans="1:4" ht="12" hidden="1" customHeight="1" outlineLevel="1" x14ac:dyDescent="0.3">
      <c r="A1974" s="227"/>
      <c r="B1974" s="231">
        <v>1000</v>
      </c>
      <c r="C1974" s="232" t="s">
        <v>199</v>
      </c>
      <c r="D1974" s="230">
        <v>0</v>
      </c>
    </row>
    <row r="1975" spans="1:4" ht="12" hidden="1" customHeight="1" outlineLevel="1" x14ac:dyDescent="0.3">
      <c r="A1975" s="227"/>
      <c r="B1975" s="234">
        <v>1100</v>
      </c>
      <c r="C1975" s="235" t="s">
        <v>200</v>
      </c>
      <c r="D1975" s="236"/>
    </row>
    <row r="1976" spans="1:4" ht="12" hidden="1" customHeight="1" outlineLevel="1" x14ac:dyDescent="0.3">
      <c r="A1976" s="227"/>
      <c r="B1976" s="234">
        <v>1200</v>
      </c>
      <c r="C1976" s="237" t="s">
        <v>201</v>
      </c>
      <c r="D1976" s="236"/>
    </row>
    <row r="1977" spans="1:4" ht="12" hidden="1" customHeight="1" outlineLevel="1" x14ac:dyDescent="0.3">
      <c r="A1977" s="238"/>
      <c r="B1977" s="239">
        <v>2000</v>
      </c>
      <c r="C1977" s="240" t="s">
        <v>202</v>
      </c>
      <c r="D1977" s="260">
        <v>0</v>
      </c>
    </row>
    <row r="1978" spans="1:4" ht="12" hidden="1" customHeight="1" outlineLevel="1" x14ac:dyDescent="0.3">
      <c r="A1978" s="238"/>
      <c r="B1978" s="242">
        <v>2100</v>
      </c>
      <c r="C1978" s="243" t="s">
        <v>203</v>
      </c>
      <c r="D1978" s="244"/>
    </row>
    <row r="1979" spans="1:4" ht="12" hidden="1" customHeight="1" outlineLevel="1" x14ac:dyDescent="0.3">
      <c r="A1979" s="238"/>
      <c r="B1979" s="242">
        <v>2200</v>
      </c>
      <c r="C1979" s="243" t="s">
        <v>204</v>
      </c>
      <c r="D1979" s="244"/>
    </row>
    <row r="1980" spans="1:4" ht="12" hidden="1" customHeight="1" outlineLevel="1" x14ac:dyDescent="0.3">
      <c r="A1980" s="238"/>
      <c r="B1980" s="242">
        <v>2300</v>
      </c>
      <c r="C1980" s="243" t="s">
        <v>205</v>
      </c>
      <c r="D1980" s="244"/>
    </row>
    <row r="1981" spans="1:4" ht="12" hidden="1" customHeight="1" outlineLevel="1" x14ac:dyDescent="0.3">
      <c r="A1981" s="238"/>
      <c r="B1981" s="242">
        <v>2400</v>
      </c>
      <c r="C1981" s="243" t="s">
        <v>206</v>
      </c>
      <c r="D1981" s="244"/>
    </row>
    <row r="1982" spans="1:4" ht="12" hidden="1" customHeight="1" outlineLevel="1" x14ac:dyDescent="0.3">
      <c r="A1982" s="238"/>
      <c r="B1982" s="242">
        <v>2500</v>
      </c>
      <c r="C1982" s="243" t="s">
        <v>207</v>
      </c>
      <c r="D1982" s="244"/>
    </row>
    <row r="1983" spans="1:4" ht="12" hidden="1" customHeight="1" outlineLevel="1" x14ac:dyDescent="0.3">
      <c r="A1983" s="238"/>
      <c r="B1983" s="199">
        <v>3000</v>
      </c>
      <c r="C1983" s="245" t="s">
        <v>208</v>
      </c>
      <c r="D1983" s="260">
        <v>0</v>
      </c>
    </row>
    <row r="1984" spans="1:4" ht="12" hidden="1" customHeight="1" outlineLevel="1" x14ac:dyDescent="0.3">
      <c r="A1984" s="238"/>
      <c r="B1984" s="242">
        <v>3200</v>
      </c>
      <c r="C1984" s="243" t="s">
        <v>209</v>
      </c>
      <c r="D1984" s="244"/>
    </row>
    <row r="1985" spans="1:4" ht="12" hidden="1" customHeight="1" outlineLevel="1" x14ac:dyDescent="0.3">
      <c r="A1985" s="238"/>
      <c r="B1985" s="242">
        <v>3300</v>
      </c>
      <c r="C1985" s="243" t="s">
        <v>210</v>
      </c>
      <c r="D1985" s="244"/>
    </row>
    <row r="1986" spans="1:4" ht="12" hidden="1" customHeight="1" outlineLevel="1" x14ac:dyDescent="0.3">
      <c r="A1986" s="238"/>
      <c r="B1986" s="199">
        <v>4000</v>
      </c>
      <c r="C1986" s="246" t="s">
        <v>211</v>
      </c>
      <c r="D1986" s="260">
        <v>0</v>
      </c>
    </row>
    <row r="1987" spans="1:4" ht="12" hidden="1" customHeight="1" outlineLevel="1" x14ac:dyDescent="0.3">
      <c r="A1987" s="238"/>
      <c r="B1987" s="242">
        <v>4200</v>
      </c>
      <c r="C1987" s="247" t="s">
        <v>212</v>
      </c>
      <c r="D1987" s="244"/>
    </row>
    <row r="1988" spans="1:4" ht="12" hidden="1" customHeight="1" outlineLevel="1" x14ac:dyDescent="0.3">
      <c r="A1988" s="238"/>
      <c r="B1988" s="242">
        <v>4300</v>
      </c>
      <c r="C1988" s="247" t="s">
        <v>213</v>
      </c>
      <c r="D1988" s="244"/>
    </row>
    <row r="1989" spans="1:4" ht="12" hidden="1" customHeight="1" outlineLevel="1" x14ac:dyDescent="0.3">
      <c r="A1989" s="238"/>
      <c r="B1989" s="199">
        <v>5000</v>
      </c>
      <c r="C1989" s="200" t="s">
        <v>214</v>
      </c>
      <c r="D1989" s="260">
        <v>0</v>
      </c>
    </row>
    <row r="1990" spans="1:4" ht="12" hidden="1" customHeight="1" outlineLevel="1" x14ac:dyDescent="0.3">
      <c r="A1990" s="238"/>
      <c r="B1990" s="242">
        <v>5100</v>
      </c>
      <c r="C1990" s="248" t="s">
        <v>215</v>
      </c>
      <c r="D1990" s="260"/>
    </row>
    <row r="1991" spans="1:4" ht="12" hidden="1" customHeight="1" outlineLevel="1" x14ac:dyDescent="0.3">
      <c r="A1991" s="238"/>
      <c r="B1991" s="242">
        <v>5200</v>
      </c>
      <c r="C1991" s="248" t="s">
        <v>216</v>
      </c>
      <c r="D1991" s="260"/>
    </row>
    <row r="1992" spans="1:4" ht="12" hidden="1" customHeight="1" outlineLevel="1" x14ac:dyDescent="0.3">
      <c r="A1992" s="238"/>
      <c r="B1992" s="242">
        <v>5300</v>
      </c>
      <c r="C1992" s="249" t="s">
        <v>217</v>
      </c>
      <c r="D1992" s="260"/>
    </row>
    <row r="1993" spans="1:4" ht="12" hidden="1" customHeight="1" outlineLevel="1" x14ac:dyDescent="0.3">
      <c r="A1993" s="238"/>
      <c r="B1993" s="199">
        <v>6000</v>
      </c>
      <c r="C1993" s="200" t="s">
        <v>218</v>
      </c>
      <c r="D1993" s="260">
        <v>0</v>
      </c>
    </row>
    <row r="1994" spans="1:4" ht="12" hidden="1" customHeight="1" outlineLevel="1" x14ac:dyDescent="0.3">
      <c r="A1994" s="238"/>
      <c r="B1994" s="242">
        <v>6200</v>
      </c>
      <c r="C1994" s="248" t="s">
        <v>219</v>
      </c>
      <c r="D1994" s="244"/>
    </row>
    <row r="1995" spans="1:4" ht="12" hidden="1" customHeight="1" outlineLevel="1" x14ac:dyDescent="0.3">
      <c r="A1995" s="238"/>
      <c r="B1995" s="242">
        <v>6300</v>
      </c>
      <c r="C1995" s="248" t="s">
        <v>220</v>
      </c>
      <c r="D1995" s="244"/>
    </row>
    <row r="1996" spans="1:4" ht="12" hidden="1" customHeight="1" outlineLevel="1" x14ac:dyDescent="0.3">
      <c r="A1996" s="238"/>
      <c r="B1996" s="242">
        <v>6400</v>
      </c>
      <c r="C1996" s="248" t="s">
        <v>221</v>
      </c>
      <c r="D1996" s="244"/>
    </row>
    <row r="1997" spans="1:4" ht="12" hidden="1" customHeight="1" outlineLevel="1" x14ac:dyDescent="0.3">
      <c r="A1997" s="238"/>
      <c r="B1997" s="242">
        <v>6500</v>
      </c>
      <c r="C1997" s="249" t="s">
        <v>222</v>
      </c>
      <c r="D1997" s="244"/>
    </row>
    <row r="1998" spans="1:4" ht="12" hidden="1" customHeight="1" outlineLevel="1" x14ac:dyDescent="0.3">
      <c r="A1998" s="238"/>
      <c r="B1998" s="199">
        <v>7000</v>
      </c>
      <c r="C1998" s="200" t="s">
        <v>223</v>
      </c>
      <c r="D1998" s="260">
        <v>0</v>
      </c>
    </row>
    <row r="1999" spans="1:4" ht="12" hidden="1" customHeight="1" outlineLevel="1" x14ac:dyDescent="0.3">
      <c r="A1999" s="238"/>
      <c r="B1999" s="250">
        <v>7200</v>
      </c>
      <c r="C1999" s="251" t="s">
        <v>224</v>
      </c>
      <c r="D1999" s="244"/>
    </row>
    <row r="2000" spans="1:4" ht="12" hidden="1" customHeight="1" outlineLevel="1" x14ac:dyDescent="0.3">
      <c r="A2000" s="238"/>
      <c r="B2000" s="250">
        <v>7500</v>
      </c>
      <c r="C2000" s="251" t="s">
        <v>225</v>
      </c>
      <c r="D2000" s="244"/>
    </row>
    <row r="2001" spans="1:4" ht="12" hidden="1" customHeight="1" outlineLevel="1" x14ac:dyDescent="0.3">
      <c r="A2001" s="238"/>
      <c r="B2001" s="250">
        <v>7700</v>
      </c>
      <c r="C2001" s="251" t="s">
        <v>226</v>
      </c>
      <c r="D2001" s="244"/>
    </row>
    <row r="2002" spans="1:4" ht="12" hidden="1" customHeight="1" outlineLevel="1" x14ac:dyDescent="0.3">
      <c r="A2002" s="238"/>
      <c r="B2002" s="252">
        <v>8000</v>
      </c>
      <c r="C2002" s="253" t="s">
        <v>227</v>
      </c>
      <c r="D2002" s="260">
        <v>0</v>
      </c>
    </row>
    <row r="2003" spans="1:4" ht="12" hidden="1" customHeight="1" outlineLevel="1" x14ac:dyDescent="0.3">
      <c r="A2003" s="238"/>
      <c r="B2003" s="254">
        <v>8100</v>
      </c>
      <c r="C2003" s="255" t="s">
        <v>228</v>
      </c>
      <c r="D2003" s="260"/>
    </row>
    <row r="2004" spans="1:4" ht="12" hidden="1" customHeight="1" outlineLevel="1" x14ac:dyDescent="0.3">
      <c r="A2004" s="238"/>
      <c r="B2004" s="254">
        <v>8600</v>
      </c>
      <c r="C2004" s="255" t="s">
        <v>229</v>
      </c>
      <c r="D2004" s="260"/>
    </row>
    <row r="2005" spans="1:4" ht="12" hidden="1" customHeight="1" outlineLevel="1" x14ac:dyDescent="0.3">
      <c r="A2005" s="238"/>
      <c r="B2005" s="254">
        <v>8900</v>
      </c>
      <c r="C2005" s="255" t="s">
        <v>230</v>
      </c>
      <c r="D2005" s="260"/>
    </row>
    <row r="2006" spans="1:4" ht="14.25" hidden="1" customHeight="1" outlineLevel="1" x14ac:dyDescent="0.3">
      <c r="A2006" s="256" t="s">
        <v>342</v>
      </c>
      <c r="B2006" s="257"/>
      <c r="C2006" s="258" t="s">
        <v>343</v>
      </c>
      <c r="D2006" s="259">
        <v>0</v>
      </c>
    </row>
    <row r="2007" spans="1:4" ht="12" hidden="1" customHeight="1" outlineLevel="1" x14ac:dyDescent="0.3">
      <c r="A2007" s="227"/>
      <c r="B2007" s="228"/>
      <c r="C2007" s="229" t="s">
        <v>198</v>
      </c>
      <c r="D2007" s="230">
        <v>0</v>
      </c>
    </row>
    <row r="2008" spans="1:4" ht="12" hidden="1" customHeight="1" outlineLevel="1" x14ac:dyDescent="0.3">
      <c r="A2008" s="227"/>
      <c r="B2008" s="231">
        <v>1000</v>
      </c>
      <c r="C2008" s="232" t="s">
        <v>199</v>
      </c>
      <c r="D2008" s="230">
        <v>0</v>
      </c>
    </row>
    <row r="2009" spans="1:4" ht="12" hidden="1" customHeight="1" outlineLevel="1" x14ac:dyDescent="0.3">
      <c r="A2009" s="227"/>
      <c r="B2009" s="234">
        <v>1100</v>
      </c>
      <c r="C2009" s="235" t="s">
        <v>200</v>
      </c>
      <c r="D2009" s="236"/>
    </row>
    <row r="2010" spans="1:4" ht="12" hidden="1" customHeight="1" outlineLevel="1" x14ac:dyDescent="0.3">
      <c r="A2010" s="227"/>
      <c r="B2010" s="234">
        <v>1200</v>
      </c>
      <c r="C2010" s="237" t="s">
        <v>201</v>
      </c>
      <c r="D2010" s="236"/>
    </row>
    <row r="2011" spans="1:4" ht="12" hidden="1" customHeight="1" outlineLevel="1" x14ac:dyDescent="0.3">
      <c r="A2011" s="238"/>
      <c r="B2011" s="239">
        <v>2000</v>
      </c>
      <c r="C2011" s="240" t="s">
        <v>202</v>
      </c>
      <c r="D2011" s="260">
        <v>0</v>
      </c>
    </row>
    <row r="2012" spans="1:4" ht="12" hidden="1" customHeight="1" outlineLevel="1" x14ac:dyDescent="0.3">
      <c r="A2012" s="238"/>
      <c r="B2012" s="242">
        <v>2100</v>
      </c>
      <c r="C2012" s="243" t="s">
        <v>203</v>
      </c>
      <c r="D2012" s="244"/>
    </row>
    <row r="2013" spans="1:4" ht="12" hidden="1" customHeight="1" outlineLevel="1" x14ac:dyDescent="0.3">
      <c r="A2013" s="238"/>
      <c r="B2013" s="242">
        <v>2200</v>
      </c>
      <c r="C2013" s="243" t="s">
        <v>204</v>
      </c>
      <c r="D2013" s="244"/>
    </row>
    <row r="2014" spans="1:4" ht="12" hidden="1" customHeight="1" outlineLevel="1" x14ac:dyDescent="0.3">
      <c r="A2014" s="238"/>
      <c r="B2014" s="242">
        <v>2300</v>
      </c>
      <c r="C2014" s="243" t="s">
        <v>205</v>
      </c>
      <c r="D2014" s="244"/>
    </row>
    <row r="2015" spans="1:4" ht="12" hidden="1" customHeight="1" outlineLevel="1" x14ac:dyDescent="0.3">
      <c r="A2015" s="238"/>
      <c r="B2015" s="242">
        <v>2400</v>
      </c>
      <c r="C2015" s="243" t="s">
        <v>206</v>
      </c>
      <c r="D2015" s="244"/>
    </row>
    <row r="2016" spans="1:4" ht="12" hidden="1" customHeight="1" outlineLevel="1" x14ac:dyDescent="0.3">
      <c r="A2016" s="238"/>
      <c r="B2016" s="242">
        <v>2500</v>
      </c>
      <c r="C2016" s="243" t="s">
        <v>207</v>
      </c>
      <c r="D2016" s="244"/>
    </row>
    <row r="2017" spans="1:4" ht="12" hidden="1" customHeight="1" outlineLevel="1" x14ac:dyDescent="0.3">
      <c r="A2017" s="238"/>
      <c r="B2017" s="199">
        <v>3000</v>
      </c>
      <c r="C2017" s="245" t="s">
        <v>208</v>
      </c>
      <c r="D2017" s="260">
        <v>0</v>
      </c>
    </row>
    <row r="2018" spans="1:4" ht="12" hidden="1" customHeight="1" outlineLevel="1" x14ac:dyDescent="0.3">
      <c r="A2018" s="238"/>
      <c r="B2018" s="242">
        <v>3200</v>
      </c>
      <c r="C2018" s="243" t="s">
        <v>209</v>
      </c>
      <c r="D2018" s="244"/>
    </row>
    <row r="2019" spans="1:4" ht="12" hidden="1" customHeight="1" outlineLevel="1" x14ac:dyDescent="0.3">
      <c r="A2019" s="238"/>
      <c r="B2019" s="242">
        <v>3300</v>
      </c>
      <c r="C2019" s="243" t="s">
        <v>210</v>
      </c>
      <c r="D2019" s="244"/>
    </row>
    <row r="2020" spans="1:4" ht="12" hidden="1" customHeight="1" outlineLevel="1" x14ac:dyDescent="0.3">
      <c r="A2020" s="238"/>
      <c r="B2020" s="199">
        <v>4000</v>
      </c>
      <c r="C2020" s="246" t="s">
        <v>211</v>
      </c>
      <c r="D2020" s="260">
        <v>0</v>
      </c>
    </row>
    <row r="2021" spans="1:4" ht="12" hidden="1" customHeight="1" outlineLevel="1" x14ac:dyDescent="0.3">
      <c r="A2021" s="238"/>
      <c r="B2021" s="242">
        <v>4200</v>
      </c>
      <c r="C2021" s="247" t="s">
        <v>212</v>
      </c>
      <c r="D2021" s="244"/>
    </row>
    <row r="2022" spans="1:4" ht="12" hidden="1" customHeight="1" outlineLevel="1" x14ac:dyDescent="0.3">
      <c r="A2022" s="238"/>
      <c r="B2022" s="242">
        <v>4300</v>
      </c>
      <c r="C2022" s="247" t="s">
        <v>213</v>
      </c>
      <c r="D2022" s="244"/>
    </row>
    <row r="2023" spans="1:4" ht="12" hidden="1" customHeight="1" outlineLevel="1" x14ac:dyDescent="0.3">
      <c r="A2023" s="238"/>
      <c r="B2023" s="199">
        <v>5000</v>
      </c>
      <c r="C2023" s="200" t="s">
        <v>214</v>
      </c>
      <c r="D2023" s="260">
        <v>0</v>
      </c>
    </row>
    <row r="2024" spans="1:4" ht="12" hidden="1" customHeight="1" outlineLevel="1" x14ac:dyDescent="0.3">
      <c r="A2024" s="238"/>
      <c r="B2024" s="242">
        <v>5100</v>
      </c>
      <c r="C2024" s="248" t="s">
        <v>215</v>
      </c>
      <c r="D2024" s="260"/>
    </row>
    <row r="2025" spans="1:4" ht="12" hidden="1" customHeight="1" outlineLevel="1" x14ac:dyDescent="0.3">
      <c r="A2025" s="238"/>
      <c r="B2025" s="242">
        <v>5200</v>
      </c>
      <c r="C2025" s="248" t="s">
        <v>216</v>
      </c>
      <c r="D2025" s="260"/>
    </row>
    <row r="2026" spans="1:4" ht="12" hidden="1" customHeight="1" outlineLevel="1" x14ac:dyDescent="0.3">
      <c r="A2026" s="238"/>
      <c r="B2026" s="242">
        <v>5300</v>
      </c>
      <c r="C2026" s="249" t="s">
        <v>217</v>
      </c>
      <c r="D2026" s="260"/>
    </row>
    <row r="2027" spans="1:4" ht="12" hidden="1" customHeight="1" outlineLevel="1" x14ac:dyDescent="0.3">
      <c r="A2027" s="238"/>
      <c r="B2027" s="199">
        <v>6000</v>
      </c>
      <c r="C2027" s="200" t="s">
        <v>218</v>
      </c>
      <c r="D2027" s="260">
        <v>0</v>
      </c>
    </row>
    <row r="2028" spans="1:4" ht="12" hidden="1" customHeight="1" outlineLevel="1" x14ac:dyDescent="0.3">
      <c r="A2028" s="238"/>
      <c r="B2028" s="242">
        <v>6200</v>
      </c>
      <c r="C2028" s="248" t="s">
        <v>219</v>
      </c>
      <c r="D2028" s="244"/>
    </row>
    <row r="2029" spans="1:4" ht="12" hidden="1" customHeight="1" outlineLevel="1" x14ac:dyDescent="0.3">
      <c r="A2029" s="238"/>
      <c r="B2029" s="242">
        <v>6300</v>
      </c>
      <c r="C2029" s="248" t="s">
        <v>220</v>
      </c>
      <c r="D2029" s="244"/>
    </row>
    <row r="2030" spans="1:4" ht="12" hidden="1" customHeight="1" outlineLevel="1" x14ac:dyDescent="0.3">
      <c r="A2030" s="238"/>
      <c r="B2030" s="242">
        <v>6400</v>
      </c>
      <c r="C2030" s="248" t="s">
        <v>221</v>
      </c>
      <c r="D2030" s="244"/>
    </row>
    <row r="2031" spans="1:4" ht="12" hidden="1" customHeight="1" outlineLevel="1" x14ac:dyDescent="0.3">
      <c r="A2031" s="238"/>
      <c r="B2031" s="242">
        <v>6500</v>
      </c>
      <c r="C2031" s="249" t="s">
        <v>222</v>
      </c>
      <c r="D2031" s="244"/>
    </row>
    <row r="2032" spans="1:4" ht="12" hidden="1" customHeight="1" outlineLevel="1" x14ac:dyDescent="0.3">
      <c r="A2032" s="238"/>
      <c r="B2032" s="199">
        <v>7000</v>
      </c>
      <c r="C2032" s="200" t="s">
        <v>223</v>
      </c>
      <c r="D2032" s="260">
        <v>0</v>
      </c>
    </row>
    <row r="2033" spans="1:4" ht="12" hidden="1" customHeight="1" outlineLevel="1" x14ac:dyDescent="0.3">
      <c r="A2033" s="238"/>
      <c r="B2033" s="250">
        <v>7200</v>
      </c>
      <c r="C2033" s="251" t="s">
        <v>224</v>
      </c>
      <c r="D2033" s="244"/>
    </row>
    <row r="2034" spans="1:4" ht="12" hidden="1" customHeight="1" outlineLevel="1" x14ac:dyDescent="0.3">
      <c r="A2034" s="238"/>
      <c r="B2034" s="250">
        <v>7500</v>
      </c>
      <c r="C2034" s="251" t="s">
        <v>225</v>
      </c>
      <c r="D2034" s="244"/>
    </row>
    <row r="2035" spans="1:4" ht="12" hidden="1" customHeight="1" outlineLevel="1" x14ac:dyDescent="0.3">
      <c r="A2035" s="238"/>
      <c r="B2035" s="250">
        <v>7700</v>
      </c>
      <c r="C2035" s="251" t="s">
        <v>226</v>
      </c>
      <c r="D2035" s="244"/>
    </row>
    <row r="2036" spans="1:4" ht="12" hidden="1" customHeight="1" outlineLevel="1" x14ac:dyDescent="0.3">
      <c r="A2036" s="238"/>
      <c r="B2036" s="252">
        <v>8000</v>
      </c>
      <c r="C2036" s="253" t="s">
        <v>227</v>
      </c>
      <c r="D2036" s="260">
        <v>0</v>
      </c>
    </row>
    <row r="2037" spans="1:4" ht="12" hidden="1" customHeight="1" outlineLevel="1" x14ac:dyDescent="0.3">
      <c r="A2037" s="238"/>
      <c r="B2037" s="254">
        <v>8100</v>
      </c>
      <c r="C2037" s="255" t="s">
        <v>228</v>
      </c>
      <c r="D2037" s="260"/>
    </row>
    <row r="2038" spans="1:4" ht="12" hidden="1" customHeight="1" outlineLevel="1" x14ac:dyDescent="0.3">
      <c r="A2038" s="238"/>
      <c r="B2038" s="254">
        <v>8600</v>
      </c>
      <c r="C2038" s="255" t="s">
        <v>229</v>
      </c>
      <c r="D2038" s="260"/>
    </row>
    <row r="2039" spans="1:4" ht="12" hidden="1" customHeight="1" outlineLevel="1" x14ac:dyDescent="0.3">
      <c r="A2039" s="238"/>
      <c r="B2039" s="254">
        <v>8900</v>
      </c>
      <c r="C2039" s="255" t="s">
        <v>230</v>
      </c>
      <c r="D2039" s="260"/>
    </row>
    <row r="2040" spans="1:4" ht="12" customHeight="1" collapsed="1" x14ac:dyDescent="0.3">
      <c r="A2040" s="256" t="s">
        <v>344</v>
      </c>
      <c r="B2040" s="257"/>
      <c r="C2040" s="258" t="s">
        <v>345</v>
      </c>
      <c r="D2040" s="259">
        <v>148</v>
      </c>
    </row>
    <row r="2041" spans="1:4" ht="12" customHeight="1" x14ac:dyDescent="0.3">
      <c r="A2041" s="227"/>
      <c r="B2041" s="228"/>
      <c r="C2041" s="229" t="s">
        <v>198</v>
      </c>
      <c r="D2041" s="230">
        <v>148</v>
      </c>
    </row>
    <row r="2042" spans="1:4" ht="12" hidden="1" customHeight="1" outlineLevel="1" x14ac:dyDescent="0.3">
      <c r="A2042" s="227"/>
      <c r="B2042" s="231">
        <v>1000</v>
      </c>
      <c r="C2042" s="232" t="s">
        <v>199</v>
      </c>
      <c r="D2042" s="230">
        <v>0</v>
      </c>
    </row>
    <row r="2043" spans="1:4" ht="12" hidden="1" customHeight="1" outlineLevel="1" x14ac:dyDescent="0.3">
      <c r="A2043" s="227"/>
      <c r="B2043" s="234">
        <v>1100</v>
      </c>
      <c r="C2043" s="235" t="s">
        <v>200</v>
      </c>
      <c r="D2043" s="236"/>
    </row>
    <row r="2044" spans="1:4" ht="12" hidden="1" customHeight="1" outlineLevel="1" x14ac:dyDescent="0.3">
      <c r="A2044" s="227"/>
      <c r="B2044" s="234">
        <v>1200</v>
      </c>
      <c r="C2044" s="237" t="s">
        <v>201</v>
      </c>
      <c r="D2044" s="236"/>
    </row>
    <row r="2045" spans="1:4" ht="12" customHeight="1" collapsed="1" x14ac:dyDescent="0.3">
      <c r="A2045" s="238"/>
      <c r="B2045" s="239">
        <v>2000</v>
      </c>
      <c r="C2045" s="240" t="s">
        <v>202</v>
      </c>
      <c r="D2045" s="260">
        <v>148</v>
      </c>
    </row>
    <row r="2046" spans="1:4" ht="12" hidden="1" customHeight="1" outlineLevel="1" x14ac:dyDescent="0.3">
      <c r="A2046" s="238"/>
      <c r="B2046" s="242">
        <v>2100</v>
      </c>
      <c r="C2046" s="243" t="s">
        <v>203</v>
      </c>
      <c r="D2046" s="244"/>
    </row>
    <row r="2047" spans="1:4" ht="12" customHeight="1" collapsed="1" x14ac:dyDescent="0.3">
      <c r="A2047" s="238"/>
      <c r="B2047" s="242">
        <v>2200</v>
      </c>
      <c r="C2047" s="243" t="s">
        <v>204</v>
      </c>
      <c r="D2047" s="244">
        <v>148</v>
      </c>
    </row>
    <row r="2048" spans="1:4" ht="12" customHeight="1" x14ac:dyDescent="0.3">
      <c r="A2048" s="238"/>
      <c r="B2048" s="242">
        <v>2300</v>
      </c>
      <c r="C2048" s="243" t="s">
        <v>205</v>
      </c>
      <c r="D2048" s="244"/>
    </row>
    <row r="2049" spans="1:4" ht="12" hidden="1" customHeight="1" outlineLevel="1" x14ac:dyDescent="0.3">
      <c r="A2049" s="238"/>
      <c r="B2049" s="242">
        <v>2400</v>
      </c>
      <c r="C2049" s="243" t="s">
        <v>206</v>
      </c>
      <c r="D2049" s="244"/>
    </row>
    <row r="2050" spans="1:4" ht="12" hidden="1" customHeight="1" outlineLevel="1" x14ac:dyDescent="0.3">
      <c r="A2050" s="238"/>
      <c r="B2050" s="242">
        <v>2500</v>
      </c>
      <c r="C2050" s="243" t="s">
        <v>207</v>
      </c>
      <c r="D2050" s="244"/>
    </row>
    <row r="2051" spans="1:4" ht="12" hidden="1" customHeight="1" outlineLevel="1" x14ac:dyDescent="0.3">
      <c r="A2051" s="238"/>
      <c r="B2051" s="199">
        <v>3000</v>
      </c>
      <c r="C2051" s="245" t="s">
        <v>208</v>
      </c>
      <c r="D2051" s="260">
        <v>0</v>
      </c>
    </row>
    <row r="2052" spans="1:4" ht="12" hidden="1" customHeight="1" outlineLevel="1" x14ac:dyDescent="0.3">
      <c r="A2052" s="238"/>
      <c r="B2052" s="242">
        <v>3200</v>
      </c>
      <c r="C2052" s="243" t="s">
        <v>209</v>
      </c>
      <c r="D2052" s="244"/>
    </row>
    <row r="2053" spans="1:4" ht="12" hidden="1" customHeight="1" outlineLevel="1" x14ac:dyDescent="0.3">
      <c r="A2053" s="238"/>
      <c r="B2053" s="242">
        <v>3300</v>
      </c>
      <c r="C2053" s="243" t="s">
        <v>210</v>
      </c>
      <c r="D2053" s="244"/>
    </row>
    <row r="2054" spans="1:4" ht="12" hidden="1" customHeight="1" outlineLevel="1" x14ac:dyDescent="0.3">
      <c r="A2054" s="238"/>
      <c r="B2054" s="199">
        <v>4000</v>
      </c>
      <c r="C2054" s="246" t="s">
        <v>211</v>
      </c>
      <c r="D2054" s="260">
        <v>0</v>
      </c>
    </row>
    <row r="2055" spans="1:4" ht="12" hidden="1" customHeight="1" outlineLevel="1" x14ac:dyDescent="0.3">
      <c r="A2055" s="238"/>
      <c r="B2055" s="242">
        <v>4200</v>
      </c>
      <c r="C2055" s="247" t="s">
        <v>212</v>
      </c>
      <c r="D2055" s="244"/>
    </row>
    <row r="2056" spans="1:4" ht="12" hidden="1" customHeight="1" outlineLevel="1" x14ac:dyDescent="0.3">
      <c r="A2056" s="238"/>
      <c r="B2056" s="242">
        <v>4300</v>
      </c>
      <c r="C2056" s="247" t="s">
        <v>213</v>
      </c>
      <c r="D2056" s="244"/>
    </row>
    <row r="2057" spans="1:4" ht="12" hidden="1" customHeight="1" outlineLevel="1" x14ac:dyDescent="0.3">
      <c r="A2057" s="238"/>
      <c r="B2057" s="199">
        <v>5000</v>
      </c>
      <c r="C2057" s="200" t="s">
        <v>214</v>
      </c>
      <c r="D2057" s="260">
        <v>0</v>
      </c>
    </row>
    <row r="2058" spans="1:4" ht="12" hidden="1" customHeight="1" outlineLevel="1" x14ac:dyDescent="0.3">
      <c r="A2058" s="238"/>
      <c r="B2058" s="242">
        <v>5100</v>
      </c>
      <c r="C2058" s="248" t="s">
        <v>215</v>
      </c>
      <c r="D2058" s="260"/>
    </row>
    <row r="2059" spans="1:4" ht="12" hidden="1" customHeight="1" outlineLevel="1" x14ac:dyDescent="0.3">
      <c r="A2059" s="238"/>
      <c r="B2059" s="242">
        <v>5200</v>
      </c>
      <c r="C2059" s="248" t="s">
        <v>216</v>
      </c>
      <c r="D2059" s="260"/>
    </row>
    <row r="2060" spans="1:4" ht="12" hidden="1" customHeight="1" outlineLevel="1" x14ac:dyDescent="0.3">
      <c r="A2060" s="238"/>
      <c r="B2060" s="242">
        <v>5300</v>
      </c>
      <c r="C2060" s="249" t="s">
        <v>217</v>
      </c>
      <c r="D2060" s="260"/>
    </row>
    <row r="2061" spans="1:4" ht="12" hidden="1" customHeight="1" outlineLevel="1" x14ac:dyDescent="0.3">
      <c r="A2061" s="238"/>
      <c r="B2061" s="199">
        <v>6000</v>
      </c>
      <c r="C2061" s="200" t="s">
        <v>218</v>
      </c>
      <c r="D2061" s="260">
        <v>0</v>
      </c>
    </row>
    <row r="2062" spans="1:4" ht="12" hidden="1" customHeight="1" outlineLevel="1" x14ac:dyDescent="0.3">
      <c r="A2062" s="238"/>
      <c r="B2062" s="242">
        <v>6200</v>
      </c>
      <c r="C2062" s="248" t="s">
        <v>219</v>
      </c>
      <c r="D2062" s="244"/>
    </row>
    <row r="2063" spans="1:4" ht="12" hidden="1" customHeight="1" outlineLevel="1" x14ac:dyDescent="0.3">
      <c r="A2063" s="238"/>
      <c r="B2063" s="242">
        <v>6300</v>
      </c>
      <c r="C2063" s="248" t="s">
        <v>220</v>
      </c>
      <c r="D2063" s="244"/>
    </row>
    <row r="2064" spans="1:4" ht="12" hidden="1" customHeight="1" outlineLevel="1" x14ac:dyDescent="0.3">
      <c r="A2064" s="238"/>
      <c r="B2064" s="242">
        <v>6400</v>
      </c>
      <c r="C2064" s="248" t="s">
        <v>221</v>
      </c>
      <c r="D2064" s="244"/>
    </row>
    <row r="2065" spans="1:4" ht="12" hidden="1" customHeight="1" outlineLevel="1" x14ac:dyDescent="0.3">
      <c r="A2065" s="238"/>
      <c r="B2065" s="242">
        <v>6500</v>
      </c>
      <c r="C2065" s="249" t="s">
        <v>222</v>
      </c>
      <c r="D2065" s="244"/>
    </row>
    <row r="2066" spans="1:4" ht="12" hidden="1" customHeight="1" outlineLevel="1" x14ac:dyDescent="0.3">
      <c r="A2066" s="238"/>
      <c r="B2066" s="199">
        <v>7000</v>
      </c>
      <c r="C2066" s="200" t="s">
        <v>223</v>
      </c>
      <c r="D2066" s="260">
        <v>0</v>
      </c>
    </row>
    <row r="2067" spans="1:4" ht="12" hidden="1" customHeight="1" outlineLevel="1" x14ac:dyDescent="0.3">
      <c r="A2067" s="238"/>
      <c r="B2067" s="250">
        <v>7200</v>
      </c>
      <c r="C2067" s="251" t="s">
        <v>224</v>
      </c>
      <c r="D2067" s="244"/>
    </row>
    <row r="2068" spans="1:4" ht="12" hidden="1" customHeight="1" outlineLevel="1" x14ac:dyDescent="0.3">
      <c r="A2068" s="238"/>
      <c r="B2068" s="250">
        <v>7500</v>
      </c>
      <c r="C2068" s="251" t="s">
        <v>225</v>
      </c>
      <c r="D2068" s="244"/>
    </row>
    <row r="2069" spans="1:4" ht="12" hidden="1" customHeight="1" outlineLevel="1" x14ac:dyDescent="0.3">
      <c r="A2069" s="238"/>
      <c r="B2069" s="250">
        <v>7700</v>
      </c>
      <c r="C2069" s="251" t="s">
        <v>226</v>
      </c>
      <c r="D2069" s="244"/>
    </row>
    <row r="2070" spans="1:4" ht="12" customHeight="1" collapsed="1" x14ac:dyDescent="0.3">
      <c r="A2070" s="238"/>
      <c r="B2070" s="252">
        <v>8000</v>
      </c>
      <c r="C2070" s="253" t="s">
        <v>227</v>
      </c>
      <c r="D2070" s="260">
        <v>0</v>
      </c>
    </row>
    <row r="2071" spans="1:4" ht="12" customHeight="1" x14ac:dyDescent="0.3">
      <c r="A2071" s="238"/>
      <c r="B2071" s="254">
        <v>8100</v>
      </c>
      <c r="C2071" s="255" t="s">
        <v>228</v>
      </c>
      <c r="D2071" s="260"/>
    </row>
    <row r="2072" spans="1:4" ht="12" hidden="1" customHeight="1" outlineLevel="1" x14ac:dyDescent="0.3">
      <c r="A2072" s="238"/>
      <c r="B2072" s="254">
        <v>8600</v>
      </c>
      <c r="C2072" s="255" t="s">
        <v>229</v>
      </c>
      <c r="D2072" s="260"/>
    </row>
    <row r="2073" spans="1:4" ht="12" hidden="1" customHeight="1" outlineLevel="1" x14ac:dyDescent="0.3">
      <c r="A2073" s="238"/>
      <c r="B2073" s="254">
        <v>8900</v>
      </c>
      <c r="C2073" s="255" t="s">
        <v>230</v>
      </c>
      <c r="D2073" s="260"/>
    </row>
    <row r="2074" spans="1:4" ht="12" hidden="1" customHeight="1" outlineLevel="1" x14ac:dyDescent="0.3">
      <c r="A2074" s="256" t="s">
        <v>346</v>
      </c>
      <c r="B2074" s="257"/>
      <c r="C2074" s="258" t="s">
        <v>347</v>
      </c>
      <c r="D2074" s="259">
        <v>0</v>
      </c>
    </row>
    <row r="2075" spans="1:4" ht="12" hidden="1" customHeight="1" outlineLevel="1" x14ac:dyDescent="0.3">
      <c r="A2075" s="227"/>
      <c r="B2075" s="228"/>
      <c r="C2075" s="229" t="s">
        <v>198</v>
      </c>
      <c r="D2075" s="230">
        <v>0</v>
      </c>
    </row>
    <row r="2076" spans="1:4" ht="12" hidden="1" customHeight="1" outlineLevel="1" x14ac:dyDescent="0.3">
      <c r="A2076" s="227"/>
      <c r="B2076" s="231">
        <v>1000</v>
      </c>
      <c r="C2076" s="232" t="s">
        <v>199</v>
      </c>
      <c r="D2076" s="233">
        <v>0</v>
      </c>
    </row>
    <row r="2077" spans="1:4" ht="12" hidden="1" customHeight="1" outlineLevel="1" x14ac:dyDescent="0.3">
      <c r="A2077" s="227"/>
      <c r="B2077" s="234">
        <v>1100</v>
      </c>
      <c r="C2077" s="235" t="s">
        <v>200</v>
      </c>
      <c r="D2077" s="236">
        <v>0</v>
      </c>
    </row>
    <row r="2078" spans="1:4" ht="12" hidden="1" customHeight="1" outlineLevel="1" x14ac:dyDescent="0.3">
      <c r="A2078" s="227"/>
      <c r="B2078" s="234">
        <v>1200</v>
      </c>
      <c r="C2078" s="237" t="s">
        <v>201</v>
      </c>
      <c r="D2078" s="236">
        <v>0</v>
      </c>
    </row>
    <row r="2079" spans="1:4" ht="12" hidden="1" customHeight="1" outlineLevel="1" x14ac:dyDescent="0.3">
      <c r="A2079" s="238"/>
      <c r="B2079" s="239">
        <v>2000</v>
      </c>
      <c r="C2079" s="240" t="s">
        <v>202</v>
      </c>
      <c r="D2079" s="233">
        <v>0</v>
      </c>
    </row>
    <row r="2080" spans="1:4" ht="12" hidden="1" customHeight="1" outlineLevel="1" x14ac:dyDescent="0.3">
      <c r="A2080" s="238"/>
      <c r="B2080" s="242">
        <v>2100</v>
      </c>
      <c r="C2080" s="243" t="s">
        <v>203</v>
      </c>
      <c r="D2080" s="236">
        <v>0</v>
      </c>
    </row>
    <row r="2081" spans="1:4" ht="12" hidden="1" customHeight="1" outlineLevel="1" x14ac:dyDescent="0.3">
      <c r="A2081" s="238"/>
      <c r="B2081" s="242">
        <v>2200</v>
      </c>
      <c r="C2081" s="243" t="s">
        <v>204</v>
      </c>
      <c r="D2081" s="236">
        <v>0</v>
      </c>
    </row>
    <row r="2082" spans="1:4" ht="12" hidden="1" customHeight="1" outlineLevel="1" x14ac:dyDescent="0.3">
      <c r="A2082" s="238"/>
      <c r="B2082" s="242">
        <v>2300</v>
      </c>
      <c r="C2082" s="243" t="s">
        <v>205</v>
      </c>
      <c r="D2082" s="236">
        <v>0</v>
      </c>
    </row>
    <row r="2083" spans="1:4" ht="12" hidden="1" customHeight="1" outlineLevel="1" x14ac:dyDescent="0.3">
      <c r="A2083" s="238"/>
      <c r="B2083" s="242">
        <v>2400</v>
      </c>
      <c r="C2083" s="243" t="s">
        <v>206</v>
      </c>
      <c r="D2083" s="236">
        <v>0</v>
      </c>
    </row>
    <row r="2084" spans="1:4" ht="12" hidden="1" customHeight="1" outlineLevel="1" x14ac:dyDescent="0.3">
      <c r="A2084" s="238"/>
      <c r="B2084" s="242">
        <v>2500</v>
      </c>
      <c r="C2084" s="243" t="s">
        <v>207</v>
      </c>
      <c r="D2084" s="236">
        <v>0</v>
      </c>
    </row>
    <row r="2085" spans="1:4" ht="12" hidden="1" customHeight="1" outlineLevel="1" x14ac:dyDescent="0.3">
      <c r="A2085" s="238"/>
      <c r="B2085" s="199">
        <v>3000</v>
      </c>
      <c r="C2085" s="245" t="s">
        <v>208</v>
      </c>
      <c r="D2085" s="233">
        <v>0</v>
      </c>
    </row>
    <row r="2086" spans="1:4" ht="12" hidden="1" customHeight="1" outlineLevel="1" x14ac:dyDescent="0.3">
      <c r="A2086" s="238"/>
      <c r="B2086" s="242">
        <v>3200</v>
      </c>
      <c r="C2086" s="243" t="s">
        <v>209</v>
      </c>
      <c r="D2086" s="236">
        <v>0</v>
      </c>
    </row>
    <row r="2087" spans="1:4" ht="12" hidden="1" customHeight="1" outlineLevel="1" x14ac:dyDescent="0.3">
      <c r="A2087" s="238"/>
      <c r="B2087" s="242">
        <v>3300</v>
      </c>
      <c r="C2087" s="243" t="s">
        <v>210</v>
      </c>
      <c r="D2087" s="236">
        <v>0</v>
      </c>
    </row>
    <row r="2088" spans="1:4" ht="12" hidden="1" customHeight="1" outlineLevel="1" x14ac:dyDescent="0.3">
      <c r="A2088" s="238"/>
      <c r="B2088" s="199">
        <v>4000</v>
      </c>
      <c r="C2088" s="246" t="s">
        <v>211</v>
      </c>
      <c r="D2088" s="233">
        <v>0</v>
      </c>
    </row>
    <row r="2089" spans="1:4" ht="12" hidden="1" customHeight="1" outlineLevel="1" x14ac:dyDescent="0.3">
      <c r="A2089" s="238"/>
      <c r="B2089" s="242">
        <v>4200</v>
      </c>
      <c r="C2089" s="247" t="s">
        <v>212</v>
      </c>
      <c r="D2089" s="236">
        <v>0</v>
      </c>
    </row>
    <row r="2090" spans="1:4" ht="12" hidden="1" customHeight="1" outlineLevel="1" x14ac:dyDescent="0.3">
      <c r="A2090" s="238"/>
      <c r="B2090" s="242">
        <v>4300</v>
      </c>
      <c r="C2090" s="247" t="s">
        <v>213</v>
      </c>
      <c r="D2090" s="236">
        <v>0</v>
      </c>
    </row>
    <row r="2091" spans="1:4" ht="12" hidden="1" customHeight="1" outlineLevel="1" x14ac:dyDescent="0.3">
      <c r="A2091" s="238"/>
      <c r="B2091" s="199">
        <v>5000</v>
      </c>
      <c r="C2091" s="200" t="s">
        <v>214</v>
      </c>
      <c r="D2091" s="233">
        <v>0</v>
      </c>
    </row>
    <row r="2092" spans="1:4" ht="12" hidden="1" customHeight="1" outlineLevel="1" x14ac:dyDescent="0.3">
      <c r="A2092" s="238"/>
      <c r="B2092" s="242">
        <v>5100</v>
      </c>
      <c r="C2092" s="248" t="s">
        <v>215</v>
      </c>
      <c r="D2092" s="236">
        <v>0</v>
      </c>
    </row>
    <row r="2093" spans="1:4" ht="12" hidden="1" customHeight="1" outlineLevel="1" x14ac:dyDescent="0.3">
      <c r="A2093" s="238"/>
      <c r="B2093" s="242">
        <v>5200</v>
      </c>
      <c r="C2093" s="248" t="s">
        <v>216</v>
      </c>
      <c r="D2093" s="236">
        <v>0</v>
      </c>
    </row>
    <row r="2094" spans="1:4" ht="12" hidden="1" customHeight="1" outlineLevel="1" x14ac:dyDescent="0.3">
      <c r="A2094" s="238"/>
      <c r="B2094" s="242">
        <v>5300</v>
      </c>
      <c r="C2094" s="249" t="s">
        <v>217</v>
      </c>
      <c r="D2094" s="236">
        <v>0</v>
      </c>
    </row>
    <row r="2095" spans="1:4" ht="12" hidden="1" customHeight="1" outlineLevel="1" x14ac:dyDescent="0.3">
      <c r="A2095" s="238"/>
      <c r="B2095" s="199">
        <v>6000</v>
      </c>
      <c r="C2095" s="200" t="s">
        <v>218</v>
      </c>
      <c r="D2095" s="233">
        <v>0</v>
      </c>
    </row>
    <row r="2096" spans="1:4" ht="12" hidden="1" customHeight="1" outlineLevel="1" x14ac:dyDescent="0.3">
      <c r="A2096" s="238"/>
      <c r="B2096" s="242">
        <v>6200</v>
      </c>
      <c r="C2096" s="248" t="s">
        <v>219</v>
      </c>
      <c r="D2096" s="236">
        <v>0</v>
      </c>
    </row>
    <row r="2097" spans="1:4" ht="12" hidden="1" customHeight="1" outlineLevel="1" x14ac:dyDescent="0.3">
      <c r="A2097" s="238"/>
      <c r="B2097" s="242">
        <v>6300</v>
      </c>
      <c r="C2097" s="248" t="s">
        <v>220</v>
      </c>
      <c r="D2097" s="236">
        <v>0</v>
      </c>
    </row>
    <row r="2098" spans="1:4" ht="12" hidden="1" customHeight="1" outlineLevel="1" x14ac:dyDescent="0.3">
      <c r="A2098" s="238"/>
      <c r="B2098" s="242">
        <v>6400</v>
      </c>
      <c r="C2098" s="248" t="s">
        <v>221</v>
      </c>
      <c r="D2098" s="236">
        <v>0</v>
      </c>
    </row>
    <row r="2099" spans="1:4" ht="12" hidden="1" customHeight="1" outlineLevel="1" x14ac:dyDescent="0.3">
      <c r="A2099" s="238"/>
      <c r="B2099" s="242">
        <v>6500</v>
      </c>
      <c r="C2099" s="249" t="s">
        <v>222</v>
      </c>
      <c r="D2099" s="236">
        <v>0</v>
      </c>
    </row>
    <row r="2100" spans="1:4" ht="12" hidden="1" customHeight="1" outlineLevel="1" x14ac:dyDescent="0.3">
      <c r="A2100" s="238"/>
      <c r="B2100" s="199">
        <v>7000</v>
      </c>
      <c r="C2100" s="200" t="s">
        <v>223</v>
      </c>
      <c r="D2100" s="233">
        <v>0</v>
      </c>
    </row>
    <row r="2101" spans="1:4" ht="12" hidden="1" customHeight="1" outlineLevel="1" x14ac:dyDescent="0.3">
      <c r="A2101" s="238"/>
      <c r="B2101" s="250">
        <v>7200</v>
      </c>
      <c r="C2101" s="251" t="s">
        <v>224</v>
      </c>
      <c r="D2101" s="236">
        <v>0</v>
      </c>
    </row>
    <row r="2102" spans="1:4" ht="12" hidden="1" customHeight="1" outlineLevel="1" x14ac:dyDescent="0.3">
      <c r="A2102" s="238"/>
      <c r="B2102" s="250">
        <v>7500</v>
      </c>
      <c r="C2102" s="251" t="s">
        <v>225</v>
      </c>
      <c r="D2102" s="236">
        <v>0</v>
      </c>
    </row>
    <row r="2103" spans="1:4" ht="12" hidden="1" customHeight="1" outlineLevel="1" x14ac:dyDescent="0.3">
      <c r="A2103" s="238"/>
      <c r="B2103" s="250">
        <v>7700</v>
      </c>
      <c r="C2103" s="251" t="s">
        <v>226</v>
      </c>
      <c r="D2103" s="236">
        <v>0</v>
      </c>
    </row>
    <row r="2104" spans="1:4" ht="15.75" hidden="1" customHeight="1" outlineLevel="1" x14ac:dyDescent="0.3">
      <c r="A2104" s="238"/>
      <c r="B2104" s="252">
        <v>8000</v>
      </c>
      <c r="C2104" s="253" t="s">
        <v>227</v>
      </c>
      <c r="D2104" s="233">
        <v>0</v>
      </c>
    </row>
    <row r="2105" spans="1:4" ht="15.75" hidden="1" customHeight="1" outlineLevel="1" x14ac:dyDescent="0.3">
      <c r="A2105" s="238"/>
      <c r="B2105" s="254">
        <v>8100</v>
      </c>
      <c r="C2105" s="255" t="s">
        <v>228</v>
      </c>
      <c r="D2105" s="236">
        <v>0</v>
      </c>
    </row>
    <row r="2106" spans="1:4" ht="15.75" hidden="1" customHeight="1" outlineLevel="1" x14ac:dyDescent="0.3">
      <c r="A2106" s="238"/>
      <c r="B2106" s="254">
        <v>8600</v>
      </c>
      <c r="C2106" s="255" t="s">
        <v>229</v>
      </c>
      <c r="D2106" s="236">
        <v>0</v>
      </c>
    </row>
    <row r="2107" spans="1:4" ht="15.75" hidden="1" customHeight="1" outlineLevel="1" x14ac:dyDescent="0.3">
      <c r="A2107" s="238"/>
      <c r="B2107" s="254">
        <v>8900</v>
      </c>
      <c r="C2107" s="255" t="s">
        <v>230</v>
      </c>
      <c r="D2107" s="236">
        <v>0</v>
      </c>
    </row>
    <row r="2108" spans="1:4" ht="15.75" hidden="1" customHeight="1" outlineLevel="1" x14ac:dyDescent="0.3">
      <c r="A2108" s="272" t="s">
        <v>348</v>
      </c>
      <c r="B2108" s="273"/>
      <c r="C2108" s="274" t="s">
        <v>349</v>
      </c>
      <c r="D2108" s="275">
        <v>0</v>
      </c>
    </row>
    <row r="2109" spans="1:4" ht="12" hidden="1" customHeight="1" outlineLevel="1" x14ac:dyDescent="0.3">
      <c r="A2109" s="238"/>
      <c r="B2109" s="228"/>
      <c r="C2109" s="229" t="s">
        <v>198</v>
      </c>
      <c r="D2109" s="230">
        <v>0</v>
      </c>
    </row>
    <row r="2110" spans="1:4" ht="12" hidden="1" customHeight="1" outlineLevel="1" x14ac:dyDescent="0.3">
      <c r="A2110" s="238"/>
      <c r="B2110" s="231">
        <v>1000</v>
      </c>
      <c r="C2110" s="232" t="s">
        <v>199</v>
      </c>
      <c r="D2110" s="230">
        <v>0</v>
      </c>
    </row>
    <row r="2111" spans="1:4" ht="12" hidden="1" customHeight="1" outlineLevel="1" x14ac:dyDescent="0.3">
      <c r="A2111" s="238"/>
      <c r="B2111" s="234">
        <v>1100</v>
      </c>
      <c r="C2111" s="235" t="s">
        <v>200</v>
      </c>
      <c r="D2111" s="236"/>
    </row>
    <row r="2112" spans="1:4" ht="12" hidden="1" customHeight="1" outlineLevel="1" x14ac:dyDescent="0.3">
      <c r="A2112" s="238"/>
      <c r="B2112" s="234">
        <v>1200</v>
      </c>
      <c r="C2112" s="237" t="s">
        <v>201</v>
      </c>
      <c r="D2112" s="236"/>
    </row>
    <row r="2113" spans="1:4" ht="12" hidden="1" customHeight="1" outlineLevel="1" x14ac:dyDescent="0.3">
      <c r="A2113" s="238"/>
      <c r="B2113" s="239">
        <v>2000</v>
      </c>
      <c r="C2113" s="240" t="s">
        <v>202</v>
      </c>
      <c r="D2113" s="260">
        <v>0</v>
      </c>
    </row>
    <row r="2114" spans="1:4" ht="12" hidden="1" customHeight="1" outlineLevel="1" x14ac:dyDescent="0.3">
      <c r="A2114" s="238"/>
      <c r="B2114" s="242">
        <v>2100</v>
      </c>
      <c r="C2114" s="243" t="s">
        <v>203</v>
      </c>
      <c r="D2114" s="244"/>
    </row>
    <row r="2115" spans="1:4" ht="12" hidden="1" customHeight="1" outlineLevel="1" x14ac:dyDescent="0.3">
      <c r="A2115" s="238"/>
      <c r="B2115" s="242">
        <v>2200</v>
      </c>
      <c r="C2115" s="243" t="s">
        <v>204</v>
      </c>
      <c r="D2115" s="244"/>
    </row>
    <row r="2116" spans="1:4" ht="12" hidden="1" customHeight="1" outlineLevel="1" x14ac:dyDescent="0.3">
      <c r="A2116" s="238"/>
      <c r="B2116" s="242">
        <v>2300</v>
      </c>
      <c r="C2116" s="243" t="s">
        <v>205</v>
      </c>
      <c r="D2116" s="244"/>
    </row>
    <row r="2117" spans="1:4" ht="12" hidden="1" customHeight="1" outlineLevel="1" x14ac:dyDescent="0.3">
      <c r="A2117" s="238"/>
      <c r="B2117" s="242">
        <v>2400</v>
      </c>
      <c r="C2117" s="243" t="s">
        <v>206</v>
      </c>
      <c r="D2117" s="244"/>
    </row>
    <row r="2118" spans="1:4" ht="12" hidden="1" customHeight="1" outlineLevel="1" x14ac:dyDescent="0.3">
      <c r="A2118" s="238"/>
      <c r="B2118" s="242">
        <v>2500</v>
      </c>
      <c r="C2118" s="243" t="s">
        <v>207</v>
      </c>
      <c r="D2118" s="244"/>
    </row>
    <row r="2119" spans="1:4" ht="12" hidden="1" customHeight="1" outlineLevel="1" x14ac:dyDescent="0.3">
      <c r="A2119" s="238"/>
      <c r="B2119" s="199">
        <v>3000</v>
      </c>
      <c r="C2119" s="245" t="s">
        <v>208</v>
      </c>
      <c r="D2119" s="260">
        <v>0</v>
      </c>
    </row>
    <row r="2120" spans="1:4" ht="12" hidden="1" customHeight="1" outlineLevel="1" x14ac:dyDescent="0.3">
      <c r="A2120" s="238"/>
      <c r="B2120" s="242">
        <v>3200</v>
      </c>
      <c r="C2120" s="243" t="s">
        <v>209</v>
      </c>
      <c r="D2120" s="244"/>
    </row>
    <row r="2121" spans="1:4" ht="12" hidden="1" customHeight="1" outlineLevel="1" x14ac:dyDescent="0.3">
      <c r="A2121" s="238"/>
      <c r="B2121" s="242">
        <v>3300</v>
      </c>
      <c r="C2121" s="243" t="s">
        <v>210</v>
      </c>
      <c r="D2121" s="244"/>
    </row>
    <row r="2122" spans="1:4" ht="12" hidden="1" customHeight="1" outlineLevel="1" x14ac:dyDescent="0.3">
      <c r="A2122" s="238"/>
      <c r="B2122" s="199">
        <v>4000</v>
      </c>
      <c r="C2122" s="246" t="s">
        <v>211</v>
      </c>
      <c r="D2122" s="260">
        <v>0</v>
      </c>
    </row>
    <row r="2123" spans="1:4" ht="12" hidden="1" customHeight="1" outlineLevel="1" x14ac:dyDescent="0.3">
      <c r="A2123" s="238"/>
      <c r="B2123" s="242">
        <v>4200</v>
      </c>
      <c r="C2123" s="247" t="s">
        <v>212</v>
      </c>
      <c r="D2123" s="244"/>
    </row>
    <row r="2124" spans="1:4" ht="12" hidden="1" customHeight="1" outlineLevel="1" x14ac:dyDescent="0.3">
      <c r="A2124" s="238"/>
      <c r="B2124" s="242">
        <v>4300</v>
      </c>
      <c r="C2124" s="247" t="s">
        <v>213</v>
      </c>
      <c r="D2124" s="244"/>
    </row>
    <row r="2125" spans="1:4" ht="12" hidden="1" customHeight="1" outlineLevel="1" x14ac:dyDescent="0.3">
      <c r="A2125" s="238"/>
      <c r="B2125" s="199">
        <v>5000</v>
      </c>
      <c r="C2125" s="200" t="s">
        <v>214</v>
      </c>
      <c r="D2125" s="260">
        <v>0</v>
      </c>
    </row>
    <row r="2126" spans="1:4" ht="12" hidden="1" customHeight="1" outlineLevel="1" x14ac:dyDescent="0.3">
      <c r="A2126" s="238"/>
      <c r="B2126" s="242">
        <v>5100</v>
      </c>
      <c r="C2126" s="248" t="s">
        <v>215</v>
      </c>
      <c r="D2126" s="260"/>
    </row>
    <row r="2127" spans="1:4" ht="12" hidden="1" customHeight="1" outlineLevel="1" x14ac:dyDescent="0.3">
      <c r="A2127" s="238"/>
      <c r="B2127" s="242">
        <v>5200</v>
      </c>
      <c r="C2127" s="248" t="s">
        <v>216</v>
      </c>
      <c r="D2127" s="260"/>
    </row>
    <row r="2128" spans="1:4" ht="12" hidden="1" customHeight="1" outlineLevel="1" x14ac:dyDescent="0.3">
      <c r="A2128" s="238"/>
      <c r="B2128" s="242">
        <v>5300</v>
      </c>
      <c r="C2128" s="249" t="s">
        <v>217</v>
      </c>
      <c r="D2128" s="260"/>
    </row>
    <row r="2129" spans="1:4" ht="12" hidden="1" customHeight="1" outlineLevel="1" x14ac:dyDescent="0.3">
      <c r="A2129" s="238"/>
      <c r="B2129" s="199">
        <v>6000</v>
      </c>
      <c r="C2129" s="200" t="s">
        <v>218</v>
      </c>
      <c r="D2129" s="260">
        <v>0</v>
      </c>
    </row>
    <row r="2130" spans="1:4" ht="12" hidden="1" customHeight="1" outlineLevel="1" x14ac:dyDescent="0.3">
      <c r="A2130" s="238"/>
      <c r="B2130" s="242">
        <v>6200</v>
      </c>
      <c r="C2130" s="248" t="s">
        <v>219</v>
      </c>
      <c r="D2130" s="244"/>
    </row>
    <row r="2131" spans="1:4" ht="12" hidden="1" customHeight="1" outlineLevel="1" x14ac:dyDescent="0.3">
      <c r="A2131" s="238"/>
      <c r="B2131" s="242">
        <v>6300</v>
      </c>
      <c r="C2131" s="248" t="s">
        <v>220</v>
      </c>
      <c r="D2131" s="244"/>
    </row>
    <row r="2132" spans="1:4" ht="12" hidden="1" customHeight="1" outlineLevel="1" x14ac:dyDescent="0.3">
      <c r="A2132" s="238"/>
      <c r="B2132" s="242">
        <v>6400</v>
      </c>
      <c r="C2132" s="248" t="s">
        <v>221</v>
      </c>
      <c r="D2132" s="244"/>
    </row>
    <row r="2133" spans="1:4" ht="12" hidden="1" customHeight="1" outlineLevel="1" x14ac:dyDescent="0.3">
      <c r="A2133" s="238"/>
      <c r="B2133" s="242">
        <v>6500</v>
      </c>
      <c r="C2133" s="249" t="s">
        <v>222</v>
      </c>
      <c r="D2133" s="244"/>
    </row>
    <row r="2134" spans="1:4" ht="12" hidden="1" customHeight="1" outlineLevel="1" x14ac:dyDescent="0.3">
      <c r="A2134" s="238"/>
      <c r="B2134" s="199">
        <v>7000</v>
      </c>
      <c r="C2134" s="200" t="s">
        <v>223</v>
      </c>
      <c r="D2134" s="260">
        <v>0</v>
      </c>
    </row>
    <row r="2135" spans="1:4" ht="12" hidden="1" customHeight="1" outlineLevel="1" x14ac:dyDescent="0.3">
      <c r="A2135" s="238"/>
      <c r="B2135" s="250">
        <v>7200</v>
      </c>
      <c r="C2135" s="251" t="s">
        <v>224</v>
      </c>
      <c r="D2135" s="244"/>
    </row>
    <row r="2136" spans="1:4" ht="12" hidden="1" customHeight="1" outlineLevel="1" x14ac:dyDescent="0.3">
      <c r="A2136" s="238"/>
      <c r="B2136" s="250">
        <v>7500</v>
      </c>
      <c r="C2136" s="251" t="s">
        <v>225</v>
      </c>
      <c r="D2136" s="244"/>
    </row>
    <row r="2137" spans="1:4" ht="12" hidden="1" customHeight="1" outlineLevel="1" x14ac:dyDescent="0.3">
      <c r="A2137" s="238"/>
      <c r="B2137" s="250">
        <v>7700</v>
      </c>
      <c r="C2137" s="251" t="s">
        <v>226</v>
      </c>
      <c r="D2137" s="244"/>
    </row>
    <row r="2138" spans="1:4" ht="12" hidden="1" customHeight="1" outlineLevel="1" x14ac:dyDescent="0.3">
      <c r="A2138" s="238"/>
      <c r="B2138" s="252">
        <v>8000</v>
      </c>
      <c r="C2138" s="253" t="s">
        <v>227</v>
      </c>
      <c r="D2138" s="260">
        <v>0</v>
      </c>
    </row>
    <row r="2139" spans="1:4" ht="12" hidden="1" customHeight="1" outlineLevel="1" x14ac:dyDescent="0.3">
      <c r="A2139" s="238"/>
      <c r="B2139" s="254">
        <v>8100</v>
      </c>
      <c r="C2139" s="255" t="s">
        <v>228</v>
      </c>
      <c r="D2139" s="260"/>
    </row>
    <row r="2140" spans="1:4" ht="12" hidden="1" customHeight="1" outlineLevel="1" x14ac:dyDescent="0.3">
      <c r="A2140" s="238"/>
      <c r="B2140" s="254">
        <v>8600</v>
      </c>
      <c r="C2140" s="255" t="s">
        <v>229</v>
      </c>
      <c r="D2140" s="260"/>
    </row>
    <row r="2141" spans="1:4" ht="12" hidden="1" customHeight="1" outlineLevel="1" x14ac:dyDescent="0.3">
      <c r="A2141" s="238"/>
      <c r="B2141" s="254">
        <v>8900</v>
      </c>
      <c r="C2141" s="255" t="s">
        <v>230</v>
      </c>
      <c r="D2141" s="260"/>
    </row>
    <row r="2142" spans="1:4" ht="12" hidden="1" customHeight="1" outlineLevel="1" x14ac:dyDescent="0.3">
      <c r="A2142" s="272" t="s">
        <v>350</v>
      </c>
      <c r="B2142" s="273"/>
      <c r="C2142" s="274" t="s">
        <v>351</v>
      </c>
      <c r="D2142" s="275">
        <v>0</v>
      </c>
    </row>
    <row r="2143" spans="1:4" ht="12" hidden="1" customHeight="1" outlineLevel="1" x14ac:dyDescent="0.3">
      <c r="A2143" s="238"/>
      <c r="B2143" s="228"/>
      <c r="C2143" s="229" t="s">
        <v>198</v>
      </c>
      <c r="D2143" s="230">
        <v>0</v>
      </c>
    </row>
    <row r="2144" spans="1:4" ht="12" hidden="1" customHeight="1" outlineLevel="1" x14ac:dyDescent="0.3">
      <c r="A2144" s="238"/>
      <c r="B2144" s="231">
        <v>1000</v>
      </c>
      <c r="C2144" s="232" t="s">
        <v>199</v>
      </c>
      <c r="D2144" s="230">
        <v>0</v>
      </c>
    </row>
    <row r="2145" spans="1:4" ht="12" hidden="1" customHeight="1" outlineLevel="1" x14ac:dyDescent="0.3">
      <c r="A2145" s="238"/>
      <c r="B2145" s="234">
        <v>1100</v>
      </c>
      <c r="C2145" s="235" t="s">
        <v>200</v>
      </c>
      <c r="D2145" s="236"/>
    </row>
    <row r="2146" spans="1:4" ht="12" hidden="1" customHeight="1" outlineLevel="1" x14ac:dyDescent="0.3">
      <c r="A2146" s="238"/>
      <c r="B2146" s="234">
        <v>1200</v>
      </c>
      <c r="C2146" s="237" t="s">
        <v>201</v>
      </c>
      <c r="D2146" s="236"/>
    </row>
    <row r="2147" spans="1:4" ht="12" hidden="1" customHeight="1" outlineLevel="1" x14ac:dyDescent="0.3">
      <c r="A2147" s="238"/>
      <c r="B2147" s="239">
        <v>2000</v>
      </c>
      <c r="C2147" s="240" t="s">
        <v>202</v>
      </c>
      <c r="D2147" s="260">
        <v>0</v>
      </c>
    </row>
    <row r="2148" spans="1:4" ht="12" hidden="1" customHeight="1" outlineLevel="1" x14ac:dyDescent="0.3">
      <c r="A2148" s="238"/>
      <c r="B2148" s="242">
        <v>2100</v>
      </c>
      <c r="C2148" s="243" t="s">
        <v>203</v>
      </c>
      <c r="D2148" s="244"/>
    </row>
    <row r="2149" spans="1:4" ht="12" hidden="1" customHeight="1" outlineLevel="1" x14ac:dyDescent="0.3">
      <c r="A2149" s="238"/>
      <c r="B2149" s="242">
        <v>2200</v>
      </c>
      <c r="C2149" s="243" t="s">
        <v>204</v>
      </c>
      <c r="D2149" s="244"/>
    </row>
    <row r="2150" spans="1:4" ht="12" hidden="1" customHeight="1" outlineLevel="1" x14ac:dyDescent="0.3">
      <c r="A2150" s="238"/>
      <c r="B2150" s="242">
        <v>2300</v>
      </c>
      <c r="C2150" s="243" t="s">
        <v>205</v>
      </c>
      <c r="D2150" s="244"/>
    </row>
    <row r="2151" spans="1:4" ht="12" hidden="1" customHeight="1" outlineLevel="1" x14ac:dyDescent="0.3">
      <c r="A2151" s="238"/>
      <c r="B2151" s="242">
        <v>2400</v>
      </c>
      <c r="C2151" s="243" t="s">
        <v>206</v>
      </c>
      <c r="D2151" s="244"/>
    </row>
    <row r="2152" spans="1:4" ht="12" hidden="1" customHeight="1" outlineLevel="1" x14ac:dyDescent="0.3">
      <c r="A2152" s="238"/>
      <c r="B2152" s="242">
        <v>2500</v>
      </c>
      <c r="C2152" s="243" t="s">
        <v>207</v>
      </c>
      <c r="D2152" s="244"/>
    </row>
    <row r="2153" spans="1:4" ht="12" hidden="1" customHeight="1" outlineLevel="1" x14ac:dyDescent="0.3">
      <c r="A2153" s="238"/>
      <c r="B2153" s="199">
        <v>3000</v>
      </c>
      <c r="C2153" s="245" t="s">
        <v>208</v>
      </c>
      <c r="D2153" s="260">
        <v>0</v>
      </c>
    </row>
    <row r="2154" spans="1:4" ht="12" hidden="1" customHeight="1" outlineLevel="1" x14ac:dyDescent="0.3">
      <c r="A2154" s="238"/>
      <c r="B2154" s="242">
        <v>3200</v>
      </c>
      <c r="C2154" s="243" t="s">
        <v>209</v>
      </c>
      <c r="D2154" s="244"/>
    </row>
    <row r="2155" spans="1:4" ht="12" hidden="1" customHeight="1" outlineLevel="1" x14ac:dyDescent="0.3">
      <c r="A2155" s="238"/>
      <c r="B2155" s="242">
        <v>3300</v>
      </c>
      <c r="C2155" s="243" t="s">
        <v>210</v>
      </c>
      <c r="D2155" s="244"/>
    </row>
    <row r="2156" spans="1:4" ht="12" hidden="1" customHeight="1" outlineLevel="1" x14ac:dyDescent="0.3">
      <c r="A2156" s="238"/>
      <c r="B2156" s="199">
        <v>4000</v>
      </c>
      <c r="C2156" s="246" t="s">
        <v>211</v>
      </c>
      <c r="D2156" s="260">
        <v>0</v>
      </c>
    </row>
    <row r="2157" spans="1:4" ht="12" hidden="1" customHeight="1" outlineLevel="1" x14ac:dyDescent="0.3">
      <c r="A2157" s="238"/>
      <c r="B2157" s="242">
        <v>4200</v>
      </c>
      <c r="C2157" s="247" t="s">
        <v>212</v>
      </c>
      <c r="D2157" s="244"/>
    </row>
    <row r="2158" spans="1:4" ht="12" hidden="1" customHeight="1" outlineLevel="1" x14ac:dyDescent="0.3">
      <c r="A2158" s="238"/>
      <c r="B2158" s="242">
        <v>4300</v>
      </c>
      <c r="C2158" s="247" t="s">
        <v>213</v>
      </c>
      <c r="D2158" s="244"/>
    </row>
    <row r="2159" spans="1:4" ht="12" hidden="1" customHeight="1" outlineLevel="1" x14ac:dyDescent="0.3">
      <c r="A2159" s="238"/>
      <c r="B2159" s="199">
        <v>5000</v>
      </c>
      <c r="C2159" s="200" t="s">
        <v>214</v>
      </c>
      <c r="D2159" s="260">
        <v>0</v>
      </c>
    </row>
    <row r="2160" spans="1:4" ht="12" hidden="1" customHeight="1" outlineLevel="1" x14ac:dyDescent="0.3">
      <c r="A2160" s="238"/>
      <c r="B2160" s="242">
        <v>5100</v>
      </c>
      <c r="C2160" s="248" t="s">
        <v>215</v>
      </c>
      <c r="D2160" s="260"/>
    </row>
    <row r="2161" spans="1:4" ht="12" hidden="1" customHeight="1" outlineLevel="1" x14ac:dyDescent="0.3">
      <c r="A2161" s="238"/>
      <c r="B2161" s="242">
        <v>5200</v>
      </c>
      <c r="C2161" s="248" t="s">
        <v>216</v>
      </c>
      <c r="D2161" s="260"/>
    </row>
    <row r="2162" spans="1:4" ht="12" hidden="1" customHeight="1" outlineLevel="1" x14ac:dyDescent="0.3">
      <c r="A2162" s="238"/>
      <c r="B2162" s="242">
        <v>5300</v>
      </c>
      <c r="C2162" s="249" t="s">
        <v>217</v>
      </c>
      <c r="D2162" s="260"/>
    </row>
    <row r="2163" spans="1:4" ht="12" hidden="1" customHeight="1" outlineLevel="1" x14ac:dyDescent="0.3">
      <c r="A2163" s="238"/>
      <c r="B2163" s="199">
        <v>6000</v>
      </c>
      <c r="C2163" s="200" t="s">
        <v>218</v>
      </c>
      <c r="D2163" s="260">
        <v>0</v>
      </c>
    </row>
    <row r="2164" spans="1:4" ht="12" hidden="1" customHeight="1" outlineLevel="1" x14ac:dyDescent="0.3">
      <c r="A2164" s="238"/>
      <c r="B2164" s="242">
        <v>6200</v>
      </c>
      <c r="C2164" s="248" t="s">
        <v>219</v>
      </c>
      <c r="D2164" s="244"/>
    </row>
    <row r="2165" spans="1:4" ht="12" hidden="1" customHeight="1" outlineLevel="1" x14ac:dyDescent="0.3">
      <c r="A2165" s="238"/>
      <c r="B2165" s="242">
        <v>6300</v>
      </c>
      <c r="C2165" s="248" t="s">
        <v>220</v>
      </c>
      <c r="D2165" s="244"/>
    </row>
    <row r="2166" spans="1:4" ht="12" hidden="1" customHeight="1" outlineLevel="1" x14ac:dyDescent="0.3">
      <c r="A2166" s="238"/>
      <c r="B2166" s="242">
        <v>6400</v>
      </c>
      <c r="C2166" s="248" t="s">
        <v>221</v>
      </c>
      <c r="D2166" s="244"/>
    </row>
    <row r="2167" spans="1:4" ht="12" hidden="1" customHeight="1" outlineLevel="1" x14ac:dyDescent="0.3">
      <c r="A2167" s="238"/>
      <c r="B2167" s="242">
        <v>6500</v>
      </c>
      <c r="C2167" s="249" t="s">
        <v>222</v>
      </c>
      <c r="D2167" s="244"/>
    </row>
    <row r="2168" spans="1:4" ht="12" hidden="1" customHeight="1" outlineLevel="1" x14ac:dyDescent="0.3">
      <c r="A2168" s="238"/>
      <c r="B2168" s="199">
        <v>7000</v>
      </c>
      <c r="C2168" s="200" t="s">
        <v>223</v>
      </c>
      <c r="D2168" s="260">
        <v>0</v>
      </c>
    </row>
    <row r="2169" spans="1:4" ht="12" hidden="1" customHeight="1" outlineLevel="1" x14ac:dyDescent="0.3">
      <c r="A2169" s="238"/>
      <c r="B2169" s="250">
        <v>7200</v>
      </c>
      <c r="C2169" s="251" t="s">
        <v>224</v>
      </c>
      <c r="D2169" s="244"/>
    </row>
    <row r="2170" spans="1:4" ht="12" hidden="1" customHeight="1" outlineLevel="1" x14ac:dyDescent="0.3">
      <c r="A2170" s="238"/>
      <c r="B2170" s="250">
        <v>7500</v>
      </c>
      <c r="C2170" s="251" t="s">
        <v>225</v>
      </c>
      <c r="D2170" s="244"/>
    </row>
    <row r="2171" spans="1:4" ht="12" hidden="1" customHeight="1" outlineLevel="1" x14ac:dyDescent="0.3">
      <c r="A2171" s="238"/>
      <c r="B2171" s="250">
        <v>7700</v>
      </c>
      <c r="C2171" s="251" t="s">
        <v>226</v>
      </c>
      <c r="D2171" s="244"/>
    </row>
    <row r="2172" spans="1:4" ht="12" hidden="1" customHeight="1" outlineLevel="1" x14ac:dyDescent="0.3">
      <c r="A2172" s="238"/>
      <c r="B2172" s="252">
        <v>8000</v>
      </c>
      <c r="C2172" s="253" t="s">
        <v>227</v>
      </c>
      <c r="D2172" s="260">
        <v>0</v>
      </c>
    </row>
    <row r="2173" spans="1:4" ht="12" hidden="1" customHeight="1" outlineLevel="1" x14ac:dyDescent="0.3">
      <c r="A2173" s="238"/>
      <c r="B2173" s="254">
        <v>8100</v>
      </c>
      <c r="C2173" s="255" t="s">
        <v>228</v>
      </c>
      <c r="D2173" s="260"/>
    </row>
    <row r="2174" spans="1:4" ht="12" hidden="1" customHeight="1" outlineLevel="1" x14ac:dyDescent="0.3">
      <c r="A2174" s="238"/>
      <c r="B2174" s="254">
        <v>8600</v>
      </c>
      <c r="C2174" s="255" t="s">
        <v>229</v>
      </c>
      <c r="D2174" s="260"/>
    </row>
    <row r="2175" spans="1:4" ht="12" hidden="1" customHeight="1" outlineLevel="1" x14ac:dyDescent="0.3">
      <c r="A2175" s="238"/>
      <c r="B2175" s="254">
        <v>8900</v>
      </c>
      <c r="C2175" s="255" t="s">
        <v>230</v>
      </c>
      <c r="D2175" s="260"/>
    </row>
    <row r="2176" spans="1:4" ht="12" hidden="1" customHeight="1" outlineLevel="1" x14ac:dyDescent="0.3">
      <c r="A2176" s="272" t="s">
        <v>352</v>
      </c>
      <c r="B2176" s="273"/>
      <c r="C2176" s="274" t="s">
        <v>353</v>
      </c>
      <c r="D2176" s="275">
        <v>0</v>
      </c>
    </row>
    <row r="2177" spans="1:4" ht="12" hidden="1" customHeight="1" outlineLevel="1" x14ac:dyDescent="0.3">
      <c r="A2177" s="238"/>
      <c r="B2177" s="228"/>
      <c r="C2177" s="229" t="s">
        <v>198</v>
      </c>
      <c r="D2177" s="230">
        <v>0</v>
      </c>
    </row>
    <row r="2178" spans="1:4" ht="12" hidden="1" customHeight="1" outlineLevel="1" x14ac:dyDescent="0.3">
      <c r="A2178" s="238"/>
      <c r="B2178" s="231">
        <v>1000</v>
      </c>
      <c r="C2178" s="232" t="s">
        <v>199</v>
      </c>
      <c r="D2178" s="230">
        <v>0</v>
      </c>
    </row>
    <row r="2179" spans="1:4" ht="12" hidden="1" customHeight="1" outlineLevel="1" x14ac:dyDescent="0.3">
      <c r="A2179" s="238"/>
      <c r="B2179" s="234">
        <v>1100</v>
      </c>
      <c r="C2179" s="235" t="s">
        <v>200</v>
      </c>
      <c r="D2179" s="236"/>
    </row>
    <row r="2180" spans="1:4" ht="12" hidden="1" customHeight="1" outlineLevel="1" x14ac:dyDescent="0.3">
      <c r="A2180" s="238"/>
      <c r="B2180" s="234">
        <v>1200</v>
      </c>
      <c r="C2180" s="237" t="s">
        <v>201</v>
      </c>
      <c r="D2180" s="236"/>
    </row>
    <row r="2181" spans="1:4" ht="12" hidden="1" customHeight="1" outlineLevel="1" x14ac:dyDescent="0.3">
      <c r="A2181" s="238"/>
      <c r="B2181" s="239">
        <v>2000</v>
      </c>
      <c r="C2181" s="240" t="s">
        <v>202</v>
      </c>
      <c r="D2181" s="260">
        <v>0</v>
      </c>
    </row>
    <row r="2182" spans="1:4" ht="12" hidden="1" customHeight="1" outlineLevel="1" x14ac:dyDescent="0.3">
      <c r="A2182" s="238"/>
      <c r="B2182" s="242">
        <v>2100</v>
      </c>
      <c r="C2182" s="243" t="s">
        <v>203</v>
      </c>
      <c r="D2182" s="244"/>
    </row>
    <row r="2183" spans="1:4" ht="12" hidden="1" customHeight="1" outlineLevel="1" x14ac:dyDescent="0.3">
      <c r="A2183" s="238"/>
      <c r="B2183" s="242">
        <v>2200</v>
      </c>
      <c r="C2183" s="243" t="s">
        <v>204</v>
      </c>
      <c r="D2183" s="244"/>
    </row>
    <row r="2184" spans="1:4" ht="12" hidden="1" customHeight="1" outlineLevel="1" x14ac:dyDescent="0.3">
      <c r="A2184" s="238"/>
      <c r="B2184" s="242">
        <v>2300</v>
      </c>
      <c r="C2184" s="243" t="s">
        <v>205</v>
      </c>
      <c r="D2184" s="244"/>
    </row>
    <row r="2185" spans="1:4" ht="12" hidden="1" customHeight="1" outlineLevel="1" x14ac:dyDescent="0.3">
      <c r="A2185" s="238"/>
      <c r="B2185" s="242">
        <v>2400</v>
      </c>
      <c r="C2185" s="243" t="s">
        <v>206</v>
      </c>
      <c r="D2185" s="244"/>
    </row>
    <row r="2186" spans="1:4" ht="12" hidden="1" customHeight="1" outlineLevel="1" x14ac:dyDescent="0.3">
      <c r="A2186" s="238"/>
      <c r="B2186" s="242">
        <v>2500</v>
      </c>
      <c r="C2186" s="243" t="s">
        <v>207</v>
      </c>
      <c r="D2186" s="244"/>
    </row>
    <row r="2187" spans="1:4" ht="12" hidden="1" customHeight="1" outlineLevel="1" x14ac:dyDescent="0.3">
      <c r="A2187" s="238"/>
      <c r="B2187" s="199">
        <v>3000</v>
      </c>
      <c r="C2187" s="245" t="s">
        <v>208</v>
      </c>
      <c r="D2187" s="260">
        <v>0</v>
      </c>
    </row>
    <row r="2188" spans="1:4" ht="12" hidden="1" customHeight="1" outlineLevel="1" x14ac:dyDescent="0.3">
      <c r="A2188" s="238"/>
      <c r="B2188" s="242">
        <v>3200</v>
      </c>
      <c r="C2188" s="243" t="s">
        <v>209</v>
      </c>
      <c r="D2188" s="244"/>
    </row>
    <row r="2189" spans="1:4" ht="12" hidden="1" customHeight="1" outlineLevel="1" x14ac:dyDescent="0.3">
      <c r="A2189" s="238"/>
      <c r="B2189" s="242">
        <v>3300</v>
      </c>
      <c r="C2189" s="243" t="s">
        <v>210</v>
      </c>
      <c r="D2189" s="244"/>
    </row>
    <row r="2190" spans="1:4" ht="12" hidden="1" customHeight="1" outlineLevel="1" x14ac:dyDescent="0.3">
      <c r="A2190" s="238"/>
      <c r="B2190" s="199">
        <v>4000</v>
      </c>
      <c r="C2190" s="246" t="s">
        <v>211</v>
      </c>
      <c r="D2190" s="260">
        <v>0</v>
      </c>
    </row>
    <row r="2191" spans="1:4" ht="12" hidden="1" customHeight="1" outlineLevel="1" x14ac:dyDescent="0.3">
      <c r="A2191" s="238"/>
      <c r="B2191" s="242">
        <v>4200</v>
      </c>
      <c r="C2191" s="247" t="s">
        <v>212</v>
      </c>
      <c r="D2191" s="244"/>
    </row>
    <row r="2192" spans="1:4" ht="12" hidden="1" customHeight="1" outlineLevel="1" x14ac:dyDescent="0.3">
      <c r="A2192" s="238"/>
      <c r="B2192" s="242">
        <v>4300</v>
      </c>
      <c r="C2192" s="247" t="s">
        <v>213</v>
      </c>
      <c r="D2192" s="244"/>
    </row>
    <row r="2193" spans="1:4" ht="12" hidden="1" customHeight="1" outlineLevel="1" x14ac:dyDescent="0.3">
      <c r="A2193" s="238"/>
      <c r="B2193" s="199">
        <v>5000</v>
      </c>
      <c r="C2193" s="200" t="s">
        <v>214</v>
      </c>
      <c r="D2193" s="260">
        <v>0</v>
      </c>
    </row>
    <row r="2194" spans="1:4" ht="12" hidden="1" customHeight="1" outlineLevel="1" x14ac:dyDescent="0.3">
      <c r="A2194" s="238"/>
      <c r="B2194" s="242">
        <v>5100</v>
      </c>
      <c r="C2194" s="248" t="s">
        <v>215</v>
      </c>
      <c r="D2194" s="260"/>
    </row>
    <row r="2195" spans="1:4" ht="12" hidden="1" customHeight="1" outlineLevel="1" x14ac:dyDescent="0.3">
      <c r="A2195" s="238"/>
      <c r="B2195" s="242">
        <v>5200</v>
      </c>
      <c r="C2195" s="248" t="s">
        <v>216</v>
      </c>
      <c r="D2195" s="260"/>
    </row>
    <row r="2196" spans="1:4" ht="12" hidden="1" customHeight="1" outlineLevel="1" x14ac:dyDescent="0.3">
      <c r="A2196" s="238"/>
      <c r="B2196" s="242">
        <v>5300</v>
      </c>
      <c r="C2196" s="249" t="s">
        <v>217</v>
      </c>
      <c r="D2196" s="260"/>
    </row>
    <row r="2197" spans="1:4" ht="12" hidden="1" customHeight="1" outlineLevel="1" x14ac:dyDescent="0.3">
      <c r="A2197" s="238"/>
      <c r="B2197" s="199">
        <v>6000</v>
      </c>
      <c r="C2197" s="200" t="s">
        <v>218</v>
      </c>
      <c r="D2197" s="260">
        <v>0</v>
      </c>
    </row>
    <row r="2198" spans="1:4" ht="12" hidden="1" customHeight="1" outlineLevel="1" x14ac:dyDescent="0.3">
      <c r="A2198" s="238"/>
      <c r="B2198" s="242">
        <v>6200</v>
      </c>
      <c r="C2198" s="248" t="s">
        <v>219</v>
      </c>
      <c r="D2198" s="244"/>
    </row>
    <row r="2199" spans="1:4" ht="12" hidden="1" customHeight="1" outlineLevel="1" x14ac:dyDescent="0.3">
      <c r="A2199" s="238"/>
      <c r="B2199" s="242">
        <v>6300</v>
      </c>
      <c r="C2199" s="248" t="s">
        <v>220</v>
      </c>
      <c r="D2199" s="244"/>
    </row>
    <row r="2200" spans="1:4" ht="12" hidden="1" customHeight="1" outlineLevel="1" x14ac:dyDescent="0.3">
      <c r="A2200" s="238"/>
      <c r="B2200" s="242">
        <v>6400</v>
      </c>
      <c r="C2200" s="248" t="s">
        <v>221</v>
      </c>
      <c r="D2200" s="244"/>
    </row>
    <row r="2201" spans="1:4" ht="12" hidden="1" customHeight="1" outlineLevel="1" x14ac:dyDescent="0.3">
      <c r="A2201" s="238"/>
      <c r="B2201" s="242">
        <v>6500</v>
      </c>
      <c r="C2201" s="249" t="s">
        <v>222</v>
      </c>
      <c r="D2201" s="244"/>
    </row>
    <row r="2202" spans="1:4" ht="12" hidden="1" customHeight="1" outlineLevel="1" x14ac:dyDescent="0.3">
      <c r="A2202" s="238"/>
      <c r="B2202" s="199">
        <v>7000</v>
      </c>
      <c r="C2202" s="200" t="s">
        <v>223</v>
      </c>
      <c r="D2202" s="260">
        <v>0</v>
      </c>
    </row>
    <row r="2203" spans="1:4" ht="12" hidden="1" customHeight="1" outlineLevel="1" x14ac:dyDescent="0.3">
      <c r="A2203" s="238"/>
      <c r="B2203" s="250">
        <v>7200</v>
      </c>
      <c r="C2203" s="251" t="s">
        <v>224</v>
      </c>
      <c r="D2203" s="244"/>
    </row>
    <row r="2204" spans="1:4" ht="12" hidden="1" customHeight="1" outlineLevel="1" x14ac:dyDescent="0.3">
      <c r="A2204" s="238"/>
      <c r="B2204" s="250">
        <v>7500</v>
      </c>
      <c r="C2204" s="251" t="s">
        <v>225</v>
      </c>
      <c r="D2204" s="244"/>
    </row>
    <row r="2205" spans="1:4" ht="12" hidden="1" customHeight="1" outlineLevel="1" x14ac:dyDescent="0.3">
      <c r="A2205" s="238"/>
      <c r="B2205" s="250">
        <v>7700</v>
      </c>
      <c r="C2205" s="251" t="s">
        <v>226</v>
      </c>
      <c r="D2205" s="244"/>
    </row>
    <row r="2206" spans="1:4" ht="12" hidden="1" customHeight="1" outlineLevel="1" x14ac:dyDescent="0.3">
      <c r="A2206" s="238"/>
      <c r="B2206" s="252">
        <v>8000</v>
      </c>
      <c r="C2206" s="253" t="s">
        <v>227</v>
      </c>
      <c r="D2206" s="260">
        <v>0</v>
      </c>
    </row>
    <row r="2207" spans="1:4" ht="12" hidden="1" customHeight="1" outlineLevel="1" x14ac:dyDescent="0.3">
      <c r="A2207" s="238"/>
      <c r="B2207" s="254">
        <v>8100</v>
      </c>
      <c r="C2207" s="255" t="s">
        <v>228</v>
      </c>
      <c r="D2207" s="260"/>
    </row>
    <row r="2208" spans="1:4" ht="12" hidden="1" customHeight="1" outlineLevel="1" x14ac:dyDescent="0.3">
      <c r="A2208" s="238"/>
      <c r="B2208" s="254">
        <v>8600</v>
      </c>
      <c r="C2208" s="255" t="s">
        <v>229</v>
      </c>
      <c r="D2208" s="260"/>
    </row>
    <row r="2209" spans="1:4" ht="12" hidden="1" customHeight="1" outlineLevel="1" x14ac:dyDescent="0.3">
      <c r="A2209" s="238"/>
      <c r="B2209" s="254">
        <v>8900</v>
      </c>
      <c r="C2209" s="255" t="s">
        <v>230</v>
      </c>
      <c r="D2209" s="260"/>
    </row>
    <row r="2210" spans="1:4" ht="12" hidden="1" customHeight="1" outlineLevel="1" x14ac:dyDescent="0.3">
      <c r="A2210" s="272" t="s">
        <v>354</v>
      </c>
      <c r="B2210" s="273"/>
      <c r="C2210" s="274" t="s">
        <v>355</v>
      </c>
      <c r="D2210" s="275">
        <v>0</v>
      </c>
    </row>
    <row r="2211" spans="1:4" ht="12" hidden="1" customHeight="1" outlineLevel="1" x14ac:dyDescent="0.3">
      <c r="A2211" s="238"/>
      <c r="B2211" s="228"/>
      <c r="C2211" s="229" t="s">
        <v>198</v>
      </c>
      <c r="D2211" s="230">
        <v>0</v>
      </c>
    </row>
    <row r="2212" spans="1:4" ht="12" hidden="1" customHeight="1" outlineLevel="1" x14ac:dyDescent="0.3">
      <c r="A2212" s="238"/>
      <c r="B2212" s="231">
        <v>1000</v>
      </c>
      <c r="C2212" s="232" t="s">
        <v>199</v>
      </c>
      <c r="D2212" s="230">
        <v>0</v>
      </c>
    </row>
    <row r="2213" spans="1:4" ht="12" hidden="1" customHeight="1" outlineLevel="1" x14ac:dyDescent="0.3">
      <c r="A2213" s="238"/>
      <c r="B2213" s="234">
        <v>1100</v>
      </c>
      <c r="C2213" s="235" t="s">
        <v>200</v>
      </c>
      <c r="D2213" s="236"/>
    </row>
    <row r="2214" spans="1:4" ht="12" hidden="1" customHeight="1" outlineLevel="1" x14ac:dyDescent="0.3">
      <c r="A2214" s="238"/>
      <c r="B2214" s="234">
        <v>1200</v>
      </c>
      <c r="C2214" s="237" t="s">
        <v>201</v>
      </c>
      <c r="D2214" s="236"/>
    </row>
    <row r="2215" spans="1:4" ht="12" hidden="1" customHeight="1" outlineLevel="1" x14ac:dyDescent="0.3">
      <c r="A2215" s="238"/>
      <c r="B2215" s="239">
        <v>2000</v>
      </c>
      <c r="C2215" s="240" t="s">
        <v>202</v>
      </c>
      <c r="D2215" s="260">
        <v>0</v>
      </c>
    </row>
    <row r="2216" spans="1:4" ht="12" hidden="1" customHeight="1" outlineLevel="1" x14ac:dyDescent="0.3">
      <c r="A2216" s="238"/>
      <c r="B2216" s="242">
        <v>2100</v>
      </c>
      <c r="C2216" s="243" t="s">
        <v>203</v>
      </c>
      <c r="D2216" s="244"/>
    </row>
    <row r="2217" spans="1:4" ht="12" hidden="1" customHeight="1" outlineLevel="1" x14ac:dyDescent="0.3">
      <c r="A2217" s="238"/>
      <c r="B2217" s="242">
        <v>2200</v>
      </c>
      <c r="C2217" s="243" t="s">
        <v>204</v>
      </c>
      <c r="D2217" s="244"/>
    </row>
    <row r="2218" spans="1:4" ht="12" hidden="1" customHeight="1" outlineLevel="1" x14ac:dyDescent="0.3">
      <c r="A2218" s="238"/>
      <c r="B2218" s="242">
        <v>2300</v>
      </c>
      <c r="C2218" s="243" t="s">
        <v>205</v>
      </c>
      <c r="D2218" s="244"/>
    </row>
    <row r="2219" spans="1:4" ht="12" hidden="1" customHeight="1" outlineLevel="1" x14ac:dyDescent="0.3">
      <c r="A2219" s="238"/>
      <c r="B2219" s="242">
        <v>2400</v>
      </c>
      <c r="C2219" s="243" t="s">
        <v>206</v>
      </c>
      <c r="D2219" s="244"/>
    </row>
    <row r="2220" spans="1:4" ht="12" hidden="1" customHeight="1" outlineLevel="1" x14ac:dyDescent="0.3">
      <c r="A2220" s="238"/>
      <c r="B2220" s="242">
        <v>2500</v>
      </c>
      <c r="C2220" s="243" t="s">
        <v>207</v>
      </c>
      <c r="D2220" s="244"/>
    </row>
    <row r="2221" spans="1:4" ht="12" hidden="1" customHeight="1" outlineLevel="1" x14ac:dyDescent="0.3">
      <c r="A2221" s="238"/>
      <c r="B2221" s="199">
        <v>3000</v>
      </c>
      <c r="C2221" s="245" t="s">
        <v>208</v>
      </c>
      <c r="D2221" s="260">
        <v>0</v>
      </c>
    </row>
    <row r="2222" spans="1:4" ht="12" hidden="1" customHeight="1" outlineLevel="1" x14ac:dyDescent="0.3">
      <c r="A2222" s="238"/>
      <c r="B2222" s="242">
        <v>3200</v>
      </c>
      <c r="C2222" s="243" t="s">
        <v>209</v>
      </c>
      <c r="D2222" s="244"/>
    </row>
    <row r="2223" spans="1:4" ht="12" hidden="1" customHeight="1" outlineLevel="1" x14ac:dyDescent="0.3">
      <c r="A2223" s="238"/>
      <c r="B2223" s="242">
        <v>3300</v>
      </c>
      <c r="C2223" s="243" t="s">
        <v>210</v>
      </c>
      <c r="D2223" s="244"/>
    </row>
    <row r="2224" spans="1:4" ht="12" hidden="1" customHeight="1" outlineLevel="1" x14ac:dyDescent="0.3">
      <c r="A2224" s="238"/>
      <c r="B2224" s="199">
        <v>4000</v>
      </c>
      <c r="C2224" s="246" t="s">
        <v>211</v>
      </c>
      <c r="D2224" s="260">
        <v>0</v>
      </c>
    </row>
    <row r="2225" spans="1:4" ht="12" hidden="1" customHeight="1" outlineLevel="1" x14ac:dyDescent="0.3">
      <c r="A2225" s="238"/>
      <c r="B2225" s="242">
        <v>4200</v>
      </c>
      <c r="C2225" s="247" t="s">
        <v>212</v>
      </c>
      <c r="D2225" s="244"/>
    </row>
    <row r="2226" spans="1:4" ht="12" hidden="1" customHeight="1" outlineLevel="1" x14ac:dyDescent="0.3">
      <c r="A2226" s="238"/>
      <c r="B2226" s="242">
        <v>4300</v>
      </c>
      <c r="C2226" s="247" t="s">
        <v>213</v>
      </c>
      <c r="D2226" s="244"/>
    </row>
    <row r="2227" spans="1:4" ht="12" hidden="1" customHeight="1" outlineLevel="1" x14ac:dyDescent="0.3">
      <c r="A2227" s="238"/>
      <c r="B2227" s="199">
        <v>5000</v>
      </c>
      <c r="C2227" s="200" t="s">
        <v>214</v>
      </c>
      <c r="D2227" s="260">
        <v>0</v>
      </c>
    </row>
    <row r="2228" spans="1:4" ht="12" hidden="1" customHeight="1" outlineLevel="1" x14ac:dyDescent="0.3">
      <c r="A2228" s="238"/>
      <c r="B2228" s="242">
        <v>5100</v>
      </c>
      <c r="C2228" s="248" t="s">
        <v>215</v>
      </c>
      <c r="D2228" s="260"/>
    </row>
    <row r="2229" spans="1:4" ht="12" hidden="1" customHeight="1" outlineLevel="1" x14ac:dyDescent="0.3">
      <c r="A2229" s="238"/>
      <c r="B2229" s="242">
        <v>5200</v>
      </c>
      <c r="C2229" s="248" t="s">
        <v>216</v>
      </c>
      <c r="D2229" s="260"/>
    </row>
    <row r="2230" spans="1:4" ht="12" hidden="1" customHeight="1" outlineLevel="1" x14ac:dyDescent="0.3">
      <c r="A2230" s="238"/>
      <c r="B2230" s="242">
        <v>5300</v>
      </c>
      <c r="C2230" s="249" t="s">
        <v>217</v>
      </c>
      <c r="D2230" s="260"/>
    </row>
    <row r="2231" spans="1:4" ht="12" hidden="1" customHeight="1" outlineLevel="1" x14ac:dyDescent="0.3">
      <c r="A2231" s="238"/>
      <c r="B2231" s="199">
        <v>6000</v>
      </c>
      <c r="C2231" s="200" t="s">
        <v>218</v>
      </c>
      <c r="D2231" s="260">
        <v>0</v>
      </c>
    </row>
    <row r="2232" spans="1:4" ht="12" hidden="1" customHeight="1" outlineLevel="1" x14ac:dyDescent="0.3">
      <c r="A2232" s="238"/>
      <c r="B2232" s="242">
        <v>6200</v>
      </c>
      <c r="C2232" s="248" t="s">
        <v>219</v>
      </c>
      <c r="D2232" s="244"/>
    </row>
    <row r="2233" spans="1:4" ht="12" hidden="1" customHeight="1" outlineLevel="1" x14ac:dyDescent="0.3">
      <c r="A2233" s="238"/>
      <c r="B2233" s="242">
        <v>6300</v>
      </c>
      <c r="C2233" s="248" t="s">
        <v>220</v>
      </c>
      <c r="D2233" s="244"/>
    </row>
    <row r="2234" spans="1:4" ht="12" hidden="1" customHeight="1" outlineLevel="1" x14ac:dyDescent="0.3">
      <c r="A2234" s="238"/>
      <c r="B2234" s="242">
        <v>6400</v>
      </c>
      <c r="C2234" s="248" t="s">
        <v>221</v>
      </c>
      <c r="D2234" s="244"/>
    </row>
    <row r="2235" spans="1:4" ht="12" hidden="1" customHeight="1" outlineLevel="1" x14ac:dyDescent="0.3">
      <c r="A2235" s="238"/>
      <c r="B2235" s="242">
        <v>6500</v>
      </c>
      <c r="C2235" s="249" t="s">
        <v>222</v>
      </c>
      <c r="D2235" s="244"/>
    </row>
    <row r="2236" spans="1:4" ht="12" hidden="1" customHeight="1" outlineLevel="1" x14ac:dyDescent="0.3">
      <c r="A2236" s="238"/>
      <c r="B2236" s="199">
        <v>7000</v>
      </c>
      <c r="C2236" s="200" t="s">
        <v>223</v>
      </c>
      <c r="D2236" s="260">
        <v>0</v>
      </c>
    </row>
    <row r="2237" spans="1:4" ht="12" hidden="1" customHeight="1" outlineLevel="1" x14ac:dyDescent="0.3">
      <c r="A2237" s="238"/>
      <c r="B2237" s="250">
        <v>7200</v>
      </c>
      <c r="C2237" s="251" t="s">
        <v>224</v>
      </c>
      <c r="D2237" s="244"/>
    </row>
    <row r="2238" spans="1:4" ht="12" hidden="1" customHeight="1" outlineLevel="1" x14ac:dyDescent="0.3">
      <c r="A2238" s="238"/>
      <c r="B2238" s="250">
        <v>7500</v>
      </c>
      <c r="C2238" s="251" t="s">
        <v>225</v>
      </c>
      <c r="D2238" s="244"/>
    </row>
    <row r="2239" spans="1:4" ht="12" hidden="1" customHeight="1" outlineLevel="1" x14ac:dyDescent="0.3">
      <c r="A2239" s="238"/>
      <c r="B2239" s="250">
        <v>7700</v>
      </c>
      <c r="C2239" s="251" t="s">
        <v>226</v>
      </c>
      <c r="D2239" s="244"/>
    </row>
    <row r="2240" spans="1:4" ht="12" hidden="1" customHeight="1" outlineLevel="1" x14ac:dyDescent="0.3">
      <c r="A2240" s="238"/>
      <c r="B2240" s="252">
        <v>8000</v>
      </c>
      <c r="C2240" s="253" t="s">
        <v>227</v>
      </c>
      <c r="D2240" s="260">
        <v>0</v>
      </c>
    </row>
    <row r="2241" spans="1:4" ht="12" hidden="1" customHeight="1" outlineLevel="1" x14ac:dyDescent="0.3">
      <c r="A2241" s="238"/>
      <c r="B2241" s="254">
        <v>8100</v>
      </c>
      <c r="C2241" s="255" t="s">
        <v>228</v>
      </c>
      <c r="D2241" s="260"/>
    </row>
    <row r="2242" spans="1:4" ht="12" hidden="1" customHeight="1" outlineLevel="1" x14ac:dyDescent="0.3">
      <c r="A2242" s="238"/>
      <c r="B2242" s="254">
        <v>8600</v>
      </c>
      <c r="C2242" s="255" t="s">
        <v>229</v>
      </c>
      <c r="D2242" s="260"/>
    </row>
    <row r="2243" spans="1:4" ht="12" hidden="1" customHeight="1" outlineLevel="1" x14ac:dyDescent="0.3">
      <c r="A2243" s="238"/>
      <c r="B2243" s="254">
        <v>8900</v>
      </c>
      <c r="C2243" s="255" t="s">
        <v>230</v>
      </c>
      <c r="D2243" s="260"/>
    </row>
    <row r="2244" spans="1:4" ht="12" hidden="1" customHeight="1" outlineLevel="1" x14ac:dyDescent="0.3">
      <c r="A2244" s="256" t="s">
        <v>356</v>
      </c>
      <c r="B2244" s="257"/>
      <c r="C2244" s="258" t="s">
        <v>357</v>
      </c>
      <c r="D2244" s="259">
        <v>0</v>
      </c>
    </row>
    <row r="2245" spans="1:4" ht="12" hidden="1" customHeight="1" outlineLevel="1" x14ac:dyDescent="0.3">
      <c r="A2245" s="227"/>
      <c r="B2245" s="228"/>
      <c r="C2245" s="229" t="s">
        <v>198</v>
      </c>
      <c r="D2245" s="230">
        <v>0</v>
      </c>
    </row>
    <row r="2246" spans="1:4" ht="12" hidden="1" customHeight="1" outlineLevel="1" x14ac:dyDescent="0.3">
      <c r="A2246" s="227"/>
      <c r="B2246" s="231">
        <v>1000</v>
      </c>
      <c r="C2246" s="232" t="s">
        <v>199</v>
      </c>
      <c r="D2246" s="233">
        <v>0</v>
      </c>
    </row>
    <row r="2247" spans="1:4" ht="12" hidden="1" customHeight="1" outlineLevel="1" x14ac:dyDescent="0.3">
      <c r="A2247" s="227"/>
      <c r="B2247" s="234">
        <v>1100</v>
      </c>
      <c r="C2247" s="235" t="s">
        <v>200</v>
      </c>
      <c r="D2247" s="236">
        <v>0</v>
      </c>
    </row>
    <row r="2248" spans="1:4" ht="12" hidden="1" customHeight="1" outlineLevel="1" x14ac:dyDescent="0.3">
      <c r="A2248" s="227"/>
      <c r="B2248" s="234">
        <v>1200</v>
      </c>
      <c r="C2248" s="237" t="s">
        <v>201</v>
      </c>
      <c r="D2248" s="236">
        <v>0</v>
      </c>
    </row>
    <row r="2249" spans="1:4" ht="12" hidden="1" customHeight="1" outlineLevel="1" x14ac:dyDescent="0.3">
      <c r="A2249" s="238"/>
      <c r="B2249" s="239">
        <v>2000</v>
      </c>
      <c r="C2249" s="240" t="s">
        <v>202</v>
      </c>
      <c r="D2249" s="241">
        <v>0</v>
      </c>
    </row>
    <row r="2250" spans="1:4" ht="12" hidden="1" customHeight="1" outlineLevel="1" x14ac:dyDescent="0.3">
      <c r="A2250" s="238"/>
      <c r="B2250" s="242">
        <v>2100</v>
      </c>
      <c r="C2250" s="243" t="s">
        <v>203</v>
      </c>
      <c r="D2250" s="244">
        <v>0</v>
      </c>
    </row>
    <row r="2251" spans="1:4" ht="12" hidden="1" customHeight="1" outlineLevel="1" x14ac:dyDescent="0.3">
      <c r="A2251" s="238"/>
      <c r="B2251" s="242">
        <v>2200</v>
      </c>
      <c r="C2251" s="243" t="s">
        <v>204</v>
      </c>
      <c r="D2251" s="244">
        <v>0</v>
      </c>
    </row>
    <row r="2252" spans="1:4" ht="12" hidden="1" customHeight="1" outlineLevel="1" x14ac:dyDescent="0.3">
      <c r="A2252" s="238"/>
      <c r="B2252" s="242">
        <v>2300</v>
      </c>
      <c r="C2252" s="243" t="s">
        <v>205</v>
      </c>
      <c r="D2252" s="244">
        <v>0</v>
      </c>
    </row>
    <row r="2253" spans="1:4" ht="12" hidden="1" customHeight="1" outlineLevel="1" x14ac:dyDescent="0.3">
      <c r="A2253" s="238"/>
      <c r="B2253" s="242">
        <v>2400</v>
      </c>
      <c r="C2253" s="243" t="s">
        <v>206</v>
      </c>
      <c r="D2253" s="244">
        <v>0</v>
      </c>
    </row>
    <row r="2254" spans="1:4" ht="12" hidden="1" customHeight="1" outlineLevel="1" x14ac:dyDescent="0.3">
      <c r="A2254" s="238"/>
      <c r="B2254" s="242">
        <v>2500</v>
      </c>
      <c r="C2254" s="243" t="s">
        <v>207</v>
      </c>
      <c r="D2254" s="244">
        <v>0</v>
      </c>
    </row>
    <row r="2255" spans="1:4" ht="12.75" hidden="1" customHeight="1" outlineLevel="1" x14ac:dyDescent="0.3">
      <c r="A2255" s="238"/>
      <c r="B2255" s="199">
        <v>3000</v>
      </c>
      <c r="C2255" s="245" t="s">
        <v>208</v>
      </c>
      <c r="D2255" s="241">
        <v>0</v>
      </c>
    </row>
    <row r="2256" spans="1:4" ht="12.75" hidden="1" customHeight="1" outlineLevel="1" x14ac:dyDescent="0.3">
      <c r="A2256" s="238"/>
      <c r="B2256" s="242">
        <v>3200</v>
      </c>
      <c r="C2256" s="243" t="s">
        <v>209</v>
      </c>
      <c r="D2256" s="244">
        <v>0</v>
      </c>
    </row>
    <row r="2257" spans="1:4" ht="12.75" hidden="1" customHeight="1" outlineLevel="1" x14ac:dyDescent="0.3">
      <c r="A2257" s="238"/>
      <c r="B2257" s="242">
        <v>3300</v>
      </c>
      <c r="C2257" s="243" t="s">
        <v>210</v>
      </c>
      <c r="D2257" s="244">
        <v>0</v>
      </c>
    </row>
    <row r="2258" spans="1:4" ht="12" hidden="1" customHeight="1" outlineLevel="1" x14ac:dyDescent="0.3">
      <c r="A2258" s="238"/>
      <c r="B2258" s="199">
        <v>4000</v>
      </c>
      <c r="C2258" s="246" t="s">
        <v>211</v>
      </c>
      <c r="D2258" s="241">
        <v>0</v>
      </c>
    </row>
    <row r="2259" spans="1:4" ht="12" hidden="1" customHeight="1" outlineLevel="1" x14ac:dyDescent="0.3">
      <c r="A2259" s="238"/>
      <c r="B2259" s="242">
        <v>4200</v>
      </c>
      <c r="C2259" s="247" t="s">
        <v>212</v>
      </c>
      <c r="D2259" s="244">
        <v>0</v>
      </c>
    </row>
    <row r="2260" spans="1:4" ht="12" hidden="1" customHeight="1" outlineLevel="1" x14ac:dyDescent="0.3">
      <c r="A2260" s="238"/>
      <c r="B2260" s="242">
        <v>4300</v>
      </c>
      <c r="C2260" s="247" t="s">
        <v>213</v>
      </c>
      <c r="D2260" s="244">
        <v>0</v>
      </c>
    </row>
    <row r="2261" spans="1:4" ht="12" hidden="1" customHeight="1" outlineLevel="1" x14ac:dyDescent="0.3">
      <c r="A2261" s="238"/>
      <c r="B2261" s="199">
        <v>5000</v>
      </c>
      <c r="C2261" s="200" t="s">
        <v>214</v>
      </c>
      <c r="D2261" s="241">
        <v>0</v>
      </c>
    </row>
    <row r="2262" spans="1:4" ht="12" hidden="1" customHeight="1" outlineLevel="1" x14ac:dyDescent="0.3">
      <c r="A2262" s="238"/>
      <c r="B2262" s="242">
        <v>5100</v>
      </c>
      <c r="C2262" s="248" t="s">
        <v>215</v>
      </c>
      <c r="D2262" s="244">
        <v>0</v>
      </c>
    </row>
    <row r="2263" spans="1:4" ht="12" hidden="1" customHeight="1" outlineLevel="1" x14ac:dyDescent="0.3">
      <c r="A2263" s="238"/>
      <c r="B2263" s="242">
        <v>5200</v>
      </c>
      <c r="C2263" s="248" t="s">
        <v>216</v>
      </c>
      <c r="D2263" s="244">
        <v>0</v>
      </c>
    </row>
    <row r="2264" spans="1:4" ht="12" hidden="1" customHeight="1" outlineLevel="1" x14ac:dyDescent="0.3">
      <c r="A2264" s="238"/>
      <c r="B2264" s="242">
        <v>5300</v>
      </c>
      <c r="C2264" s="249" t="s">
        <v>217</v>
      </c>
      <c r="D2264" s="244">
        <v>0</v>
      </c>
    </row>
    <row r="2265" spans="1:4" ht="12" hidden="1" customHeight="1" outlineLevel="1" x14ac:dyDescent="0.3">
      <c r="A2265" s="238"/>
      <c r="B2265" s="199">
        <v>6000</v>
      </c>
      <c r="C2265" s="200" t="s">
        <v>218</v>
      </c>
      <c r="D2265" s="241">
        <v>0</v>
      </c>
    </row>
    <row r="2266" spans="1:4" ht="12" hidden="1" customHeight="1" outlineLevel="1" x14ac:dyDescent="0.3">
      <c r="A2266" s="238"/>
      <c r="B2266" s="242">
        <v>6200</v>
      </c>
      <c r="C2266" s="248" t="s">
        <v>219</v>
      </c>
      <c r="D2266" s="244">
        <v>0</v>
      </c>
    </row>
    <row r="2267" spans="1:4" ht="12" hidden="1" customHeight="1" outlineLevel="1" x14ac:dyDescent="0.3">
      <c r="A2267" s="238"/>
      <c r="B2267" s="242">
        <v>6300</v>
      </c>
      <c r="C2267" s="248" t="s">
        <v>220</v>
      </c>
      <c r="D2267" s="244">
        <v>0</v>
      </c>
    </row>
    <row r="2268" spans="1:4" ht="12" hidden="1" customHeight="1" outlineLevel="1" x14ac:dyDescent="0.3">
      <c r="A2268" s="238"/>
      <c r="B2268" s="242">
        <v>6400</v>
      </c>
      <c r="C2268" s="248" t="s">
        <v>221</v>
      </c>
      <c r="D2268" s="244">
        <v>0</v>
      </c>
    </row>
    <row r="2269" spans="1:4" ht="12" hidden="1" customHeight="1" outlineLevel="1" x14ac:dyDescent="0.3">
      <c r="A2269" s="238"/>
      <c r="B2269" s="242">
        <v>6500</v>
      </c>
      <c r="C2269" s="249" t="s">
        <v>222</v>
      </c>
      <c r="D2269" s="244">
        <v>0</v>
      </c>
    </row>
    <row r="2270" spans="1:4" ht="12" hidden="1" customHeight="1" outlineLevel="1" x14ac:dyDescent="0.3">
      <c r="A2270" s="238"/>
      <c r="B2270" s="199">
        <v>7000</v>
      </c>
      <c r="C2270" s="200" t="s">
        <v>223</v>
      </c>
      <c r="D2270" s="241">
        <v>0</v>
      </c>
    </row>
    <row r="2271" spans="1:4" ht="12" hidden="1" customHeight="1" outlineLevel="1" x14ac:dyDescent="0.3">
      <c r="A2271" s="238"/>
      <c r="B2271" s="250">
        <v>7200</v>
      </c>
      <c r="C2271" s="251" t="s">
        <v>224</v>
      </c>
      <c r="D2271" s="244">
        <v>0</v>
      </c>
    </row>
    <row r="2272" spans="1:4" ht="12" hidden="1" customHeight="1" outlineLevel="1" x14ac:dyDescent="0.3">
      <c r="A2272" s="238"/>
      <c r="B2272" s="250">
        <v>7500</v>
      </c>
      <c r="C2272" s="251" t="s">
        <v>225</v>
      </c>
      <c r="D2272" s="244">
        <v>0</v>
      </c>
    </row>
    <row r="2273" spans="1:4" ht="12" hidden="1" customHeight="1" outlineLevel="1" x14ac:dyDescent="0.3">
      <c r="A2273" s="238"/>
      <c r="B2273" s="250">
        <v>7700</v>
      </c>
      <c r="C2273" s="251" t="s">
        <v>226</v>
      </c>
      <c r="D2273" s="244">
        <v>0</v>
      </c>
    </row>
    <row r="2274" spans="1:4" ht="12" hidden="1" customHeight="1" outlineLevel="1" x14ac:dyDescent="0.3">
      <c r="A2274" s="238"/>
      <c r="B2274" s="252">
        <v>8000</v>
      </c>
      <c r="C2274" s="253" t="s">
        <v>227</v>
      </c>
      <c r="D2274" s="241">
        <v>0</v>
      </c>
    </row>
    <row r="2275" spans="1:4" ht="12" hidden="1" customHeight="1" outlineLevel="1" x14ac:dyDescent="0.3">
      <c r="A2275" s="238"/>
      <c r="B2275" s="254">
        <v>8100</v>
      </c>
      <c r="C2275" s="255" t="s">
        <v>228</v>
      </c>
      <c r="D2275" s="244">
        <v>0</v>
      </c>
    </row>
    <row r="2276" spans="1:4" ht="12" hidden="1" customHeight="1" outlineLevel="1" x14ac:dyDescent="0.3">
      <c r="A2276" s="238"/>
      <c r="B2276" s="254">
        <v>8600</v>
      </c>
      <c r="C2276" s="255" t="s">
        <v>229</v>
      </c>
      <c r="D2276" s="244">
        <v>0</v>
      </c>
    </row>
    <row r="2277" spans="1:4" ht="12" hidden="1" customHeight="1" outlineLevel="1" x14ac:dyDescent="0.3">
      <c r="A2277" s="238"/>
      <c r="B2277" s="254">
        <v>8900</v>
      </c>
      <c r="C2277" s="255" t="s">
        <v>230</v>
      </c>
      <c r="D2277" s="244">
        <v>0</v>
      </c>
    </row>
    <row r="2278" spans="1:4" ht="12" hidden="1" customHeight="1" outlineLevel="1" x14ac:dyDescent="0.3">
      <c r="A2278" s="272" t="s">
        <v>358</v>
      </c>
      <c r="B2278" s="273"/>
      <c r="C2278" s="274" t="s">
        <v>359</v>
      </c>
      <c r="D2278" s="275">
        <v>0</v>
      </c>
    </row>
    <row r="2279" spans="1:4" ht="12" hidden="1" customHeight="1" outlineLevel="1" x14ac:dyDescent="0.3">
      <c r="A2279" s="227"/>
      <c r="B2279" s="228"/>
      <c r="C2279" s="229" t="s">
        <v>198</v>
      </c>
      <c r="D2279" s="230">
        <v>0</v>
      </c>
    </row>
    <row r="2280" spans="1:4" ht="12" hidden="1" customHeight="1" outlineLevel="1" x14ac:dyDescent="0.3">
      <c r="A2280" s="227"/>
      <c r="B2280" s="231">
        <v>1000</v>
      </c>
      <c r="C2280" s="232" t="s">
        <v>199</v>
      </c>
      <c r="D2280" s="230">
        <v>0</v>
      </c>
    </row>
    <row r="2281" spans="1:4" ht="12" hidden="1" customHeight="1" outlineLevel="1" x14ac:dyDescent="0.3">
      <c r="A2281" s="227"/>
      <c r="B2281" s="234">
        <v>1100</v>
      </c>
      <c r="C2281" s="235" t="s">
        <v>200</v>
      </c>
      <c r="D2281" s="236"/>
    </row>
    <row r="2282" spans="1:4" ht="12" hidden="1" customHeight="1" outlineLevel="1" x14ac:dyDescent="0.3">
      <c r="A2282" s="227"/>
      <c r="B2282" s="234">
        <v>1200</v>
      </c>
      <c r="C2282" s="237" t="s">
        <v>201</v>
      </c>
      <c r="D2282" s="236"/>
    </row>
    <row r="2283" spans="1:4" ht="12" hidden="1" customHeight="1" outlineLevel="1" x14ac:dyDescent="0.3">
      <c r="A2283" s="238"/>
      <c r="B2283" s="239">
        <v>2000</v>
      </c>
      <c r="C2283" s="240" t="s">
        <v>202</v>
      </c>
      <c r="D2283" s="260">
        <v>0</v>
      </c>
    </row>
    <row r="2284" spans="1:4" ht="12" hidden="1" customHeight="1" outlineLevel="1" x14ac:dyDescent="0.3">
      <c r="A2284" s="238"/>
      <c r="B2284" s="242">
        <v>2100</v>
      </c>
      <c r="C2284" s="243" t="s">
        <v>203</v>
      </c>
      <c r="D2284" s="244"/>
    </row>
    <row r="2285" spans="1:4" ht="12" hidden="1" customHeight="1" outlineLevel="1" x14ac:dyDescent="0.3">
      <c r="A2285" s="238"/>
      <c r="B2285" s="242">
        <v>2200</v>
      </c>
      <c r="C2285" s="243" t="s">
        <v>204</v>
      </c>
      <c r="D2285" s="244"/>
    </row>
    <row r="2286" spans="1:4" ht="12" hidden="1" customHeight="1" outlineLevel="1" x14ac:dyDescent="0.3">
      <c r="A2286" s="238"/>
      <c r="B2286" s="242">
        <v>2300</v>
      </c>
      <c r="C2286" s="243" t="s">
        <v>205</v>
      </c>
      <c r="D2286" s="244"/>
    </row>
    <row r="2287" spans="1:4" ht="12" hidden="1" customHeight="1" outlineLevel="1" x14ac:dyDescent="0.3">
      <c r="A2287" s="238"/>
      <c r="B2287" s="242">
        <v>2400</v>
      </c>
      <c r="C2287" s="243" t="s">
        <v>206</v>
      </c>
      <c r="D2287" s="244"/>
    </row>
    <row r="2288" spans="1:4" ht="12" hidden="1" customHeight="1" outlineLevel="1" x14ac:dyDescent="0.3">
      <c r="A2288" s="238"/>
      <c r="B2288" s="242">
        <v>2500</v>
      </c>
      <c r="C2288" s="243" t="s">
        <v>207</v>
      </c>
      <c r="D2288" s="244"/>
    </row>
    <row r="2289" spans="1:4" ht="12" hidden="1" customHeight="1" outlineLevel="1" x14ac:dyDescent="0.3">
      <c r="A2289" s="238"/>
      <c r="B2289" s="199">
        <v>3000</v>
      </c>
      <c r="C2289" s="245" t="s">
        <v>208</v>
      </c>
      <c r="D2289" s="260">
        <v>0</v>
      </c>
    </row>
    <row r="2290" spans="1:4" ht="12" hidden="1" customHeight="1" outlineLevel="1" x14ac:dyDescent="0.3">
      <c r="A2290" s="238"/>
      <c r="B2290" s="242">
        <v>3200</v>
      </c>
      <c r="C2290" s="243" t="s">
        <v>209</v>
      </c>
      <c r="D2290" s="244"/>
    </row>
    <row r="2291" spans="1:4" ht="12" hidden="1" customHeight="1" outlineLevel="1" x14ac:dyDescent="0.3">
      <c r="A2291" s="238"/>
      <c r="B2291" s="242">
        <v>3300</v>
      </c>
      <c r="C2291" s="243" t="s">
        <v>210</v>
      </c>
      <c r="D2291" s="244"/>
    </row>
    <row r="2292" spans="1:4" ht="12" hidden="1" customHeight="1" outlineLevel="1" x14ac:dyDescent="0.3">
      <c r="A2292" s="238"/>
      <c r="B2292" s="199">
        <v>4000</v>
      </c>
      <c r="C2292" s="246" t="s">
        <v>211</v>
      </c>
      <c r="D2292" s="260">
        <v>0</v>
      </c>
    </row>
    <row r="2293" spans="1:4" ht="12" hidden="1" customHeight="1" outlineLevel="1" x14ac:dyDescent="0.3">
      <c r="A2293" s="238"/>
      <c r="B2293" s="242">
        <v>4200</v>
      </c>
      <c r="C2293" s="247" t="s">
        <v>212</v>
      </c>
      <c r="D2293" s="244"/>
    </row>
    <row r="2294" spans="1:4" ht="12" hidden="1" customHeight="1" outlineLevel="1" x14ac:dyDescent="0.3">
      <c r="A2294" s="238"/>
      <c r="B2294" s="242">
        <v>4300</v>
      </c>
      <c r="C2294" s="247" t="s">
        <v>213</v>
      </c>
      <c r="D2294" s="244"/>
    </row>
    <row r="2295" spans="1:4" ht="12" hidden="1" customHeight="1" outlineLevel="1" x14ac:dyDescent="0.3">
      <c r="A2295" s="238"/>
      <c r="B2295" s="199">
        <v>5000</v>
      </c>
      <c r="C2295" s="200" t="s">
        <v>214</v>
      </c>
      <c r="D2295" s="260">
        <v>0</v>
      </c>
    </row>
    <row r="2296" spans="1:4" ht="12" hidden="1" customHeight="1" outlineLevel="1" x14ac:dyDescent="0.3">
      <c r="A2296" s="238"/>
      <c r="B2296" s="242">
        <v>5100</v>
      </c>
      <c r="C2296" s="248" t="s">
        <v>215</v>
      </c>
      <c r="D2296" s="260"/>
    </row>
    <row r="2297" spans="1:4" ht="12" hidden="1" customHeight="1" outlineLevel="1" x14ac:dyDescent="0.3">
      <c r="A2297" s="238"/>
      <c r="B2297" s="242">
        <v>5200</v>
      </c>
      <c r="C2297" s="248" t="s">
        <v>216</v>
      </c>
      <c r="D2297" s="260"/>
    </row>
    <row r="2298" spans="1:4" ht="12" hidden="1" customHeight="1" outlineLevel="1" x14ac:dyDescent="0.3">
      <c r="A2298" s="238"/>
      <c r="B2298" s="242">
        <v>5300</v>
      </c>
      <c r="C2298" s="249" t="s">
        <v>217</v>
      </c>
      <c r="D2298" s="260"/>
    </row>
    <row r="2299" spans="1:4" ht="12" hidden="1" customHeight="1" outlineLevel="1" x14ac:dyDescent="0.3">
      <c r="A2299" s="238"/>
      <c r="B2299" s="199">
        <v>6000</v>
      </c>
      <c r="C2299" s="200" t="s">
        <v>218</v>
      </c>
      <c r="D2299" s="260">
        <v>0</v>
      </c>
    </row>
    <row r="2300" spans="1:4" ht="12" hidden="1" customHeight="1" outlineLevel="1" x14ac:dyDescent="0.3">
      <c r="A2300" s="238"/>
      <c r="B2300" s="242">
        <v>6200</v>
      </c>
      <c r="C2300" s="248" t="s">
        <v>219</v>
      </c>
      <c r="D2300" s="244"/>
    </row>
    <row r="2301" spans="1:4" ht="12" hidden="1" customHeight="1" outlineLevel="1" x14ac:dyDescent="0.3">
      <c r="A2301" s="238"/>
      <c r="B2301" s="242">
        <v>6300</v>
      </c>
      <c r="C2301" s="248" t="s">
        <v>220</v>
      </c>
      <c r="D2301" s="244"/>
    </row>
    <row r="2302" spans="1:4" ht="12" hidden="1" customHeight="1" outlineLevel="1" x14ac:dyDescent="0.3">
      <c r="A2302" s="238"/>
      <c r="B2302" s="242">
        <v>6400</v>
      </c>
      <c r="C2302" s="248" t="s">
        <v>221</v>
      </c>
      <c r="D2302" s="244"/>
    </row>
    <row r="2303" spans="1:4" ht="12" hidden="1" customHeight="1" outlineLevel="1" x14ac:dyDescent="0.3">
      <c r="A2303" s="238"/>
      <c r="B2303" s="242">
        <v>6500</v>
      </c>
      <c r="C2303" s="249" t="s">
        <v>222</v>
      </c>
      <c r="D2303" s="244"/>
    </row>
    <row r="2304" spans="1:4" ht="12" hidden="1" customHeight="1" outlineLevel="1" x14ac:dyDescent="0.3">
      <c r="A2304" s="238"/>
      <c r="B2304" s="199">
        <v>7000</v>
      </c>
      <c r="C2304" s="200" t="s">
        <v>223</v>
      </c>
      <c r="D2304" s="260">
        <v>0</v>
      </c>
    </row>
    <row r="2305" spans="1:4" ht="12" hidden="1" customHeight="1" outlineLevel="1" x14ac:dyDescent="0.3">
      <c r="A2305" s="238"/>
      <c r="B2305" s="250">
        <v>7200</v>
      </c>
      <c r="C2305" s="251" t="s">
        <v>224</v>
      </c>
      <c r="D2305" s="244"/>
    </row>
    <row r="2306" spans="1:4" ht="12" hidden="1" customHeight="1" outlineLevel="1" x14ac:dyDescent="0.3">
      <c r="A2306" s="238"/>
      <c r="B2306" s="250">
        <v>7500</v>
      </c>
      <c r="C2306" s="251" t="s">
        <v>225</v>
      </c>
      <c r="D2306" s="244"/>
    </row>
    <row r="2307" spans="1:4" ht="12" hidden="1" customHeight="1" outlineLevel="1" x14ac:dyDescent="0.3">
      <c r="A2307" s="238"/>
      <c r="B2307" s="250">
        <v>7700</v>
      </c>
      <c r="C2307" s="251" t="s">
        <v>226</v>
      </c>
      <c r="D2307" s="244"/>
    </row>
    <row r="2308" spans="1:4" ht="12" hidden="1" customHeight="1" outlineLevel="1" x14ac:dyDescent="0.3">
      <c r="A2308" s="238"/>
      <c r="B2308" s="252">
        <v>8000</v>
      </c>
      <c r="C2308" s="253" t="s">
        <v>227</v>
      </c>
      <c r="D2308" s="260">
        <v>0</v>
      </c>
    </row>
    <row r="2309" spans="1:4" ht="12" hidden="1" customHeight="1" outlineLevel="1" x14ac:dyDescent="0.3">
      <c r="A2309" s="238"/>
      <c r="B2309" s="254">
        <v>8100</v>
      </c>
      <c r="C2309" s="255" t="s">
        <v>228</v>
      </c>
      <c r="D2309" s="260"/>
    </row>
    <row r="2310" spans="1:4" ht="12" hidden="1" customHeight="1" outlineLevel="1" x14ac:dyDescent="0.3">
      <c r="A2310" s="238"/>
      <c r="B2310" s="254">
        <v>8600</v>
      </c>
      <c r="C2310" s="255" t="s">
        <v>229</v>
      </c>
      <c r="D2310" s="260"/>
    </row>
    <row r="2311" spans="1:4" ht="12" hidden="1" customHeight="1" outlineLevel="1" x14ac:dyDescent="0.3">
      <c r="A2311" s="238"/>
      <c r="B2311" s="254">
        <v>8900</v>
      </c>
      <c r="C2311" s="255" t="s">
        <v>230</v>
      </c>
      <c r="D2311" s="260"/>
    </row>
    <row r="2312" spans="1:4" ht="12" hidden="1" customHeight="1" outlineLevel="1" x14ac:dyDescent="0.3">
      <c r="A2312" s="272" t="s">
        <v>360</v>
      </c>
      <c r="B2312" s="273"/>
      <c r="C2312" s="274" t="s">
        <v>361</v>
      </c>
      <c r="D2312" s="275">
        <v>0</v>
      </c>
    </row>
    <row r="2313" spans="1:4" ht="12" hidden="1" customHeight="1" outlineLevel="1" x14ac:dyDescent="0.3">
      <c r="A2313" s="227"/>
      <c r="B2313" s="228"/>
      <c r="C2313" s="229" t="s">
        <v>198</v>
      </c>
      <c r="D2313" s="230">
        <v>0</v>
      </c>
    </row>
    <row r="2314" spans="1:4" ht="12" hidden="1" customHeight="1" outlineLevel="1" x14ac:dyDescent="0.3">
      <c r="A2314" s="227"/>
      <c r="B2314" s="231">
        <v>1000</v>
      </c>
      <c r="C2314" s="232" t="s">
        <v>199</v>
      </c>
      <c r="D2314" s="230">
        <v>0</v>
      </c>
    </row>
    <row r="2315" spans="1:4" ht="12" hidden="1" customHeight="1" outlineLevel="1" x14ac:dyDescent="0.3">
      <c r="A2315" s="227"/>
      <c r="B2315" s="234">
        <v>1100</v>
      </c>
      <c r="C2315" s="235" t="s">
        <v>200</v>
      </c>
      <c r="D2315" s="236"/>
    </row>
    <row r="2316" spans="1:4" ht="12" hidden="1" customHeight="1" outlineLevel="1" x14ac:dyDescent="0.3">
      <c r="A2316" s="227"/>
      <c r="B2316" s="234">
        <v>1200</v>
      </c>
      <c r="C2316" s="237" t="s">
        <v>201</v>
      </c>
      <c r="D2316" s="236"/>
    </row>
    <row r="2317" spans="1:4" ht="12" hidden="1" customHeight="1" outlineLevel="1" x14ac:dyDescent="0.3">
      <c r="A2317" s="238"/>
      <c r="B2317" s="239">
        <v>2000</v>
      </c>
      <c r="C2317" s="240" t="s">
        <v>202</v>
      </c>
      <c r="D2317" s="260">
        <v>0</v>
      </c>
    </row>
    <row r="2318" spans="1:4" ht="12" hidden="1" customHeight="1" outlineLevel="1" x14ac:dyDescent="0.3">
      <c r="A2318" s="238"/>
      <c r="B2318" s="242">
        <v>2100</v>
      </c>
      <c r="C2318" s="243" t="s">
        <v>203</v>
      </c>
      <c r="D2318" s="244"/>
    </row>
    <row r="2319" spans="1:4" ht="12" hidden="1" customHeight="1" outlineLevel="1" x14ac:dyDescent="0.3">
      <c r="A2319" s="238"/>
      <c r="B2319" s="242">
        <v>2200</v>
      </c>
      <c r="C2319" s="243" t="s">
        <v>204</v>
      </c>
      <c r="D2319" s="244"/>
    </row>
    <row r="2320" spans="1:4" ht="12" hidden="1" customHeight="1" outlineLevel="1" x14ac:dyDescent="0.3">
      <c r="A2320" s="238"/>
      <c r="B2320" s="242">
        <v>2300</v>
      </c>
      <c r="C2320" s="243" t="s">
        <v>205</v>
      </c>
      <c r="D2320" s="244"/>
    </row>
    <row r="2321" spans="1:4" ht="12" hidden="1" customHeight="1" outlineLevel="1" x14ac:dyDescent="0.3">
      <c r="A2321" s="238"/>
      <c r="B2321" s="242">
        <v>2400</v>
      </c>
      <c r="C2321" s="243" t="s">
        <v>206</v>
      </c>
      <c r="D2321" s="244"/>
    </row>
    <row r="2322" spans="1:4" ht="12" hidden="1" customHeight="1" outlineLevel="1" x14ac:dyDescent="0.3">
      <c r="A2322" s="238"/>
      <c r="B2322" s="242">
        <v>2500</v>
      </c>
      <c r="C2322" s="243" t="s">
        <v>207</v>
      </c>
      <c r="D2322" s="244"/>
    </row>
    <row r="2323" spans="1:4" ht="12" hidden="1" customHeight="1" outlineLevel="1" x14ac:dyDescent="0.3">
      <c r="A2323" s="238"/>
      <c r="B2323" s="199">
        <v>3000</v>
      </c>
      <c r="C2323" s="245" t="s">
        <v>208</v>
      </c>
      <c r="D2323" s="260">
        <v>0</v>
      </c>
    </row>
    <row r="2324" spans="1:4" ht="12" hidden="1" customHeight="1" outlineLevel="1" x14ac:dyDescent="0.3">
      <c r="A2324" s="238"/>
      <c r="B2324" s="242">
        <v>3200</v>
      </c>
      <c r="C2324" s="243" t="s">
        <v>209</v>
      </c>
      <c r="D2324" s="244"/>
    </row>
    <row r="2325" spans="1:4" ht="12" hidden="1" customHeight="1" outlineLevel="1" x14ac:dyDescent="0.3">
      <c r="A2325" s="238"/>
      <c r="B2325" s="242">
        <v>3300</v>
      </c>
      <c r="C2325" s="243" t="s">
        <v>210</v>
      </c>
      <c r="D2325" s="244"/>
    </row>
    <row r="2326" spans="1:4" ht="12" hidden="1" customHeight="1" outlineLevel="1" x14ac:dyDescent="0.3">
      <c r="A2326" s="238"/>
      <c r="B2326" s="199">
        <v>4000</v>
      </c>
      <c r="C2326" s="246" t="s">
        <v>211</v>
      </c>
      <c r="D2326" s="260">
        <v>0</v>
      </c>
    </row>
    <row r="2327" spans="1:4" ht="12" hidden="1" customHeight="1" outlineLevel="1" x14ac:dyDescent="0.3">
      <c r="A2327" s="238"/>
      <c r="B2327" s="242">
        <v>4200</v>
      </c>
      <c r="C2327" s="247" t="s">
        <v>212</v>
      </c>
      <c r="D2327" s="244"/>
    </row>
    <row r="2328" spans="1:4" ht="12" hidden="1" customHeight="1" outlineLevel="1" x14ac:dyDescent="0.3">
      <c r="A2328" s="238"/>
      <c r="B2328" s="242">
        <v>4300</v>
      </c>
      <c r="C2328" s="247" t="s">
        <v>213</v>
      </c>
      <c r="D2328" s="244"/>
    </row>
    <row r="2329" spans="1:4" ht="12" hidden="1" customHeight="1" outlineLevel="1" x14ac:dyDescent="0.3">
      <c r="A2329" s="238"/>
      <c r="B2329" s="199">
        <v>5000</v>
      </c>
      <c r="C2329" s="200" t="s">
        <v>214</v>
      </c>
      <c r="D2329" s="260">
        <v>0</v>
      </c>
    </row>
    <row r="2330" spans="1:4" ht="12" hidden="1" customHeight="1" outlineLevel="1" x14ac:dyDescent="0.3">
      <c r="A2330" s="238"/>
      <c r="B2330" s="242">
        <v>5100</v>
      </c>
      <c r="C2330" s="248" t="s">
        <v>215</v>
      </c>
      <c r="D2330" s="260"/>
    </row>
    <row r="2331" spans="1:4" ht="12" hidden="1" customHeight="1" outlineLevel="1" x14ac:dyDescent="0.3">
      <c r="A2331" s="238"/>
      <c r="B2331" s="242">
        <v>5200</v>
      </c>
      <c r="C2331" s="248" t="s">
        <v>216</v>
      </c>
      <c r="D2331" s="260"/>
    </row>
    <row r="2332" spans="1:4" ht="12" hidden="1" customHeight="1" outlineLevel="1" x14ac:dyDescent="0.3">
      <c r="A2332" s="238"/>
      <c r="B2332" s="242">
        <v>5300</v>
      </c>
      <c r="C2332" s="249" t="s">
        <v>217</v>
      </c>
      <c r="D2332" s="260"/>
    </row>
    <row r="2333" spans="1:4" ht="12" hidden="1" customHeight="1" outlineLevel="1" x14ac:dyDescent="0.3">
      <c r="A2333" s="238"/>
      <c r="B2333" s="199">
        <v>6000</v>
      </c>
      <c r="C2333" s="200" t="s">
        <v>218</v>
      </c>
      <c r="D2333" s="260">
        <v>0</v>
      </c>
    </row>
    <row r="2334" spans="1:4" ht="12" hidden="1" customHeight="1" outlineLevel="1" x14ac:dyDescent="0.3">
      <c r="A2334" s="238"/>
      <c r="B2334" s="242">
        <v>6200</v>
      </c>
      <c r="C2334" s="248" t="s">
        <v>219</v>
      </c>
      <c r="D2334" s="244"/>
    </row>
    <row r="2335" spans="1:4" ht="12" hidden="1" customHeight="1" outlineLevel="1" x14ac:dyDescent="0.3">
      <c r="A2335" s="238"/>
      <c r="B2335" s="242">
        <v>6300</v>
      </c>
      <c r="C2335" s="248" t="s">
        <v>220</v>
      </c>
      <c r="D2335" s="244"/>
    </row>
    <row r="2336" spans="1:4" ht="12" hidden="1" customHeight="1" outlineLevel="1" x14ac:dyDescent="0.3">
      <c r="A2336" s="238"/>
      <c r="B2336" s="242">
        <v>6400</v>
      </c>
      <c r="C2336" s="248" t="s">
        <v>221</v>
      </c>
      <c r="D2336" s="244"/>
    </row>
    <row r="2337" spans="1:4" ht="12" hidden="1" customHeight="1" outlineLevel="1" x14ac:dyDescent="0.3">
      <c r="A2337" s="238"/>
      <c r="B2337" s="242">
        <v>6500</v>
      </c>
      <c r="C2337" s="249" t="s">
        <v>222</v>
      </c>
      <c r="D2337" s="244"/>
    </row>
    <row r="2338" spans="1:4" ht="12" hidden="1" customHeight="1" outlineLevel="1" x14ac:dyDescent="0.3">
      <c r="A2338" s="238"/>
      <c r="B2338" s="199">
        <v>7000</v>
      </c>
      <c r="C2338" s="200" t="s">
        <v>223</v>
      </c>
      <c r="D2338" s="260">
        <v>0</v>
      </c>
    </row>
    <row r="2339" spans="1:4" ht="12" hidden="1" customHeight="1" outlineLevel="1" x14ac:dyDescent="0.3">
      <c r="A2339" s="238"/>
      <c r="B2339" s="250">
        <v>7200</v>
      </c>
      <c r="C2339" s="251" t="s">
        <v>224</v>
      </c>
      <c r="D2339" s="244"/>
    </row>
    <row r="2340" spans="1:4" ht="12" hidden="1" customHeight="1" outlineLevel="1" x14ac:dyDescent="0.3">
      <c r="A2340" s="238"/>
      <c r="B2340" s="250">
        <v>7500</v>
      </c>
      <c r="C2340" s="251" t="s">
        <v>225</v>
      </c>
      <c r="D2340" s="244"/>
    </row>
    <row r="2341" spans="1:4" ht="12" hidden="1" customHeight="1" outlineLevel="1" x14ac:dyDescent="0.3">
      <c r="A2341" s="238"/>
      <c r="B2341" s="250">
        <v>7700</v>
      </c>
      <c r="C2341" s="251" t="s">
        <v>226</v>
      </c>
      <c r="D2341" s="244"/>
    </row>
    <row r="2342" spans="1:4" ht="12" hidden="1" customHeight="1" outlineLevel="1" x14ac:dyDescent="0.3">
      <c r="A2342" s="238"/>
      <c r="B2342" s="252">
        <v>8000</v>
      </c>
      <c r="C2342" s="253" t="s">
        <v>227</v>
      </c>
      <c r="D2342" s="260">
        <v>0</v>
      </c>
    </row>
    <row r="2343" spans="1:4" ht="12" hidden="1" customHeight="1" outlineLevel="1" x14ac:dyDescent="0.3">
      <c r="A2343" s="238"/>
      <c r="B2343" s="254">
        <v>8100</v>
      </c>
      <c r="C2343" s="255" t="s">
        <v>228</v>
      </c>
      <c r="D2343" s="260"/>
    </row>
    <row r="2344" spans="1:4" ht="12" hidden="1" customHeight="1" outlineLevel="1" x14ac:dyDescent="0.3">
      <c r="A2344" s="238"/>
      <c r="B2344" s="254">
        <v>8600</v>
      </c>
      <c r="C2344" s="255" t="s">
        <v>229</v>
      </c>
      <c r="D2344" s="260"/>
    </row>
    <row r="2345" spans="1:4" ht="12" hidden="1" customHeight="1" outlineLevel="1" x14ac:dyDescent="0.3">
      <c r="A2345" s="238"/>
      <c r="B2345" s="254">
        <v>8900</v>
      </c>
      <c r="C2345" s="255" t="s">
        <v>230</v>
      </c>
      <c r="D2345" s="260"/>
    </row>
    <row r="2346" spans="1:4" ht="17.100000000000001" customHeight="1" collapsed="1" x14ac:dyDescent="0.3">
      <c r="A2346" s="278" t="s">
        <v>362</v>
      </c>
      <c r="B2346" s="279"/>
      <c r="C2346" s="280" t="s">
        <v>363</v>
      </c>
      <c r="D2346" s="226">
        <v>25459</v>
      </c>
    </row>
    <row r="2347" spans="1:4" ht="12" customHeight="1" x14ac:dyDescent="0.3">
      <c r="A2347" s="227"/>
      <c r="B2347" s="228"/>
      <c r="C2347" s="229" t="s">
        <v>198</v>
      </c>
      <c r="D2347" s="230">
        <v>25459</v>
      </c>
    </row>
    <row r="2348" spans="1:4" ht="12" hidden="1" customHeight="1" outlineLevel="1" x14ac:dyDescent="0.3">
      <c r="A2348" s="227"/>
      <c r="B2348" s="231">
        <v>1000</v>
      </c>
      <c r="C2348" s="232" t="s">
        <v>199</v>
      </c>
      <c r="D2348" s="233">
        <v>0</v>
      </c>
    </row>
    <row r="2349" spans="1:4" ht="12" hidden="1" customHeight="1" outlineLevel="1" x14ac:dyDescent="0.3">
      <c r="A2349" s="227"/>
      <c r="B2349" s="234">
        <v>1100</v>
      </c>
      <c r="C2349" s="235" t="s">
        <v>200</v>
      </c>
      <c r="D2349" s="236">
        <v>0</v>
      </c>
    </row>
    <row r="2350" spans="1:4" ht="12" hidden="1" customHeight="1" outlineLevel="1" x14ac:dyDescent="0.3">
      <c r="A2350" s="227"/>
      <c r="B2350" s="234">
        <v>1200</v>
      </c>
      <c r="C2350" s="237" t="s">
        <v>201</v>
      </c>
      <c r="D2350" s="236">
        <v>0</v>
      </c>
    </row>
    <row r="2351" spans="1:4" ht="12" customHeight="1" collapsed="1" x14ac:dyDescent="0.3">
      <c r="A2351" s="238"/>
      <c r="B2351" s="239">
        <v>2000</v>
      </c>
      <c r="C2351" s="240" t="s">
        <v>202</v>
      </c>
      <c r="D2351" s="241">
        <v>25359</v>
      </c>
    </row>
    <row r="2352" spans="1:4" ht="12" hidden="1" customHeight="1" outlineLevel="1" x14ac:dyDescent="0.3">
      <c r="A2352" s="238"/>
      <c r="B2352" s="242">
        <v>2100</v>
      </c>
      <c r="C2352" s="243" t="s">
        <v>203</v>
      </c>
      <c r="D2352" s="244">
        <v>0</v>
      </c>
    </row>
    <row r="2353" spans="1:4" ht="12" customHeight="1" collapsed="1" x14ac:dyDescent="0.3">
      <c r="A2353" s="238"/>
      <c r="B2353" s="242">
        <v>2200</v>
      </c>
      <c r="C2353" s="243" t="s">
        <v>204</v>
      </c>
      <c r="D2353" s="244">
        <v>24257</v>
      </c>
    </row>
    <row r="2354" spans="1:4" ht="12" customHeight="1" x14ac:dyDescent="0.3">
      <c r="A2354" s="238"/>
      <c r="B2354" s="242">
        <v>2300</v>
      </c>
      <c r="C2354" s="243" t="s">
        <v>205</v>
      </c>
      <c r="D2354" s="244">
        <v>1102</v>
      </c>
    </row>
    <row r="2355" spans="1:4" ht="12" hidden="1" customHeight="1" outlineLevel="1" x14ac:dyDescent="0.3">
      <c r="A2355" s="238"/>
      <c r="B2355" s="242">
        <v>2400</v>
      </c>
      <c r="C2355" s="243" t="s">
        <v>206</v>
      </c>
      <c r="D2355" s="244">
        <v>0</v>
      </c>
    </row>
    <row r="2356" spans="1:4" ht="12" hidden="1" customHeight="1" outlineLevel="1" x14ac:dyDescent="0.3">
      <c r="A2356" s="238"/>
      <c r="B2356" s="242">
        <v>2500</v>
      </c>
      <c r="C2356" s="243" t="s">
        <v>207</v>
      </c>
      <c r="D2356" s="244">
        <v>0</v>
      </c>
    </row>
    <row r="2357" spans="1:4" ht="12" customHeight="1" collapsed="1" x14ac:dyDescent="0.3">
      <c r="A2357" s="238"/>
      <c r="B2357" s="199">
        <v>3000</v>
      </c>
      <c r="C2357" s="245" t="s">
        <v>208</v>
      </c>
      <c r="D2357" s="241">
        <v>100</v>
      </c>
    </row>
    <row r="2358" spans="1:4" ht="12" customHeight="1" x14ac:dyDescent="0.3">
      <c r="A2358" s="238"/>
      <c r="B2358" s="242">
        <v>3200</v>
      </c>
      <c r="C2358" s="243" t="s">
        <v>209</v>
      </c>
      <c r="D2358" s="244">
        <v>100</v>
      </c>
    </row>
    <row r="2359" spans="1:4" ht="12" hidden="1" customHeight="1" outlineLevel="1" x14ac:dyDescent="0.3">
      <c r="A2359" s="238"/>
      <c r="B2359" s="242">
        <v>3300</v>
      </c>
      <c r="C2359" s="243" t="s">
        <v>210</v>
      </c>
      <c r="D2359" s="244">
        <v>0</v>
      </c>
    </row>
    <row r="2360" spans="1:4" ht="12" hidden="1" customHeight="1" outlineLevel="1" x14ac:dyDescent="0.3">
      <c r="A2360" s="238"/>
      <c r="B2360" s="199">
        <v>4000</v>
      </c>
      <c r="C2360" s="246" t="s">
        <v>211</v>
      </c>
      <c r="D2360" s="241">
        <v>0</v>
      </c>
    </row>
    <row r="2361" spans="1:4" ht="12" hidden="1" customHeight="1" outlineLevel="1" x14ac:dyDescent="0.3">
      <c r="A2361" s="238"/>
      <c r="B2361" s="242">
        <v>4200</v>
      </c>
      <c r="C2361" s="247" t="s">
        <v>212</v>
      </c>
      <c r="D2361" s="244">
        <v>0</v>
      </c>
    </row>
    <row r="2362" spans="1:4" ht="12" hidden="1" customHeight="1" outlineLevel="1" x14ac:dyDescent="0.3">
      <c r="A2362" s="238"/>
      <c r="B2362" s="242">
        <v>4300</v>
      </c>
      <c r="C2362" s="247" t="s">
        <v>213</v>
      </c>
      <c r="D2362" s="244">
        <v>0</v>
      </c>
    </row>
    <row r="2363" spans="1:4" ht="12" hidden="1" customHeight="1" outlineLevel="1" x14ac:dyDescent="0.3">
      <c r="A2363" s="238"/>
      <c r="B2363" s="199">
        <v>5000</v>
      </c>
      <c r="C2363" s="200" t="s">
        <v>214</v>
      </c>
      <c r="D2363" s="241">
        <v>0</v>
      </c>
    </row>
    <row r="2364" spans="1:4" ht="12" hidden="1" customHeight="1" outlineLevel="1" x14ac:dyDescent="0.3">
      <c r="A2364" s="238"/>
      <c r="B2364" s="242">
        <v>5100</v>
      </c>
      <c r="C2364" s="248" t="s">
        <v>215</v>
      </c>
      <c r="D2364" s="244">
        <v>0</v>
      </c>
    </row>
    <row r="2365" spans="1:4" ht="12" hidden="1" customHeight="1" outlineLevel="1" x14ac:dyDescent="0.3">
      <c r="A2365" s="238"/>
      <c r="B2365" s="242">
        <v>5200</v>
      </c>
      <c r="C2365" s="248" t="s">
        <v>216</v>
      </c>
      <c r="D2365" s="244">
        <v>0</v>
      </c>
    </row>
    <row r="2366" spans="1:4" ht="12" hidden="1" customHeight="1" outlineLevel="1" x14ac:dyDescent="0.3">
      <c r="A2366" s="238"/>
      <c r="B2366" s="242">
        <v>5300</v>
      </c>
      <c r="C2366" s="249" t="s">
        <v>217</v>
      </c>
      <c r="D2366" s="244">
        <v>0</v>
      </c>
    </row>
    <row r="2367" spans="1:4" ht="12" hidden="1" customHeight="1" outlineLevel="1" x14ac:dyDescent="0.3">
      <c r="A2367" s="238"/>
      <c r="B2367" s="199">
        <v>6000</v>
      </c>
      <c r="C2367" s="200" t="s">
        <v>218</v>
      </c>
      <c r="D2367" s="241">
        <v>0</v>
      </c>
    </row>
    <row r="2368" spans="1:4" ht="12" hidden="1" customHeight="1" outlineLevel="1" x14ac:dyDescent="0.3">
      <c r="A2368" s="238"/>
      <c r="B2368" s="242">
        <v>6200</v>
      </c>
      <c r="C2368" s="248" t="s">
        <v>219</v>
      </c>
      <c r="D2368" s="244">
        <v>0</v>
      </c>
    </row>
    <row r="2369" spans="1:4" ht="12" hidden="1" customHeight="1" outlineLevel="1" x14ac:dyDescent="0.3">
      <c r="A2369" s="238"/>
      <c r="B2369" s="242">
        <v>6300</v>
      </c>
      <c r="C2369" s="248" t="s">
        <v>220</v>
      </c>
      <c r="D2369" s="244">
        <v>0</v>
      </c>
    </row>
    <row r="2370" spans="1:4" ht="12" hidden="1" customHeight="1" outlineLevel="1" x14ac:dyDescent="0.3">
      <c r="A2370" s="238"/>
      <c r="B2370" s="242">
        <v>6400</v>
      </c>
      <c r="C2370" s="248" t="s">
        <v>221</v>
      </c>
      <c r="D2370" s="244">
        <v>0</v>
      </c>
    </row>
    <row r="2371" spans="1:4" ht="12" hidden="1" customHeight="1" outlineLevel="1" x14ac:dyDescent="0.3">
      <c r="A2371" s="238"/>
      <c r="B2371" s="242">
        <v>6500</v>
      </c>
      <c r="C2371" s="249" t="s">
        <v>222</v>
      </c>
      <c r="D2371" s="244">
        <v>0</v>
      </c>
    </row>
    <row r="2372" spans="1:4" ht="12" hidden="1" customHeight="1" outlineLevel="1" x14ac:dyDescent="0.3">
      <c r="A2372" s="238"/>
      <c r="B2372" s="199">
        <v>7000</v>
      </c>
      <c r="C2372" s="200" t="s">
        <v>223</v>
      </c>
      <c r="D2372" s="241">
        <v>0</v>
      </c>
    </row>
    <row r="2373" spans="1:4" ht="12" hidden="1" customHeight="1" outlineLevel="1" x14ac:dyDescent="0.3">
      <c r="A2373" s="238"/>
      <c r="B2373" s="250">
        <v>7200</v>
      </c>
      <c r="C2373" s="251" t="s">
        <v>224</v>
      </c>
      <c r="D2373" s="244">
        <v>0</v>
      </c>
    </row>
    <row r="2374" spans="1:4" ht="12" hidden="1" customHeight="1" outlineLevel="1" x14ac:dyDescent="0.3">
      <c r="A2374" s="238"/>
      <c r="B2374" s="250">
        <v>7500</v>
      </c>
      <c r="C2374" s="251" t="s">
        <v>225</v>
      </c>
      <c r="D2374" s="244">
        <v>0</v>
      </c>
    </row>
    <row r="2375" spans="1:4" ht="12" hidden="1" customHeight="1" outlineLevel="1" x14ac:dyDescent="0.3">
      <c r="A2375" s="238"/>
      <c r="B2375" s="250">
        <v>7700</v>
      </c>
      <c r="C2375" s="251" t="s">
        <v>226</v>
      </c>
      <c r="D2375" s="244">
        <v>0</v>
      </c>
    </row>
    <row r="2376" spans="1:4" ht="12" hidden="1" customHeight="1" outlineLevel="1" x14ac:dyDescent="0.3">
      <c r="A2376" s="238"/>
      <c r="B2376" s="252">
        <v>8000</v>
      </c>
      <c r="C2376" s="253" t="s">
        <v>227</v>
      </c>
      <c r="D2376" s="241">
        <v>0</v>
      </c>
    </row>
    <row r="2377" spans="1:4" ht="12" hidden="1" customHeight="1" outlineLevel="1" x14ac:dyDescent="0.3">
      <c r="A2377" s="238"/>
      <c r="B2377" s="254">
        <v>8100</v>
      </c>
      <c r="C2377" s="255" t="s">
        <v>228</v>
      </c>
      <c r="D2377" s="244">
        <v>0</v>
      </c>
    </row>
    <row r="2378" spans="1:4" ht="12" hidden="1" customHeight="1" outlineLevel="1" x14ac:dyDescent="0.3">
      <c r="A2378" s="238"/>
      <c r="B2378" s="254">
        <v>8600</v>
      </c>
      <c r="C2378" s="255" t="s">
        <v>229</v>
      </c>
      <c r="D2378" s="244">
        <v>0</v>
      </c>
    </row>
    <row r="2379" spans="1:4" ht="12" hidden="1" customHeight="1" outlineLevel="1" x14ac:dyDescent="0.3">
      <c r="A2379" s="238"/>
      <c r="B2379" s="254">
        <v>8900</v>
      </c>
      <c r="C2379" s="255" t="s">
        <v>230</v>
      </c>
      <c r="D2379" s="244">
        <v>0</v>
      </c>
    </row>
    <row r="2380" spans="1:4" ht="12" hidden="1" customHeight="1" outlineLevel="1" x14ac:dyDescent="0.3">
      <c r="A2380" s="283">
        <v>10.1</v>
      </c>
      <c r="B2380" s="257"/>
      <c r="C2380" s="258" t="s">
        <v>364</v>
      </c>
      <c r="D2380" s="259">
        <v>0</v>
      </c>
    </row>
    <row r="2381" spans="1:4" ht="12" hidden="1" customHeight="1" outlineLevel="1" x14ac:dyDescent="0.3">
      <c r="A2381" s="238"/>
      <c r="B2381" s="228"/>
      <c r="C2381" s="229" t="s">
        <v>198</v>
      </c>
      <c r="D2381" s="230">
        <v>0</v>
      </c>
    </row>
    <row r="2382" spans="1:4" ht="12" hidden="1" customHeight="1" outlineLevel="1" x14ac:dyDescent="0.3">
      <c r="A2382" s="238"/>
      <c r="B2382" s="231">
        <v>1000</v>
      </c>
      <c r="C2382" s="232" t="s">
        <v>199</v>
      </c>
      <c r="D2382" s="230">
        <v>0</v>
      </c>
    </row>
    <row r="2383" spans="1:4" ht="12" hidden="1" customHeight="1" outlineLevel="1" x14ac:dyDescent="0.3">
      <c r="A2383" s="238"/>
      <c r="B2383" s="234">
        <v>1100</v>
      </c>
      <c r="C2383" s="235" t="s">
        <v>200</v>
      </c>
      <c r="D2383" s="236"/>
    </row>
    <row r="2384" spans="1:4" ht="12" hidden="1" customHeight="1" outlineLevel="1" x14ac:dyDescent="0.3">
      <c r="A2384" s="238"/>
      <c r="B2384" s="234">
        <v>1200</v>
      </c>
      <c r="C2384" s="237" t="s">
        <v>201</v>
      </c>
      <c r="D2384" s="236"/>
    </row>
    <row r="2385" spans="1:4" ht="11.25" hidden="1" customHeight="1" outlineLevel="1" x14ac:dyDescent="0.3">
      <c r="A2385" s="238"/>
      <c r="B2385" s="239">
        <v>2000</v>
      </c>
      <c r="C2385" s="240" t="s">
        <v>202</v>
      </c>
      <c r="D2385" s="260">
        <v>0</v>
      </c>
    </row>
    <row r="2386" spans="1:4" ht="11.25" hidden="1" customHeight="1" outlineLevel="1" x14ac:dyDescent="0.3">
      <c r="A2386" s="238"/>
      <c r="B2386" s="242">
        <v>2100</v>
      </c>
      <c r="C2386" s="243" t="s">
        <v>203</v>
      </c>
      <c r="D2386" s="244"/>
    </row>
    <row r="2387" spans="1:4" ht="11.25" hidden="1" customHeight="1" outlineLevel="1" x14ac:dyDescent="0.3">
      <c r="A2387" s="238"/>
      <c r="B2387" s="242">
        <v>2200</v>
      </c>
      <c r="C2387" s="243" t="s">
        <v>204</v>
      </c>
      <c r="D2387" s="244"/>
    </row>
    <row r="2388" spans="1:4" ht="11.25" hidden="1" customHeight="1" outlineLevel="1" x14ac:dyDescent="0.3">
      <c r="A2388" s="238"/>
      <c r="B2388" s="242">
        <v>2300</v>
      </c>
      <c r="C2388" s="243" t="s">
        <v>205</v>
      </c>
      <c r="D2388" s="244"/>
    </row>
    <row r="2389" spans="1:4" ht="11.25" hidden="1" customHeight="1" outlineLevel="1" x14ac:dyDescent="0.3">
      <c r="A2389" s="238"/>
      <c r="B2389" s="242">
        <v>2400</v>
      </c>
      <c r="C2389" s="243" t="s">
        <v>206</v>
      </c>
      <c r="D2389" s="244"/>
    </row>
    <row r="2390" spans="1:4" ht="11.25" hidden="1" customHeight="1" outlineLevel="1" x14ac:dyDescent="0.3">
      <c r="A2390" s="238"/>
      <c r="B2390" s="242">
        <v>2500</v>
      </c>
      <c r="C2390" s="243" t="s">
        <v>207</v>
      </c>
      <c r="D2390" s="244"/>
    </row>
    <row r="2391" spans="1:4" ht="12" hidden="1" customHeight="1" outlineLevel="1" x14ac:dyDescent="0.3">
      <c r="A2391" s="238"/>
      <c r="B2391" s="199">
        <v>3000</v>
      </c>
      <c r="C2391" s="245" t="s">
        <v>208</v>
      </c>
      <c r="D2391" s="260">
        <v>0</v>
      </c>
    </row>
    <row r="2392" spans="1:4" ht="12" hidden="1" customHeight="1" outlineLevel="1" x14ac:dyDescent="0.3">
      <c r="A2392" s="238"/>
      <c r="B2392" s="242">
        <v>3200</v>
      </c>
      <c r="C2392" s="243" t="s">
        <v>209</v>
      </c>
      <c r="D2392" s="244"/>
    </row>
    <row r="2393" spans="1:4" ht="12" hidden="1" customHeight="1" outlineLevel="1" x14ac:dyDescent="0.3">
      <c r="A2393" s="238"/>
      <c r="B2393" s="242">
        <v>3300</v>
      </c>
      <c r="C2393" s="243" t="s">
        <v>210</v>
      </c>
      <c r="D2393" s="244"/>
    </row>
    <row r="2394" spans="1:4" ht="12" hidden="1" customHeight="1" outlineLevel="1" x14ac:dyDescent="0.3">
      <c r="A2394" s="238"/>
      <c r="B2394" s="199">
        <v>4000</v>
      </c>
      <c r="C2394" s="246" t="s">
        <v>211</v>
      </c>
      <c r="D2394" s="260">
        <v>0</v>
      </c>
    </row>
    <row r="2395" spans="1:4" ht="12" hidden="1" customHeight="1" outlineLevel="1" x14ac:dyDescent="0.3">
      <c r="A2395" s="238"/>
      <c r="B2395" s="242">
        <v>4200</v>
      </c>
      <c r="C2395" s="247" t="s">
        <v>212</v>
      </c>
      <c r="D2395" s="244"/>
    </row>
    <row r="2396" spans="1:4" ht="12" hidden="1" customHeight="1" outlineLevel="1" x14ac:dyDescent="0.3">
      <c r="A2396" s="238"/>
      <c r="B2396" s="242">
        <v>4300</v>
      </c>
      <c r="C2396" s="247" t="s">
        <v>213</v>
      </c>
      <c r="D2396" s="244"/>
    </row>
    <row r="2397" spans="1:4" ht="12" hidden="1" customHeight="1" outlineLevel="1" x14ac:dyDescent="0.3">
      <c r="A2397" s="238"/>
      <c r="B2397" s="199">
        <v>5000</v>
      </c>
      <c r="C2397" s="200" t="s">
        <v>214</v>
      </c>
      <c r="D2397" s="260">
        <v>0</v>
      </c>
    </row>
    <row r="2398" spans="1:4" ht="12" hidden="1" customHeight="1" outlineLevel="1" x14ac:dyDescent="0.3">
      <c r="A2398" s="238"/>
      <c r="B2398" s="242">
        <v>5100</v>
      </c>
      <c r="C2398" s="248" t="s">
        <v>215</v>
      </c>
      <c r="D2398" s="260"/>
    </row>
    <row r="2399" spans="1:4" ht="12" hidden="1" customHeight="1" outlineLevel="1" x14ac:dyDescent="0.3">
      <c r="A2399" s="238"/>
      <c r="B2399" s="242">
        <v>5200</v>
      </c>
      <c r="C2399" s="248" t="s">
        <v>216</v>
      </c>
      <c r="D2399" s="260"/>
    </row>
    <row r="2400" spans="1:4" ht="12" hidden="1" customHeight="1" outlineLevel="1" x14ac:dyDescent="0.3">
      <c r="A2400" s="238"/>
      <c r="B2400" s="242">
        <v>5300</v>
      </c>
      <c r="C2400" s="249" t="s">
        <v>217</v>
      </c>
      <c r="D2400" s="260"/>
    </row>
    <row r="2401" spans="1:4" ht="12" hidden="1" customHeight="1" outlineLevel="1" x14ac:dyDescent="0.3">
      <c r="A2401" s="238"/>
      <c r="B2401" s="199">
        <v>6000</v>
      </c>
      <c r="C2401" s="200" t="s">
        <v>218</v>
      </c>
      <c r="D2401" s="260">
        <v>0</v>
      </c>
    </row>
    <row r="2402" spans="1:4" ht="12" hidden="1" customHeight="1" outlineLevel="1" x14ac:dyDescent="0.3">
      <c r="A2402" s="238"/>
      <c r="B2402" s="242">
        <v>6200</v>
      </c>
      <c r="C2402" s="248" t="s">
        <v>219</v>
      </c>
      <c r="D2402" s="244"/>
    </row>
    <row r="2403" spans="1:4" ht="12" hidden="1" customHeight="1" outlineLevel="1" x14ac:dyDescent="0.3">
      <c r="A2403" s="238"/>
      <c r="B2403" s="242">
        <v>6300</v>
      </c>
      <c r="C2403" s="248" t="s">
        <v>220</v>
      </c>
      <c r="D2403" s="244"/>
    </row>
    <row r="2404" spans="1:4" ht="12" hidden="1" customHeight="1" outlineLevel="1" x14ac:dyDescent="0.3">
      <c r="A2404" s="238"/>
      <c r="B2404" s="242">
        <v>6400</v>
      </c>
      <c r="C2404" s="248" t="s">
        <v>221</v>
      </c>
      <c r="D2404" s="244"/>
    </row>
    <row r="2405" spans="1:4" ht="12" hidden="1" customHeight="1" outlineLevel="1" x14ac:dyDescent="0.3">
      <c r="A2405" s="238"/>
      <c r="B2405" s="242">
        <v>6500</v>
      </c>
      <c r="C2405" s="249" t="s">
        <v>222</v>
      </c>
      <c r="D2405" s="244"/>
    </row>
    <row r="2406" spans="1:4" ht="12" hidden="1" customHeight="1" outlineLevel="1" x14ac:dyDescent="0.3">
      <c r="A2406" s="238"/>
      <c r="B2406" s="199">
        <v>7000</v>
      </c>
      <c r="C2406" s="200" t="s">
        <v>223</v>
      </c>
      <c r="D2406" s="260">
        <v>0</v>
      </c>
    </row>
    <row r="2407" spans="1:4" ht="12" hidden="1" customHeight="1" outlineLevel="1" x14ac:dyDescent="0.3">
      <c r="A2407" s="238"/>
      <c r="B2407" s="250">
        <v>7200</v>
      </c>
      <c r="C2407" s="251" t="s">
        <v>224</v>
      </c>
      <c r="D2407" s="244"/>
    </row>
    <row r="2408" spans="1:4" ht="12" hidden="1" customHeight="1" outlineLevel="1" x14ac:dyDescent="0.3">
      <c r="A2408" s="238"/>
      <c r="B2408" s="250">
        <v>7500</v>
      </c>
      <c r="C2408" s="251" t="s">
        <v>225</v>
      </c>
      <c r="D2408" s="244"/>
    </row>
    <row r="2409" spans="1:4" ht="12" hidden="1" customHeight="1" outlineLevel="1" x14ac:dyDescent="0.3">
      <c r="A2409" s="238"/>
      <c r="B2409" s="250">
        <v>7700</v>
      </c>
      <c r="C2409" s="251" t="s">
        <v>226</v>
      </c>
      <c r="D2409" s="244"/>
    </row>
    <row r="2410" spans="1:4" ht="12" hidden="1" customHeight="1" outlineLevel="1" x14ac:dyDescent="0.3">
      <c r="A2410" s="238"/>
      <c r="B2410" s="252">
        <v>8000</v>
      </c>
      <c r="C2410" s="253" t="s">
        <v>227</v>
      </c>
      <c r="D2410" s="260">
        <v>0</v>
      </c>
    </row>
    <row r="2411" spans="1:4" ht="12" hidden="1" customHeight="1" outlineLevel="1" x14ac:dyDescent="0.3">
      <c r="A2411" s="238"/>
      <c r="B2411" s="254">
        <v>8100</v>
      </c>
      <c r="C2411" s="255" t="s">
        <v>228</v>
      </c>
      <c r="D2411" s="260"/>
    </row>
    <row r="2412" spans="1:4" ht="12" hidden="1" customHeight="1" outlineLevel="1" x14ac:dyDescent="0.3">
      <c r="A2412" s="238"/>
      <c r="B2412" s="254">
        <v>8600</v>
      </c>
      <c r="C2412" s="255" t="s">
        <v>229</v>
      </c>
      <c r="D2412" s="260"/>
    </row>
    <row r="2413" spans="1:4" ht="12" hidden="1" customHeight="1" outlineLevel="1" x14ac:dyDescent="0.3">
      <c r="A2413" s="238"/>
      <c r="B2413" s="254">
        <v>8900</v>
      </c>
      <c r="C2413" s="255" t="s">
        <v>230</v>
      </c>
      <c r="D2413" s="260"/>
    </row>
    <row r="2414" spans="1:4" ht="12" hidden="1" customHeight="1" outlineLevel="1" x14ac:dyDescent="0.3">
      <c r="A2414" s="256" t="s">
        <v>365</v>
      </c>
      <c r="B2414" s="257"/>
      <c r="C2414" s="258" t="s">
        <v>366</v>
      </c>
      <c r="D2414" s="259">
        <v>0</v>
      </c>
    </row>
    <row r="2415" spans="1:4" ht="12" hidden="1" customHeight="1" outlineLevel="1" x14ac:dyDescent="0.3">
      <c r="A2415" s="227"/>
      <c r="B2415" s="228"/>
      <c r="C2415" s="229" t="s">
        <v>198</v>
      </c>
      <c r="D2415" s="230">
        <v>0</v>
      </c>
    </row>
    <row r="2416" spans="1:4" ht="12" hidden="1" customHeight="1" outlineLevel="1" x14ac:dyDescent="0.3">
      <c r="A2416" s="227"/>
      <c r="B2416" s="231">
        <v>1000</v>
      </c>
      <c r="C2416" s="232" t="s">
        <v>199</v>
      </c>
      <c r="D2416" s="230">
        <v>0</v>
      </c>
    </row>
    <row r="2417" spans="1:4" ht="12" hidden="1" customHeight="1" outlineLevel="1" x14ac:dyDescent="0.3">
      <c r="A2417" s="227"/>
      <c r="B2417" s="234">
        <v>1100</v>
      </c>
      <c r="C2417" s="235" t="s">
        <v>200</v>
      </c>
      <c r="D2417" s="236"/>
    </row>
    <row r="2418" spans="1:4" ht="12" hidden="1" customHeight="1" outlineLevel="1" x14ac:dyDescent="0.3">
      <c r="A2418" s="227"/>
      <c r="B2418" s="234">
        <v>1200</v>
      </c>
      <c r="C2418" s="237" t="s">
        <v>201</v>
      </c>
      <c r="D2418" s="236"/>
    </row>
    <row r="2419" spans="1:4" ht="12" hidden="1" customHeight="1" outlineLevel="1" x14ac:dyDescent="0.3">
      <c r="A2419" s="238"/>
      <c r="B2419" s="239">
        <v>2000</v>
      </c>
      <c r="C2419" s="240" t="s">
        <v>202</v>
      </c>
      <c r="D2419" s="260">
        <v>0</v>
      </c>
    </row>
    <row r="2420" spans="1:4" ht="12" hidden="1" customHeight="1" outlineLevel="1" x14ac:dyDescent="0.3">
      <c r="A2420" s="238"/>
      <c r="B2420" s="242">
        <v>2100</v>
      </c>
      <c r="C2420" s="243" t="s">
        <v>203</v>
      </c>
      <c r="D2420" s="244"/>
    </row>
    <row r="2421" spans="1:4" ht="12" hidden="1" customHeight="1" outlineLevel="1" x14ac:dyDescent="0.3">
      <c r="A2421" s="238"/>
      <c r="B2421" s="242">
        <v>2200</v>
      </c>
      <c r="C2421" s="243" t="s">
        <v>204</v>
      </c>
      <c r="D2421" s="244"/>
    </row>
    <row r="2422" spans="1:4" ht="12" hidden="1" customHeight="1" outlineLevel="1" x14ac:dyDescent="0.3">
      <c r="A2422" s="238"/>
      <c r="B2422" s="242">
        <v>2300</v>
      </c>
      <c r="C2422" s="243" t="s">
        <v>205</v>
      </c>
      <c r="D2422" s="244"/>
    </row>
    <row r="2423" spans="1:4" ht="12" hidden="1" customHeight="1" outlineLevel="1" x14ac:dyDescent="0.3">
      <c r="A2423" s="238"/>
      <c r="B2423" s="242">
        <v>2400</v>
      </c>
      <c r="C2423" s="243" t="s">
        <v>206</v>
      </c>
      <c r="D2423" s="244"/>
    </row>
    <row r="2424" spans="1:4" ht="12" hidden="1" customHeight="1" outlineLevel="1" x14ac:dyDescent="0.3">
      <c r="A2424" s="238"/>
      <c r="B2424" s="242">
        <v>2500</v>
      </c>
      <c r="C2424" s="243" t="s">
        <v>207</v>
      </c>
      <c r="D2424" s="244"/>
    </row>
    <row r="2425" spans="1:4" ht="12" hidden="1" customHeight="1" outlineLevel="1" x14ac:dyDescent="0.3">
      <c r="A2425" s="238"/>
      <c r="B2425" s="199">
        <v>3000</v>
      </c>
      <c r="C2425" s="245" t="s">
        <v>208</v>
      </c>
      <c r="D2425" s="260">
        <v>0</v>
      </c>
    </row>
    <row r="2426" spans="1:4" ht="12" hidden="1" customHeight="1" outlineLevel="1" x14ac:dyDescent="0.3">
      <c r="A2426" s="238"/>
      <c r="B2426" s="242">
        <v>3200</v>
      </c>
      <c r="C2426" s="243" t="s">
        <v>209</v>
      </c>
      <c r="D2426" s="244"/>
    </row>
    <row r="2427" spans="1:4" ht="12" hidden="1" customHeight="1" outlineLevel="1" x14ac:dyDescent="0.3">
      <c r="A2427" s="238"/>
      <c r="B2427" s="242">
        <v>3300</v>
      </c>
      <c r="C2427" s="243" t="s">
        <v>210</v>
      </c>
      <c r="D2427" s="244"/>
    </row>
    <row r="2428" spans="1:4" ht="12" hidden="1" customHeight="1" outlineLevel="1" x14ac:dyDescent="0.3">
      <c r="A2428" s="238"/>
      <c r="B2428" s="199">
        <v>4000</v>
      </c>
      <c r="C2428" s="246" t="s">
        <v>211</v>
      </c>
      <c r="D2428" s="260">
        <v>0</v>
      </c>
    </row>
    <row r="2429" spans="1:4" ht="12" hidden="1" customHeight="1" outlineLevel="1" x14ac:dyDescent="0.3">
      <c r="A2429" s="238"/>
      <c r="B2429" s="242">
        <v>4200</v>
      </c>
      <c r="C2429" s="247" t="s">
        <v>212</v>
      </c>
      <c r="D2429" s="244"/>
    </row>
    <row r="2430" spans="1:4" ht="12" hidden="1" customHeight="1" outlineLevel="1" x14ac:dyDescent="0.3">
      <c r="A2430" s="238"/>
      <c r="B2430" s="242">
        <v>4300</v>
      </c>
      <c r="C2430" s="247" t="s">
        <v>213</v>
      </c>
      <c r="D2430" s="244"/>
    </row>
    <row r="2431" spans="1:4" ht="12" hidden="1" customHeight="1" outlineLevel="1" x14ac:dyDescent="0.3">
      <c r="A2431" s="238"/>
      <c r="B2431" s="199">
        <v>5000</v>
      </c>
      <c r="C2431" s="200" t="s">
        <v>214</v>
      </c>
      <c r="D2431" s="260">
        <v>0</v>
      </c>
    </row>
    <row r="2432" spans="1:4" ht="12" hidden="1" customHeight="1" outlineLevel="1" x14ac:dyDescent="0.3">
      <c r="A2432" s="238"/>
      <c r="B2432" s="242">
        <v>5100</v>
      </c>
      <c r="C2432" s="248" t="s">
        <v>215</v>
      </c>
      <c r="D2432" s="260"/>
    </row>
    <row r="2433" spans="1:4" ht="12" hidden="1" customHeight="1" outlineLevel="1" x14ac:dyDescent="0.3">
      <c r="A2433" s="238"/>
      <c r="B2433" s="242">
        <v>5200</v>
      </c>
      <c r="C2433" s="248" t="s">
        <v>216</v>
      </c>
      <c r="D2433" s="260"/>
    </row>
    <row r="2434" spans="1:4" ht="12" hidden="1" customHeight="1" outlineLevel="1" x14ac:dyDescent="0.3">
      <c r="A2434" s="238"/>
      <c r="B2434" s="242">
        <v>5300</v>
      </c>
      <c r="C2434" s="249" t="s">
        <v>217</v>
      </c>
      <c r="D2434" s="260"/>
    </row>
    <row r="2435" spans="1:4" ht="12" hidden="1" customHeight="1" outlineLevel="1" x14ac:dyDescent="0.3">
      <c r="A2435" s="238"/>
      <c r="B2435" s="199">
        <v>6000</v>
      </c>
      <c r="C2435" s="200" t="s">
        <v>218</v>
      </c>
      <c r="D2435" s="260">
        <v>0</v>
      </c>
    </row>
    <row r="2436" spans="1:4" ht="12" hidden="1" customHeight="1" outlineLevel="1" x14ac:dyDescent="0.3">
      <c r="A2436" s="238"/>
      <c r="B2436" s="242">
        <v>6200</v>
      </c>
      <c r="C2436" s="248" t="s">
        <v>219</v>
      </c>
      <c r="D2436" s="244"/>
    </row>
    <row r="2437" spans="1:4" ht="12" hidden="1" customHeight="1" outlineLevel="1" x14ac:dyDescent="0.3">
      <c r="A2437" s="238"/>
      <c r="B2437" s="242">
        <v>6300</v>
      </c>
      <c r="C2437" s="248" t="s">
        <v>220</v>
      </c>
      <c r="D2437" s="244"/>
    </row>
    <row r="2438" spans="1:4" ht="12" hidden="1" customHeight="1" outlineLevel="1" x14ac:dyDescent="0.3">
      <c r="A2438" s="238"/>
      <c r="B2438" s="242">
        <v>6400</v>
      </c>
      <c r="C2438" s="248" t="s">
        <v>221</v>
      </c>
      <c r="D2438" s="244"/>
    </row>
    <row r="2439" spans="1:4" ht="12" hidden="1" customHeight="1" outlineLevel="1" x14ac:dyDescent="0.3">
      <c r="A2439" s="238"/>
      <c r="B2439" s="242">
        <v>6500</v>
      </c>
      <c r="C2439" s="249" t="s">
        <v>222</v>
      </c>
      <c r="D2439" s="244"/>
    </row>
    <row r="2440" spans="1:4" ht="12" hidden="1" customHeight="1" outlineLevel="1" x14ac:dyDescent="0.3">
      <c r="A2440" s="238"/>
      <c r="B2440" s="199">
        <v>7000</v>
      </c>
      <c r="C2440" s="200" t="s">
        <v>223</v>
      </c>
      <c r="D2440" s="260">
        <v>0</v>
      </c>
    </row>
    <row r="2441" spans="1:4" ht="12" hidden="1" customHeight="1" outlineLevel="1" x14ac:dyDescent="0.3">
      <c r="A2441" s="238"/>
      <c r="B2441" s="250">
        <v>7200</v>
      </c>
      <c r="C2441" s="251" t="s">
        <v>224</v>
      </c>
      <c r="D2441" s="244"/>
    </row>
    <row r="2442" spans="1:4" ht="12" hidden="1" customHeight="1" outlineLevel="1" x14ac:dyDescent="0.3">
      <c r="A2442" s="238"/>
      <c r="B2442" s="250">
        <v>7500</v>
      </c>
      <c r="C2442" s="251" t="s">
        <v>225</v>
      </c>
      <c r="D2442" s="244"/>
    </row>
    <row r="2443" spans="1:4" ht="12" hidden="1" customHeight="1" outlineLevel="1" x14ac:dyDescent="0.3">
      <c r="A2443" s="238"/>
      <c r="B2443" s="250">
        <v>7700</v>
      </c>
      <c r="C2443" s="251" t="s">
        <v>226</v>
      </c>
      <c r="D2443" s="244"/>
    </row>
    <row r="2444" spans="1:4" ht="12" hidden="1" customHeight="1" outlineLevel="1" x14ac:dyDescent="0.3">
      <c r="A2444" s="238"/>
      <c r="B2444" s="252">
        <v>8000</v>
      </c>
      <c r="C2444" s="253" t="s">
        <v>227</v>
      </c>
      <c r="D2444" s="260">
        <v>0</v>
      </c>
    </row>
    <row r="2445" spans="1:4" ht="12" hidden="1" customHeight="1" outlineLevel="1" x14ac:dyDescent="0.3">
      <c r="A2445" s="238"/>
      <c r="B2445" s="254">
        <v>8100</v>
      </c>
      <c r="C2445" s="255" t="s">
        <v>228</v>
      </c>
      <c r="D2445" s="260"/>
    </row>
    <row r="2446" spans="1:4" ht="12" hidden="1" customHeight="1" outlineLevel="1" x14ac:dyDescent="0.3">
      <c r="A2446" s="238"/>
      <c r="B2446" s="254">
        <v>8600</v>
      </c>
      <c r="C2446" s="255" t="s">
        <v>229</v>
      </c>
      <c r="D2446" s="260"/>
    </row>
    <row r="2447" spans="1:4" ht="12" hidden="1" customHeight="1" outlineLevel="1" x14ac:dyDescent="0.3">
      <c r="A2447" s="238"/>
      <c r="B2447" s="254">
        <v>8900</v>
      </c>
      <c r="C2447" s="255" t="s">
        <v>230</v>
      </c>
      <c r="D2447" s="260"/>
    </row>
    <row r="2448" spans="1:4" ht="12" customHeight="1" collapsed="1" x14ac:dyDescent="0.3">
      <c r="A2448" s="256" t="s">
        <v>367</v>
      </c>
      <c r="B2448" s="257"/>
      <c r="C2448" s="258" t="s">
        <v>368</v>
      </c>
      <c r="D2448" s="259">
        <v>2702</v>
      </c>
    </row>
    <row r="2449" spans="1:4" ht="12" customHeight="1" x14ac:dyDescent="0.3">
      <c r="A2449" s="227"/>
      <c r="B2449" s="228"/>
      <c r="C2449" s="229" t="s">
        <v>198</v>
      </c>
      <c r="D2449" s="230">
        <v>2702</v>
      </c>
    </row>
    <row r="2450" spans="1:4" ht="12" hidden="1" customHeight="1" outlineLevel="1" x14ac:dyDescent="0.3">
      <c r="A2450" s="227"/>
      <c r="B2450" s="231">
        <v>1000</v>
      </c>
      <c r="C2450" s="232" t="s">
        <v>199</v>
      </c>
      <c r="D2450" s="230">
        <v>0</v>
      </c>
    </row>
    <row r="2451" spans="1:4" ht="12" hidden="1" customHeight="1" outlineLevel="1" x14ac:dyDescent="0.3">
      <c r="A2451" s="227"/>
      <c r="B2451" s="234">
        <v>1100</v>
      </c>
      <c r="C2451" s="235" t="s">
        <v>200</v>
      </c>
      <c r="D2451" s="236"/>
    </row>
    <row r="2452" spans="1:4" ht="12" hidden="1" customHeight="1" outlineLevel="1" x14ac:dyDescent="0.3">
      <c r="A2452" s="227"/>
      <c r="B2452" s="234">
        <v>1200</v>
      </c>
      <c r="C2452" s="237" t="s">
        <v>201</v>
      </c>
      <c r="D2452" s="236"/>
    </row>
    <row r="2453" spans="1:4" ht="12" customHeight="1" collapsed="1" x14ac:dyDescent="0.3">
      <c r="A2453" s="238"/>
      <c r="B2453" s="239">
        <v>2000</v>
      </c>
      <c r="C2453" s="240" t="s">
        <v>202</v>
      </c>
      <c r="D2453" s="260">
        <v>2602</v>
      </c>
    </row>
    <row r="2454" spans="1:4" ht="12" customHeight="1" outlineLevel="1" x14ac:dyDescent="0.3">
      <c r="A2454" s="238"/>
      <c r="B2454" s="242">
        <v>2100</v>
      </c>
      <c r="C2454" s="243" t="s">
        <v>203</v>
      </c>
      <c r="D2454" s="244"/>
    </row>
    <row r="2455" spans="1:4" ht="12" customHeight="1" outlineLevel="1" x14ac:dyDescent="0.3">
      <c r="A2455" s="238"/>
      <c r="B2455" s="242">
        <v>2200</v>
      </c>
      <c r="C2455" s="243" t="s">
        <v>204</v>
      </c>
      <c r="D2455" s="244">
        <v>1500</v>
      </c>
    </row>
    <row r="2456" spans="1:4" ht="12" customHeight="1" x14ac:dyDescent="0.3">
      <c r="A2456" s="238"/>
      <c r="B2456" s="242">
        <v>2300</v>
      </c>
      <c r="C2456" s="243" t="s">
        <v>205</v>
      </c>
      <c r="D2456" s="244">
        <v>1102</v>
      </c>
    </row>
    <row r="2457" spans="1:4" ht="12" hidden="1" customHeight="1" outlineLevel="1" x14ac:dyDescent="0.3">
      <c r="A2457" s="238"/>
      <c r="B2457" s="242">
        <v>2400</v>
      </c>
      <c r="C2457" s="243" t="s">
        <v>206</v>
      </c>
      <c r="D2457" s="244"/>
    </row>
    <row r="2458" spans="1:4" ht="12" customHeight="1" outlineLevel="1" collapsed="1" x14ac:dyDescent="0.3">
      <c r="A2458" s="238"/>
      <c r="B2458" s="242">
        <v>2500</v>
      </c>
      <c r="C2458" s="243" t="s">
        <v>207</v>
      </c>
      <c r="D2458" s="244"/>
    </row>
    <row r="2459" spans="1:4" ht="12" customHeight="1" x14ac:dyDescent="0.3">
      <c r="A2459" s="238"/>
      <c r="B2459" s="199">
        <v>3000</v>
      </c>
      <c r="C2459" s="245" t="s">
        <v>208</v>
      </c>
      <c r="D2459" s="260">
        <v>100</v>
      </c>
    </row>
    <row r="2460" spans="1:4" ht="12" customHeight="1" x14ac:dyDescent="0.3">
      <c r="A2460" s="238"/>
      <c r="B2460" s="242">
        <v>3200</v>
      </c>
      <c r="C2460" s="243" t="s">
        <v>209</v>
      </c>
      <c r="D2460" s="244">
        <v>100</v>
      </c>
    </row>
    <row r="2461" spans="1:4" ht="12" hidden="1" customHeight="1" outlineLevel="1" x14ac:dyDescent="0.3">
      <c r="A2461" s="238"/>
      <c r="B2461" s="242">
        <v>3300</v>
      </c>
      <c r="C2461" s="243" t="s">
        <v>210</v>
      </c>
      <c r="D2461" s="244"/>
    </row>
    <row r="2462" spans="1:4" ht="12" hidden="1" customHeight="1" outlineLevel="1" x14ac:dyDescent="0.3">
      <c r="A2462" s="238"/>
      <c r="B2462" s="199">
        <v>4000</v>
      </c>
      <c r="C2462" s="246" t="s">
        <v>211</v>
      </c>
      <c r="D2462" s="260">
        <v>0</v>
      </c>
    </row>
    <row r="2463" spans="1:4" ht="12" hidden="1" customHeight="1" outlineLevel="1" x14ac:dyDescent="0.3">
      <c r="A2463" s="238"/>
      <c r="B2463" s="242">
        <v>4200</v>
      </c>
      <c r="C2463" s="247" t="s">
        <v>212</v>
      </c>
      <c r="D2463" s="244"/>
    </row>
    <row r="2464" spans="1:4" ht="12" hidden="1" customHeight="1" outlineLevel="1" x14ac:dyDescent="0.3">
      <c r="A2464" s="238"/>
      <c r="B2464" s="242">
        <v>4300</v>
      </c>
      <c r="C2464" s="247" t="s">
        <v>213</v>
      </c>
      <c r="D2464" s="244"/>
    </row>
    <row r="2465" spans="1:4" ht="12" hidden="1" customHeight="1" outlineLevel="1" x14ac:dyDescent="0.3">
      <c r="A2465" s="238"/>
      <c r="B2465" s="199">
        <v>5000</v>
      </c>
      <c r="C2465" s="200" t="s">
        <v>214</v>
      </c>
      <c r="D2465" s="260">
        <v>0</v>
      </c>
    </row>
    <row r="2466" spans="1:4" ht="12" hidden="1" customHeight="1" outlineLevel="1" x14ac:dyDescent="0.3">
      <c r="A2466" s="238"/>
      <c r="B2466" s="242">
        <v>5100</v>
      </c>
      <c r="C2466" s="248" t="s">
        <v>215</v>
      </c>
      <c r="D2466" s="260"/>
    </row>
    <row r="2467" spans="1:4" ht="12" hidden="1" customHeight="1" outlineLevel="1" x14ac:dyDescent="0.3">
      <c r="A2467" s="238"/>
      <c r="B2467" s="242">
        <v>5200</v>
      </c>
      <c r="C2467" s="248" t="s">
        <v>216</v>
      </c>
      <c r="D2467" s="260"/>
    </row>
    <row r="2468" spans="1:4" ht="12" hidden="1" customHeight="1" outlineLevel="1" x14ac:dyDescent="0.3">
      <c r="A2468" s="238"/>
      <c r="B2468" s="242">
        <v>5300</v>
      </c>
      <c r="C2468" s="249" t="s">
        <v>217</v>
      </c>
      <c r="D2468" s="260"/>
    </row>
    <row r="2469" spans="1:4" ht="12" hidden="1" customHeight="1" outlineLevel="1" x14ac:dyDescent="0.3">
      <c r="A2469" s="238"/>
      <c r="B2469" s="199">
        <v>6000</v>
      </c>
      <c r="C2469" s="200" t="s">
        <v>218</v>
      </c>
      <c r="D2469" s="260">
        <v>0</v>
      </c>
    </row>
    <row r="2470" spans="1:4" ht="12" hidden="1" customHeight="1" outlineLevel="1" x14ac:dyDescent="0.3">
      <c r="A2470" s="238"/>
      <c r="B2470" s="242">
        <v>6200</v>
      </c>
      <c r="C2470" s="248" t="s">
        <v>219</v>
      </c>
      <c r="D2470" s="244"/>
    </row>
    <row r="2471" spans="1:4" ht="12" hidden="1" customHeight="1" outlineLevel="1" x14ac:dyDescent="0.3">
      <c r="A2471" s="238"/>
      <c r="B2471" s="242">
        <v>6300</v>
      </c>
      <c r="C2471" s="248" t="s">
        <v>220</v>
      </c>
      <c r="D2471" s="244"/>
    </row>
    <row r="2472" spans="1:4" ht="12" hidden="1" customHeight="1" outlineLevel="1" x14ac:dyDescent="0.3">
      <c r="A2472" s="238"/>
      <c r="B2472" s="242">
        <v>6400</v>
      </c>
      <c r="C2472" s="248" t="s">
        <v>221</v>
      </c>
      <c r="D2472" s="244"/>
    </row>
    <row r="2473" spans="1:4" ht="12" hidden="1" customHeight="1" outlineLevel="1" x14ac:dyDescent="0.3">
      <c r="A2473" s="238"/>
      <c r="B2473" s="242">
        <v>6500</v>
      </c>
      <c r="C2473" s="249" t="s">
        <v>222</v>
      </c>
      <c r="D2473" s="244"/>
    </row>
    <row r="2474" spans="1:4" ht="12" hidden="1" customHeight="1" outlineLevel="1" x14ac:dyDescent="0.3">
      <c r="A2474" s="238"/>
      <c r="B2474" s="199">
        <v>7000</v>
      </c>
      <c r="C2474" s="200" t="s">
        <v>223</v>
      </c>
      <c r="D2474" s="260">
        <v>0</v>
      </c>
    </row>
    <row r="2475" spans="1:4" ht="12" hidden="1" customHeight="1" outlineLevel="1" x14ac:dyDescent="0.3">
      <c r="A2475" s="238"/>
      <c r="B2475" s="250">
        <v>7200</v>
      </c>
      <c r="C2475" s="251" t="s">
        <v>224</v>
      </c>
      <c r="D2475" s="244"/>
    </row>
    <row r="2476" spans="1:4" ht="12" hidden="1" customHeight="1" outlineLevel="1" x14ac:dyDescent="0.3">
      <c r="A2476" s="238"/>
      <c r="B2476" s="250">
        <v>7500</v>
      </c>
      <c r="C2476" s="251" t="s">
        <v>225</v>
      </c>
      <c r="D2476" s="244"/>
    </row>
    <row r="2477" spans="1:4" ht="12" hidden="1" customHeight="1" outlineLevel="1" x14ac:dyDescent="0.3">
      <c r="A2477" s="238"/>
      <c r="B2477" s="250">
        <v>7700</v>
      </c>
      <c r="C2477" s="251" t="s">
        <v>226</v>
      </c>
      <c r="D2477" s="244"/>
    </row>
    <row r="2478" spans="1:4" ht="12" hidden="1" customHeight="1" outlineLevel="1" x14ac:dyDescent="0.3">
      <c r="A2478" s="238"/>
      <c r="B2478" s="252">
        <v>8000</v>
      </c>
      <c r="C2478" s="253" t="s">
        <v>227</v>
      </c>
      <c r="D2478" s="260">
        <v>0</v>
      </c>
    </row>
    <row r="2479" spans="1:4" ht="12" hidden="1" customHeight="1" outlineLevel="1" x14ac:dyDescent="0.3">
      <c r="A2479" s="238"/>
      <c r="B2479" s="254">
        <v>8100</v>
      </c>
      <c r="C2479" s="255" t="s">
        <v>228</v>
      </c>
      <c r="D2479" s="260"/>
    </row>
    <row r="2480" spans="1:4" ht="12" hidden="1" customHeight="1" outlineLevel="1" x14ac:dyDescent="0.3">
      <c r="A2480" s="238"/>
      <c r="B2480" s="254">
        <v>8600</v>
      </c>
      <c r="C2480" s="255" t="s">
        <v>229</v>
      </c>
      <c r="D2480" s="260"/>
    </row>
    <row r="2481" spans="1:4" ht="12" hidden="1" customHeight="1" outlineLevel="1" x14ac:dyDescent="0.3">
      <c r="A2481" s="238"/>
      <c r="B2481" s="254">
        <v>8900</v>
      </c>
      <c r="C2481" s="255" t="s">
        <v>230</v>
      </c>
      <c r="D2481" s="260"/>
    </row>
    <row r="2482" spans="1:4" ht="12" hidden="1" customHeight="1" outlineLevel="1" x14ac:dyDescent="0.3">
      <c r="A2482" s="283">
        <v>10.6</v>
      </c>
      <c r="B2482" s="257"/>
      <c r="C2482" s="258" t="s">
        <v>369</v>
      </c>
      <c r="D2482" s="259">
        <v>0</v>
      </c>
    </row>
    <row r="2483" spans="1:4" ht="12" hidden="1" customHeight="1" outlineLevel="1" x14ac:dyDescent="0.3">
      <c r="A2483" s="227"/>
      <c r="B2483" s="228"/>
      <c r="C2483" s="229" t="s">
        <v>198</v>
      </c>
      <c r="D2483" s="230">
        <v>0</v>
      </c>
    </row>
    <row r="2484" spans="1:4" ht="12" hidden="1" customHeight="1" outlineLevel="1" x14ac:dyDescent="0.3">
      <c r="A2484" s="227"/>
      <c r="B2484" s="231">
        <v>1000</v>
      </c>
      <c r="C2484" s="232" t="s">
        <v>199</v>
      </c>
      <c r="D2484" s="230">
        <v>0</v>
      </c>
    </row>
    <row r="2485" spans="1:4" ht="12" hidden="1" customHeight="1" outlineLevel="1" x14ac:dyDescent="0.3">
      <c r="A2485" s="227"/>
      <c r="B2485" s="234">
        <v>1100</v>
      </c>
      <c r="C2485" s="235" t="s">
        <v>200</v>
      </c>
      <c r="D2485" s="236"/>
    </row>
    <row r="2486" spans="1:4" ht="12" hidden="1" customHeight="1" outlineLevel="1" x14ac:dyDescent="0.3">
      <c r="A2486" s="227"/>
      <c r="B2486" s="234">
        <v>1200</v>
      </c>
      <c r="C2486" s="237" t="s">
        <v>201</v>
      </c>
      <c r="D2486" s="236"/>
    </row>
    <row r="2487" spans="1:4" ht="12" hidden="1" customHeight="1" outlineLevel="1" x14ac:dyDescent="0.3">
      <c r="A2487" s="238"/>
      <c r="B2487" s="239">
        <v>2000</v>
      </c>
      <c r="C2487" s="240" t="s">
        <v>202</v>
      </c>
      <c r="D2487" s="260">
        <v>0</v>
      </c>
    </row>
    <row r="2488" spans="1:4" ht="12" hidden="1" customHeight="1" outlineLevel="1" x14ac:dyDescent="0.3">
      <c r="A2488" s="238"/>
      <c r="B2488" s="242">
        <v>2100</v>
      </c>
      <c r="C2488" s="243" t="s">
        <v>203</v>
      </c>
      <c r="D2488" s="244"/>
    </row>
    <row r="2489" spans="1:4" ht="12" hidden="1" customHeight="1" outlineLevel="1" x14ac:dyDescent="0.3">
      <c r="A2489" s="238"/>
      <c r="B2489" s="242">
        <v>2200</v>
      </c>
      <c r="C2489" s="243" t="s">
        <v>204</v>
      </c>
      <c r="D2489" s="244"/>
    </row>
    <row r="2490" spans="1:4" ht="12" hidden="1" customHeight="1" outlineLevel="1" x14ac:dyDescent="0.3">
      <c r="A2490" s="238"/>
      <c r="B2490" s="242">
        <v>2300</v>
      </c>
      <c r="C2490" s="243" t="s">
        <v>205</v>
      </c>
      <c r="D2490" s="244"/>
    </row>
    <row r="2491" spans="1:4" ht="12" hidden="1" customHeight="1" outlineLevel="1" x14ac:dyDescent="0.3">
      <c r="A2491" s="238"/>
      <c r="B2491" s="242">
        <v>2400</v>
      </c>
      <c r="C2491" s="243" t="s">
        <v>206</v>
      </c>
      <c r="D2491" s="244"/>
    </row>
    <row r="2492" spans="1:4" ht="12" hidden="1" customHeight="1" outlineLevel="1" x14ac:dyDescent="0.3">
      <c r="A2492" s="238"/>
      <c r="B2492" s="242">
        <v>2500</v>
      </c>
      <c r="C2492" s="243" t="s">
        <v>207</v>
      </c>
      <c r="D2492" s="244"/>
    </row>
    <row r="2493" spans="1:4" ht="12" hidden="1" customHeight="1" outlineLevel="1" x14ac:dyDescent="0.3">
      <c r="A2493" s="238"/>
      <c r="B2493" s="199">
        <v>3000</v>
      </c>
      <c r="C2493" s="245" t="s">
        <v>208</v>
      </c>
      <c r="D2493" s="260">
        <v>0</v>
      </c>
    </row>
    <row r="2494" spans="1:4" ht="12" hidden="1" customHeight="1" outlineLevel="1" x14ac:dyDescent="0.3">
      <c r="A2494" s="238"/>
      <c r="B2494" s="242">
        <v>3200</v>
      </c>
      <c r="C2494" s="243" t="s">
        <v>209</v>
      </c>
      <c r="D2494" s="244"/>
    </row>
    <row r="2495" spans="1:4" ht="12" hidden="1" customHeight="1" outlineLevel="1" x14ac:dyDescent="0.3">
      <c r="A2495" s="238"/>
      <c r="B2495" s="242">
        <v>3300</v>
      </c>
      <c r="C2495" s="243" t="s">
        <v>210</v>
      </c>
      <c r="D2495" s="244"/>
    </row>
    <row r="2496" spans="1:4" ht="12" hidden="1" customHeight="1" outlineLevel="1" x14ac:dyDescent="0.3">
      <c r="A2496" s="238"/>
      <c r="B2496" s="199">
        <v>4000</v>
      </c>
      <c r="C2496" s="246" t="s">
        <v>211</v>
      </c>
      <c r="D2496" s="260">
        <v>0</v>
      </c>
    </row>
    <row r="2497" spans="1:4" ht="12" hidden="1" customHeight="1" outlineLevel="1" x14ac:dyDescent="0.3">
      <c r="A2497" s="238"/>
      <c r="B2497" s="242">
        <v>4200</v>
      </c>
      <c r="C2497" s="247" t="s">
        <v>212</v>
      </c>
      <c r="D2497" s="244"/>
    </row>
    <row r="2498" spans="1:4" ht="12" hidden="1" customHeight="1" outlineLevel="1" x14ac:dyDescent="0.3">
      <c r="A2498" s="238"/>
      <c r="B2498" s="242">
        <v>4300</v>
      </c>
      <c r="C2498" s="247" t="s">
        <v>213</v>
      </c>
      <c r="D2498" s="244"/>
    </row>
    <row r="2499" spans="1:4" ht="12" hidden="1" customHeight="1" outlineLevel="1" x14ac:dyDescent="0.3">
      <c r="A2499" s="238"/>
      <c r="B2499" s="199">
        <v>5000</v>
      </c>
      <c r="C2499" s="200" t="s">
        <v>214</v>
      </c>
      <c r="D2499" s="260">
        <v>0</v>
      </c>
    </row>
    <row r="2500" spans="1:4" ht="12" hidden="1" customHeight="1" outlineLevel="1" x14ac:dyDescent="0.3">
      <c r="A2500" s="238"/>
      <c r="B2500" s="242">
        <v>5100</v>
      </c>
      <c r="C2500" s="248" t="s">
        <v>215</v>
      </c>
      <c r="D2500" s="260"/>
    </row>
    <row r="2501" spans="1:4" ht="12" hidden="1" customHeight="1" outlineLevel="1" x14ac:dyDescent="0.3">
      <c r="A2501" s="238"/>
      <c r="B2501" s="242">
        <v>5200</v>
      </c>
      <c r="C2501" s="248" t="s">
        <v>216</v>
      </c>
      <c r="D2501" s="260"/>
    </row>
    <row r="2502" spans="1:4" ht="12" hidden="1" customHeight="1" outlineLevel="1" x14ac:dyDescent="0.3">
      <c r="A2502" s="238"/>
      <c r="B2502" s="242">
        <v>5300</v>
      </c>
      <c r="C2502" s="249" t="s">
        <v>217</v>
      </c>
      <c r="D2502" s="260"/>
    </row>
    <row r="2503" spans="1:4" ht="12" hidden="1" customHeight="1" outlineLevel="1" x14ac:dyDescent="0.3">
      <c r="A2503" s="238"/>
      <c r="B2503" s="199">
        <v>6000</v>
      </c>
      <c r="C2503" s="200" t="s">
        <v>218</v>
      </c>
      <c r="D2503" s="260">
        <v>0</v>
      </c>
    </row>
    <row r="2504" spans="1:4" ht="12" hidden="1" customHeight="1" outlineLevel="1" x14ac:dyDescent="0.3">
      <c r="A2504" s="238"/>
      <c r="B2504" s="242">
        <v>6200</v>
      </c>
      <c r="C2504" s="248" t="s">
        <v>219</v>
      </c>
      <c r="D2504" s="244"/>
    </row>
    <row r="2505" spans="1:4" ht="12" hidden="1" customHeight="1" outlineLevel="1" x14ac:dyDescent="0.3">
      <c r="A2505" s="238"/>
      <c r="B2505" s="242">
        <v>6300</v>
      </c>
      <c r="C2505" s="248" t="s">
        <v>220</v>
      </c>
      <c r="D2505" s="244"/>
    </row>
    <row r="2506" spans="1:4" ht="12" hidden="1" customHeight="1" outlineLevel="1" x14ac:dyDescent="0.3">
      <c r="A2506" s="238"/>
      <c r="B2506" s="242">
        <v>6400</v>
      </c>
      <c r="C2506" s="248" t="s">
        <v>221</v>
      </c>
      <c r="D2506" s="244"/>
    </row>
    <row r="2507" spans="1:4" ht="12" hidden="1" customHeight="1" outlineLevel="1" x14ac:dyDescent="0.3">
      <c r="A2507" s="238"/>
      <c r="B2507" s="242">
        <v>6500</v>
      </c>
      <c r="C2507" s="249" t="s">
        <v>222</v>
      </c>
      <c r="D2507" s="244"/>
    </row>
    <row r="2508" spans="1:4" ht="12" hidden="1" customHeight="1" outlineLevel="1" x14ac:dyDescent="0.3">
      <c r="A2508" s="238"/>
      <c r="B2508" s="199">
        <v>7000</v>
      </c>
      <c r="C2508" s="200" t="s">
        <v>223</v>
      </c>
      <c r="D2508" s="260">
        <v>0</v>
      </c>
    </row>
    <row r="2509" spans="1:4" ht="12" hidden="1" customHeight="1" outlineLevel="1" x14ac:dyDescent="0.3">
      <c r="A2509" s="238"/>
      <c r="B2509" s="250">
        <v>7200</v>
      </c>
      <c r="C2509" s="251" t="s">
        <v>224</v>
      </c>
      <c r="D2509" s="244"/>
    </row>
    <row r="2510" spans="1:4" ht="12" hidden="1" customHeight="1" outlineLevel="1" x14ac:dyDescent="0.3">
      <c r="A2510" s="238"/>
      <c r="B2510" s="250">
        <v>7500</v>
      </c>
      <c r="C2510" s="251" t="s">
        <v>225</v>
      </c>
      <c r="D2510" s="244"/>
    </row>
    <row r="2511" spans="1:4" ht="12" hidden="1" customHeight="1" outlineLevel="1" x14ac:dyDescent="0.3">
      <c r="A2511" s="238"/>
      <c r="B2511" s="250">
        <v>7700</v>
      </c>
      <c r="C2511" s="251" t="s">
        <v>226</v>
      </c>
      <c r="D2511" s="244"/>
    </row>
    <row r="2512" spans="1:4" ht="12" hidden="1" customHeight="1" outlineLevel="1" x14ac:dyDescent="0.3">
      <c r="A2512" s="238"/>
      <c r="B2512" s="252">
        <v>8000</v>
      </c>
      <c r="C2512" s="253" t="s">
        <v>227</v>
      </c>
      <c r="D2512" s="260">
        <v>0</v>
      </c>
    </row>
    <row r="2513" spans="1:4" ht="12" hidden="1" customHeight="1" outlineLevel="1" x14ac:dyDescent="0.3">
      <c r="A2513" s="238"/>
      <c r="B2513" s="254">
        <v>8100</v>
      </c>
      <c r="C2513" s="255" t="s">
        <v>228</v>
      </c>
      <c r="D2513" s="260"/>
    </row>
    <row r="2514" spans="1:4" ht="12" hidden="1" customHeight="1" outlineLevel="1" x14ac:dyDescent="0.3">
      <c r="A2514" s="238"/>
      <c r="B2514" s="254">
        <v>8600</v>
      </c>
      <c r="C2514" s="255" t="s">
        <v>229</v>
      </c>
      <c r="D2514" s="260"/>
    </row>
    <row r="2515" spans="1:4" ht="12" hidden="1" customHeight="1" outlineLevel="1" x14ac:dyDescent="0.3">
      <c r="A2515" s="238"/>
      <c r="B2515" s="254">
        <v>8900</v>
      </c>
      <c r="C2515" s="255" t="s">
        <v>230</v>
      </c>
      <c r="D2515" s="260"/>
    </row>
    <row r="2516" spans="1:4" ht="12" hidden="1" customHeight="1" outlineLevel="1" x14ac:dyDescent="0.3">
      <c r="A2516" s="283">
        <v>10.7</v>
      </c>
      <c r="B2516" s="257"/>
      <c r="C2516" s="258" t="s">
        <v>370</v>
      </c>
      <c r="D2516" s="259">
        <v>0</v>
      </c>
    </row>
    <row r="2517" spans="1:4" ht="12" hidden="1" customHeight="1" outlineLevel="1" x14ac:dyDescent="0.3">
      <c r="A2517" s="227"/>
      <c r="B2517" s="228"/>
      <c r="C2517" s="229" t="s">
        <v>198</v>
      </c>
      <c r="D2517" s="230">
        <v>0</v>
      </c>
    </row>
    <row r="2518" spans="1:4" ht="12" hidden="1" customHeight="1" outlineLevel="1" x14ac:dyDescent="0.3">
      <c r="A2518" s="227"/>
      <c r="B2518" s="231">
        <v>1000</v>
      </c>
      <c r="C2518" s="232" t="s">
        <v>199</v>
      </c>
      <c r="D2518" s="230">
        <v>0</v>
      </c>
    </row>
    <row r="2519" spans="1:4" ht="12" hidden="1" customHeight="1" outlineLevel="1" x14ac:dyDescent="0.3">
      <c r="A2519" s="227"/>
      <c r="B2519" s="234">
        <v>1100</v>
      </c>
      <c r="C2519" s="235" t="s">
        <v>200</v>
      </c>
      <c r="D2519" s="236"/>
    </row>
    <row r="2520" spans="1:4" ht="12" hidden="1" customHeight="1" outlineLevel="1" x14ac:dyDescent="0.3">
      <c r="A2520" s="227"/>
      <c r="B2520" s="234">
        <v>1200</v>
      </c>
      <c r="C2520" s="237" t="s">
        <v>201</v>
      </c>
      <c r="D2520" s="236"/>
    </row>
    <row r="2521" spans="1:4" ht="12" hidden="1" customHeight="1" outlineLevel="1" x14ac:dyDescent="0.3">
      <c r="A2521" s="238"/>
      <c r="B2521" s="239">
        <v>2000</v>
      </c>
      <c r="C2521" s="240" t="s">
        <v>202</v>
      </c>
      <c r="D2521" s="260">
        <v>0</v>
      </c>
    </row>
    <row r="2522" spans="1:4" ht="12" hidden="1" customHeight="1" outlineLevel="1" x14ac:dyDescent="0.3">
      <c r="A2522" s="238"/>
      <c r="B2522" s="242">
        <v>2100</v>
      </c>
      <c r="C2522" s="243" t="s">
        <v>203</v>
      </c>
      <c r="D2522" s="244"/>
    </row>
    <row r="2523" spans="1:4" ht="12" hidden="1" customHeight="1" outlineLevel="1" x14ac:dyDescent="0.3">
      <c r="A2523" s="238"/>
      <c r="B2523" s="242">
        <v>2200</v>
      </c>
      <c r="C2523" s="243" t="s">
        <v>204</v>
      </c>
      <c r="D2523" s="244"/>
    </row>
    <row r="2524" spans="1:4" ht="12" hidden="1" customHeight="1" outlineLevel="1" x14ac:dyDescent="0.3">
      <c r="A2524" s="238"/>
      <c r="B2524" s="242">
        <v>2300</v>
      </c>
      <c r="C2524" s="243" t="s">
        <v>205</v>
      </c>
      <c r="D2524" s="244"/>
    </row>
    <row r="2525" spans="1:4" ht="12" hidden="1" customHeight="1" outlineLevel="1" x14ac:dyDescent="0.3">
      <c r="A2525" s="238"/>
      <c r="B2525" s="242">
        <v>2400</v>
      </c>
      <c r="C2525" s="243" t="s">
        <v>206</v>
      </c>
      <c r="D2525" s="244"/>
    </row>
    <row r="2526" spans="1:4" ht="12" hidden="1" customHeight="1" outlineLevel="1" x14ac:dyDescent="0.3">
      <c r="A2526" s="238"/>
      <c r="B2526" s="242">
        <v>2500</v>
      </c>
      <c r="C2526" s="243" t="s">
        <v>207</v>
      </c>
      <c r="D2526" s="244"/>
    </row>
    <row r="2527" spans="1:4" ht="12" hidden="1" customHeight="1" outlineLevel="1" x14ac:dyDescent="0.3">
      <c r="A2527" s="238"/>
      <c r="B2527" s="199">
        <v>3000</v>
      </c>
      <c r="C2527" s="245" t="s">
        <v>208</v>
      </c>
      <c r="D2527" s="260">
        <v>0</v>
      </c>
    </row>
    <row r="2528" spans="1:4" ht="12" hidden="1" customHeight="1" outlineLevel="1" x14ac:dyDescent="0.3">
      <c r="A2528" s="238"/>
      <c r="B2528" s="242">
        <v>3200</v>
      </c>
      <c r="C2528" s="243" t="s">
        <v>209</v>
      </c>
      <c r="D2528" s="244"/>
    </row>
    <row r="2529" spans="1:4" ht="12" hidden="1" customHeight="1" outlineLevel="1" x14ac:dyDescent="0.3">
      <c r="A2529" s="238"/>
      <c r="B2529" s="242">
        <v>3300</v>
      </c>
      <c r="C2529" s="243" t="s">
        <v>210</v>
      </c>
      <c r="D2529" s="244"/>
    </row>
    <row r="2530" spans="1:4" ht="12" hidden="1" customHeight="1" outlineLevel="1" x14ac:dyDescent="0.3">
      <c r="A2530" s="238"/>
      <c r="B2530" s="199">
        <v>4000</v>
      </c>
      <c r="C2530" s="246" t="s">
        <v>211</v>
      </c>
      <c r="D2530" s="260">
        <v>0</v>
      </c>
    </row>
    <row r="2531" spans="1:4" ht="12" hidden="1" customHeight="1" outlineLevel="1" x14ac:dyDescent="0.3">
      <c r="A2531" s="238"/>
      <c r="B2531" s="242">
        <v>4200</v>
      </c>
      <c r="C2531" s="247" t="s">
        <v>212</v>
      </c>
      <c r="D2531" s="244"/>
    </row>
    <row r="2532" spans="1:4" ht="12" hidden="1" customHeight="1" outlineLevel="1" x14ac:dyDescent="0.3">
      <c r="A2532" s="238"/>
      <c r="B2532" s="242">
        <v>4300</v>
      </c>
      <c r="C2532" s="247" t="s">
        <v>213</v>
      </c>
      <c r="D2532" s="244"/>
    </row>
    <row r="2533" spans="1:4" ht="12" hidden="1" customHeight="1" outlineLevel="1" x14ac:dyDescent="0.3">
      <c r="A2533" s="238"/>
      <c r="B2533" s="199">
        <v>5000</v>
      </c>
      <c r="C2533" s="200" t="s">
        <v>214</v>
      </c>
      <c r="D2533" s="260">
        <v>0</v>
      </c>
    </row>
    <row r="2534" spans="1:4" ht="12" hidden="1" customHeight="1" outlineLevel="1" x14ac:dyDescent="0.3">
      <c r="A2534" s="238"/>
      <c r="B2534" s="242">
        <v>5100</v>
      </c>
      <c r="C2534" s="248" t="s">
        <v>215</v>
      </c>
      <c r="D2534" s="260"/>
    </row>
    <row r="2535" spans="1:4" ht="12" hidden="1" customHeight="1" outlineLevel="1" x14ac:dyDescent="0.3">
      <c r="A2535" s="238"/>
      <c r="B2535" s="242">
        <v>5200</v>
      </c>
      <c r="C2535" s="248" t="s">
        <v>216</v>
      </c>
      <c r="D2535" s="260"/>
    </row>
    <row r="2536" spans="1:4" ht="12" hidden="1" customHeight="1" outlineLevel="1" x14ac:dyDescent="0.3">
      <c r="A2536" s="238"/>
      <c r="B2536" s="242">
        <v>5300</v>
      </c>
      <c r="C2536" s="249" t="s">
        <v>217</v>
      </c>
      <c r="D2536" s="260"/>
    </row>
    <row r="2537" spans="1:4" ht="12" hidden="1" customHeight="1" outlineLevel="1" x14ac:dyDescent="0.3">
      <c r="A2537" s="238"/>
      <c r="B2537" s="199">
        <v>6000</v>
      </c>
      <c r="C2537" s="200" t="s">
        <v>218</v>
      </c>
      <c r="D2537" s="260">
        <v>0</v>
      </c>
    </row>
    <row r="2538" spans="1:4" ht="12" hidden="1" customHeight="1" outlineLevel="1" x14ac:dyDescent="0.3">
      <c r="A2538" s="238"/>
      <c r="B2538" s="242">
        <v>6200</v>
      </c>
      <c r="C2538" s="248" t="s">
        <v>219</v>
      </c>
      <c r="D2538" s="244"/>
    </row>
    <row r="2539" spans="1:4" ht="12" hidden="1" customHeight="1" outlineLevel="1" x14ac:dyDescent="0.3">
      <c r="A2539" s="238"/>
      <c r="B2539" s="242">
        <v>6300</v>
      </c>
      <c r="C2539" s="248" t="s">
        <v>220</v>
      </c>
      <c r="D2539" s="244"/>
    </row>
    <row r="2540" spans="1:4" ht="12" hidden="1" customHeight="1" outlineLevel="1" x14ac:dyDescent="0.3">
      <c r="A2540" s="238"/>
      <c r="B2540" s="242">
        <v>6400</v>
      </c>
      <c r="C2540" s="248" t="s">
        <v>221</v>
      </c>
      <c r="D2540" s="244"/>
    </row>
    <row r="2541" spans="1:4" ht="12" hidden="1" customHeight="1" outlineLevel="1" x14ac:dyDescent="0.3">
      <c r="A2541" s="238"/>
      <c r="B2541" s="242">
        <v>6500</v>
      </c>
      <c r="C2541" s="249" t="s">
        <v>222</v>
      </c>
      <c r="D2541" s="244"/>
    </row>
    <row r="2542" spans="1:4" ht="12" hidden="1" customHeight="1" outlineLevel="1" x14ac:dyDescent="0.3">
      <c r="A2542" s="238"/>
      <c r="B2542" s="199">
        <v>7000</v>
      </c>
      <c r="C2542" s="200" t="s">
        <v>223</v>
      </c>
      <c r="D2542" s="260">
        <v>0</v>
      </c>
    </row>
    <row r="2543" spans="1:4" ht="12" hidden="1" customHeight="1" outlineLevel="1" x14ac:dyDescent="0.3">
      <c r="A2543" s="238"/>
      <c r="B2543" s="250">
        <v>7200</v>
      </c>
      <c r="C2543" s="251" t="s">
        <v>224</v>
      </c>
      <c r="D2543" s="244"/>
    </row>
    <row r="2544" spans="1:4" ht="12" hidden="1" customHeight="1" outlineLevel="1" x14ac:dyDescent="0.3">
      <c r="A2544" s="238"/>
      <c r="B2544" s="250">
        <v>7500</v>
      </c>
      <c r="C2544" s="251" t="s">
        <v>225</v>
      </c>
      <c r="D2544" s="244"/>
    </row>
    <row r="2545" spans="1:4" ht="12" hidden="1" customHeight="1" outlineLevel="1" x14ac:dyDescent="0.3">
      <c r="A2545" s="238"/>
      <c r="B2545" s="250">
        <v>7700</v>
      </c>
      <c r="C2545" s="251" t="s">
        <v>226</v>
      </c>
      <c r="D2545" s="244"/>
    </row>
    <row r="2546" spans="1:4" ht="12" hidden="1" customHeight="1" outlineLevel="1" x14ac:dyDescent="0.3">
      <c r="A2546" s="238"/>
      <c r="B2546" s="252">
        <v>8000</v>
      </c>
      <c r="C2546" s="253" t="s">
        <v>227</v>
      </c>
      <c r="D2546" s="260">
        <v>0</v>
      </c>
    </row>
    <row r="2547" spans="1:4" ht="12" hidden="1" customHeight="1" outlineLevel="1" x14ac:dyDescent="0.3">
      <c r="A2547" s="238"/>
      <c r="B2547" s="254">
        <v>8100</v>
      </c>
      <c r="C2547" s="255" t="s">
        <v>228</v>
      </c>
      <c r="D2547" s="260"/>
    </row>
    <row r="2548" spans="1:4" ht="12" hidden="1" customHeight="1" outlineLevel="1" x14ac:dyDescent="0.3">
      <c r="A2548" s="238"/>
      <c r="B2548" s="254">
        <v>8600</v>
      </c>
      <c r="C2548" s="255" t="s">
        <v>229</v>
      </c>
      <c r="D2548" s="260"/>
    </row>
    <row r="2549" spans="1:4" ht="12" hidden="1" customHeight="1" outlineLevel="1" x14ac:dyDescent="0.3">
      <c r="A2549" s="238"/>
      <c r="B2549" s="254">
        <v>8900</v>
      </c>
      <c r="C2549" s="255" t="s">
        <v>230</v>
      </c>
      <c r="D2549" s="260"/>
    </row>
    <row r="2550" spans="1:4" ht="12" customHeight="1" collapsed="1" x14ac:dyDescent="0.3">
      <c r="A2550" s="283">
        <v>10.9</v>
      </c>
      <c r="B2550" s="257"/>
      <c r="C2550" s="258" t="s">
        <v>371</v>
      </c>
      <c r="D2550" s="259">
        <v>22757</v>
      </c>
    </row>
    <row r="2551" spans="1:4" ht="12" customHeight="1" x14ac:dyDescent="0.3">
      <c r="A2551" s="227"/>
      <c r="B2551" s="228"/>
      <c r="C2551" s="229" t="s">
        <v>198</v>
      </c>
      <c r="D2551" s="230">
        <v>22757</v>
      </c>
    </row>
    <row r="2552" spans="1:4" ht="12" hidden="1" customHeight="1" outlineLevel="1" x14ac:dyDescent="0.3">
      <c r="A2552" s="227"/>
      <c r="B2552" s="231">
        <v>1000</v>
      </c>
      <c r="C2552" s="232" t="s">
        <v>199</v>
      </c>
      <c r="D2552" s="230">
        <v>0</v>
      </c>
    </row>
    <row r="2553" spans="1:4" ht="12" hidden="1" customHeight="1" outlineLevel="1" x14ac:dyDescent="0.3">
      <c r="A2553" s="227"/>
      <c r="B2553" s="234">
        <v>1100</v>
      </c>
      <c r="C2553" s="235" t="s">
        <v>200</v>
      </c>
      <c r="D2553" s="236"/>
    </row>
    <row r="2554" spans="1:4" ht="12" hidden="1" customHeight="1" outlineLevel="1" x14ac:dyDescent="0.3">
      <c r="A2554" s="227"/>
      <c r="B2554" s="234">
        <v>1200</v>
      </c>
      <c r="C2554" s="237" t="s">
        <v>201</v>
      </c>
      <c r="D2554" s="236"/>
    </row>
    <row r="2555" spans="1:4" ht="12" customHeight="1" collapsed="1" x14ac:dyDescent="0.3">
      <c r="A2555" s="238"/>
      <c r="B2555" s="239">
        <v>2000</v>
      </c>
      <c r="C2555" s="240" t="s">
        <v>202</v>
      </c>
      <c r="D2555" s="260">
        <v>22757</v>
      </c>
    </row>
    <row r="2556" spans="1:4" ht="12" hidden="1" customHeight="1" outlineLevel="1" x14ac:dyDescent="0.3">
      <c r="A2556" s="238"/>
      <c r="B2556" s="242">
        <v>2100</v>
      </c>
      <c r="C2556" s="243" t="s">
        <v>203</v>
      </c>
      <c r="D2556" s="244"/>
    </row>
    <row r="2557" spans="1:4" ht="12" customHeight="1" collapsed="1" x14ac:dyDescent="0.3">
      <c r="A2557" s="238"/>
      <c r="B2557" s="242">
        <v>2200</v>
      </c>
      <c r="C2557" s="243" t="s">
        <v>204</v>
      </c>
      <c r="D2557" s="244">
        <v>22757</v>
      </c>
    </row>
    <row r="2558" spans="1:4" ht="12" hidden="1" customHeight="1" outlineLevel="1" x14ac:dyDescent="0.3">
      <c r="A2558" s="238"/>
      <c r="B2558" s="242">
        <v>2300</v>
      </c>
      <c r="C2558" s="243" t="s">
        <v>205</v>
      </c>
      <c r="D2558" s="244"/>
    </row>
    <row r="2559" spans="1:4" ht="12" hidden="1" customHeight="1" outlineLevel="1" x14ac:dyDescent="0.3">
      <c r="A2559" s="238"/>
      <c r="B2559" s="242">
        <v>2400</v>
      </c>
      <c r="C2559" s="243" t="s">
        <v>206</v>
      </c>
      <c r="D2559" s="244"/>
    </row>
    <row r="2560" spans="1:4" ht="12" hidden="1" customHeight="1" outlineLevel="1" x14ac:dyDescent="0.3">
      <c r="A2560" s="238"/>
      <c r="B2560" s="242">
        <v>2500</v>
      </c>
      <c r="C2560" s="243" t="s">
        <v>207</v>
      </c>
      <c r="D2560" s="244"/>
    </row>
    <row r="2561" spans="1:4" ht="12" hidden="1" customHeight="1" outlineLevel="1" x14ac:dyDescent="0.3">
      <c r="A2561" s="238"/>
      <c r="B2561" s="199">
        <v>3000</v>
      </c>
      <c r="C2561" s="245" t="s">
        <v>208</v>
      </c>
      <c r="D2561" s="260">
        <v>0</v>
      </c>
    </row>
    <row r="2562" spans="1:4" ht="12" hidden="1" customHeight="1" outlineLevel="1" x14ac:dyDescent="0.3">
      <c r="A2562" s="238"/>
      <c r="B2562" s="242">
        <v>3200</v>
      </c>
      <c r="C2562" s="243" t="s">
        <v>209</v>
      </c>
      <c r="D2562" s="244"/>
    </row>
    <row r="2563" spans="1:4" ht="12" hidden="1" customHeight="1" outlineLevel="1" x14ac:dyDescent="0.3">
      <c r="A2563" s="238"/>
      <c r="B2563" s="242">
        <v>3300</v>
      </c>
      <c r="C2563" s="243" t="s">
        <v>210</v>
      </c>
      <c r="D2563" s="244"/>
    </row>
    <row r="2564" spans="1:4" ht="12" hidden="1" customHeight="1" outlineLevel="1" x14ac:dyDescent="0.3">
      <c r="A2564" s="238"/>
      <c r="B2564" s="199">
        <v>4000</v>
      </c>
      <c r="C2564" s="246" t="s">
        <v>211</v>
      </c>
      <c r="D2564" s="260">
        <v>0</v>
      </c>
    </row>
    <row r="2565" spans="1:4" ht="12" hidden="1" customHeight="1" outlineLevel="1" x14ac:dyDescent="0.3">
      <c r="A2565" s="238"/>
      <c r="B2565" s="242">
        <v>4200</v>
      </c>
      <c r="C2565" s="247" t="s">
        <v>212</v>
      </c>
      <c r="D2565" s="244"/>
    </row>
    <row r="2566" spans="1:4" ht="12" hidden="1" customHeight="1" outlineLevel="1" x14ac:dyDescent="0.3">
      <c r="A2566" s="238"/>
      <c r="B2566" s="242">
        <v>4300</v>
      </c>
      <c r="C2566" s="247" t="s">
        <v>213</v>
      </c>
      <c r="D2566" s="244"/>
    </row>
    <row r="2567" spans="1:4" ht="12" hidden="1" customHeight="1" outlineLevel="1" x14ac:dyDescent="0.3">
      <c r="A2567" s="238"/>
      <c r="B2567" s="199">
        <v>5000</v>
      </c>
      <c r="C2567" s="200" t="s">
        <v>214</v>
      </c>
      <c r="D2567" s="260">
        <v>0</v>
      </c>
    </row>
    <row r="2568" spans="1:4" ht="12" hidden="1" customHeight="1" outlineLevel="1" x14ac:dyDescent="0.3">
      <c r="A2568" s="238"/>
      <c r="B2568" s="242">
        <v>5100</v>
      </c>
      <c r="C2568" s="248" t="s">
        <v>215</v>
      </c>
      <c r="D2568" s="260"/>
    </row>
    <row r="2569" spans="1:4" ht="12" hidden="1" customHeight="1" outlineLevel="1" x14ac:dyDescent="0.3">
      <c r="A2569" s="238"/>
      <c r="B2569" s="242">
        <v>5200</v>
      </c>
      <c r="C2569" s="248" t="s">
        <v>216</v>
      </c>
      <c r="D2569" s="260"/>
    </row>
    <row r="2570" spans="1:4" ht="12" hidden="1" customHeight="1" outlineLevel="1" x14ac:dyDescent="0.3">
      <c r="A2570" s="238"/>
      <c r="B2570" s="242">
        <v>5300</v>
      </c>
      <c r="C2570" s="249" t="s">
        <v>217</v>
      </c>
      <c r="D2570" s="260"/>
    </row>
    <row r="2571" spans="1:4" ht="12" hidden="1" customHeight="1" outlineLevel="1" x14ac:dyDescent="0.3">
      <c r="A2571" s="238"/>
      <c r="B2571" s="199">
        <v>6000</v>
      </c>
      <c r="C2571" s="200" t="s">
        <v>218</v>
      </c>
      <c r="D2571" s="260">
        <v>0</v>
      </c>
    </row>
    <row r="2572" spans="1:4" ht="12" hidden="1" customHeight="1" outlineLevel="1" x14ac:dyDescent="0.3">
      <c r="A2572" s="238"/>
      <c r="B2572" s="242">
        <v>6200</v>
      </c>
      <c r="C2572" s="248" t="s">
        <v>219</v>
      </c>
      <c r="D2572" s="244"/>
    </row>
    <row r="2573" spans="1:4" ht="12" hidden="1" customHeight="1" outlineLevel="1" x14ac:dyDescent="0.3">
      <c r="A2573" s="238"/>
      <c r="B2573" s="242">
        <v>6300</v>
      </c>
      <c r="C2573" s="248" t="s">
        <v>220</v>
      </c>
      <c r="D2573" s="244"/>
    </row>
    <row r="2574" spans="1:4" ht="12" hidden="1" customHeight="1" outlineLevel="1" x14ac:dyDescent="0.3">
      <c r="A2574" s="238"/>
      <c r="B2574" s="242">
        <v>6400</v>
      </c>
      <c r="C2574" s="248" t="s">
        <v>221</v>
      </c>
      <c r="D2574" s="244"/>
    </row>
    <row r="2575" spans="1:4" ht="12" hidden="1" customHeight="1" outlineLevel="1" x14ac:dyDescent="0.3">
      <c r="A2575" s="238"/>
      <c r="B2575" s="242">
        <v>6500</v>
      </c>
      <c r="C2575" s="249" t="s">
        <v>222</v>
      </c>
      <c r="D2575" s="244"/>
    </row>
    <row r="2576" spans="1:4" ht="12" hidden="1" customHeight="1" outlineLevel="1" x14ac:dyDescent="0.3">
      <c r="A2576" s="238"/>
      <c r="B2576" s="199">
        <v>7000</v>
      </c>
      <c r="C2576" s="200" t="s">
        <v>223</v>
      </c>
      <c r="D2576" s="260">
        <v>0</v>
      </c>
    </row>
    <row r="2577" spans="1:4" ht="12" hidden="1" customHeight="1" outlineLevel="1" x14ac:dyDescent="0.3">
      <c r="A2577" s="238"/>
      <c r="B2577" s="250">
        <v>7200</v>
      </c>
      <c r="C2577" s="251" t="s">
        <v>224</v>
      </c>
      <c r="D2577" s="244"/>
    </row>
    <row r="2578" spans="1:4" ht="12" hidden="1" customHeight="1" outlineLevel="1" x14ac:dyDescent="0.3">
      <c r="A2578" s="238"/>
      <c r="B2578" s="250">
        <v>7500</v>
      </c>
      <c r="C2578" s="251" t="s">
        <v>225</v>
      </c>
      <c r="D2578" s="244"/>
    </row>
    <row r="2579" spans="1:4" ht="12" hidden="1" customHeight="1" outlineLevel="1" x14ac:dyDescent="0.3">
      <c r="A2579" s="238"/>
      <c r="B2579" s="250">
        <v>7700</v>
      </c>
      <c r="C2579" s="251" t="s">
        <v>226</v>
      </c>
      <c r="D2579" s="244"/>
    </row>
    <row r="2580" spans="1:4" ht="12" hidden="1" customHeight="1" outlineLevel="1" x14ac:dyDescent="0.3">
      <c r="A2580" s="238"/>
      <c r="B2580" s="252">
        <v>8000</v>
      </c>
      <c r="C2580" s="253" t="s">
        <v>227</v>
      </c>
      <c r="D2580" s="260">
        <v>0</v>
      </c>
    </row>
    <row r="2581" spans="1:4" ht="12" hidden="1" customHeight="1" outlineLevel="1" x14ac:dyDescent="0.3">
      <c r="A2581" s="238"/>
      <c r="B2581" s="254">
        <v>8100</v>
      </c>
      <c r="C2581" s="255" t="s">
        <v>228</v>
      </c>
      <c r="D2581" s="260"/>
    </row>
    <row r="2582" spans="1:4" ht="12" hidden="1" customHeight="1" outlineLevel="1" x14ac:dyDescent="0.3">
      <c r="A2582" s="238"/>
      <c r="B2582" s="254">
        <v>8600</v>
      </c>
      <c r="C2582" s="255" t="s">
        <v>229</v>
      </c>
      <c r="D2582" s="260"/>
    </row>
    <row r="2583" spans="1:4" ht="12" hidden="1" customHeight="1" outlineLevel="1" x14ac:dyDescent="0.3">
      <c r="A2583" s="238"/>
      <c r="B2583" s="254">
        <v>8900</v>
      </c>
      <c r="C2583" s="255" t="s">
        <v>230</v>
      </c>
      <c r="D2583" s="260"/>
    </row>
    <row r="2584" spans="1:4" ht="17.100000000000001" customHeight="1" collapsed="1" x14ac:dyDescent="0.3">
      <c r="A2584" s="284"/>
      <c r="B2584" s="285" t="s">
        <v>372</v>
      </c>
      <c r="C2584" s="286"/>
      <c r="D2584" s="222">
        <v>313734</v>
      </c>
    </row>
    <row r="2585" spans="1:4" ht="12" customHeight="1" x14ac:dyDescent="0.3">
      <c r="A2585" s="227"/>
      <c r="B2585" s="228"/>
      <c r="C2585" s="229" t="s">
        <v>198</v>
      </c>
      <c r="D2585" s="287">
        <v>303623</v>
      </c>
    </row>
    <row r="2586" spans="1:4" ht="12" customHeight="1" x14ac:dyDescent="0.3">
      <c r="A2586" s="227"/>
      <c r="B2586" s="231">
        <v>1000</v>
      </c>
      <c r="C2586" s="232" t="s">
        <v>199</v>
      </c>
      <c r="D2586" s="288">
        <v>0</v>
      </c>
    </row>
    <row r="2587" spans="1:4" ht="12" customHeight="1" x14ac:dyDescent="0.3">
      <c r="A2587" s="227"/>
      <c r="B2587" s="234">
        <v>1100</v>
      </c>
      <c r="C2587" s="235" t="s">
        <v>200</v>
      </c>
      <c r="D2587" s="287">
        <v>0</v>
      </c>
    </row>
    <row r="2588" spans="1:4" ht="12" customHeight="1" x14ac:dyDescent="0.3">
      <c r="A2588" s="227"/>
      <c r="B2588" s="234">
        <v>1200</v>
      </c>
      <c r="C2588" s="237" t="s">
        <v>201</v>
      </c>
      <c r="D2588" s="287">
        <v>0</v>
      </c>
    </row>
    <row r="2589" spans="1:4" ht="12" customHeight="1" x14ac:dyDescent="0.3">
      <c r="A2589" s="238"/>
      <c r="B2589" s="239">
        <v>2000</v>
      </c>
      <c r="C2589" s="240" t="s">
        <v>202</v>
      </c>
      <c r="D2589" s="288">
        <v>302923</v>
      </c>
    </row>
    <row r="2590" spans="1:4" ht="12" hidden="1" customHeight="1" outlineLevel="1" x14ac:dyDescent="0.3">
      <c r="A2590" s="238"/>
      <c r="B2590" s="242">
        <v>2100</v>
      </c>
      <c r="C2590" s="243" t="s">
        <v>203</v>
      </c>
      <c r="D2590" s="287">
        <v>0</v>
      </c>
    </row>
    <row r="2591" spans="1:4" ht="12" customHeight="1" collapsed="1" x14ac:dyDescent="0.3">
      <c r="A2591" s="238"/>
      <c r="B2591" s="242">
        <v>2200</v>
      </c>
      <c r="C2591" s="243" t="s">
        <v>204</v>
      </c>
      <c r="D2591" s="287">
        <v>299514</v>
      </c>
    </row>
    <row r="2592" spans="1:4" ht="12" customHeight="1" x14ac:dyDescent="0.3">
      <c r="A2592" s="238"/>
      <c r="B2592" s="242">
        <v>2300</v>
      </c>
      <c r="C2592" s="243" t="s">
        <v>205</v>
      </c>
      <c r="D2592" s="287">
        <v>3409</v>
      </c>
    </row>
    <row r="2593" spans="1:4" ht="12" hidden="1" customHeight="1" outlineLevel="1" x14ac:dyDescent="0.3">
      <c r="A2593" s="238"/>
      <c r="B2593" s="242">
        <v>2400</v>
      </c>
      <c r="C2593" s="243" t="s">
        <v>206</v>
      </c>
      <c r="D2593" s="287">
        <v>0</v>
      </c>
    </row>
    <row r="2594" spans="1:4" ht="12" hidden="1" customHeight="1" outlineLevel="1" x14ac:dyDescent="0.3">
      <c r="A2594" s="238"/>
      <c r="B2594" s="242">
        <v>2500</v>
      </c>
      <c r="C2594" s="243" t="s">
        <v>207</v>
      </c>
      <c r="D2594" s="287">
        <v>0</v>
      </c>
    </row>
    <row r="2595" spans="1:4" ht="12" customHeight="1" collapsed="1" x14ac:dyDescent="0.3">
      <c r="A2595" s="238"/>
      <c r="B2595" s="199">
        <v>3000</v>
      </c>
      <c r="C2595" s="245" t="s">
        <v>208</v>
      </c>
      <c r="D2595" s="288">
        <v>100</v>
      </c>
    </row>
    <row r="2596" spans="1:4" ht="12" customHeight="1" x14ac:dyDescent="0.3">
      <c r="A2596" s="238"/>
      <c r="B2596" s="242">
        <v>3200</v>
      </c>
      <c r="C2596" s="243" t="s">
        <v>209</v>
      </c>
      <c r="D2596" s="287">
        <v>100</v>
      </c>
    </row>
    <row r="2597" spans="1:4" ht="12" hidden="1" customHeight="1" outlineLevel="1" x14ac:dyDescent="0.3">
      <c r="A2597" s="238"/>
      <c r="B2597" s="242">
        <v>3300</v>
      </c>
      <c r="C2597" s="243" t="s">
        <v>210</v>
      </c>
      <c r="D2597" s="287">
        <v>0</v>
      </c>
    </row>
    <row r="2598" spans="1:4" ht="12" hidden="1" customHeight="1" outlineLevel="1" x14ac:dyDescent="0.3">
      <c r="A2598" s="238"/>
      <c r="B2598" s="199">
        <v>4000</v>
      </c>
      <c r="C2598" s="246" t="s">
        <v>211</v>
      </c>
      <c r="D2598" s="288">
        <v>0</v>
      </c>
    </row>
    <row r="2599" spans="1:4" ht="12" hidden="1" customHeight="1" outlineLevel="1" x14ac:dyDescent="0.3">
      <c r="A2599" s="238"/>
      <c r="B2599" s="242">
        <v>4200</v>
      </c>
      <c r="C2599" s="247" t="s">
        <v>212</v>
      </c>
      <c r="D2599" s="287">
        <v>0</v>
      </c>
    </row>
    <row r="2600" spans="1:4" ht="12" hidden="1" customHeight="1" outlineLevel="1" x14ac:dyDescent="0.3">
      <c r="A2600" s="238"/>
      <c r="B2600" s="242">
        <v>4300</v>
      </c>
      <c r="C2600" s="247" t="s">
        <v>213</v>
      </c>
      <c r="D2600" s="287">
        <v>0</v>
      </c>
    </row>
    <row r="2601" spans="1:4" ht="12" customHeight="1" collapsed="1" x14ac:dyDescent="0.3">
      <c r="A2601" s="238"/>
      <c r="B2601" s="199">
        <v>5000</v>
      </c>
      <c r="C2601" s="200" t="s">
        <v>214</v>
      </c>
      <c r="D2601" s="288">
        <v>10111</v>
      </c>
    </row>
    <row r="2602" spans="1:4" ht="12" hidden="1" customHeight="1" outlineLevel="1" x14ac:dyDescent="0.3">
      <c r="A2602" s="238"/>
      <c r="B2602" s="242">
        <v>5100</v>
      </c>
      <c r="C2602" s="248" t="s">
        <v>215</v>
      </c>
      <c r="D2602" s="287">
        <v>0</v>
      </c>
    </row>
    <row r="2603" spans="1:4" ht="12" customHeight="1" collapsed="1" x14ac:dyDescent="0.3">
      <c r="A2603" s="238"/>
      <c r="B2603" s="242">
        <v>5200</v>
      </c>
      <c r="C2603" s="248" t="s">
        <v>216</v>
      </c>
      <c r="D2603" s="287">
        <v>10111</v>
      </c>
    </row>
    <row r="2604" spans="1:4" ht="12" hidden="1" customHeight="1" outlineLevel="1" x14ac:dyDescent="0.3">
      <c r="A2604" s="238"/>
      <c r="B2604" s="242">
        <v>5300</v>
      </c>
      <c r="C2604" s="249" t="s">
        <v>217</v>
      </c>
      <c r="D2604" s="287">
        <v>0</v>
      </c>
    </row>
    <row r="2605" spans="1:4" ht="12" hidden="1" customHeight="1" outlineLevel="1" x14ac:dyDescent="0.3">
      <c r="A2605" s="238"/>
      <c r="B2605" s="199">
        <v>6000</v>
      </c>
      <c r="C2605" s="200" t="s">
        <v>218</v>
      </c>
      <c r="D2605" s="288">
        <v>600</v>
      </c>
    </row>
    <row r="2606" spans="1:4" ht="12" hidden="1" customHeight="1" outlineLevel="1" x14ac:dyDescent="0.3">
      <c r="A2606" s="238"/>
      <c r="B2606" s="242">
        <v>6200</v>
      </c>
      <c r="C2606" s="248" t="s">
        <v>219</v>
      </c>
      <c r="D2606" s="287">
        <v>0</v>
      </c>
    </row>
    <row r="2607" spans="1:4" ht="12" hidden="1" customHeight="1" outlineLevel="1" x14ac:dyDescent="0.3">
      <c r="A2607" s="238"/>
      <c r="B2607" s="242">
        <v>6300</v>
      </c>
      <c r="C2607" s="248" t="s">
        <v>220</v>
      </c>
      <c r="D2607" s="287">
        <v>0</v>
      </c>
    </row>
    <row r="2608" spans="1:4" ht="12" hidden="1" customHeight="1" outlineLevel="1" x14ac:dyDescent="0.3">
      <c r="A2608" s="238"/>
      <c r="B2608" s="242">
        <v>6400</v>
      </c>
      <c r="C2608" s="248" t="s">
        <v>221</v>
      </c>
      <c r="D2608" s="287">
        <v>600</v>
      </c>
    </row>
    <row r="2609" spans="1:4" ht="12" hidden="1" customHeight="1" outlineLevel="1" x14ac:dyDescent="0.3">
      <c r="A2609" s="238"/>
      <c r="B2609" s="242">
        <v>6500</v>
      </c>
      <c r="C2609" s="249" t="s">
        <v>222</v>
      </c>
      <c r="D2609" s="287">
        <v>0</v>
      </c>
    </row>
    <row r="2610" spans="1:4" ht="12" hidden="1" customHeight="1" outlineLevel="1" x14ac:dyDescent="0.3">
      <c r="A2610" s="238"/>
      <c r="B2610" s="199">
        <v>7000</v>
      </c>
      <c r="C2610" s="200" t="s">
        <v>223</v>
      </c>
      <c r="D2610" s="288">
        <v>0</v>
      </c>
    </row>
    <row r="2611" spans="1:4" ht="12" hidden="1" customHeight="1" outlineLevel="1" x14ac:dyDescent="0.3">
      <c r="A2611" s="238"/>
      <c r="B2611" s="250">
        <v>7200</v>
      </c>
      <c r="C2611" s="251" t="s">
        <v>224</v>
      </c>
      <c r="D2611" s="287">
        <v>0</v>
      </c>
    </row>
    <row r="2612" spans="1:4" ht="12" hidden="1" customHeight="1" outlineLevel="1" x14ac:dyDescent="0.3">
      <c r="A2612" s="238"/>
      <c r="B2612" s="250">
        <v>7500</v>
      </c>
      <c r="C2612" s="251" t="s">
        <v>225</v>
      </c>
      <c r="D2612" s="287">
        <v>0</v>
      </c>
    </row>
    <row r="2613" spans="1:4" ht="12" hidden="1" customHeight="1" outlineLevel="1" x14ac:dyDescent="0.3">
      <c r="A2613" s="238"/>
      <c r="B2613" s="250">
        <v>7700</v>
      </c>
      <c r="C2613" s="251" t="s">
        <v>226</v>
      </c>
      <c r="D2613" s="287">
        <v>0</v>
      </c>
    </row>
    <row r="2614" spans="1:4" ht="12" customHeight="1" collapsed="1" x14ac:dyDescent="0.3">
      <c r="A2614" s="238"/>
      <c r="B2614" s="252">
        <v>8000</v>
      </c>
      <c r="C2614" s="253" t="s">
        <v>227</v>
      </c>
      <c r="D2614" s="288">
        <v>0</v>
      </c>
    </row>
    <row r="2615" spans="1:4" ht="12" customHeight="1" x14ac:dyDescent="0.3">
      <c r="A2615" s="238"/>
      <c r="B2615" s="254">
        <v>8100</v>
      </c>
      <c r="C2615" s="255" t="s">
        <v>228</v>
      </c>
      <c r="D2615" s="287">
        <v>0</v>
      </c>
    </row>
    <row r="2616" spans="1:4" ht="12" hidden="1" customHeight="1" outlineLevel="1" x14ac:dyDescent="0.3">
      <c r="A2616" s="238"/>
      <c r="B2616" s="254">
        <v>8600</v>
      </c>
      <c r="C2616" s="255" t="s">
        <v>229</v>
      </c>
      <c r="D2616" s="287">
        <v>0</v>
      </c>
    </row>
    <row r="2617" spans="1:4" ht="12" hidden="1" customHeight="1" outlineLevel="1" x14ac:dyDescent="0.3">
      <c r="A2617" s="238"/>
      <c r="B2617" s="254">
        <v>8900</v>
      </c>
      <c r="C2617" s="255" t="s">
        <v>230</v>
      </c>
      <c r="D2617" s="287">
        <v>0</v>
      </c>
    </row>
    <row r="2618" spans="1:4" ht="17.100000000000001" hidden="1" customHeight="1" outlineLevel="1" collapsed="1" x14ac:dyDescent="0.3">
      <c r="A2618" s="284"/>
      <c r="B2618" s="289"/>
      <c r="C2618" s="286" t="s">
        <v>373</v>
      </c>
      <c r="D2618" s="290">
        <v>0</v>
      </c>
    </row>
    <row r="2619" spans="1:4" ht="12" hidden="1" customHeight="1" outlineLevel="1" x14ac:dyDescent="0.3">
      <c r="A2619" s="238"/>
      <c r="B2619" s="199">
        <v>9700</v>
      </c>
      <c r="C2619" s="200" t="s">
        <v>374</v>
      </c>
      <c r="D2619" s="201">
        <v>0</v>
      </c>
    </row>
    <row r="2620" spans="1:4" ht="12" hidden="1" customHeight="1" outlineLevel="1" x14ac:dyDescent="0.3">
      <c r="A2620" s="238"/>
      <c r="B2620" s="291" t="s">
        <v>375</v>
      </c>
      <c r="C2620" s="292" t="s">
        <v>376</v>
      </c>
      <c r="D2620" s="293"/>
    </row>
    <row r="2621" spans="1:4" ht="12" hidden="1" customHeight="1" outlineLevel="1" x14ac:dyDescent="0.3">
      <c r="A2621" s="238"/>
      <c r="B2621" s="291" t="s">
        <v>377</v>
      </c>
      <c r="C2621" s="292" t="s">
        <v>378</v>
      </c>
      <c r="D2621" s="293"/>
    </row>
    <row r="2622" spans="1:4" ht="12" hidden="1" customHeight="1" outlineLevel="1" x14ac:dyDescent="0.3">
      <c r="A2622" s="294"/>
      <c r="B2622" s="199">
        <v>9800</v>
      </c>
      <c r="C2622" s="200" t="s">
        <v>379</v>
      </c>
      <c r="D2622" s="201">
        <v>0</v>
      </c>
    </row>
    <row r="2623" spans="1:4" ht="12" hidden="1" customHeight="1" outlineLevel="1" x14ac:dyDescent="0.3">
      <c r="A2623" s="294"/>
      <c r="B2623" s="295">
        <v>9810</v>
      </c>
      <c r="C2623" s="204" t="s">
        <v>380</v>
      </c>
      <c r="D2623" s="293"/>
    </row>
    <row r="2624" spans="1:4" ht="12" hidden="1" customHeight="1" outlineLevel="1" x14ac:dyDescent="0.3">
      <c r="A2624" s="294"/>
      <c r="B2624" s="295">
        <v>9820</v>
      </c>
      <c r="C2624" s="204" t="s">
        <v>381</v>
      </c>
      <c r="D2624" s="293"/>
    </row>
    <row r="2625" spans="1:4" ht="12" hidden="1" customHeight="1" outlineLevel="1" x14ac:dyDescent="0.3">
      <c r="A2625" s="294"/>
      <c r="B2625" s="199">
        <v>9900</v>
      </c>
      <c r="C2625" s="200" t="s">
        <v>382</v>
      </c>
      <c r="D2625" s="201"/>
    </row>
    <row r="2626" spans="1:4" ht="12" hidden="1" customHeight="1" outlineLevel="1" x14ac:dyDescent="0.3">
      <c r="A2626" s="294"/>
      <c r="B2626" s="291" t="s">
        <v>383</v>
      </c>
      <c r="C2626" s="204" t="s">
        <v>384</v>
      </c>
      <c r="D2626" s="293"/>
    </row>
    <row r="2627" spans="1:4" ht="12" hidden="1" customHeight="1" outlineLevel="1" x14ac:dyDescent="0.3">
      <c r="A2627" s="294"/>
      <c r="B2627" s="295">
        <v>9930</v>
      </c>
      <c r="C2627" s="219" t="s">
        <v>385</v>
      </c>
      <c r="D2627" s="293"/>
    </row>
    <row r="2628" spans="1:4" ht="12" hidden="1" customHeight="1" outlineLevel="1" x14ac:dyDescent="0.3">
      <c r="A2628" s="294"/>
      <c r="B2628" s="296">
        <v>9950</v>
      </c>
      <c r="C2628" s="204" t="s">
        <v>386</v>
      </c>
      <c r="D2628" s="293"/>
    </row>
    <row r="2629" spans="1:4" ht="17.100000000000001" customHeight="1" collapsed="1" x14ac:dyDescent="0.3">
      <c r="A2629" s="297"/>
      <c r="B2629" s="298"/>
      <c r="C2629" s="299" t="s">
        <v>387</v>
      </c>
      <c r="D2629" s="300">
        <v>313734</v>
      </c>
    </row>
    <row r="2630" spans="1:4" ht="17.100000000000001" customHeight="1" x14ac:dyDescent="0.3">
      <c r="A2630" s="301"/>
      <c r="B2630" s="302"/>
      <c r="C2630" s="303" t="s">
        <v>388</v>
      </c>
      <c r="D2630" s="304">
        <v>311868</v>
      </c>
    </row>
    <row r="2631" spans="1:4" ht="17.100000000000001" customHeight="1" x14ac:dyDescent="0.3">
      <c r="A2631" s="305"/>
      <c r="B2631" s="306"/>
      <c r="C2631" s="307" t="s">
        <v>389</v>
      </c>
      <c r="D2631" s="308">
        <v>0</v>
      </c>
    </row>
    <row r="2632" spans="1:4" x14ac:dyDescent="0.3">
      <c r="A2632" s="309"/>
      <c r="B2632" s="309"/>
      <c r="C2632" s="310"/>
      <c r="D2632" s="311"/>
    </row>
    <row r="2633" spans="1:4" x14ac:dyDescent="0.3">
      <c r="A2633" s="309"/>
      <c r="B2633" s="309"/>
      <c r="C2633" s="310"/>
      <c r="D2633" s="311"/>
    </row>
    <row r="2634" spans="1:4" x14ac:dyDescent="0.3">
      <c r="A2634" s="309"/>
      <c r="B2634" s="309"/>
      <c r="C2634" s="310"/>
      <c r="D2634" s="311"/>
    </row>
    <row r="2635" spans="1:4" x14ac:dyDescent="0.3">
      <c r="A2635" s="309"/>
      <c r="B2635" s="309"/>
      <c r="C2635" s="310"/>
      <c r="D2635" s="311"/>
    </row>
    <row r="2636" spans="1:4" x14ac:dyDescent="0.3">
      <c r="A2636" s="309"/>
      <c r="B2636" s="309"/>
      <c r="C2636" s="310"/>
      <c r="D2636" s="311"/>
    </row>
    <row r="2637" spans="1:4" x14ac:dyDescent="0.3">
      <c r="A2637" s="309"/>
      <c r="B2637" s="309"/>
      <c r="C2637" s="310"/>
      <c r="D2637" s="311"/>
    </row>
    <row r="2638" spans="1:4" x14ac:dyDescent="0.3">
      <c r="A2638" s="309"/>
      <c r="B2638" s="309"/>
      <c r="C2638" s="310"/>
      <c r="D2638" s="311"/>
    </row>
    <row r="2639" spans="1:4" x14ac:dyDescent="0.3">
      <c r="A2639" s="309"/>
      <c r="B2639" s="309"/>
      <c r="C2639" s="310"/>
      <c r="D2639" s="311"/>
    </row>
    <row r="2640" spans="1:4" x14ac:dyDescent="0.3">
      <c r="A2640" s="309"/>
      <c r="B2640" s="309"/>
      <c r="C2640" s="310"/>
      <c r="D2640" s="311"/>
    </row>
    <row r="2641" spans="1:4" x14ac:dyDescent="0.3">
      <c r="A2641" s="309"/>
      <c r="B2641" s="309"/>
      <c r="C2641" s="310"/>
      <c r="D2641" s="311"/>
    </row>
    <row r="2642" spans="1:4" x14ac:dyDescent="0.3">
      <c r="A2642" s="309"/>
      <c r="B2642" s="309"/>
      <c r="C2642" s="310"/>
      <c r="D2642" s="311"/>
    </row>
    <row r="2643" spans="1:4" x14ac:dyDescent="0.3">
      <c r="C2643" s="310"/>
      <c r="D2643" s="311"/>
    </row>
    <row r="2644" spans="1:4" x14ac:dyDescent="0.3">
      <c r="C2644" s="310"/>
      <c r="D2644" s="311"/>
    </row>
    <row r="2645" spans="1:4" x14ac:dyDescent="0.3">
      <c r="C2645" s="310"/>
      <c r="D2645" s="311"/>
    </row>
    <row r="2646" spans="1:4" x14ac:dyDescent="0.3">
      <c r="C2646" s="310"/>
      <c r="D2646" s="311"/>
    </row>
    <row r="2647" spans="1:4" x14ac:dyDescent="0.3">
      <c r="C2647" s="310"/>
      <c r="D2647" s="311"/>
    </row>
  </sheetData>
  <mergeCells count="3">
    <mergeCell ref="A7:D7"/>
    <mergeCell ref="A9:D9"/>
    <mergeCell ref="A10:D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D7C63-2154-4AED-92BD-722951D916C9}">
  <dimension ref="A1:D2645"/>
  <sheetViews>
    <sheetView topLeftCell="A2639" workbookViewId="0">
      <selection activeCell="A8" sqref="A8:D8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152" customWidth="1"/>
  </cols>
  <sheetData>
    <row r="1" spans="1:4" ht="15.6" x14ac:dyDescent="0.3">
      <c r="A1" s="406"/>
      <c r="B1" s="406"/>
      <c r="C1" s="407"/>
      <c r="D1" s="1" t="s">
        <v>1051</v>
      </c>
    </row>
    <row r="2" spans="1:4" ht="15.6" x14ac:dyDescent="0.3">
      <c r="A2" s="406"/>
      <c r="B2" s="406"/>
      <c r="C2" s="407"/>
      <c r="D2" s="1" t="s">
        <v>1045</v>
      </c>
    </row>
    <row r="3" spans="1:4" ht="15.6" x14ac:dyDescent="0.3">
      <c r="A3" s="406"/>
      <c r="B3" s="406"/>
      <c r="C3" s="407"/>
      <c r="D3" s="1" t="s">
        <v>1046</v>
      </c>
    </row>
    <row r="4" spans="1:4" ht="15.6" x14ac:dyDescent="0.3">
      <c r="A4" s="406"/>
      <c r="B4" s="406"/>
      <c r="C4" s="407"/>
      <c r="D4" s="1" t="s">
        <v>1047</v>
      </c>
    </row>
    <row r="5" spans="1:4" ht="17.25" customHeight="1" x14ac:dyDescent="0.3">
      <c r="A5" s="406"/>
      <c r="B5" s="406"/>
      <c r="C5" s="407"/>
      <c r="D5" s="1" t="s">
        <v>1048</v>
      </c>
    </row>
    <row r="6" spans="1:4" ht="12" customHeight="1" x14ac:dyDescent="0.3">
      <c r="A6" s="406"/>
      <c r="B6" s="406"/>
      <c r="C6" s="407"/>
      <c r="D6" s="408"/>
    </row>
    <row r="7" spans="1:4" ht="12" customHeight="1" x14ac:dyDescent="0.3">
      <c r="A7" s="411" t="s">
        <v>1041</v>
      </c>
      <c r="B7" s="411"/>
      <c r="C7" s="411"/>
      <c r="D7" s="411"/>
    </row>
    <row r="8" spans="1:4" ht="12" customHeight="1" x14ac:dyDescent="0.3">
      <c r="A8" s="411" t="s">
        <v>1052</v>
      </c>
      <c r="B8" s="411"/>
      <c r="C8" s="411"/>
      <c r="D8" s="411"/>
    </row>
    <row r="9" spans="1:4" ht="12" customHeight="1" x14ac:dyDescent="0.3">
      <c r="A9" s="187"/>
      <c r="B9" s="187"/>
      <c r="C9" s="187" t="s">
        <v>1042</v>
      </c>
      <c r="D9" s="188"/>
    </row>
    <row r="10" spans="1:4" ht="50.1" customHeight="1" x14ac:dyDescent="0.3">
      <c r="A10" s="189" t="s">
        <v>127</v>
      </c>
      <c r="B10" s="190" t="s">
        <v>128</v>
      </c>
      <c r="C10" s="190" t="s">
        <v>129</v>
      </c>
      <c r="D10" s="191" t="s">
        <v>130</v>
      </c>
    </row>
    <row r="11" spans="1:4" ht="15" customHeight="1" x14ac:dyDescent="0.3">
      <c r="A11" s="192">
        <v>1</v>
      </c>
      <c r="B11" s="193">
        <v>2</v>
      </c>
      <c r="C11" s="194">
        <v>3</v>
      </c>
      <c r="D11" s="195">
        <v>4</v>
      </c>
    </row>
    <row r="12" spans="1:4" ht="17.100000000000001" customHeight="1" x14ac:dyDescent="0.3">
      <c r="A12" s="196"/>
      <c r="B12" s="196"/>
      <c r="C12" s="197" t="s">
        <v>131</v>
      </c>
      <c r="D12" s="198">
        <f t="shared" ref="D12" si="0">D13+D24+D40+D43+D45</f>
        <v>133444</v>
      </c>
    </row>
    <row r="13" spans="1:4" ht="12" hidden="1" customHeight="1" outlineLevel="1" x14ac:dyDescent="0.3">
      <c r="A13" s="199" t="s">
        <v>132</v>
      </c>
      <c r="B13" s="199"/>
      <c r="C13" s="200" t="s">
        <v>133</v>
      </c>
      <c r="D13" s="201">
        <f t="shared" ref="D13" si="1">SUM(D14:D23)</f>
        <v>0</v>
      </c>
    </row>
    <row r="14" spans="1:4" ht="12" hidden="1" customHeight="1" outlineLevel="1" x14ac:dyDescent="0.3">
      <c r="A14" s="202"/>
      <c r="B14" s="203" t="s">
        <v>134</v>
      </c>
      <c r="C14" s="204" t="s">
        <v>1036</v>
      </c>
      <c r="D14" s="205"/>
    </row>
    <row r="15" spans="1:4" ht="12" hidden="1" customHeight="1" outlineLevel="1" x14ac:dyDescent="0.3">
      <c r="A15" s="202"/>
      <c r="B15" s="203" t="s">
        <v>136</v>
      </c>
      <c r="C15" s="204" t="s">
        <v>137</v>
      </c>
      <c r="D15" s="205"/>
    </row>
    <row r="16" spans="1:4" ht="12" hidden="1" customHeight="1" outlineLevel="1" x14ac:dyDescent="0.3">
      <c r="A16" s="202"/>
      <c r="B16" s="203" t="s">
        <v>138</v>
      </c>
      <c r="C16" s="204" t="s">
        <v>139</v>
      </c>
      <c r="D16" s="205"/>
    </row>
    <row r="17" spans="1:4" ht="12" hidden="1" customHeight="1" outlineLevel="1" x14ac:dyDescent="0.3">
      <c r="A17" s="202"/>
      <c r="B17" s="203" t="s">
        <v>140</v>
      </c>
      <c r="C17" s="204" t="s">
        <v>141</v>
      </c>
      <c r="D17" s="205"/>
    </row>
    <row r="18" spans="1:4" ht="12" hidden="1" customHeight="1" outlineLevel="1" x14ac:dyDescent="0.3">
      <c r="A18" s="202"/>
      <c r="B18" s="203" t="s">
        <v>142</v>
      </c>
      <c r="C18" s="204" t="s">
        <v>143</v>
      </c>
      <c r="D18" s="205"/>
    </row>
    <row r="19" spans="1:4" ht="12" hidden="1" customHeight="1" outlineLevel="1" x14ac:dyDescent="0.3">
      <c r="A19" s="202"/>
      <c r="B19" s="203" t="s">
        <v>144</v>
      </c>
      <c r="C19" s="204" t="s">
        <v>145</v>
      </c>
      <c r="D19" s="205"/>
    </row>
    <row r="20" spans="1:4" ht="12" hidden="1" customHeight="1" outlineLevel="1" x14ac:dyDescent="0.3">
      <c r="A20" s="202"/>
      <c r="B20" s="206" t="s">
        <v>146</v>
      </c>
      <c r="C20" s="207" t="s">
        <v>147</v>
      </c>
      <c r="D20" s="205"/>
    </row>
    <row r="21" spans="1:4" ht="12" hidden="1" customHeight="1" outlineLevel="1" x14ac:dyDescent="0.3">
      <c r="A21" s="202"/>
      <c r="B21" s="206" t="s">
        <v>148</v>
      </c>
      <c r="C21" s="207" t="s">
        <v>149</v>
      </c>
      <c r="D21" s="205"/>
    </row>
    <row r="22" spans="1:4" ht="12" hidden="1" customHeight="1" outlineLevel="1" x14ac:dyDescent="0.3">
      <c r="A22" s="202"/>
      <c r="B22" s="203" t="s">
        <v>150</v>
      </c>
      <c r="C22" s="204" t="s">
        <v>151</v>
      </c>
      <c r="D22" s="205"/>
    </row>
    <row r="23" spans="1:4" ht="12" hidden="1" customHeight="1" outlineLevel="1" x14ac:dyDescent="0.3">
      <c r="A23" s="202"/>
      <c r="B23" s="203" t="s">
        <v>152</v>
      </c>
      <c r="C23" s="204" t="s">
        <v>153</v>
      </c>
      <c r="D23" s="205"/>
    </row>
    <row r="24" spans="1:4" ht="12" hidden="1" customHeight="1" outlineLevel="1" collapsed="1" x14ac:dyDescent="0.3">
      <c r="A24" s="199" t="s">
        <v>154</v>
      </c>
      <c r="B24" s="199"/>
      <c r="C24" s="200" t="s">
        <v>155</v>
      </c>
      <c r="D24" s="201">
        <f>SUM(D25:D39)</f>
        <v>0</v>
      </c>
    </row>
    <row r="25" spans="1:4" ht="12" hidden="1" customHeight="1" outlineLevel="1" x14ac:dyDescent="0.3">
      <c r="A25" s="208"/>
      <c r="B25" s="206" t="s">
        <v>156</v>
      </c>
      <c r="C25" s="207" t="s">
        <v>157</v>
      </c>
      <c r="D25" s="205"/>
    </row>
    <row r="26" spans="1:4" ht="12" hidden="1" customHeight="1" outlineLevel="1" x14ac:dyDescent="0.3">
      <c r="A26" s="208"/>
      <c r="B26" s="206" t="s">
        <v>158</v>
      </c>
      <c r="C26" s="207" t="s">
        <v>159</v>
      </c>
      <c r="D26" s="205"/>
    </row>
    <row r="27" spans="1:4" ht="12" hidden="1" customHeight="1" outlineLevel="1" x14ac:dyDescent="0.3">
      <c r="A27" s="202"/>
      <c r="B27" s="203" t="s">
        <v>160</v>
      </c>
      <c r="C27" s="209" t="s">
        <v>161</v>
      </c>
      <c r="D27" s="205"/>
    </row>
    <row r="28" spans="1:4" ht="12" hidden="1" customHeight="1" outlineLevel="1" x14ac:dyDescent="0.3">
      <c r="A28" s="202"/>
      <c r="B28" s="203" t="s">
        <v>162</v>
      </c>
      <c r="C28" s="209" t="s">
        <v>163</v>
      </c>
      <c r="D28" s="205"/>
    </row>
    <row r="29" spans="1:4" ht="12" hidden="1" customHeight="1" outlineLevel="1" x14ac:dyDescent="0.3">
      <c r="A29" s="202"/>
      <c r="B29" s="203" t="s">
        <v>164</v>
      </c>
      <c r="C29" s="204" t="s">
        <v>165</v>
      </c>
      <c r="D29" s="205"/>
    </row>
    <row r="30" spans="1:4" ht="12" hidden="1" customHeight="1" outlineLevel="1" x14ac:dyDescent="0.3">
      <c r="A30" s="202"/>
      <c r="B30" s="203" t="s">
        <v>166</v>
      </c>
      <c r="C30" s="204" t="s">
        <v>167</v>
      </c>
      <c r="D30" s="205"/>
    </row>
    <row r="31" spans="1:4" ht="12" hidden="1" customHeight="1" outlineLevel="1" collapsed="1" x14ac:dyDescent="0.3">
      <c r="A31" s="202"/>
      <c r="B31" s="203" t="s">
        <v>168</v>
      </c>
      <c r="C31" s="204" t="s">
        <v>169</v>
      </c>
      <c r="D31" s="205"/>
    </row>
    <row r="32" spans="1:4" ht="12" hidden="1" customHeight="1" outlineLevel="1" x14ac:dyDescent="0.3">
      <c r="A32" s="202"/>
      <c r="B32" s="203" t="s">
        <v>170</v>
      </c>
      <c r="C32" s="204" t="s">
        <v>171</v>
      </c>
      <c r="D32" s="205"/>
    </row>
    <row r="33" spans="1:4" ht="12" hidden="1" customHeight="1" outlineLevel="1" x14ac:dyDescent="0.3">
      <c r="A33" s="202"/>
      <c r="B33" s="210">
        <v>10.1</v>
      </c>
      <c r="C33" s="204" t="s">
        <v>172</v>
      </c>
      <c r="D33" s="205"/>
    </row>
    <row r="34" spans="1:4" ht="12" hidden="1" customHeight="1" outlineLevel="1" x14ac:dyDescent="0.3">
      <c r="A34" s="202"/>
      <c r="B34" s="211">
        <v>12.2</v>
      </c>
      <c r="C34" s="207" t="s">
        <v>173</v>
      </c>
      <c r="D34" s="205"/>
    </row>
    <row r="35" spans="1:4" ht="12" hidden="1" customHeight="1" outlineLevel="1" x14ac:dyDescent="0.3">
      <c r="A35" s="202"/>
      <c r="B35" s="212">
        <v>12.3</v>
      </c>
      <c r="C35" s="209" t="s">
        <v>174</v>
      </c>
      <c r="D35" s="205"/>
    </row>
    <row r="36" spans="1:4" ht="12" hidden="1" customHeight="1" outlineLevel="1" x14ac:dyDescent="0.3">
      <c r="A36" s="202"/>
      <c r="B36" s="213">
        <v>13.1</v>
      </c>
      <c r="C36" s="207" t="s">
        <v>175</v>
      </c>
      <c r="D36" s="205"/>
    </row>
    <row r="37" spans="1:4" ht="12" hidden="1" customHeight="1" outlineLevel="1" x14ac:dyDescent="0.3">
      <c r="A37" s="202"/>
      <c r="B37" s="213">
        <v>13.2</v>
      </c>
      <c r="C37" s="207" t="s">
        <v>176</v>
      </c>
      <c r="D37" s="205"/>
    </row>
    <row r="38" spans="1:4" ht="12" hidden="1" customHeight="1" outlineLevel="1" x14ac:dyDescent="0.3">
      <c r="A38" s="202"/>
      <c r="B38" s="213">
        <v>13.4</v>
      </c>
      <c r="C38" s="207" t="s">
        <v>177</v>
      </c>
      <c r="D38" s="205"/>
    </row>
    <row r="39" spans="1:4" ht="12" hidden="1" customHeight="1" outlineLevel="1" x14ac:dyDescent="0.3">
      <c r="A39" s="202"/>
      <c r="B39" s="213">
        <v>13.5</v>
      </c>
      <c r="C39" s="214" t="s">
        <v>178</v>
      </c>
      <c r="D39" s="205"/>
    </row>
    <row r="40" spans="1:4" ht="12" customHeight="1" collapsed="1" x14ac:dyDescent="0.3">
      <c r="A40" s="199" t="s">
        <v>179</v>
      </c>
      <c r="B40" s="215"/>
      <c r="C40" s="200" t="s">
        <v>180</v>
      </c>
      <c r="D40" s="201">
        <f t="shared" ref="D40" si="2">SUM(D41:D42)</f>
        <v>133444</v>
      </c>
    </row>
    <row r="41" spans="1:4" ht="12" customHeight="1" x14ac:dyDescent="0.3">
      <c r="A41" s="202"/>
      <c r="B41" s="210">
        <v>21.3</v>
      </c>
      <c r="C41" s="209" t="s">
        <v>181</v>
      </c>
      <c r="D41" s="205">
        <v>133444</v>
      </c>
    </row>
    <row r="42" spans="1:4" ht="12" hidden="1" customHeight="1" outlineLevel="1" x14ac:dyDescent="0.3">
      <c r="A42" s="202"/>
      <c r="B42" s="210">
        <v>21.4</v>
      </c>
      <c r="C42" s="209" t="s">
        <v>182</v>
      </c>
      <c r="D42" s="205"/>
    </row>
    <row r="43" spans="1:4" ht="12" hidden="1" customHeight="1" outlineLevel="1" x14ac:dyDescent="0.3">
      <c r="A43" s="199" t="s">
        <v>183</v>
      </c>
      <c r="B43" s="215"/>
      <c r="C43" s="200" t="s">
        <v>184</v>
      </c>
      <c r="D43" s="201">
        <f t="shared" ref="D43" si="3">SUM(D44)</f>
        <v>0</v>
      </c>
    </row>
    <row r="44" spans="1:4" ht="12" hidden="1" customHeight="1" outlineLevel="1" x14ac:dyDescent="0.3">
      <c r="A44" s="202"/>
      <c r="B44" s="212">
        <v>21.1</v>
      </c>
      <c r="C44" s="209" t="s">
        <v>185</v>
      </c>
      <c r="D44" s="205"/>
    </row>
    <row r="45" spans="1:4" ht="23.25" hidden="1" customHeight="1" outlineLevel="1" collapsed="1" x14ac:dyDescent="0.3">
      <c r="A45" s="199" t="s">
        <v>186</v>
      </c>
      <c r="B45" s="215"/>
      <c r="C45" s="200" t="s">
        <v>187</v>
      </c>
      <c r="D45" s="201">
        <f t="shared" ref="D45" si="4">SUM(D46:D53)</f>
        <v>0</v>
      </c>
    </row>
    <row r="46" spans="1:4" ht="22.5" hidden="1" customHeight="1" outlineLevel="1" x14ac:dyDescent="0.3">
      <c r="A46" s="202"/>
      <c r="B46" s="212">
        <v>17.2</v>
      </c>
      <c r="C46" s="216" t="s">
        <v>188</v>
      </c>
      <c r="D46" s="205"/>
    </row>
    <row r="47" spans="1:4" ht="12" hidden="1" customHeight="1" outlineLevel="1" x14ac:dyDescent="0.3">
      <c r="A47" s="202"/>
      <c r="B47" s="217">
        <v>18.62</v>
      </c>
      <c r="C47" s="218" t="s">
        <v>189</v>
      </c>
      <c r="D47" s="205"/>
    </row>
    <row r="48" spans="1:4" ht="27" hidden="1" customHeight="1" outlineLevel="1" x14ac:dyDescent="0.3">
      <c r="A48" s="202"/>
      <c r="B48" s="217">
        <v>18.63</v>
      </c>
      <c r="C48" s="218" t="s">
        <v>190</v>
      </c>
      <c r="D48" s="205"/>
    </row>
    <row r="49" spans="1:4" ht="27" hidden="1" customHeight="1" outlineLevel="1" x14ac:dyDescent="0.3">
      <c r="A49" s="202"/>
      <c r="B49" s="217">
        <v>18.64</v>
      </c>
      <c r="C49" s="218" t="s">
        <v>1037</v>
      </c>
      <c r="D49" s="205"/>
    </row>
    <row r="50" spans="1:4" ht="27" hidden="1" customHeight="1" outlineLevel="1" x14ac:dyDescent="0.3">
      <c r="A50" s="202"/>
      <c r="B50" s="217">
        <v>18.690000000000001</v>
      </c>
      <c r="C50" s="218"/>
      <c r="D50" s="205"/>
    </row>
    <row r="51" spans="1:4" ht="12" hidden="1" customHeight="1" outlineLevel="1" x14ac:dyDescent="0.3">
      <c r="A51" s="202"/>
      <c r="B51" s="211">
        <v>19.100000000000001</v>
      </c>
      <c r="C51" s="216" t="s">
        <v>192</v>
      </c>
      <c r="D51" s="205"/>
    </row>
    <row r="52" spans="1:4" ht="18.75" hidden="1" customHeight="1" outlineLevel="1" x14ac:dyDescent="0.3">
      <c r="A52" s="202"/>
      <c r="B52" s="212">
        <v>23.4</v>
      </c>
      <c r="C52" s="209" t="s">
        <v>1038</v>
      </c>
      <c r="D52" s="205"/>
    </row>
    <row r="53" spans="1:4" ht="17.25" hidden="1" customHeight="1" outlineLevel="1" x14ac:dyDescent="0.3">
      <c r="A53" s="202"/>
      <c r="B53" s="212">
        <v>23.5</v>
      </c>
      <c r="C53" s="219" t="s">
        <v>1039</v>
      </c>
      <c r="D53" s="205"/>
    </row>
    <row r="54" spans="1:4" ht="17.100000000000001" customHeight="1" collapsed="1" x14ac:dyDescent="0.3">
      <c r="A54" s="220"/>
      <c r="B54" s="196"/>
      <c r="C54" s="221" t="s">
        <v>195</v>
      </c>
      <c r="D54" s="222">
        <f>D55+D307+D327+D497+D905+D1144+D1348+D1460+D1800+D2344</f>
        <v>136044</v>
      </c>
    </row>
    <row r="55" spans="1:4" ht="17.100000000000001" hidden="1" customHeight="1" outlineLevel="1" x14ac:dyDescent="0.3">
      <c r="A55" s="223" t="s">
        <v>196</v>
      </c>
      <c r="B55" s="224"/>
      <c r="C55" s="225" t="s">
        <v>197</v>
      </c>
      <c r="D55" s="226">
        <f>D56+D72+D85</f>
        <v>0</v>
      </c>
    </row>
    <row r="56" spans="1:4" ht="12" hidden="1" customHeight="1" outlineLevel="1" x14ac:dyDescent="0.3">
      <c r="A56" s="227"/>
      <c r="B56" s="228"/>
      <c r="C56" s="229" t="s">
        <v>198</v>
      </c>
      <c r="D56" s="230">
        <f>D57+D66+D69+D76+D81+D60</f>
        <v>0</v>
      </c>
    </row>
    <row r="57" spans="1:4" ht="12" hidden="1" customHeight="1" outlineLevel="1" x14ac:dyDescent="0.3">
      <c r="A57" s="227"/>
      <c r="B57" s="231">
        <v>1000</v>
      </c>
      <c r="C57" s="232" t="s">
        <v>199</v>
      </c>
      <c r="D57" s="233">
        <f>D91+D159+D193+D227+D125</f>
        <v>0</v>
      </c>
    </row>
    <row r="58" spans="1:4" ht="12" hidden="1" customHeight="1" outlineLevel="1" x14ac:dyDescent="0.3">
      <c r="A58" s="227"/>
      <c r="B58" s="234">
        <v>1100</v>
      </c>
      <c r="C58" s="235" t="s">
        <v>200</v>
      </c>
      <c r="D58" s="236">
        <f t="shared" ref="D58:D65" si="5">D92+D160+D194+D228+D126</f>
        <v>0</v>
      </c>
    </row>
    <row r="59" spans="1:4" ht="12" hidden="1" customHeight="1" outlineLevel="1" x14ac:dyDescent="0.3">
      <c r="A59" s="227"/>
      <c r="B59" s="234">
        <v>1200</v>
      </c>
      <c r="C59" s="237" t="s">
        <v>201</v>
      </c>
      <c r="D59" s="236">
        <f t="shared" si="5"/>
        <v>0</v>
      </c>
    </row>
    <row r="60" spans="1:4" ht="12" hidden="1" customHeight="1" outlineLevel="1" x14ac:dyDescent="0.3">
      <c r="A60" s="238"/>
      <c r="B60" s="239">
        <v>2000</v>
      </c>
      <c r="C60" s="240" t="s">
        <v>202</v>
      </c>
      <c r="D60" s="241">
        <f t="shared" si="5"/>
        <v>0</v>
      </c>
    </row>
    <row r="61" spans="1:4" ht="12" hidden="1" customHeight="1" outlineLevel="1" x14ac:dyDescent="0.3">
      <c r="A61" s="238"/>
      <c r="B61" s="242">
        <v>2100</v>
      </c>
      <c r="C61" s="243" t="s">
        <v>203</v>
      </c>
      <c r="D61" s="244">
        <f t="shared" si="5"/>
        <v>0</v>
      </c>
    </row>
    <row r="62" spans="1:4" ht="12" hidden="1" customHeight="1" outlineLevel="1" x14ac:dyDescent="0.3">
      <c r="A62" s="238"/>
      <c r="B62" s="242">
        <v>2200</v>
      </c>
      <c r="C62" s="243" t="s">
        <v>204</v>
      </c>
      <c r="D62" s="244">
        <f t="shared" si="5"/>
        <v>0</v>
      </c>
    </row>
    <row r="63" spans="1:4" ht="12" hidden="1" customHeight="1" outlineLevel="1" x14ac:dyDescent="0.3">
      <c r="A63" s="238"/>
      <c r="B63" s="242">
        <v>2300</v>
      </c>
      <c r="C63" s="243" t="s">
        <v>205</v>
      </c>
      <c r="D63" s="244">
        <f t="shared" si="5"/>
        <v>0</v>
      </c>
    </row>
    <row r="64" spans="1:4" ht="12" hidden="1" customHeight="1" outlineLevel="1" x14ac:dyDescent="0.3">
      <c r="A64" s="238"/>
      <c r="B64" s="242">
        <v>2400</v>
      </c>
      <c r="C64" s="243" t="s">
        <v>206</v>
      </c>
      <c r="D64" s="244">
        <f t="shared" si="5"/>
        <v>0</v>
      </c>
    </row>
    <row r="65" spans="1:4" ht="12" hidden="1" customHeight="1" outlineLevel="1" x14ac:dyDescent="0.3">
      <c r="A65" s="238"/>
      <c r="B65" s="242">
        <v>2500</v>
      </c>
      <c r="C65" s="243" t="s">
        <v>207</v>
      </c>
      <c r="D65" s="244">
        <f t="shared" si="5"/>
        <v>0</v>
      </c>
    </row>
    <row r="66" spans="1:4" ht="12" hidden="1" customHeight="1" outlineLevel="1" x14ac:dyDescent="0.3">
      <c r="A66" s="238"/>
      <c r="B66" s="199">
        <v>3000</v>
      </c>
      <c r="C66" s="245" t="s">
        <v>208</v>
      </c>
      <c r="D66" s="241">
        <f>D100+D168+D202+D236+D134</f>
        <v>0</v>
      </c>
    </row>
    <row r="67" spans="1:4" ht="12" hidden="1" customHeight="1" outlineLevel="1" x14ac:dyDescent="0.3">
      <c r="A67" s="238"/>
      <c r="B67" s="242">
        <v>3200</v>
      </c>
      <c r="C67" s="243" t="s">
        <v>209</v>
      </c>
      <c r="D67" s="244">
        <f t="shared" ref="D67:D68" si="6">D101+D169+D203+D237+D135</f>
        <v>0</v>
      </c>
    </row>
    <row r="68" spans="1:4" ht="12" hidden="1" customHeight="1" outlineLevel="1" x14ac:dyDescent="0.3">
      <c r="A68" s="238"/>
      <c r="B68" s="242">
        <v>3300</v>
      </c>
      <c r="C68" s="243" t="s">
        <v>210</v>
      </c>
      <c r="D68" s="244">
        <f t="shared" si="6"/>
        <v>0</v>
      </c>
    </row>
    <row r="69" spans="1:4" ht="12" hidden="1" customHeight="1" outlineLevel="1" x14ac:dyDescent="0.3">
      <c r="A69" s="238"/>
      <c r="B69" s="199">
        <v>4000</v>
      </c>
      <c r="C69" s="246" t="s">
        <v>211</v>
      </c>
      <c r="D69" s="241">
        <f>D103+D171+D205+D239+D137</f>
        <v>0</v>
      </c>
    </row>
    <row r="70" spans="1:4" ht="12" hidden="1" customHeight="1" outlineLevel="1" x14ac:dyDescent="0.3">
      <c r="A70" s="238"/>
      <c r="B70" s="242">
        <v>4200</v>
      </c>
      <c r="C70" s="247" t="s">
        <v>212</v>
      </c>
      <c r="D70" s="244">
        <f t="shared" ref="D70:D71" si="7">D104+D172+D206+D240+D138</f>
        <v>0</v>
      </c>
    </row>
    <row r="71" spans="1:4" ht="12" hidden="1" customHeight="1" outlineLevel="1" x14ac:dyDescent="0.3">
      <c r="A71" s="238"/>
      <c r="B71" s="242">
        <v>4300</v>
      </c>
      <c r="C71" s="247" t="s">
        <v>213</v>
      </c>
      <c r="D71" s="244">
        <f t="shared" si="7"/>
        <v>0</v>
      </c>
    </row>
    <row r="72" spans="1:4" ht="12" hidden="1" customHeight="1" outlineLevel="1" x14ac:dyDescent="0.3">
      <c r="A72" s="238"/>
      <c r="B72" s="199">
        <v>5000</v>
      </c>
      <c r="C72" s="200" t="s">
        <v>214</v>
      </c>
      <c r="D72" s="241">
        <f>D106+D174+D208+D242+D140</f>
        <v>0</v>
      </c>
    </row>
    <row r="73" spans="1:4" ht="12" hidden="1" customHeight="1" outlineLevel="1" x14ac:dyDescent="0.3">
      <c r="A73" s="238"/>
      <c r="B73" s="242">
        <v>5100</v>
      </c>
      <c r="C73" s="248" t="s">
        <v>215</v>
      </c>
      <c r="D73" s="244">
        <f t="shared" ref="D73:D75" si="8">D107+D175+D209+D243+D141</f>
        <v>0</v>
      </c>
    </row>
    <row r="74" spans="1:4" ht="12" hidden="1" customHeight="1" outlineLevel="1" x14ac:dyDescent="0.3">
      <c r="A74" s="238"/>
      <c r="B74" s="242">
        <v>5200</v>
      </c>
      <c r="C74" s="248" t="s">
        <v>216</v>
      </c>
      <c r="D74" s="244">
        <f t="shared" si="8"/>
        <v>0</v>
      </c>
    </row>
    <row r="75" spans="1:4" ht="12" hidden="1" customHeight="1" outlineLevel="1" x14ac:dyDescent="0.3">
      <c r="A75" s="238"/>
      <c r="B75" s="242">
        <v>5300</v>
      </c>
      <c r="C75" s="249" t="s">
        <v>217</v>
      </c>
      <c r="D75" s="244">
        <f t="shared" si="8"/>
        <v>0</v>
      </c>
    </row>
    <row r="76" spans="1:4" ht="15.75" hidden="1" customHeight="1" outlineLevel="1" x14ac:dyDescent="0.3">
      <c r="A76" s="238"/>
      <c r="B76" s="199">
        <v>6000</v>
      </c>
      <c r="C76" s="200" t="s">
        <v>218</v>
      </c>
      <c r="D76" s="241">
        <f>D110+D178+D212+D246+D144</f>
        <v>0</v>
      </c>
    </row>
    <row r="77" spans="1:4" ht="15.75" hidden="1" customHeight="1" outlineLevel="1" x14ac:dyDescent="0.3">
      <c r="A77" s="238"/>
      <c r="B77" s="242">
        <v>6200</v>
      </c>
      <c r="C77" s="248" t="s">
        <v>219</v>
      </c>
      <c r="D77" s="244">
        <f t="shared" ref="D77:D80" si="9">D111+D179+D213+D247+D145</f>
        <v>0</v>
      </c>
    </row>
    <row r="78" spans="1:4" ht="15.75" hidden="1" customHeight="1" outlineLevel="1" x14ac:dyDescent="0.3">
      <c r="A78" s="238"/>
      <c r="B78" s="242">
        <v>6300</v>
      </c>
      <c r="C78" s="248" t="s">
        <v>220</v>
      </c>
      <c r="D78" s="244">
        <f t="shared" si="9"/>
        <v>0</v>
      </c>
    </row>
    <row r="79" spans="1:4" ht="15.75" hidden="1" customHeight="1" outlineLevel="1" x14ac:dyDescent="0.3">
      <c r="A79" s="238"/>
      <c r="B79" s="242">
        <v>6400</v>
      </c>
      <c r="C79" s="248" t="s">
        <v>221</v>
      </c>
      <c r="D79" s="244">
        <f t="shared" si="9"/>
        <v>0</v>
      </c>
    </row>
    <row r="80" spans="1:4" ht="15.75" hidden="1" customHeight="1" outlineLevel="1" x14ac:dyDescent="0.3">
      <c r="A80" s="238"/>
      <c r="B80" s="242">
        <v>6500</v>
      </c>
      <c r="C80" s="249" t="s">
        <v>222</v>
      </c>
      <c r="D80" s="244">
        <f t="shared" si="9"/>
        <v>0</v>
      </c>
    </row>
    <row r="81" spans="1:4" ht="12" hidden="1" customHeight="1" outlineLevel="1" x14ac:dyDescent="0.3">
      <c r="A81" s="238"/>
      <c r="B81" s="199">
        <v>7000</v>
      </c>
      <c r="C81" s="200" t="s">
        <v>223</v>
      </c>
      <c r="D81" s="241">
        <f>D115+D183+D217+D251+D149</f>
        <v>0</v>
      </c>
    </row>
    <row r="82" spans="1:4" ht="12" hidden="1" customHeight="1" outlineLevel="1" x14ac:dyDescent="0.3">
      <c r="A82" s="238"/>
      <c r="B82" s="250">
        <v>7200</v>
      </c>
      <c r="C82" s="251" t="s">
        <v>224</v>
      </c>
      <c r="D82" s="244">
        <f t="shared" ref="D82:D84" si="10">D116+D184+D218+D252+D150</f>
        <v>0</v>
      </c>
    </row>
    <row r="83" spans="1:4" ht="12" hidden="1" customHeight="1" outlineLevel="1" x14ac:dyDescent="0.3">
      <c r="A83" s="238"/>
      <c r="B83" s="250">
        <v>7500</v>
      </c>
      <c r="C83" s="251" t="s">
        <v>225</v>
      </c>
      <c r="D83" s="244">
        <f t="shared" si="10"/>
        <v>0</v>
      </c>
    </row>
    <row r="84" spans="1:4" ht="12" hidden="1" customHeight="1" outlineLevel="1" x14ac:dyDescent="0.3">
      <c r="A84" s="238"/>
      <c r="B84" s="250">
        <v>7700</v>
      </c>
      <c r="C84" s="251" t="s">
        <v>226</v>
      </c>
      <c r="D84" s="244">
        <f t="shared" si="10"/>
        <v>0</v>
      </c>
    </row>
    <row r="85" spans="1:4" ht="12" hidden="1" customHeight="1" outlineLevel="1" x14ac:dyDescent="0.3">
      <c r="A85" s="238"/>
      <c r="B85" s="252">
        <v>8000</v>
      </c>
      <c r="C85" s="253" t="s">
        <v>227</v>
      </c>
      <c r="D85" s="241">
        <f>D119+D187+D221+D255+D153</f>
        <v>0</v>
      </c>
    </row>
    <row r="86" spans="1:4" ht="12" hidden="1" customHeight="1" outlineLevel="1" x14ac:dyDescent="0.3">
      <c r="A86" s="238"/>
      <c r="B86" s="254">
        <v>8100</v>
      </c>
      <c r="C86" s="255" t="s">
        <v>228</v>
      </c>
      <c r="D86" s="244">
        <f t="shared" ref="D86:D88" si="11">D120+D188+D222+D256+D154</f>
        <v>0</v>
      </c>
    </row>
    <row r="87" spans="1:4" ht="12" hidden="1" customHeight="1" outlineLevel="1" x14ac:dyDescent="0.3">
      <c r="A87" s="238"/>
      <c r="B87" s="254">
        <v>8600</v>
      </c>
      <c r="C87" s="255" t="s">
        <v>229</v>
      </c>
      <c r="D87" s="244">
        <f t="shared" si="11"/>
        <v>0</v>
      </c>
    </row>
    <row r="88" spans="1:4" ht="12" hidden="1" customHeight="1" outlineLevel="1" x14ac:dyDescent="0.3">
      <c r="A88" s="238"/>
      <c r="B88" s="254">
        <v>8900</v>
      </c>
      <c r="C88" s="255" t="s">
        <v>230</v>
      </c>
      <c r="D88" s="244">
        <f t="shared" si="11"/>
        <v>0</v>
      </c>
    </row>
    <row r="89" spans="1:4" ht="12" hidden="1" customHeight="1" outlineLevel="1" x14ac:dyDescent="0.3">
      <c r="A89" s="256" t="s">
        <v>231</v>
      </c>
      <c r="B89" s="257"/>
      <c r="C89" s="258" t="s">
        <v>232</v>
      </c>
      <c r="D89" s="259">
        <f t="shared" ref="D89" si="12">D90+D106+D119</f>
        <v>0</v>
      </c>
    </row>
    <row r="90" spans="1:4" ht="12" hidden="1" customHeight="1" outlineLevel="1" x14ac:dyDescent="0.3">
      <c r="A90" s="227"/>
      <c r="B90" s="228"/>
      <c r="C90" s="229" t="s">
        <v>198</v>
      </c>
      <c r="D90" s="230">
        <f>D91+D100+D103+D110+D115+D94</f>
        <v>0</v>
      </c>
    </row>
    <row r="91" spans="1:4" ht="12" hidden="1" customHeight="1" outlineLevel="1" x14ac:dyDescent="0.3">
      <c r="A91" s="227"/>
      <c r="B91" s="231">
        <v>1000</v>
      </c>
      <c r="C91" s="232" t="s">
        <v>199</v>
      </c>
      <c r="D91" s="230">
        <f>SUM(D92:D93)</f>
        <v>0</v>
      </c>
    </row>
    <row r="92" spans="1:4" ht="12" hidden="1" customHeight="1" outlineLevel="1" x14ac:dyDescent="0.3">
      <c r="A92" s="227"/>
      <c r="B92" s="234">
        <v>1100</v>
      </c>
      <c r="C92" s="235" t="s">
        <v>200</v>
      </c>
      <c r="D92" s="236"/>
    </row>
    <row r="93" spans="1:4" ht="12" hidden="1" customHeight="1" outlineLevel="1" x14ac:dyDescent="0.3">
      <c r="A93" s="227"/>
      <c r="B93" s="234">
        <v>1200</v>
      </c>
      <c r="C93" s="237" t="s">
        <v>201</v>
      </c>
      <c r="D93" s="236"/>
    </row>
    <row r="94" spans="1:4" ht="12" hidden="1" customHeight="1" outlineLevel="1" x14ac:dyDescent="0.3">
      <c r="A94" s="238"/>
      <c r="B94" s="239">
        <v>2000</v>
      </c>
      <c r="C94" s="240" t="s">
        <v>202</v>
      </c>
      <c r="D94" s="260">
        <f>SUM(D95:D99)</f>
        <v>0</v>
      </c>
    </row>
    <row r="95" spans="1:4" ht="12" hidden="1" customHeight="1" outlineLevel="1" x14ac:dyDescent="0.3">
      <c r="A95" s="238"/>
      <c r="B95" s="242">
        <v>2100</v>
      </c>
      <c r="C95" s="243" t="s">
        <v>203</v>
      </c>
      <c r="D95" s="244"/>
    </row>
    <row r="96" spans="1:4" ht="12" hidden="1" customHeight="1" outlineLevel="1" x14ac:dyDescent="0.3">
      <c r="A96" s="238"/>
      <c r="B96" s="242">
        <v>2200</v>
      </c>
      <c r="C96" s="243" t="s">
        <v>204</v>
      </c>
      <c r="D96" s="244"/>
    </row>
    <row r="97" spans="1:4" ht="12" hidden="1" customHeight="1" outlineLevel="1" x14ac:dyDescent="0.3">
      <c r="A97" s="238"/>
      <c r="B97" s="242">
        <v>2300</v>
      </c>
      <c r="C97" s="243" t="s">
        <v>205</v>
      </c>
      <c r="D97" s="244"/>
    </row>
    <row r="98" spans="1:4" ht="12" hidden="1" customHeight="1" outlineLevel="1" x14ac:dyDescent="0.3">
      <c r="A98" s="238"/>
      <c r="B98" s="242">
        <v>2400</v>
      </c>
      <c r="C98" s="243" t="s">
        <v>206</v>
      </c>
      <c r="D98" s="244"/>
    </row>
    <row r="99" spans="1:4" ht="12" hidden="1" customHeight="1" outlineLevel="1" x14ac:dyDescent="0.3">
      <c r="A99" s="238"/>
      <c r="B99" s="242">
        <v>2500</v>
      </c>
      <c r="C99" s="243" t="s">
        <v>207</v>
      </c>
      <c r="D99" s="244"/>
    </row>
    <row r="100" spans="1:4" ht="12" hidden="1" customHeight="1" outlineLevel="1" x14ac:dyDescent="0.3">
      <c r="A100" s="238"/>
      <c r="B100" s="199">
        <v>3000</v>
      </c>
      <c r="C100" s="245" t="s">
        <v>208</v>
      </c>
      <c r="D100" s="260">
        <f>SUM(D101:D102)</f>
        <v>0</v>
      </c>
    </row>
    <row r="101" spans="1:4" ht="12" hidden="1" customHeight="1" outlineLevel="1" x14ac:dyDescent="0.3">
      <c r="A101" s="238"/>
      <c r="B101" s="242">
        <v>3200</v>
      </c>
      <c r="C101" s="243" t="s">
        <v>209</v>
      </c>
      <c r="D101" s="244"/>
    </row>
    <row r="102" spans="1:4" ht="12" hidden="1" customHeight="1" outlineLevel="1" x14ac:dyDescent="0.3">
      <c r="A102" s="238"/>
      <c r="B102" s="242">
        <v>3300</v>
      </c>
      <c r="C102" s="243" t="s">
        <v>210</v>
      </c>
      <c r="D102" s="244"/>
    </row>
    <row r="103" spans="1:4" ht="12" hidden="1" customHeight="1" outlineLevel="1" x14ac:dyDescent="0.3">
      <c r="A103" s="238"/>
      <c r="B103" s="199">
        <v>4000</v>
      </c>
      <c r="C103" s="246" t="s">
        <v>211</v>
      </c>
      <c r="D103" s="260">
        <f>SUM(D104:D105)</f>
        <v>0</v>
      </c>
    </row>
    <row r="104" spans="1:4" ht="12" hidden="1" customHeight="1" outlineLevel="1" x14ac:dyDescent="0.3">
      <c r="A104" s="238"/>
      <c r="B104" s="242">
        <v>4200</v>
      </c>
      <c r="C104" s="247" t="s">
        <v>212</v>
      </c>
      <c r="D104" s="244"/>
    </row>
    <row r="105" spans="1:4" ht="12" hidden="1" customHeight="1" outlineLevel="1" x14ac:dyDescent="0.3">
      <c r="A105" s="238"/>
      <c r="B105" s="242">
        <v>4300</v>
      </c>
      <c r="C105" s="247" t="s">
        <v>213</v>
      </c>
      <c r="D105" s="244"/>
    </row>
    <row r="106" spans="1:4" ht="12" hidden="1" customHeight="1" outlineLevel="1" x14ac:dyDescent="0.3">
      <c r="A106" s="238"/>
      <c r="B106" s="199">
        <v>5000</v>
      </c>
      <c r="C106" s="200" t="s">
        <v>214</v>
      </c>
      <c r="D106" s="260">
        <f>SUM(D107:D109)</f>
        <v>0</v>
      </c>
    </row>
    <row r="107" spans="1:4" ht="12" hidden="1" customHeight="1" outlineLevel="1" x14ac:dyDescent="0.3">
      <c r="A107" s="238"/>
      <c r="B107" s="242">
        <v>5100</v>
      </c>
      <c r="C107" s="248" t="s">
        <v>215</v>
      </c>
      <c r="D107" s="260"/>
    </row>
    <row r="108" spans="1:4" ht="12" hidden="1" customHeight="1" outlineLevel="1" x14ac:dyDescent="0.3">
      <c r="A108" s="238"/>
      <c r="B108" s="242">
        <v>5200</v>
      </c>
      <c r="C108" s="248" t="s">
        <v>216</v>
      </c>
      <c r="D108" s="260"/>
    </row>
    <row r="109" spans="1:4" ht="12" hidden="1" customHeight="1" outlineLevel="1" x14ac:dyDescent="0.3">
      <c r="A109" s="238"/>
      <c r="B109" s="242">
        <v>5300</v>
      </c>
      <c r="C109" s="249" t="s">
        <v>217</v>
      </c>
      <c r="D109" s="260"/>
    </row>
    <row r="110" spans="1:4" ht="12" hidden="1" customHeight="1" outlineLevel="1" x14ac:dyDescent="0.3">
      <c r="A110" s="238"/>
      <c r="B110" s="199">
        <v>6000</v>
      </c>
      <c r="C110" s="200" t="s">
        <v>218</v>
      </c>
      <c r="D110" s="260">
        <f>SUM(D111:D114)</f>
        <v>0</v>
      </c>
    </row>
    <row r="111" spans="1:4" ht="12" hidden="1" customHeight="1" outlineLevel="1" x14ac:dyDescent="0.3">
      <c r="A111" s="238"/>
      <c r="B111" s="242">
        <v>6200</v>
      </c>
      <c r="C111" s="248" t="s">
        <v>219</v>
      </c>
      <c r="D111" s="244"/>
    </row>
    <row r="112" spans="1:4" ht="12" hidden="1" customHeight="1" outlineLevel="1" x14ac:dyDescent="0.3">
      <c r="A112" s="238"/>
      <c r="B112" s="242">
        <v>6300</v>
      </c>
      <c r="C112" s="248" t="s">
        <v>220</v>
      </c>
      <c r="D112" s="244"/>
    </row>
    <row r="113" spans="1:4" ht="12" hidden="1" customHeight="1" outlineLevel="1" x14ac:dyDescent="0.3">
      <c r="A113" s="238"/>
      <c r="B113" s="242">
        <v>6400</v>
      </c>
      <c r="C113" s="248" t="s">
        <v>221</v>
      </c>
      <c r="D113" s="244"/>
    </row>
    <row r="114" spans="1:4" ht="12" hidden="1" customHeight="1" outlineLevel="1" x14ac:dyDescent="0.3">
      <c r="A114" s="238"/>
      <c r="B114" s="242">
        <v>6500</v>
      </c>
      <c r="C114" s="249" t="s">
        <v>222</v>
      </c>
      <c r="D114" s="244"/>
    </row>
    <row r="115" spans="1:4" ht="12" hidden="1" customHeight="1" outlineLevel="1" x14ac:dyDescent="0.3">
      <c r="A115" s="238"/>
      <c r="B115" s="199">
        <v>7000</v>
      </c>
      <c r="C115" s="200" t="s">
        <v>223</v>
      </c>
      <c r="D115" s="260">
        <f>SUM(D116:D118)</f>
        <v>0</v>
      </c>
    </row>
    <row r="116" spans="1:4" ht="12" hidden="1" customHeight="1" outlineLevel="1" x14ac:dyDescent="0.3">
      <c r="A116" s="238"/>
      <c r="B116" s="250">
        <v>7200</v>
      </c>
      <c r="C116" s="251" t="s">
        <v>224</v>
      </c>
      <c r="D116" s="244"/>
    </row>
    <row r="117" spans="1:4" ht="12" hidden="1" customHeight="1" outlineLevel="1" x14ac:dyDescent="0.3">
      <c r="A117" s="238"/>
      <c r="B117" s="250">
        <v>7500</v>
      </c>
      <c r="C117" s="251" t="s">
        <v>225</v>
      </c>
      <c r="D117" s="244"/>
    </row>
    <row r="118" spans="1:4" ht="12" hidden="1" customHeight="1" outlineLevel="1" x14ac:dyDescent="0.3">
      <c r="A118" s="238"/>
      <c r="B118" s="250">
        <v>7700</v>
      </c>
      <c r="C118" s="251" t="s">
        <v>226</v>
      </c>
      <c r="D118" s="244"/>
    </row>
    <row r="119" spans="1:4" ht="12" hidden="1" customHeight="1" outlineLevel="1" x14ac:dyDescent="0.3">
      <c r="A119" s="238"/>
      <c r="B119" s="252">
        <v>8000</v>
      </c>
      <c r="C119" s="253" t="s">
        <v>227</v>
      </c>
      <c r="D119" s="260">
        <f>SUM(D120:D122)</f>
        <v>0</v>
      </c>
    </row>
    <row r="120" spans="1:4" ht="12" hidden="1" customHeight="1" outlineLevel="1" x14ac:dyDescent="0.3">
      <c r="A120" s="238"/>
      <c r="B120" s="254">
        <v>8100</v>
      </c>
      <c r="C120" s="255" t="s">
        <v>228</v>
      </c>
      <c r="D120" s="260"/>
    </row>
    <row r="121" spans="1:4" ht="12" hidden="1" customHeight="1" outlineLevel="1" x14ac:dyDescent="0.3">
      <c r="A121" s="238"/>
      <c r="B121" s="254">
        <v>8600</v>
      </c>
      <c r="C121" s="255" t="s">
        <v>229</v>
      </c>
      <c r="D121" s="260"/>
    </row>
    <row r="122" spans="1:4" ht="12" hidden="1" customHeight="1" outlineLevel="1" x14ac:dyDescent="0.3">
      <c r="A122" s="238"/>
      <c r="B122" s="254">
        <v>8900</v>
      </c>
      <c r="C122" s="255" t="s">
        <v>230</v>
      </c>
      <c r="D122" s="260"/>
    </row>
    <row r="123" spans="1:4" ht="12" hidden="1" customHeight="1" outlineLevel="1" x14ac:dyDescent="0.3">
      <c r="A123" s="256" t="s">
        <v>233</v>
      </c>
      <c r="B123" s="257"/>
      <c r="C123" s="258" t="s">
        <v>1040</v>
      </c>
      <c r="D123" s="259">
        <f t="shared" ref="D123" si="13">D124+D140+D153</f>
        <v>0</v>
      </c>
    </row>
    <row r="124" spans="1:4" ht="12" hidden="1" customHeight="1" outlineLevel="1" x14ac:dyDescent="0.3">
      <c r="A124" s="227"/>
      <c r="B124" s="228"/>
      <c r="C124" s="229" t="s">
        <v>198</v>
      </c>
      <c r="D124" s="230">
        <f t="shared" ref="D124" si="14">D125+D134+D137+D144+D149+D128</f>
        <v>0</v>
      </c>
    </row>
    <row r="125" spans="1:4" ht="12" hidden="1" customHeight="1" outlineLevel="1" x14ac:dyDescent="0.3">
      <c r="A125" s="227"/>
      <c r="B125" s="231">
        <v>1000</v>
      </c>
      <c r="C125" s="232" t="s">
        <v>199</v>
      </c>
      <c r="D125" s="230">
        <f>SUM(D126:D127)</f>
        <v>0</v>
      </c>
    </row>
    <row r="126" spans="1:4" ht="12" hidden="1" customHeight="1" outlineLevel="1" x14ac:dyDescent="0.3">
      <c r="A126" s="227"/>
      <c r="B126" s="234">
        <v>1100</v>
      </c>
      <c r="C126" s="235" t="s">
        <v>200</v>
      </c>
      <c r="D126" s="236"/>
    </row>
    <row r="127" spans="1:4" ht="12" hidden="1" customHeight="1" outlineLevel="1" x14ac:dyDescent="0.3">
      <c r="A127" s="227"/>
      <c r="B127" s="234">
        <v>1200</v>
      </c>
      <c r="C127" s="237" t="s">
        <v>201</v>
      </c>
      <c r="D127" s="236"/>
    </row>
    <row r="128" spans="1:4" ht="12" hidden="1" customHeight="1" outlineLevel="1" x14ac:dyDescent="0.3">
      <c r="A128" s="238"/>
      <c r="B128" s="239">
        <v>2000</v>
      </c>
      <c r="C128" s="240" t="s">
        <v>202</v>
      </c>
      <c r="D128" s="260">
        <f>SUM(D129:D133)</f>
        <v>0</v>
      </c>
    </row>
    <row r="129" spans="1:4" ht="12" hidden="1" customHeight="1" outlineLevel="1" x14ac:dyDescent="0.3">
      <c r="A129" s="238"/>
      <c r="B129" s="242">
        <v>2100</v>
      </c>
      <c r="C129" s="243" t="s">
        <v>203</v>
      </c>
      <c r="D129" s="244"/>
    </row>
    <row r="130" spans="1:4" ht="12" hidden="1" customHeight="1" outlineLevel="1" x14ac:dyDescent="0.3">
      <c r="A130" s="238"/>
      <c r="B130" s="242">
        <v>2200</v>
      </c>
      <c r="C130" s="243" t="s">
        <v>204</v>
      </c>
      <c r="D130" s="244"/>
    </row>
    <row r="131" spans="1:4" ht="12" hidden="1" customHeight="1" outlineLevel="1" x14ac:dyDescent="0.3">
      <c r="A131" s="238"/>
      <c r="B131" s="242">
        <v>2300</v>
      </c>
      <c r="C131" s="243" t="s">
        <v>205</v>
      </c>
      <c r="D131" s="244"/>
    </row>
    <row r="132" spans="1:4" ht="12" hidden="1" customHeight="1" outlineLevel="1" x14ac:dyDescent="0.3">
      <c r="A132" s="238"/>
      <c r="B132" s="242">
        <v>2400</v>
      </c>
      <c r="C132" s="243" t="s">
        <v>206</v>
      </c>
      <c r="D132" s="244"/>
    </row>
    <row r="133" spans="1:4" ht="12" hidden="1" customHeight="1" outlineLevel="1" x14ac:dyDescent="0.3">
      <c r="A133" s="238"/>
      <c r="B133" s="242">
        <v>2500</v>
      </c>
      <c r="C133" s="243" t="s">
        <v>207</v>
      </c>
      <c r="D133" s="244"/>
    </row>
    <row r="134" spans="1:4" ht="12" hidden="1" customHeight="1" outlineLevel="1" x14ac:dyDescent="0.3">
      <c r="A134" s="238"/>
      <c r="B134" s="199">
        <v>3000</v>
      </c>
      <c r="C134" s="245" t="s">
        <v>208</v>
      </c>
      <c r="D134" s="260">
        <f>SUM(D135:D136)</f>
        <v>0</v>
      </c>
    </row>
    <row r="135" spans="1:4" ht="12" hidden="1" customHeight="1" outlineLevel="1" x14ac:dyDescent="0.3">
      <c r="A135" s="238"/>
      <c r="B135" s="242">
        <v>3200</v>
      </c>
      <c r="C135" s="243" t="s">
        <v>209</v>
      </c>
      <c r="D135" s="244"/>
    </row>
    <row r="136" spans="1:4" ht="12" hidden="1" customHeight="1" outlineLevel="1" x14ac:dyDescent="0.3">
      <c r="A136" s="238"/>
      <c r="B136" s="242">
        <v>3300</v>
      </c>
      <c r="C136" s="243" t="s">
        <v>210</v>
      </c>
      <c r="D136" s="244"/>
    </row>
    <row r="137" spans="1:4" ht="12" hidden="1" customHeight="1" outlineLevel="1" x14ac:dyDescent="0.3">
      <c r="A137" s="238"/>
      <c r="B137" s="199">
        <v>4000</v>
      </c>
      <c r="C137" s="246" t="s">
        <v>211</v>
      </c>
      <c r="D137" s="260">
        <f>SUM(D138:D139)</f>
        <v>0</v>
      </c>
    </row>
    <row r="138" spans="1:4" ht="12" hidden="1" customHeight="1" outlineLevel="1" x14ac:dyDescent="0.3">
      <c r="A138" s="238"/>
      <c r="B138" s="242">
        <v>4200</v>
      </c>
      <c r="C138" s="247" t="s">
        <v>212</v>
      </c>
      <c r="D138" s="244"/>
    </row>
    <row r="139" spans="1:4" ht="12" hidden="1" customHeight="1" outlineLevel="1" x14ac:dyDescent="0.3">
      <c r="A139" s="238"/>
      <c r="B139" s="242">
        <v>4300</v>
      </c>
      <c r="C139" s="247" t="s">
        <v>213</v>
      </c>
      <c r="D139" s="244"/>
    </row>
    <row r="140" spans="1:4" ht="12" hidden="1" customHeight="1" outlineLevel="1" x14ac:dyDescent="0.3">
      <c r="A140" s="238"/>
      <c r="B140" s="199">
        <v>5000</v>
      </c>
      <c r="C140" s="200" t="s">
        <v>214</v>
      </c>
      <c r="D140" s="260">
        <f>SUM(D141:D143)</f>
        <v>0</v>
      </c>
    </row>
    <row r="141" spans="1:4" ht="12" hidden="1" customHeight="1" outlineLevel="1" x14ac:dyDescent="0.3">
      <c r="A141" s="238"/>
      <c r="B141" s="242">
        <v>5100</v>
      </c>
      <c r="C141" s="248" t="s">
        <v>215</v>
      </c>
      <c r="D141" s="260"/>
    </row>
    <row r="142" spans="1:4" ht="12" hidden="1" customHeight="1" outlineLevel="1" x14ac:dyDescent="0.3">
      <c r="A142" s="238"/>
      <c r="B142" s="242">
        <v>5200</v>
      </c>
      <c r="C142" s="248" t="s">
        <v>216</v>
      </c>
      <c r="D142" s="244"/>
    </row>
    <row r="143" spans="1:4" ht="12" hidden="1" customHeight="1" outlineLevel="1" x14ac:dyDescent="0.3">
      <c r="A143" s="238"/>
      <c r="B143" s="242">
        <v>5300</v>
      </c>
      <c r="C143" s="249" t="s">
        <v>217</v>
      </c>
      <c r="D143" s="260"/>
    </row>
    <row r="144" spans="1:4" ht="12" hidden="1" customHeight="1" outlineLevel="1" x14ac:dyDescent="0.3">
      <c r="A144" s="238"/>
      <c r="B144" s="199">
        <v>6000</v>
      </c>
      <c r="C144" s="200" t="s">
        <v>218</v>
      </c>
      <c r="D144" s="260">
        <f>SUM(D145:D148)</f>
        <v>0</v>
      </c>
    </row>
    <row r="145" spans="1:4" ht="12" hidden="1" customHeight="1" outlineLevel="1" x14ac:dyDescent="0.3">
      <c r="A145" s="238"/>
      <c r="B145" s="242">
        <v>6200</v>
      </c>
      <c r="C145" s="248" t="s">
        <v>219</v>
      </c>
      <c r="D145" s="244"/>
    </row>
    <row r="146" spans="1:4" ht="12" hidden="1" customHeight="1" outlineLevel="1" x14ac:dyDescent="0.3">
      <c r="A146" s="238"/>
      <c r="B146" s="242">
        <v>6300</v>
      </c>
      <c r="C146" s="248" t="s">
        <v>220</v>
      </c>
      <c r="D146" s="244"/>
    </row>
    <row r="147" spans="1:4" ht="12" hidden="1" customHeight="1" outlineLevel="1" x14ac:dyDescent="0.3">
      <c r="A147" s="238"/>
      <c r="B147" s="242">
        <v>6400</v>
      </c>
      <c r="C147" s="248" t="s">
        <v>221</v>
      </c>
      <c r="D147" s="244"/>
    </row>
    <row r="148" spans="1:4" ht="12" hidden="1" customHeight="1" outlineLevel="1" x14ac:dyDescent="0.3">
      <c r="A148" s="238"/>
      <c r="B148" s="242">
        <v>6500</v>
      </c>
      <c r="C148" s="249" t="s">
        <v>222</v>
      </c>
      <c r="D148" s="244"/>
    </row>
    <row r="149" spans="1:4" ht="12" hidden="1" customHeight="1" outlineLevel="1" x14ac:dyDescent="0.3">
      <c r="A149" s="238"/>
      <c r="B149" s="199">
        <v>7000</v>
      </c>
      <c r="C149" s="200" t="s">
        <v>223</v>
      </c>
      <c r="D149" s="260">
        <f>SUM(D150:D152)</f>
        <v>0</v>
      </c>
    </row>
    <row r="150" spans="1:4" ht="12" hidden="1" customHeight="1" outlineLevel="1" x14ac:dyDescent="0.3">
      <c r="A150" s="238"/>
      <c r="B150" s="250">
        <v>7200</v>
      </c>
      <c r="C150" s="251" t="s">
        <v>224</v>
      </c>
      <c r="D150" s="244"/>
    </row>
    <row r="151" spans="1:4" ht="12" hidden="1" customHeight="1" outlineLevel="1" x14ac:dyDescent="0.3">
      <c r="A151" s="238"/>
      <c r="B151" s="250">
        <v>7500</v>
      </c>
      <c r="C151" s="251" t="s">
        <v>225</v>
      </c>
      <c r="D151" s="244"/>
    </row>
    <row r="152" spans="1:4" ht="12" hidden="1" customHeight="1" outlineLevel="1" x14ac:dyDescent="0.3">
      <c r="A152" s="238"/>
      <c r="B152" s="250">
        <v>7700</v>
      </c>
      <c r="C152" s="251" t="s">
        <v>226</v>
      </c>
      <c r="D152" s="244"/>
    </row>
    <row r="153" spans="1:4" ht="12" hidden="1" customHeight="1" outlineLevel="1" collapsed="1" x14ac:dyDescent="0.3">
      <c r="A153" s="238"/>
      <c r="B153" s="252">
        <v>8000</v>
      </c>
      <c r="C153" s="253" t="s">
        <v>227</v>
      </c>
      <c r="D153" s="260">
        <f>SUM(D154:D156)</f>
        <v>0</v>
      </c>
    </row>
    <row r="154" spans="1:4" ht="12" hidden="1" customHeight="1" outlineLevel="1" x14ac:dyDescent="0.3">
      <c r="A154" s="238"/>
      <c r="B154" s="254">
        <v>8100</v>
      </c>
      <c r="C154" s="255" t="s">
        <v>228</v>
      </c>
      <c r="D154" s="260"/>
    </row>
    <row r="155" spans="1:4" ht="12" hidden="1" customHeight="1" outlineLevel="1" x14ac:dyDescent="0.3">
      <c r="A155" s="238"/>
      <c r="B155" s="254">
        <v>8600</v>
      </c>
      <c r="C155" s="255" t="s">
        <v>229</v>
      </c>
      <c r="D155" s="260"/>
    </row>
    <row r="156" spans="1:4" ht="12" hidden="1" customHeight="1" outlineLevel="1" x14ac:dyDescent="0.3">
      <c r="A156" s="238"/>
      <c r="B156" s="254">
        <v>8900</v>
      </c>
      <c r="C156" s="255" t="s">
        <v>230</v>
      </c>
      <c r="D156" s="260"/>
    </row>
    <row r="157" spans="1:4" ht="12" hidden="1" customHeight="1" outlineLevel="1" x14ac:dyDescent="0.3">
      <c r="A157" s="256" t="s">
        <v>235</v>
      </c>
      <c r="B157" s="257"/>
      <c r="C157" s="258" t="s">
        <v>236</v>
      </c>
      <c r="D157" s="259">
        <f t="shared" ref="D157" si="15">D158+D174+D187</f>
        <v>0</v>
      </c>
    </row>
    <row r="158" spans="1:4" ht="12" hidden="1" customHeight="1" outlineLevel="1" x14ac:dyDescent="0.3">
      <c r="A158" s="227"/>
      <c r="B158" s="228"/>
      <c r="C158" s="229" t="s">
        <v>198</v>
      </c>
      <c r="D158" s="230">
        <f t="shared" ref="D158" si="16">D159+D168+D171+D178+D183+D162</f>
        <v>0</v>
      </c>
    </row>
    <row r="159" spans="1:4" ht="12" hidden="1" customHeight="1" outlineLevel="1" x14ac:dyDescent="0.3">
      <c r="A159" s="227"/>
      <c r="B159" s="231">
        <v>1000</v>
      </c>
      <c r="C159" s="232" t="s">
        <v>199</v>
      </c>
      <c r="D159" s="230">
        <f>SUM(D160:D161)</f>
        <v>0</v>
      </c>
    </row>
    <row r="160" spans="1:4" ht="12" hidden="1" customHeight="1" outlineLevel="1" x14ac:dyDescent="0.3">
      <c r="A160" s="227"/>
      <c r="B160" s="234">
        <v>1100</v>
      </c>
      <c r="C160" s="235" t="s">
        <v>200</v>
      </c>
      <c r="D160" s="236"/>
    </row>
    <row r="161" spans="1:4" ht="12" hidden="1" customHeight="1" outlineLevel="1" x14ac:dyDescent="0.3">
      <c r="A161" s="227"/>
      <c r="B161" s="234">
        <v>1200</v>
      </c>
      <c r="C161" s="237" t="s">
        <v>201</v>
      </c>
      <c r="D161" s="236"/>
    </row>
    <row r="162" spans="1:4" ht="12" hidden="1" customHeight="1" outlineLevel="1" x14ac:dyDescent="0.3">
      <c r="A162" s="238"/>
      <c r="B162" s="239">
        <v>2000</v>
      </c>
      <c r="C162" s="240" t="s">
        <v>202</v>
      </c>
      <c r="D162" s="260">
        <f>SUM(D163:D167)</f>
        <v>0</v>
      </c>
    </row>
    <row r="163" spans="1:4" ht="12" hidden="1" customHeight="1" outlineLevel="1" x14ac:dyDescent="0.3">
      <c r="A163" s="238"/>
      <c r="B163" s="242">
        <v>2100</v>
      </c>
      <c r="C163" s="243" t="s">
        <v>203</v>
      </c>
      <c r="D163" s="244"/>
    </row>
    <row r="164" spans="1:4" ht="12" hidden="1" customHeight="1" outlineLevel="1" x14ac:dyDescent="0.3">
      <c r="A164" s="238"/>
      <c r="B164" s="242">
        <v>2200</v>
      </c>
      <c r="C164" s="243" t="s">
        <v>204</v>
      </c>
      <c r="D164" s="244"/>
    </row>
    <row r="165" spans="1:4" ht="12" hidden="1" customHeight="1" outlineLevel="1" x14ac:dyDescent="0.3">
      <c r="A165" s="238"/>
      <c r="B165" s="242">
        <v>2300</v>
      </c>
      <c r="C165" s="243" t="s">
        <v>205</v>
      </c>
      <c r="D165" s="244"/>
    </row>
    <row r="166" spans="1:4" ht="12" hidden="1" customHeight="1" outlineLevel="1" x14ac:dyDescent="0.3">
      <c r="A166" s="238"/>
      <c r="B166" s="242">
        <v>2400</v>
      </c>
      <c r="C166" s="243" t="s">
        <v>206</v>
      </c>
      <c r="D166" s="244"/>
    </row>
    <row r="167" spans="1:4" ht="12" hidden="1" customHeight="1" outlineLevel="1" x14ac:dyDescent="0.3">
      <c r="A167" s="238"/>
      <c r="B167" s="242">
        <v>2500</v>
      </c>
      <c r="C167" s="243" t="s">
        <v>207</v>
      </c>
      <c r="D167" s="244"/>
    </row>
    <row r="168" spans="1:4" ht="12" hidden="1" customHeight="1" outlineLevel="1" x14ac:dyDescent="0.3">
      <c r="A168" s="238"/>
      <c r="B168" s="199">
        <v>3000</v>
      </c>
      <c r="C168" s="245" t="s">
        <v>208</v>
      </c>
      <c r="D168" s="260">
        <f>SUM(D169:D170)</f>
        <v>0</v>
      </c>
    </row>
    <row r="169" spans="1:4" ht="12" hidden="1" customHeight="1" outlineLevel="1" x14ac:dyDescent="0.3">
      <c r="A169" s="238"/>
      <c r="B169" s="242">
        <v>3200</v>
      </c>
      <c r="C169" s="243" t="s">
        <v>209</v>
      </c>
      <c r="D169" s="244"/>
    </row>
    <row r="170" spans="1:4" ht="12" hidden="1" customHeight="1" outlineLevel="1" x14ac:dyDescent="0.3">
      <c r="A170" s="238"/>
      <c r="B170" s="242">
        <v>3300</v>
      </c>
      <c r="C170" s="243" t="s">
        <v>210</v>
      </c>
      <c r="D170" s="244"/>
    </row>
    <row r="171" spans="1:4" ht="12" hidden="1" customHeight="1" outlineLevel="1" x14ac:dyDescent="0.3">
      <c r="A171" s="238"/>
      <c r="B171" s="199">
        <v>4000</v>
      </c>
      <c r="C171" s="246" t="s">
        <v>211</v>
      </c>
      <c r="D171" s="260">
        <f>SUM(D172:D173)</f>
        <v>0</v>
      </c>
    </row>
    <row r="172" spans="1:4" ht="12" hidden="1" customHeight="1" outlineLevel="1" x14ac:dyDescent="0.3">
      <c r="A172" s="238"/>
      <c r="B172" s="242">
        <v>4200</v>
      </c>
      <c r="C172" s="247" t="s">
        <v>212</v>
      </c>
      <c r="D172" s="244"/>
    </row>
    <row r="173" spans="1:4" ht="12" hidden="1" customHeight="1" outlineLevel="1" x14ac:dyDescent="0.3">
      <c r="A173" s="238"/>
      <c r="B173" s="242">
        <v>4300</v>
      </c>
      <c r="C173" s="247" t="s">
        <v>213</v>
      </c>
      <c r="D173" s="244"/>
    </row>
    <row r="174" spans="1:4" ht="12" hidden="1" customHeight="1" outlineLevel="1" x14ac:dyDescent="0.3">
      <c r="A174" s="238"/>
      <c r="B174" s="199">
        <v>5000</v>
      </c>
      <c r="C174" s="200" t="s">
        <v>214</v>
      </c>
      <c r="D174" s="260">
        <f>SUM(D175:D177)</f>
        <v>0</v>
      </c>
    </row>
    <row r="175" spans="1:4" ht="12" hidden="1" customHeight="1" outlineLevel="1" x14ac:dyDescent="0.3">
      <c r="A175" s="238"/>
      <c r="B175" s="242">
        <v>5100</v>
      </c>
      <c r="C175" s="248" t="s">
        <v>215</v>
      </c>
      <c r="D175" s="260"/>
    </row>
    <row r="176" spans="1:4" ht="12" hidden="1" customHeight="1" outlineLevel="1" x14ac:dyDescent="0.3">
      <c r="A176" s="238"/>
      <c r="B176" s="242">
        <v>5200</v>
      </c>
      <c r="C176" s="248" t="s">
        <v>216</v>
      </c>
      <c r="D176" s="260"/>
    </row>
    <row r="177" spans="1:4" ht="12" hidden="1" customHeight="1" outlineLevel="1" x14ac:dyDescent="0.3">
      <c r="A177" s="238"/>
      <c r="B177" s="242">
        <v>5300</v>
      </c>
      <c r="C177" s="249" t="s">
        <v>217</v>
      </c>
      <c r="D177" s="260"/>
    </row>
    <row r="178" spans="1:4" ht="12" hidden="1" customHeight="1" outlineLevel="1" x14ac:dyDescent="0.3">
      <c r="A178" s="238"/>
      <c r="B178" s="199">
        <v>6000</v>
      </c>
      <c r="C178" s="200" t="s">
        <v>218</v>
      </c>
      <c r="D178" s="260">
        <f>SUM(D179:D182)</f>
        <v>0</v>
      </c>
    </row>
    <row r="179" spans="1:4" ht="12" hidden="1" customHeight="1" outlineLevel="1" x14ac:dyDescent="0.3">
      <c r="A179" s="238"/>
      <c r="B179" s="242">
        <v>6200</v>
      </c>
      <c r="C179" s="248" t="s">
        <v>219</v>
      </c>
      <c r="D179" s="244"/>
    </row>
    <row r="180" spans="1:4" ht="12" hidden="1" customHeight="1" outlineLevel="1" x14ac:dyDescent="0.3">
      <c r="A180" s="238"/>
      <c r="B180" s="242">
        <v>6300</v>
      </c>
      <c r="C180" s="248" t="s">
        <v>220</v>
      </c>
      <c r="D180" s="244"/>
    </row>
    <row r="181" spans="1:4" ht="12" hidden="1" customHeight="1" outlineLevel="1" x14ac:dyDescent="0.3">
      <c r="A181" s="238"/>
      <c r="B181" s="242">
        <v>6400</v>
      </c>
      <c r="C181" s="248" t="s">
        <v>221</v>
      </c>
      <c r="D181" s="244"/>
    </row>
    <row r="182" spans="1:4" ht="12" hidden="1" customHeight="1" outlineLevel="1" x14ac:dyDescent="0.3">
      <c r="A182" s="238"/>
      <c r="B182" s="242">
        <v>6500</v>
      </c>
      <c r="C182" s="249" t="s">
        <v>222</v>
      </c>
      <c r="D182" s="244"/>
    </row>
    <row r="183" spans="1:4" ht="12" hidden="1" customHeight="1" outlineLevel="1" x14ac:dyDescent="0.3">
      <c r="A183" s="238"/>
      <c r="B183" s="199">
        <v>7000</v>
      </c>
      <c r="C183" s="200" t="s">
        <v>223</v>
      </c>
      <c r="D183" s="260">
        <f>SUM(D184:D186)</f>
        <v>0</v>
      </c>
    </row>
    <row r="184" spans="1:4" ht="12" hidden="1" customHeight="1" outlineLevel="1" x14ac:dyDescent="0.3">
      <c r="A184" s="238"/>
      <c r="B184" s="250">
        <v>7200</v>
      </c>
      <c r="C184" s="251" t="s">
        <v>224</v>
      </c>
      <c r="D184" s="244"/>
    </row>
    <row r="185" spans="1:4" ht="12" hidden="1" customHeight="1" outlineLevel="1" x14ac:dyDescent="0.3">
      <c r="A185" s="238"/>
      <c r="B185" s="250">
        <v>7500</v>
      </c>
      <c r="C185" s="251" t="s">
        <v>225</v>
      </c>
      <c r="D185" s="244"/>
    </row>
    <row r="186" spans="1:4" ht="12" hidden="1" customHeight="1" outlineLevel="1" x14ac:dyDescent="0.3">
      <c r="A186" s="238"/>
      <c r="B186" s="250">
        <v>7700</v>
      </c>
      <c r="C186" s="251" t="s">
        <v>226</v>
      </c>
      <c r="D186" s="244"/>
    </row>
    <row r="187" spans="1:4" ht="12" hidden="1" customHeight="1" outlineLevel="1" x14ac:dyDescent="0.3">
      <c r="A187" s="238"/>
      <c r="B187" s="252">
        <v>8000</v>
      </c>
      <c r="C187" s="253" t="s">
        <v>227</v>
      </c>
      <c r="D187" s="260">
        <f>SUM(D188:D190)</f>
        <v>0</v>
      </c>
    </row>
    <row r="188" spans="1:4" ht="12" hidden="1" customHeight="1" outlineLevel="1" x14ac:dyDescent="0.3">
      <c r="A188" s="238"/>
      <c r="B188" s="254">
        <v>8100</v>
      </c>
      <c r="C188" s="255" t="s">
        <v>228</v>
      </c>
      <c r="D188" s="260"/>
    </row>
    <row r="189" spans="1:4" ht="12" hidden="1" customHeight="1" outlineLevel="1" x14ac:dyDescent="0.3">
      <c r="A189" s="238"/>
      <c r="B189" s="254">
        <v>8600</v>
      </c>
      <c r="C189" s="255" t="s">
        <v>229</v>
      </c>
      <c r="D189" s="260"/>
    </row>
    <row r="190" spans="1:4" ht="12" hidden="1" customHeight="1" outlineLevel="1" x14ac:dyDescent="0.3">
      <c r="A190" s="238"/>
      <c r="B190" s="254">
        <v>8900</v>
      </c>
      <c r="C190" s="255" t="s">
        <v>230</v>
      </c>
      <c r="D190" s="260"/>
    </row>
    <row r="191" spans="1:4" ht="23.25" hidden="1" customHeight="1" outlineLevel="1" x14ac:dyDescent="0.3">
      <c r="A191" s="256" t="s">
        <v>237</v>
      </c>
      <c r="B191" s="257"/>
      <c r="C191" s="258" t="s">
        <v>238</v>
      </c>
      <c r="D191" s="259">
        <f t="shared" ref="D191" si="17">D192+D208+D221</f>
        <v>0</v>
      </c>
    </row>
    <row r="192" spans="1:4" ht="12" hidden="1" customHeight="1" outlineLevel="1" x14ac:dyDescent="0.3">
      <c r="A192" s="227"/>
      <c r="B192" s="228"/>
      <c r="C192" s="229" t="s">
        <v>198</v>
      </c>
      <c r="D192" s="230">
        <f t="shared" ref="D192" si="18">D193+D202+D205+D212+D217+D196</f>
        <v>0</v>
      </c>
    </row>
    <row r="193" spans="1:4" ht="12" hidden="1" customHeight="1" outlineLevel="1" x14ac:dyDescent="0.3">
      <c r="A193" s="227"/>
      <c r="B193" s="231">
        <v>1000</v>
      </c>
      <c r="C193" s="232" t="s">
        <v>199</v>
      </c>
      <c r="D193" s="230">
        <f>SUM(D194:D195)</f>
        <v>0</v>
      </c>
    </row>
    <row r="194" spans="1:4" ht="12" hidden="1" customHeight="1" outlineLevel="1" x14ac:dyDescent="0.3">
      <c r="A194" s="227"/>
      <c r="B194" s="234">
        <v>1100</v>
      </c>
      <c r="C194" s="235" t="s">
        <v>200</v>
      </c>
      <c r="D194" s="236"/>
    </row>
    <row r="195" spans="1:4" ht="12" hidden="1" customHeight="1" outlineLevel="1" x14ac:dyDescent="0.3">
      <c r="A195" s="227"/>
      <c r="B195" s="234">
        <v>1200</v>
      </c>
      <c r="C195" s="237" t="s">
        <v>201</v>
      </c>
      <c r="D195" s="236"/>
    </row>
    <row r="196" spans="1:4" ht="12" hidden="1" customHeight="1" outlineLevel="1" x14ac:dyDescent="0.3">
      <c r="A196" s="238"/>
      <c r="B196" s="239">
        <v>2000</v>
      </c>
      <c r="C196" s="240" t="s">
        <v>202</v>
      </c>
      <c r="D196" s="260">
        <f>SUM(D197:D201)</f>
        <v>0</v>
      </c>
    </row>
    <row r="197" spans="1:4" ht="12" hidden="1" customHeight="1" outlineLevel="1" x14ac:dyDescent="0.3">
      <c r="A197" s="238"/>
      <c r="B197" s="242">
        <v>2100</v>
      </c>
      <c r="C197" s="243" t="s">
        <v>203</v>
      </c>
      <c r="D197" s="244"/>
    </row>
    <row r="198" spans="1:4" ht="12" hidden="1" customHeight="1" outlineLevel="1" x14ac:dyDescent="0.3">
      <c r="A198" s="238"/>
      <c r="B198" s="242">
        <v>2200</v>
      </c>
      <c r="C198" s="243" t="s">
        <v>204</v>
      </c>
      <c r="D198" s="244"/>
    </row>
    <row r="199" spans="1:4" ht="12" hidden="1" customHeight="1" outlineLevel="1" x14ac:dyDescent="0.3">
      <c r="A199" s="238"/>
      <c r="B199" s="242">
        <v>2300</v>
      </c>
      <c r="C199" s="243" t="s">
        <v>205</v>
      </c>
      <c r="D199" s="244"/>
    </row>
    <row r="200" spans="1:4" ht="12" hidden="1" customHeight="1" outlineLevel="1" x14ac:dyDescent="0.3">
      <c r="A200" s="238"/>
      <c r="B200" s="242">
        <v>2400</v>
      </c>
      <c r="C200" s="243" t="s">
        <v>206</v>
      </c>
      <c r="D200" s="244"/>
    </row>
    <row r="201" spans="1:4" ht="12" hidden="1" customHeight="1" outlineLevel="1" x14ac:dyDescent="0.3">
      <c r="A201" s="238"/>
      <c r="B201" s="242">
        <v>2500</v>
      </c>
      <c r="C201" s="243" t="s">
        <v>207</v>
      </c>
      <c r="D201" s="244"/>
    </row>
    <row r="202" spans="1:4" ht="12" hidden="1" customHeight="1" outlineLevel="1" x14ac:dyDescent="0.3">
      <c r="A202" s="238"/>
      <c r="B202" s="199">
        <v>3000</v>
      </c>
      <c r="C202" s="245" t="s">
        <v>208</v>
      </c>
      <c r="D202" s="260">
        <f>SUM(D203:D204)</f>
        <v>0</v>
      </c>
    </row>
    <row r="203" spans="1:4" ht="12" hidden="1" customHeight="1" outlineLevel="1" x14ac:dyDescent="0.3">
      <c r="A203" s="238"/>
      <c r="B203" s="242">
        <v>3200</v>
      </c>
      <c r="C203" s="243" t="s">
        <v>209</v>
      </c>
      <c r="D203" s="244"/>
    </row>
    <row r="204" spans="1:4" ht="12" hidden="1" customHeight="1" outlineLevel="1" x14ac:dyDescent="0.3">
      <c r="A204" s="238"/>
      <c r="B204" s="242">
        <v>3300</v>
      </c>
      <c r="C204" s="243" t="s">
        <v>210</v>
      </c>
      <c r="D204" s="244"/>
    </row>
    <row r="205" spans="1:4" ht="12" hidden="1" customHeight="1" outlineLevel="1" x14ac:dyDescent="0.3">
      <c r="A205" s="238"/>
      <c r="B205" s="199">
        <v>4000</v>
      </c>
      <c r="C205" s="246" t="s">
        <v>211</v>
      </c>
      <c r="D205" s="260">
        <f>SUM(D206:D207)</f>
        <v>0</v>
      </c>
    </row>
    <row r="206" spans="1:4" ht="12" hidden="1" customHeight="1" outlineLevel="1" x14ac:dyDescent="0.3">
      <c r="A206" s="238"/>
      <c r="B206" s="242">
        <v>4200</v>
      </c>
      <c r="C206" s="247" t="s">
        <v>212</v>
      </c>
      <c r="D206" s="244"/>
    </row>
    <row r="207" spans="1:4" ht="12" hidden="1" customHeight="1" outlineLevel="1" x14ac:dyDescent="0.3">
      <c r="A207" s="238"/>
      <c r="B207" s="242">
        <v>4300</v>
      </c>
      <c r="C207" s="247" t="s">
        <v>213</v>
      </c>
      <c r="D207" s="244"/>
    </row>
    <row r="208" spans="1:4" ht="12" hidden="1" customHeight="1" outlineLevel="1" x14ac:dyDescent="0.3">
      <c r="A208" s="238"/>
      <c r="B208" s="199">
        <v>5000</v>
      </c>
      <c r="C208" s="200" t="s">
        <v>214</v>
      </c>
      <c r="D208" s="260">
        <f>SUM(D209:D211)</f>
        <v>0</v>
      </c>
    </row>
    <row r="209" spans="1:4" ht="12" hidden="1" customHeight="1" outlineLevel="1" x14ac:dyDescent="0.3">
      <c r="A209" s="238"/>
      <c r="B209" s="242">
        <v>5100</v>
      </c>
      <c r="C209" s="248" t="s">
        <v>215</v>
      </c>
      <c r="D209" s="260"/>
    </row>
    <row r="210" spans="1:4" ht="12" hidden="1" customHeight="1" outlineLevel="1" x14ac:dyDescent="0.3">
      <c r="A210" s="238"/>
      <c r="B210" s="242">
        <v>5200</v>
      </c>
      <c r="C210" s="248" t="s">
        <v>216</v>
      </c>
      <c r="D210" s="260"/>
    </row>
    <row r="211" spans="1:4" ht="12" hidden="1" customHeight="1" outlineLevel="1" x14ac:dyDescent="0.3">
      <c r="A211" s="238"/>
      <c r="B211" s="242">
        <v>5300</v>
      </c>
      <c r="C211" s="249" t="s">
        <v>217</v>
      </c>
      <c r="D211" s="260"/>
    </row>
    <row r="212" spans="1:4" ht="12" hidden="1" customHeight="1" outlineLevel="1" x14ac:dyDescent="0.3">
      <c r="A212" s="238"/>
      <c r="B212" s="199">
        <v>6000</v>
      </c>
      <c r="C212" s="200" t="s">
        <v>218</v>
      </c>
      <c r="D212" s="260">
        <f>SUM(D213:D216)</f>
        <v>0</v>
      </c>
    </row>
    <row r="213" spans="1:4" ht="12" hidden="1" customHeight="1" outlineLevel="1" x14ac:dyDescent="0.3">
      <c r="A213" s="238"/>
      <c r="B213" s="242">
        <v>6200</v>
      </c>
      <c r="C213" s="248" t="s">
        <v>219</v>
      </c>
      <c r="D213" s="244"/>
    </row>
    <row r="214" spans="1:4" ht="12" hidden="1" customHeight="1" outlineLevel="1" x14ac:dyDescent="0.3">
      <c r="A214" s="238"/>
      <c r="B214" s="242">
        <v>6300</v>
      </c>
      <c r="C214" s="248" t="s">
        <v>220</v>
      </c>
      <c r="D214" s="244"/>
    </row>
    <row r="215" spans="1:4" ht="12" hidden="1" customHeight="1" outlineLevel="1" x14ac:dyDescent="0.3">
      <c r="A215" s="238"/>
      <c r="B215" s="242">
        <v>6400</v>
      </c>
      <c r="C215" s="248" t="s">
        <v>221</v>
      </c>
      <c r="D215" s="244"/>
    </row>
    <row r="216" spans="1:4" ht="12" hidden="1" customHeight="1" outlineLevel="1" x14ac:dyDescent="0.3">
      <c r="A216" s="238"/>
      <c r="B216" s="242">
        <v>6500</v>
      </c>
      <c r="C216" s="249" t="s">
        <v>222</v>
      </c>
      <c r="D216" s="244"/>
    </row>
    <row r="217" spans="1:4" ht="12" hidden="1" customHeight="1" outlineLevel="1" x14ac:dyDescent="0.3">
      <c r="A217" s="238"/>
      <c r="B217" s="199">
        <v>7000</v>
      </c>
      <c r="C217" s="200" t="s">
        <v>223</v>
      </c>
      <c r="D217" s="260">
        <f>SUM(D218:D220)</f>
        <v>0</v>
      </c>
    </row>
    <row r="218" spans="1:4" ht="12" hidden="1" customHeight="1" outlineLevel="1" x14ac:dyDescent="0.3">
      <c r="A218" s="238"/>
      <c r="B218" s="250">
        <v>7200</v>
      </c>
      <c r="C218" s="251" t="s">
        <v>224</v>
      </c>
      <c r="D218" s="244"/>
    </row>
    <row r="219" spans="1:4" ht="12" hidden="1" customHeight="1" outlineLevel="1" x14ac:dyDescent="0.3">
      <c r="A219" s="238"/>
      <c r="B219" s="250">
        <v>7500</v>
      </c>
      <c r="C219" s="251" t="s">
        <v>225</v>
      </c>
      <c r="D219" s="244"/>
    </row>
    <row r="220" spans="1:4" ht="12" hidden="1" customHeight="1" outlineLevel="1" x14ac:dyDescent="0.3">
      <c r="A220" s="238"/>
      <c r="B220" s="250">
        <v>7700</v>
      </c>
      <c r="C220" s="251" t="s">
        <v>226</v>
      </c>
      <c r="D220" s="244"/>
    </row>
    <row r="221" spans="1:4" ht="12" hidden="1" customHeight="1" outlineLevel="1" x14ac:dyDescent="0.3">
      <c r="A221" s="238"/>
      <c r="B221" s="252">
        <v>8000</v>
      </c>
      <c r="C221" s="253" t="s">
        <v>227</v>
      </c>
      <c r="D221" s="260">
        <f>SUM(D222:D224)</f>
        <v>0</v>
      </c>
    </row>
    <row r="222" spans="1:4" ht="12" hidden="1" customHeight="1" outlineLevel="1" x14ac:dyDescent="0.3">
      <c r="A222" s="238"/>
      <c r="B222" s="254">
        <v>8100</v>
      </c>
      <c r="C222" s="255" t="s">
        <v>228</v>
      </c>
      <c r="D222" s="260"/>
    </row>
    <row r="223" spans="1:4" ht="12" hidden="1" customHeight="1" outlineLevel="1" x14ac:dyDescent="0.3">
      <c r="A223" s="238"/>
      <c r="B223" s="254">
        <v>8600</v>
      </c>
      <c r="C223" s="255" t="s">
        <v>229</v>
      </c>
      <c r="D223" s="260"/>
    </row>
    <row r="224" spans="1:4" ht="12" hidden="1" customHeight="1" outlineLevel="1" x14ac:dyDescent="0.3">
      <c r="A224" s="238"/>
      <c r="B224" s="254">
        <v>8900</v>
      </c>
      <c r="C224" s="255" t="s">
        <v>230</v>
      </c>
      <c r="D224" s="260"/>
    </row>
    <row r="225" spans="1:4" ht="26.25" hidden="1" customHeight="1" outlineLevel="1" x14ac:dyDescent="0.3">
      <c r="A225" s="256" t="s">
        <v>239</v>
      </c>
      <c r="B225" s="257"/>
      <c r="C225" s="258" t="s">
        <v>240</v>
      </c>
      <c r="D225" s="259">
        <f>D226+D242+D255</f>
        <v>0</v>
      </c>
    </row>
    <row r="226" spans="1:4" ht="12" hidden="1" customHeight="1" outlineLevel="1" x14ac:dyDescent="0.3">
      <c r="A226" s="227"/>
      <c r="B226" s="228"/>
      <c r="C226" s="229" t="s">
        <v>198</v>
      </c>
      <c r="D226" s="230">
        <f>D227+D230+D236+D239+D246+D251</f>
        <v>0</v>
      </c>
    </row>
    <row r="227" spans="1:4" ht="12" hidden="1" customHeight="1" outlineLevel="1" x14ac:dyDescent="0.3">
      <c r="A227" s="227"/>
      <c r="B227" s="231">
        <v>1000</v>
      </c>
      <c r="C227" s="232" t="s">
        <v>199</v>
      </c>
      <c r="D227" s="236">
        <f>D261+D295</f>
        <v>0</v>
      </c>
    </row>
    <row r="228" spans="1:4" ht="12" hidden="1" customHeight="1" outlineLevel="1" x14ac:dyDescent="0.3">
      <c r="A228" s="227"/>
      <c r="B228" s="234">
        <v>1100</v>
      </c>
      <c r="C228" s="235" t="s">
        <v>200</v>
      </c>
      <c r="D228" s="236"/>
    </row>
    <row r="229" spans="1:4" ht="12" hidden="1" customHeight="1" outlineLevel="1" x14ac:dyDescent="0.3">
      <c r="A229" s="227"/>
      <c r="B229" s="234">
        <v>1200</v>
      </c>
      <c r="C229" s="237" t="s">
        <v>201</v>
      </c>
      <c r="D229" s="236"/>
    </row>
    <row r="230" spans="1:4" ht="12" hidden="1" customHeight="1" outlineLevel="1" x14ac:dyDescent="0.3">
      <c r="A230" s="238"/>
      <c r="B230" s="239">
        <v>2000</v>
      </c>
      <c r="C230" s="240" t="s">
        <v>202</v>
      </c>
      <c r="D230" s="260">
        <f>D264+D298</f>
        <v>0</v>
      </c>
    </row>
    <row r="231" spans="1:4" ht="12" hidden="1" customHeight="1" outlineLevel="1" x14ac:dyDescent="0.3">
      <c r="A231" s="238"/>
      <c r="B231" s="242">
        <v>2100</v>
      </c>
      <c r="C231" s="243" t="s">
        <v>203</v>
      </c>
      <c r="D231" s="244"/>
    </row>
    <row r="232" spans="1:4" ht="12" hidden="1" customHeight="1" outlineLevel="1" x14ac:dyDescent="0.3">
      <c r="A232" s="238"/>
      <c r="B232" s="242">
        <v>2200</v>
      </c>
      <c r="C232" s="243" t="s">
        <v>204</v>
      </c>
      <c r="D232" s="244"/>
    </row>
    <row r="233" spans="1:4" ht="12" hidden="1" customHeight="1" outlineLevel="1" x14ac:dyDescent="0.3">
      <c r="A233" s="238"/>
      <c r="B233" s="242">
        <v>2300</v>
      </c>
      <c r="C233" s="243" t="s">
        <v>205</v>
      </c>
      <c r="D233" s="244"/>
    </row>
    <row r="234" spans="1:4" ht="12" hidden="1" customHeight="1" outlineLevel="1" x14ac:dyDescent="0.3">
      <c r="A234" s="238"/>
      <c r="B234" s="242">
        <v>2400</v>
      </c>
      <c r="C234" s="243" t="s">
        <v>206</v>
      </c>
      <c r="D234" s="244"/>
    </row>
    <row r="235" spans="1:4" ht="12" hidden="1" customHeight="1" outlineLevel="1" x14ac:dyDescent="0.3">
      <c r="A235" s="238"/>
      <c r="B235" s="242">
        <v>2500</v>
      </c>
      <c r="C235" s="243" t="s">
        <v>207</v>
      </c>
      <c r="D235" s="244"/>
    </row>
    <row r="236" spans="1:4" ht="12" hidden="1" customHeight="1" outlineLevel="1" x14ac:dyDescent="0.3">
      <c r="A236" s="238"/>
      <c r="B236" s="199">
        <v>3000</v>
      </c>
      <c r="C236" s="245" t="s">
        <v>208</v>
      </c>
      <c r="D236" s="244">
        <f>D270+D304</f>
        <v>0</v>
      </c>
    </row>
    <row r="237" spans="1:4" ht="12" hidden="1" customHeight="1" outlineLevel="1" x14ac:dyDescent="0.3">
      <c r="A237" s="238"/>
      <c r="B237" s="242">
        <v>3200</v>
      </c>
      <c r="C237" s="243" t="s">
        <v>209</v>
      </c>
      <c r="D237" s="244"/>
    </row>
    <row r="238" spans="1:4" ht="12" hidden="1" customHeight="1" outlineLevel="1" x14ac:dyDescent="0.3">
      <c r="A238" s="238"/>
      <c r="B238" s="242">
        <v>3300</v>
      </c>
      <c r="C238" s="243" t="s">
        <v>210</v>
      </c>
      <c r="D238" s="244"/>
    </row>
    <row r="239" spans="1:4" ht="12" hidden="1" customHeight="1" outlineLevel="1" x14ac:dyDescent="0.3">
      <c r="A239" s="238"/>
      <c r="B239" s="199">
        <v>4000</v>
      </c>
      <c r="C239" s="246" t="s">
        <v>211</v>
      </c>
      <c r="D239" s="244">
        <f>D273+D307</f>
        <v>0</v>
      </c>
    </row>
    <row r="240" spans="1:4" ht="12" hidden="1" customHeight="1" outlineLevel="1" x14ac:dyDescent="0.3">
      <c r="A240" s="238"/>
      <c r="B240" s="242">
        <v>4200</v>
      </c>
      <c r="C240" s="247" t="s">
        <v>212</v>
      </c>
      <c r="D240" s="244"/>
    </row>
    <row r="241" spans="1:4" ht="12" hidden="1" customHeight="1" outlineLevel="1" x14ac:dyDescent="0.3">
      <c r="A241" s="238"/>
      <c r="B241" s="242">
        <v>4300</v>
      </c>
      <c r="C241" s="247" t="s">
        <v>213</v>
      </c>
      <c r="D241" s="244"/>
    </row>
    <row r="242" spans="1:4" ht="12" hidden="1" customHeight="1" outlineLevel="1" x14ac:dyDescent="0.3">
      <c r="A242" s="238"/>
      <c r="B242" s="199">
        <v>5000</v>
      </c>
      <c r="C242" s="200" t="s">
        <v>214</v>
      </c>
      <c r="D242" s="260">
        <f>D276+D310</f>
        <v>0</v>
      </c>
    </row>
    <row r="243" spans="1:4" ht="12" hidden="1" customHeight="1" outlineLevel="1" x14ac:dyDescent="0.3">
      <c r="A243" s="238"/>
      <c r="B243" s="242">
        <v>5100</v>
      </c>
      <c r="C243" s="248" t="s">
        <v>215</v>
      </c>
      <c r="D243" s="260"/>
    </row>
    <row r="244" spans="1:4" ht="12" hidden="1" customHeight="1" outlineLevel="1" x14ac:dyDescent="0.3">
      <c r="A244" s="238"/>
      <c r="B244" s="242">
        <v>5200</v>
      </c>
      <c r="C244" s="248" t="s">
        <v>216</v>
      </c>
      <c r="D244" s="260"/>
    </row>
    <row r="245" spans="1:4" ht="12" hidden="1" customHeight="1" outlineLevel="1" x14ac:dyDescent="0.3">
      <c r="A245" s="238"/>
      <c r="B245" s="242">
        <v>5300</v>
      </c>
      <c r="C245" s="249" t="s">
        <v>217</v>
      </c>
      <c r="D245" s="260"/>
    </row>
    <row r="246" spans="1:4" ht="12" hidden="1" customHeight="1" outlineLevel="1" x14ac:dyDescent="0.3">
      <c r="A246" s="238"/>
      <c r="B246" s="199">
        <v>6000</v>
      </c>
      <c r="C246" s="200" t="s">
        <v>218</v>
      </c>
      <c r="D246" s="244">
        <f>D280+D314</f>
        <v>0</v>
      </c>
    </row>
    <row r="247" spans="1:4" ht="12" hidden="1" customHeight="1" outlineLevel="1" x14ac:dyDescent="0.3">
      <c r="A247" s="238"/>
      <c r="B247" s="242">
        <v>6200</v>
      </c>
      <c r="C247" s="248" t="s">
        <v>219</v>
      </c>
      <c r="D247" s="244"/>
    </row>
    <row r="248" spans="1:4" ht="12" hidden="1" customHeight="1" outlineLevel="1" x14ac:dyDescent="0.3">
      <c r="A248" s="238"/>
      <c r="B248" s="242">
        <v>6300</v>
      </c>
      <c r="C248" s="248" t="s">
        <v>220</v>
      </c>
      <c r="D248" s="244"/>
    </row>
    <row r="249" spans="1:4" ht="12" hidden="1" customHeight="1" outlineLevel="1" x14ac:dyDescent="0.3">
      <c r="A249" s="238"/>
      <c r="B249" s="242">
        <v>6400</v>
      </c>
      <c r="C249" s="248" t="s">
        <v>221</v>
      </c>
      <c r="D249" s="244"/>
    </row>
    <row r="250" spans="1:4" ht="12" hidden="1" customHeight="1" outlineLevel="1" x14ac:dyDescent="0.3">
      <c r="A250" s="238"/>
      <c r="B250" s="242">
        <v>6500</v>
      </c>
      <c r="C250" s="249" t="s">
        <v>222</v>
      </c>
      <c r="D250" s="244"/>
    </row>
    <row r="251" spans="1:4" ht="12" hidden="1" customHeight="1" outlineLevel="1" x14ac:dyDescent="0.3">
      <c r="A251" s="238"/>
      <c r="B251" s="199">
        <v>7000</v>
      </c>
      <c r="C251" s="200" t="s">
        <v>223</v>
      </c>
      <c r="D251" s="260">
        <f>D285+D319</f>
        <v>0</v>
      </c>
    </row>
    <row r="252" spans="1:4" ht="12" hidden="1" customHeight="1" outlineLevel="1" x14ac:dyDescent="0.3">
      <c r="A252" s="238"/>
      <c r="B252" s="250">
        <v>7200</v>
      </c>
      <c r="C252" s="251" t="s">
        <v>224</v>
      </c>
      <c r="D252" s="244"/>
    </row>
    <row r="253" spans="1:4" ht="12" hidden="1" customHeight="1" outlineLevel="1" x14ac:dyDescent="0.3">
      <c r="A253" s="238"/>
      <c r="B253" s="250">
        <v>7500</v>
      </c>
      <c r="C253" s="251" t="s">
        <v>225</v>
      </c>
      <c r="D253" s="244"/>
    </row>
    <row r="254" spans="1:4" ht="12" hidden="1" customHeight="1" outlineLevel="1" x14ac:dyDescent="0.3">
      <c r="A254" s="238"/>
      <c r="B254" s="250">
        <v>7700</v>
      </c>
      <c r="C254" s="251" t="s">
        <v>226</v>
      </c>
      <c r="D254" s="244"/>
    </row>
    <row r="255" spans="1:4" ht="12" hidden="1" customHeight="1" outlineLevel="1" x14ac:dyDescent="0.3">
      <c r="A255" s="238"/>
      <c r="B255" s="252">
        <v>8000</v>
      </c>
      <c r="C255" s="253" t="s">
        <v>227</v>
      </c>
      <c r="D255" s="260">
        <f>D289+D323</f>
        <v>0</v>
      </c>
    </row>
    <row r="256" spans="1:4" ht="12" hidden="1" customHeight="1" outlineLevel="1" x14ac:dyDescent="0.3">
      <c r="A256" s="238"/>
      <c r="B256" s="254">
        <v>8100</v>
      </c>
      <c r="C256" s="255" t="s">
        <v>228</v>
      </c>
      <c r="D256" s="261"/>
    </row>
    <row r="257" spans="1:4" ht="12" hidden="1" customHeight="1" outlineLevel="1" x14ac:dyDescent="0.3">
      <c r="A257" s="238"/>
      <c r="B257" s="254">
        <v>8600</v>
      </c>
      <c r="C257" s="255" t="s">
        <v>229</v>
      </c>
      <c r="D257" s="261"/>
    </row>
    <row r="258" spans="1:4" ht="12" hidden="1" customHeight="1" outlineLevel="1" x14ac:dyDescent="0.3">
      <c r="A258" s="238"/>
      <c r="B258" s="254">
        <v>8900</v>
      </c>
      <c r="C258" s="255" t="s">
        <v>230</v>
      </c>
      <c r="D258" s="261"/>
    </row>
    <row r="259" spans="1:4" ht="12" hidden="1" customHeight="1" outlineLevel="1" x14ac:dyDescent="0.3">
      <c r="A259" s="262" t="s">
        <v>241</v>
      </c>
      <c r="B259" s="263"/>
      <c r="C259" s="264" t="s">
        <v>242</v>
      </c>
      <c r="D259" s="265">
        <f>D260+D276+D289</f>
        <v>0</v>
      </c>
    </row>
    <row r="260" spans="1:4" ht="12" hidden="1" customHeight="1" outlineLevel="1" x14ac:dyDescent="0.3">
      <c r="A260" s="266"/>
      <c r="B260" s="267"/>
      <c r="C260" s="268" t="s">
        <v>198</v>
      </c>
      <c r="D260" s="230">
        <f>D261+D264+D270+D273+D280+D285</f>
        <v>0</v>
      </c>
    </row>
    <row r="261" spans="1:4" ht="12" hidden="1" customHeight="1" outlineLevel="1" x14ac:dyDescent="0.3">
      <c r="A261" s="227"/>
      <c r="B261" s="231">
        <v>1000</v>
      </c>
      <c r="C261" s="232" t="s">
        <v>199</v>
      </c>
      <c r="D261" s="230">
        <f>SUM(D262:D263)</f>
        <v>0</v>
      </c>
    </row>
    <row r="262" spans="1:4" ht="12" hidden="1" customHeight="1" outlineLevel="1" x14ac:dyDescent="0.3">
      <c r="A262" s="227"/>
      <c r="B262" s="234">
        <v>1100</v>
      </c>
      <c r="C262" s="235" t="s">
        <v>200</v>
      </c>
      <c r="D262" s="236"/>
    </row>
    <row r="263" spans="1:4" ht="12" hidden="1" customHeight="1" outlineLevel="1" x14ac:dyDescent="0.3">
      <c r="A263" s="227"/>
      <c r="B263" s="234">
        <v>1200</v>
      </c>
      <c r="C263" s="237" t="s">
        <v>201</v>
      </c>
      <c r="D263" s="236"/>
    </row>
    <row r="264" spans="1:4" ht="12" hidden="1" customHeight="1" outlineLevel="1" x14ac:dyDescent="0.3">
      <c r="A264" s="238"/>
      <c r="B264" s="239">
        <v>2000</v>
      </c>
      <c r="C264" s="240" t="s">
        <v>202</v>
      </c>
      <c r="D264" s="260">
        <f>SUM(D265:D269)</f>
        <v>0</v>
      </c>
    </row>
    <row r="265" spans="1:4" ht="12" hidden="1" customHeight="1" outlineLevel="1" x14ac:dyDescent="0.3">
      <c r="A265" s="238"/>
      <c r="B265" s="242">
        <v>2100</v>
      </c>
      <c r="C265" s="243" t="s">
        <v>203</v>
      </c>
      <c r="D265" s="244"/>
    </row>
    <row r="266" spans="1:4" ht="12" hidden="1" customHeight="1" outlineLevel="1" x14ac:dyDescent="0.3">
      <c r="A266" s="238"/>
      <c r="B266" s="242">
        <v>2200</v>
      </c>
      <c r="C266" s="243" t="s">
        <v>204</v>
      </c>
      <c r="D266" s="244"/>
    </row>
    <row r="267" spans="1:4" ht="12" hidden="1" customHeight="1" outlineLevel="1" x14ac:dyDescent="0.3">
      <c r="A267" s="238"/>
      <c r="B267" s="242">
        <v>2300</v>
      </c>
      <c r="C267" s="243" t="s">
        <v>205</v>
      </c>
      <c r="D267" s="244"/>
    </row>
    <row r="268" spans="1:4" ht="12" hidden="1" customHeight="1" outlineLevel="1" x14ac:dyDescent="0.3">
      <c r="A268" s="238"/>
      <c r="B268" s="242">
        <v>2400</v>
      </c>
      <c r="C268" s="243" t="s">
        <v>206</v>
      </c>
      <c r="D268" s="244"/>
    </row>
    <row r="269" spans="1:4" ht="12" hidden="1" customHeight="1" outlineLevel="1" x14ac:dyDescent="0.3">
      <c r="A269" s="238"/>
      <c r="B269" s="242">
        <v>2500</v>
      </c>
      <c r="C269" s="243" t="s">
        <v>207</v>
      </c>
      <c r="D269" s="244"/>
    </row>
    <row r="270" spans="1:4" ht="12" hidden="1" customHeight="1" outlineLevel="1" x14ac:dyDescent="0.3">
      <c r="A270" s="238"/>
      <c r="B270" s="199">
        <v>3000</v>
      </c>
      <c r="C270" s="245" t="s">
        <v>208</v>
      </c>
      <c r="D270" s="260">
        <f>SUM(D271:D272)</f>
        <v>0</v>
      </c>
    </row>
    <row r="271" spans="1:4" ht="12" hidden="1" customHeight="1" outlineLevel="1" x14ac:dyDescent="0.3">
      <c r="A271" s="238"/>
      <c r="B271" s="242">
        <v>3200</v>
      </c>
      <c r="C271" s="243" t="s">
        <v>209</v>
      </c>
      <c r="D271" s="244"/>
    </row>
    <row r="272" spans="1:4" ht="12" hidden="1" customHeight="1" outlineLevel="1" x14ac:dyDescent="0.3">
      <c r="A272" s="238"/>
      <c r="B272" s="242">
        <v>3300</v>
      </c>
      <c r="C272" s="243" t="s">
        <v>210</v>
      </c>
      <c r="D272" s="244"/>
    </row>
    <row r="273" spans="1:4" ht="12" hidden="1" customHeight="1" outlineLevel="1" x14ac:dyDescent="0.3">
      <c r="A273" s="238"/>
      <c r="B273" s="199">
        <v>4000</v>
      </c>
      <c r="C273" s="246" t="s">
        <v>211</v>
      </c>
      <c r="D273" s="260">
        <f>SUM(D274:D275)</f>
        <v>0</v>
      </c>
    </row>
    <row r="274" spans="1:4" ht="12" hidden="1" customHeight="1" outlineLevel="1" x14ac:dyDescent="0.3">
      <c r="A274" s="238"/>
      <c r="B274" s="242">
        <v>4200</v>
      </c>
      <c r="C274" s="247" t="s">
        <v>212</v>
      </c>
      <c r="D274" s="244"/>
    </row>
    <row r="275" spans="1:4" ht="12" hidden="1" customHeight="1" outlineLevel="1" x14ac:dyDescent="0.3">
      <c r="A275" s="238"/>
      <c r="B275" s="242">
        <v>4300</v>
      </c>
      <c r="C275" s="247" t="s">
        <v>213</v>
      </c>
      <c r="D275" s="244"/>
    </row>
    <row r="276" spans="1:4" ht="12" hidden="1" customHeight="1" outlineLevel="1" x14ac:dyDescent="0.3">
      <c r="A276" s="238"/>
      <c r="B276" s="199">
        <v>5000</v>
      </c>
      <c r="C276" s="200" t="s">
        <v>214</v>
      </c>
      <c r="D276" s="260">
        <f>SUM(D277:D279)</f>
        <v>0</v>
      </c>
    </row>
    <row r="277" spans="1:4" ht="12" hidden="1" customHeight="1" outlineLevel="1" x14ac:dyDescent="0.3">
      <c r="A277" s="238"/>
      <c r="B277" s="242">
        <v>5100</v>
      </c>
      <c r="C277" s="248" t="s">
        <v>215</v>
      </c>
      <c r="D277" s="260"/>
    </row>
    <row r="278" spans="1:4" ht="12" hidden="1" customHeight="1" outlineLevel="1" x14ac:dyDescent="0.3">
      <c r="A278" s="238"/>
      <c r="B278" s="242">
        <v>5200</v>
      </c>
      <c r="C278" s="248" t="s">
        <v>216</v>
      </c>
      <c r="D278" s="260"/>
    </row>
    <row r="279" spans="1:4" ht="12" hidden="1" customHeight="1" outlineLevel="1" x14ac:dyDescent="0.3">
      <c r="A279" s="238"/>
      <c r="B279" s="242">
        <v>5300</v>
      </c>
      <c r="C279" s="249" t="s">
        <v>217</v>
      </c>
      <c r="D279" s="260"/>
    </row>
    <row r="280" spans="1:4" ht="12" hidden="1" customHeight="1" outlineLevel="1" x14ac:dyDescent="0.3">
      <c r="A280" s="238"/>
      <c r="B280" s="199">
        <v>6000</v>
      </c>
      <c r="C280" s="200" t="s">
        <v>218</v>
      </c>
      <c r="D280" s="260">
        <f>SUM(D281:D284)</f>
        <v>0</v>
      </c>
    </row>
    <row r="281" spans="1:4" ht="12" hidden="1" customHeight="1" outlineLevel="1" x14ac:dyDescent="0.3">
      <c r="A281" s="238"/>
      <c r="B281" s="242">
        <v>6200</v>
      </c>
      <c r="C281" s="248" t="s">
        <v>219</v>
      </c>
      <c r="D281" s="244"/>
    </row>
    <row r="282" spans="1:4" ht="12" hidden="1" customHeight="1" outlineLevel="1" x14ac:dyDescent="0.3">
      <c r="A282" s="238"/>
      <c r="B282" s="242">
        <v>6300</v>
      </c>
      <c r="C282" s="248" t="s">
        <v>220</v>
      </c>
      <c r="D282" s="244"/>
    </row>
    <row r="283" spans="1:4" ht="12" hidden="1" customHeight="1" outlineLevel="1" x14ac:dyDescent="0.3">
      <c r="A283" s="238"/>
      <c r="B283" s="242">
        <v>6400</v>
      </c>
      <c r="C283" s="248" t="s">
        <v>221</v>
      </c>
      <c r="D283" s="244"/>
    </row>
    <row r="284" spans="1:4" ht="12" hidden="1" customHeight="1" outlineLevel="1" x14ac:dyDescent="0.3">
      <c r="A284" s="238"/>
      <c r="B284" s="242">
        <v>6500</v>
      </c>
      <c r="C284" s="249" t="s">
        <v>222</v>
      </c>
      <c r="D284" s="244"/>
    </row>
    <row r="285" spans="1:4" ht="12" hidden="1" customHeight="1" outlineLevel="1" x14ac:dyDescent="0.3">
      <c r="A285" s="238"/>
      <c r="B285" s="199">
        <v>7000</v>
      </c>
      <c r="C285" s="200" t="s">
        <v>223</v>
      </c>
      <c r="D285" s="260">
        <f>SUM(D286:D288)</f>
        <v>0</v>
      </c>
    </row>
    <row r="286" spans="1:4" ht="12" hidden="1" customHeight="1" outlineLevel="1" x14ac:dyDescent="0.3">
      <c r="A286" s="238"/>
      <c r="B286" s="250">
        <v>7200</v>
      </c>
      <c r="C286" s="251" t="s">
        <v>224</v>
      </c>
      <c r="D286" s="244"/>
    </row>
    <row r="287" spans="1:4" ht="12" hidden="1" customHeight="1" outlineLevel="1" x14ac:dyDescent="0.3">
      <c r="A287" s="238"/>
      <c r="B287" s="250">
        <v>7500</v>
      </c>
      <c r="C287" s="251" t="s">
        <v>225</v>
      </c>
      <c r="D287" s="244"/>
    </row>
    <row r="288" spans="1:4" ht="12" hidden="1" customHeight="1" outlineLevel="1" x14ac:dyDescent="0.3">
      <c r="A288" s="238"/>
      <c r="B288" s="250">
        <v>7700</v>
      </c>
      <c r="C288" s="251" t="s">
        <v>226</v>
      </c>
      <c r="D288" s="244"/>
    </row>
    <row r="289" spans="1:4" ht="12" hidden="1" customHeight="1" outlineLevel="1" x14ac:dyDescent="0.3">
      <c r="A289" s="238"/>
      <c r="B289" s="252">
        <v>8000</v>
      </c>
      <c r="C289" s="253" t="s">
        <v>227</v>
      </c>
      <c r="D289" s="260">
        <f>SUM(D290:D292)</f>
        <v>0</v>
      </c>
    </row>
    <row r="290" spans="1:4" ht="12" hidden="1" customHeight="1" outlineLevel="1" x14ac:dyDescent="0.3">
      <c r="A290" s="238"/>
      <c r="B290" s="254">
        <v>8100</v>
      </c>
      <c r="C290" s="255" t="s">
        <v>228</v>
      </c>
      <c r="D290" s="260"/>
    </row>
    <row r="291" spans="1:4" ht="12" hidden="1" customHeight="1" outlineLevel="1" x14ac:dyDescent="0.3">
      <c r="A291" s="238"/>
      <c r="B291" s="254">
        <v>8600</v>
      </c>
      <c r="C291" s="255" t="s">
        <v>229</v>
      </c>
      <c r="D291" s="260"/>
    </row>
    <row r="292" spans="1:4" ht="12" hidden="1" customHeight="1" outlineLevel="1" x14ac:dyDescent="0.3">
      <c r="A292" s="238"/>
      <c r="B292" s="254">
        <v>8900</v>
      </c>
      <c r="C292" s="255" t="s">
        <v>230</v>
      </c>
      <c r="D292" s="260"/>
    </row>
    <row r="293" spans="1:4" ht="27.75" hidden="1" customHeight="1" outlineLevel="1" x14ac:dyDescent="0.3">
      <c r="A293" s="262" t="s">
        <v>243</v>
      </c>
      <c r="B293" s="263"/>
      <c r="C293" s="269" t="s">
        <v>244</v>
      </c>
      <c r="D293" s="265">
        <f>D294+D310+D323</f>
        <v>0</v>
      </c>
    </row>
    <row r="294" spans="1:4" ht="12" hidden="1" customHeight="1" outlineLevel="1" x14ac:dyDescent="0.3">
      <c r="A294" s="266"/>
      <c r="B294" s="267"/>
      <c r="C294" s="268" t="s">
        <v>198</v>
      </c>
      <c r="D294" s="230">
        <f>D298+D307+D314+D319+D304</f>
        <v>0</v>
      </c>
    </row>
    <row r="295" spans="1:4" ht="12" hidden="1" customHeight="1" outlineLevel="1" x14ac:dyDescent="0.3">
      <c r="A295" s="227"/>
      <c r="B295" s="231">
        <v>1000</v>
      </c>
      <c r="C295" s="232" t="s">
        <v>199</v>
      </c>
      <c r="D295" s="230">
        <f>SUM(D296:D297)</f>
        <v>0</v>
      </c>
    </row>
    <row r="296" spans="1:4" ht="12" hidden="1" customHeight="1" outlineLevel="1" x14ac:dyDescent="0.3">
      <c r="A296" s="227"/>
      <c r="B296" s="234">
        <v>1100</v>
      </c>
      <c r="C296" s="235" t="s">
        <v>200</v>
      </c>
      <c r="D296" s="236"/>
    </row>
    <row r="297" spans="1:4" ht="30.75" hidden="1" customHeight="1" outlineLevel="1" x14ac:dyDescent="0.3">
      <c r="A297" s="227"/>
      <c r="B297" s="234">
        <v>1200</v>
      </c>
      <c r="C297" s="237" t="s">
        <v>201</v>
      </c>
      <c r="D297" s="236"/>
    </row>
    <row r="298" spans="1:4" ht="12" hidden="1" customHeight="1" outlineLevel="1" x14ac:dyDescent="0.3">
      <c r="A298" s="238"/>
      <c r="B298" s="239">
        <v>2000</v>
      </c>
      <c r="C298" s="240" t="s">
        <v>202</v>
      </c>
      <c r="D298" s="260">
        <f>SUM(D299:D303)</f>
        <v>0</v>
      </c>
    </row>
    <row r="299" spans="1:4" ht="12" hidden="1" customHeight="1" outlineLevel="1" x14ac:dyDescent="0.3">
      <c r="A299" s="238"/>
      <c r="B299" s="242">
        <v>2100</v>
      </c>
      <c r="C299" s="243" t="s">
        <v>203</v>
      </c>
      <c r="D299" s="244"/>
    </row>
    <row r="300" spans="1:4" ht="12" hidden="1" customHeight="1" outlineLevel="1" x14ac:dyDescent="0.3">
      <c r="A300" s="238"/>
      <c r="B300" s="242">
        <v>2200</v>
      </c>
      <c r="C300" s="243" t="s">
        <v>204</v>
      </c>
      <c r="D300" s="244"/>
    </row>
    <row r="301" spans="1:4" ht="12" hidden="1" customHeight="1" outlineLevel="1" x14ac:dyDescent="0.3">
      <c r="A301" s="238"/>
      <c r="B301" s="242">
        <v>2300</v>
      </c>
      <c r="C301" s="243" t="s">
        <v>205</v>
      </c>
      <c r="D301" s="244"/>
    </row>
    <row r="302" spans="1:4" ht="12" hidden="1" customHeight="1" outlineLevel="1" x14ac:dyDescent="0.3">
      <c r="A302" s="238"/>
      <c r="B302" s="242">
        <v>2400</v>
      </c>
      <c r="C302" s="243" t="s">
        <v>206</v>
      </c>
      <c r="D302" s="244"/>
    </row>
    <row r="303" spans="1:4" ht="12" hidden="1" customHeight="1" outlineLevel="1" x14ac:dyDescent="0.3">
      <c r="A303" s="238"/>
      <c r="B303" s="242">
        <v>2500</v>
      </c>
      <c r="C303" s="243" t="s">
        <v>207</v>
      </c>
      <c r="D303" s="244"/>
    </row>
    <row r="304" spans="1:4" ht="12" hidden="1" customHeight="1" outlineLevel="1" x14ac:dyDescent="0.3">
      <c r="A304" s="238"/>
      <c r="B304" s="199">
        <v>3000</v>
      </c>
      <c r="C304" s="245" t="s">
        <v>208</v>
      </c>
      <c r="D304" s="260">
        <f>SUM(D305:D306)</f>
        <v>0</v>
      </c>
    </row>
    <row r="305" spans="1:4" ht="27.75" hidden="1" customHeight="1" outlineLevel="1" x14ac:dyDescent="0.3">
      <c r="A305" s="238"/>
      <c r="B305" s="242">
        <v>3200</v>
      </c>
      <c r="C305" s="243" t="s">
        <v>209</v>
      </c>
      <c r="D305" s="244"/>
    </row>
    <row r="306" spans="1:4" ht="29.25" hidden="1" customHeight="1" outlineLevel="1" x14ac:dyDescent="0.3">
      <c r="A306" s="238"/>
      <c r="B306" s="242">
        <v>3300</v>
      </c>
      <c r="C306" s="243" t="s">
        <v>210</v>
      </c>
      <c r="D306" s="244"/>
    </row>
    <row r="307" spans="1:4" ht="12" hidden="1" customHeight="1" outlineLevel="1" x14ac:dyDescent="0.3">
      <c r="A307" s="238"/>
      <c r="B307" s="199">
        <v>4000</v>
      </c>
      <c r="C307" s="246" t="s">
        <v>211</v>
      </c>
      <c r="D307" s="260">
        <f>SUM(D308:D309)</f>
        <v>0</v>
      </c>
    </row>
    <row r="308" spans="1:4" ht="12" hidden="1" customHeight="1" outlineLevel="1" x14ac:dyDescent="0.3">
      <c r="A308" s="238"/>
      <c r="B308" s="242">
        <v>4200</v>
      </c>
      <c r="C308" s="247" t="s">
        <v>212</v>
      </c>
      <c r="D308" s="244"/>
    </row>
    <row r="309" spans="1:4" ht="12" hidden="1" customHeight="1" outlineLevel="1" x14ac:dyDescent="0.3">
      <c r="A309" s="238"/>
      <c r="B309" s="242">
        <v>4300</v>
      </c>
      <c r="C309" s="247" t="s">
        <v>213</v>
      </c>
      <c r="D309" s="244"/>
    </row>
    <row r="310" spans="1:4" ht="12" hidden="1" customHeight="1" outlineLevel="1" x14ac:dyDescent="0.3">
      <c r="A310" s="238"/>
      <c r="B310" s="199">
        <v>5000</v>
      </c>
      <c r="C310" s="200" t="s">
        <v>214</v>
      </c>
      <c r="D310" s="260">
        <f>SUM(D311:D313)</f>
        <v>0</v>
      </c>
    </row>
    <row r="311" spans="1:4" ht="12" hidden="1" customHeight="1" outlineLevel="1" x14ac:dyDescent="0.3">
      <c r="A311" s="238"/>
      <c r="B311" s="242">
        <v>5100</v>
      </c>
      <c r="C311" s="248" t="s">
        <v>215</v>
      </c>
      <c r="D311" s="260"/>
    </row>
    <row r="312" spans="1:4" ht="12" hidden="1" customHeight="1" outlineLevel="1" x14ac:dyDescent="0.3">
      <c r="A312" s="238"/>
      <c r="B312" s="242">
        <v>5200</v>
      </c>
      <c r="C312" s="248" t="s">
        <v>216</v>
      </c>
      <c r="D312" s="260"/>
    </row>
    <row r="313" spans="1:4" ht="31.5" hidden="1" customHeight="1" outlineLevel="1" x14ac:dyDescent="0.3">
      <c r="A313" s="238"/>
      <c r="B313" s="242">
        <v>5300</v>
      </c>
      <c r="C313" s="249" t="s">
        <v>217</v>
      </c>
      <c r="D313" s="260"/>
    </row>
    <row r="314" spans="1:4" ht="12" hidden="1" customHeight="1" outlineLevel="1" x14ac:dyDescent="0.3">
      <c r="A314" s="238"/>
      <c r="B314" s="199">
        <v>6000</v>
      </c>
      <c r="C314" s="200" t="s">
        <v>218</v>
      </c>
      <c r="D314" s="260">
        <f>SUM(D315:D318)</f>
        <v>0</v>
      </c>
    </row>
    <row r="315" spans="1:4" ht="12" hidden="1" customHeight="1" outlineLevel="1" x14ac:dyDescent="0.3">
      <c r="A315" s="238"/>
      <c r="B315" s="242">
        <v>6200</v>
      </c>
      <c r="C315" s="248" t="s">
        <v>219</v>
      </c>
      <c r="D315" s="244"/>
    </row>
    <row r="316" spans="1:4" ht="12" hidden="1" customHeight="1" outlineLevel="1" x14ac:dyDescent="0.3">
      <c r="A316" s="238"/>
      <c r="B316" s="242">
        <v>6300</v>
      </c>
      <c r="C316" s="248" t="s">
        <v>220</v>
      </c>
      <c r="D316" s="244"/>
    </row>
    <row r="317" spans="1:4" ht="12" hidden="1" customHeight="1" outlineLevel="1" x14ac:dyDescent="0.3">
      <c r="A317" s="238"/>
      <c r="B317" s="242">
        <v>6400</v>
      </c>
      <c r="C317" s="248" t="s">
        <v>221</v>
      </c>
      <c r="D317" s="244"/>
    </row>
    <row r="318" spans="1:4" ht="41.25" hidden="1" customHeight="1" outlineLevel="1" x14ac:dyDescent="0.3">
      <c r="A318" s="238"/>
      <c r="B318" s="242">
        <v>6500</v>
      </c>
      <c r="C318" s="249" t="s">
        <v>222</v>
      </c>
      <c r="D318" s="244"/>
    </row>
    <row r="319" spans="1:4" ht="12" hidden="1" customHeight="1" outlineLevel="1" x14ac:dyDescent="0.3">
      <c r="A319" s="238"/>
      <c r="B319" s="199">
        <v>7000</v>
      </c>
      <c r="C319" s="200" t="s">
        <v>223</v>
      </c>
      <c r="D319" s="260">
        <f>SUM(D320:D322)</f>
        <v>0</v>
      </c>
    </row>
    <row r="320" spans="1:4" ht="12" hidden="1" customHeight="1" outlineLevel="1" x14ac:dyDescent="0.3">
      <c r="A320" s="238"/>
      <c r="B320" s="250">
        <v>7200</v>
      </c>
      <c r="C320" s="251" t="s">
        <v>224</v>
      </c>
      <c r="D320" s="244"/>
    </row>
    <row r="321" spans="1:4" ht="12" hidden="1" customHeight="1" outlineLevel="1" x14ac:dyDescent="0.3">
      <c r="A321" s="238"/>
      <c r="B321" s="250">
        <v>7500</v>
      </c>
      <c r="C321" s="251" t="s">
        <v>225</v>
      </c>
      <c r="D321" s="244"/>
    </row>
    <row r="322" spans="1:4" ht="12" hidden="1" customHeight="1" outlineLevel="1" x14ac:dyDescent="0.3">
      <c r="A322" s="238"/>
      <c r="B322" s="250">
        <v>7700</v>
      </c>
      <c r="C322" s="251" t="s">
        <v>226</v>
      </c>
      <c r="D322" s="244"/>
    </row>
    <row r="323" spans="1:4" ht="12" hidden="1" customHeight="1" outlineLevel="1" x14ac:dyDescent="0.3">
      <c r="A323" s="238"/>
      <c r="B323" s="252">
        <v>8000</v>
      </c>
      <c r="C323" s="253" t="s">
        <v>227</v>
      </c>
      <c r="D323" s="260">
        <f>SUM(D324:D326)</f>
        <v>0</v>
      </c>
    </row>
    <row r="324" spans="1:4" ht="12" hidden="1" customHeight="1" outlineLevel="1" x14ac:dyDescent="0.3">
      <c r="A324" s="238"/>
      <c r="B324" s="254">
        <v>8100</v>
      </c>
      <c r="C324" s="255" t="s">
        <v>228</v>
      </c>
      <c r="D324" s="260"/>
    </row>
    <row r="325" spans="1:4" ht="12" hidden="1" customHeight="1" outlineLevel="1" x14ac:dyDescent="0.3">
      <c r="A325" s="238"/>
      <c r="B325" s="254">
        <v>8600</v>
      </c>
      <c r="C325" s="255" t="s">
        <v>229</v>
      </c>
      <c r="D325" s="260"/>
    </row>
    <row r="326" spans="1:4" ht="28.5" hidden="1" customHeight="1" outlineLevel="1" x14ac:dyDescent="0.3">
      <c r="A326" s="238"/>
      <c r="B326" s="254">
        <v>8900</v>
      </c>
      <c r="C326" s="255" t="s">
        <v>230</v>
      </c>
      <c r="D326" s="260"/>
    </row>
    <row r="327" spans="1:4" ht="17.100000000000001" hidden="1" customHeight="1" outlineLevel="1" x14ac:dyDescent="0.3">
      <c r="A327" s="223" t="s">
        <v>245</v>
      </c>
      <c r="B327" s="224"/>
      <c r="C327" s="225" t="s">
        <v>246</v>
      </c>
      <c r="D327" s="226">
        <f t="shared" ref="D327" si="19">D328+D344+D357</f>
        <v>0</v>
      </c>
    </row>
    <row r="328" spans="1:4" ht="12" hidden="1" customHeight="1" outlineLevel="1" x14ac:dyDescent="0.3">
      <c r="A328" s="227"/>
      <c r="B328" s="228"/>
      <c r="C328" s="229" t="s">
        <v>198</v>
      </c>
      <c r="D328" s="230">
        <f t="shared" ref="D328" si="20">D329+D332+D338+D341+D348+D353</f>
        <v>0</v>
      </c>
    </row>
    <row r="329" spans="1:4" ht="12" hidden="1" customHeight="1" outlineLevel="1" x14ac:dyDescent="0.3">
      <c r="A329" s="227"/>
      <c r="B329" s="231">
        <v>1000</v>
      </c>
      <c r="C329" s="232" t="s">
        <v>199</v>
      </c>
      <c r="D329" s="233">
        <f>D363+D397+D431+D465</f>
        <v>0</v>
      </c>
    </row>
    <row r="330" spans="1:4" ht="12" hidden="1" customHeight="1" outlineLevel="1" x14ac:dyDescent="0.3">
      <c r="A330" s="227"/>
      <c r="B330" s="234">
        <v>1100</v>
      </c>
      <c r="C330" s="235" t="s">
        <v>200</v>
      </c>
      <c r="D330" s="236"/>
    </row>
    <row r="331" spans="1:4" ht="12" hidden="1" customHeight="1" outlineLevel="1" x14ac:dyDescent="0.3">
      <c r="A331" s="227"/>
      <c r="B331" s="234">
        <v>1200</v>
      </c>
      <c r="C331" s="237" t="s">
        <v>201</v>
      </c>
      <c r="D331" s="236"/>
    </row>
    <row r="332" spans="1:4" ht="12" hidden="1" customHeight="1" outlineLevel="1" x14ac:dyDescent="0.3">
      <c r="A332" s="238"/>
      <c r="B332" s="239">
        <v>2000</v>
      </c>
      <c r="C332" s="240" t="s">
        <v>202</v>
      </c>
      <c r="D332" s="241">
        <f>D366+D400+D434+D468</f>
        <v>0</v>
      </c>
    </row>
    <row r="333" spans="1:4" ht="12" hidden="1" customHeight="1" outlineLevel="1" x14ac:dyDescent="0.3">
      <c r="A333" s="238"/>
      <c r="B333" s="242">
        <v>2100</v>
      </c>
      <c r="C333" s="243" t="s">
        <v>203</v>
      </c>
      <c r="D333" s="244"/>
    </row>
    <row r="334" spans="1:4" ht="12" hidden="1" customHeight="1" outlineLevel="1" x14ac:dyDescent="0.3">
      <c r="A334" s="238"/>
      <c r="B334" s="242">
        <v>2200</v>
      </c>
      <c r="C334" s="243" t="s">
        <v>204</v>
      </c>
      <c r="D334" s="244"/>
    </row>
    <row r="335" spans="1:4" ht="12" hidden="1" customHeight="1" outlineLevel="1" x14ac:dyDescent="0.3">
      <c r="A335" s="238"/>
      <c r="B335" s="242">
        <v>2300</v>
      </c>
      <c r="C335" s="243" t="s">
        <v>205</v>
      </c>
      <c r="D335" s="244"/>
    </row>
    <row r="336" spans="1:4" ht="12" hidden="1" customHeight="1" outlineLevel="1" x14ac:dyDescent="0.3">
      <c r="A336" s="238"/>
      <c r="B336" s="242">
        <v>2400</v>
      </c>
      <c r="C336" s="243" t="s">
        <v>206</v>
      </c>
      <c r="D336" s="244"/>
    </row>
    <row r="337" spans="1:4" ht="12" hidden="1" customHeight="1" outlineLevel="1" x14ac:dyDescent="0.3">
      <c r="A337" s="238"/>
      <c r="B337" s="242">
        <v>2500</v>
      </c>
      <c r="C337" s="243" t="s">
        <v>207</v>
      </c>
      <c r="D337" s="244"/>
    </row>
    <row r="338" spans="1:4" ht="12" hidden="1" customHeight="1" outlineLevel="1" x14ac:dyDescent="0.3">
      <c r="A338" s="238"/>
      <c r="B338" s="199">
        <v>3000</v>
      </c>
      <c r="C338" s="245" t="s">
        <v>208</v>
      </c>
      <c r="D338" s="241">
        <f t="shared" ref="D338:D340" si="21">D372+D406</f>
        <v>0</v>
      </c>
    </row>
    <row r="339" spans="1:4" ht="12" hidden="1" customHeight="1" outlineLevel="1" x14ac:dyDescent="0.3">
      <c r="A339" s="238"/>
      <c r="B339" s="242">
        <v>3200</v>
      </c>
      <c r="C339" s="243" t="s">
        <v>209</v>
      </c>
      <c r="D339" s="244"/>
    </row>
    <row r="340" spans="1:4" ht="12" hidden="1" customHeight="1" outlineLevel="1" x14ac:dyDescent="0.3">
      <c r="A340" s="238"/>
      <c r="B340" s="242">
        <v>3300</v>
      </c>
      <c r="C340" s="243" t="s">
        <v>210</v>
      </c>
      <c r="D340" s="244">
        <f t="shared" si="21"/>
        <v>0</v>
      </c>
    </row>
    <row r="341" spans="1:4" ht="12" hidden="1" customHeight="1" outlineLevel="1" x14ac:dyDescent="0.3">
      <c r="A341" s="238"/>
      <c r="B341" s="199">
        <v>4000</v>
      </c>
      <c r="C341" s="246" t="s">
        <v>211</v>
      </c>
      <c r="D341" s="241">
        <f>D375+D409</f>
        <v>0</v>
      </c>
    </row>
    <row r="342" spans="1:4" ht="12" hidden="1" customHeight="1" outlineLevel="1" x14ac:dyDescent="0.3">
      <c r="A342" s="238"/>
      <c r="B342" s="242">
        <v>4200</v>
      </c>
      <c r="C342" s="247" t="s">
        <v>212</v>
      </c>
      <c r="D342" s="244">
        <f t="shared" ref="D342:D343" si="22">D376+D410</f>
        <v>0</v>
      </c>
    </row>
    <row r="343" spans="1:4" ht="12" hidden="1" customHeight="1" outlineLevel="1" x14ac:dyDescent="0.3">
      <c r="A343" s="238"/>
      <c r="B343" s="242">
        <v>4300</v>
      </c>
      <c r="C343" s="247" t="s">
        <v>213</v>
      </c>
      <c r="D343" s="244">
        <f t="shared" si="22"/>
        <v>0</v>
      </c>
    </row>
    <row r="344" spans="1:4" ht="12" hidden="1" customHeight="1" outlineLevel="1" x14ac:dyDescent="0.3">
      <c r="A344" s="238"/>
      <c r="B344" s="199">
        <v>5000</v>
      </c>
      <c r="C344" s="200" t="s">
        <v>214</v>
      </c>
      <c r="D344" s="241">
        <f>D378+D412</f>
        <v>0</v>
      </c>
    </row>
    <row r="345" spans="1:4" ht="12" hidden="1" customHeight="1" outlineLevel="1" x14ac:dyDescent="0.3">
      <c r="A345" s="238"/>
      <c r="B345" s="242">
        <v>5100</v>
      </c>
      <c r="C345" s="248" t="s">
        <v>215</v>
      </c>
      <c r="D345" s="244"/>
    </row>
    <row r="346" spans="1:4" ht="12" hidden="1" customHeight="1" outlineLevel="1" x14ac:dyDescent="0.3">
      <c r="A346" s="238"/>
      <c r="B346" s="242">
        <v>5200</v>
      </c>
      <c r="C346" s="248" t="s">
        <v>216</v>
      </c>
      <c r="D346" s="244"/>
    </row>
    <row r="347" spans="1:4" ht="12" hidden="1" customHeight="1" outlineLevel="1" x14ac:dyDescent="0.3">
      <c r="A347" s="238"/>
      <c r="B347" s="242">
        <v>5300</v>
      </c>
      <c r="C347" s="249" t="s">
        <v>217</v>
      </c>
      <c r="D347" s="244">
        <f t="shared" ref="D347" si="23">D381+D415</f>
        <v>0</v>
      </c>
    </row>
    <row r="348" spans="1:4" ht="12" hidden="1" customHeight="1" outlineLevel="1" x14ac:dyDescent="0.3">
      <c r="A348" s="238"/>
      <c r="B348" s="199">
        <v>6000</v>
      </c>
      <c r="C348" s="200" t="s">
        <v>218</v>
      </c>
      <c r="D348" s="241">
        <f>D382+D416</f>
        <v>0</v>
      </c>
    </row>
    <row r="349" spans="1:4" ht="12" hidden="1" customHeight="1" outlineLevel="1" x14ac:dyDescent="0.3">
      <c r="A349" s="238"/>
      <c r="B349" s="242">
        <v>6200</v>
      </c>
      <c r="C349" s="248" t="s">
        <v>219</v>
      </c>
      <c r="D349" s="244">
        <f t="shared" ref="D349:D352" si="24">D383+D417</f>
        <v>0</v>
      </c>
    </row>
    <row r="350" spans="1:4" ht="12" hidden="1" customHeight="1" outlineLevel="1" x14ac:dyDescent="0.3">
      <c r="A350" s="238"/>
      <c r="B350" s="242">
        <v>6300</v>
      </c>
      <c r="C350" s="248" t="s">
        <v>220</v>
      </c>
      <c r="D350" s="244">
        <f t="shared" si="24"/>
        <v>0</v>
      </c>
    </row>
    <row r="351" spans="1:4" ht="12" hidden="1" customHeight="1" outlineLevel="1" x14ac:dyDescent="0.3">
      <c r="A351" s="238"/>
      <c r="B351" s="242">
        <v>6400</v>
      </c>
      <c r="C351" s="248" t="s">
        <v>221</v>
      </c>
      <c r="D351" s="244">
        <f t="shared" si="24"/>
        <v>0</v>
      </c>
    </row>
    <row r="352" spans="1:4" ht="12" hidden="1" customHeight="1" outlineLevel="1" x14ac:dyDescent="0.3">
      <c r="A352" s="238"/>
      <c r="B352" s="242">
        <v>6500</v>
      </c>
      <c r="C352" s="249" t="s">
        <v>222</v>
      </c>
      <c r="D352" s="244">
        <f t="shared" si="24"/>
        <v>0</v>
      </c>
    </row>
    <row r="353" spans="1:4" ht="12" hidden="1" customHeight="1" outlineLevel="1" x14ac:dyDescent="0.3">
      <c r="A353" s="238"/>
      <c r="B353" s="199">
        <v>7000</v>
      </c>
      <c r="C353" s="200" t="s">
        <v>223</v>
      </c>
      <c r="D353" s="241">
        <f>D387+D421</f>
        <v>0</v>
      </c>
    </row>
    <row r="354" spans="1:4" ht="12" hidden="1" customHeight="1" outlineLevel="1" x14ac:dyDescent="0.3">
      <c r="A354" s="238"/>
      <c r="B354" s="250">
        <v>7200</v>
      </c>
      <c r="C354" s="251" t="s">
        <v>224</v>
      </c>
      <c r="D354" s="244">
        <f t="shared" ref="D354:D356" si="25">D388+D422</f>
        <v>0</v>
      </c>
    </row>
    <row r="355" spans="1:4" ht="12" hidden="1" customHeight="1" outlineLevel="1" x14ac:dyDescent="0.3">
      <c r="A355" s="238"/>
      <c r="B355" s="250">
        <v>7500</v>
      </c>
      <c r="C355" s="251" t="s">
        <v>225</v>
      </c>
      <c r="D355" s="244">
        <f t="shared" si="25"/>
        <v>0</v>
      </c>
    </row>
    <row r="356" spans="1:4" ht="12" hidden="1" customHeight="1" outlineLevel="1" x14ac:dyDescent="0.3">
      <c r="A356" s="238"/>
      <c r="B356" s="250">
        <v>7700</v>
      </c>
      <c r="C356" s="251" t="s">
        <v>226</v>
      </c>
      <c r="D356" s="244">
        <f t="shared" si="25"/>
        <v>0</v>
      </c>
    </row>
    <row r="357" spans="1:4" ht="12" hidden="1" customHeight="1" outlineLevel="1" x14ac:dyDescent="0.3">
      <c r="A357" s="238"/>
      <c r="B357" s="252">
        <v>8000</v>
      </c>
      <c r="C357" s="253" t="s">
        <v>227</v>
      </c>
      <c r="D357" s="241">
        <f>D391+D425</f>
        <v>0</v>
      </c>
    </row>
    <row r="358" spans="1:4" ht="12" hidden="1" customHeight="1" outlineLevel="1" x14ac:dyDescent="0.3">
      <c r="A358" s="238"/>
      <c r="B358" s="254">
        <v>8100</v>
      </c>
      <c r="C358" s="255" t="s">
        <v>228</v>
      </c>
      <c r="D358" s="244">
        <f t="shared" ref="D358:D360" si="26">D392+D426</f>
        <v>0</v>
      </c>
    </row>
    <row r="359" spans="1:4" ht="12" hidden="1" customHeight="1" outlineLevel="1" x14ac:dyDescent="0.3">
      <c r="A359" s="238"/>
      <c r="B359" s="254">
        <v>8600</v>
      </c>
      <c r="C359" s="255" t="s">
        <v>229</v>
      </c>
      <c r="D359" s="244">
        <f t="shared" si="26"/>
        <v>0</v>
      </c>
    </row>
    <row r="360" spans="1:4" ht="12" hidden="1" customHeight="1" outlineLevel="1" x14ac:dyDescent="0.3">
      <c r="A360" s="238"/>
      <c r="B360" s="254">
        <v>8900</v>
      </c>
      <c r="C360" s="255" t="s">
        <v>230</v>
      </c>
      <c r="D360" s="244">
        <f t="shared" si="26"/>
        <v>0</v>
      </c>
    </row>
    <row r="361" spans="1:4" ht="12" hidden="1" customHeight="1" outlineLevel="1" x14ac:dyDescent="0.3">
      <c r="A361" s="256" t="s">
        <v>247</v>
      </c>
      <c r="B361" s="257"/>
      <c r="C361" s="258" t="s">
        <v>248</v>
      </c>
      <c r="D361" s="259">
        <f t="shared" ref="D361" si="27">D362+D378+D391</f>
        <v>0</v>
      </c>
    </row>
    <row r="362" spans="1:4" ht="12" hidden="1" customHeight="1" outlineLevel="1" x14ac:dyDescent="0.3">
      <c r="A362" s="227"/>
      <c r="B362" s="228"/>
      <c r="C362" s="229" t="s">
        <v>198</v>
      </c>
      <c r="D362" s="230">
        <f t="shared" ref="D362" si="28">D363+D366+D372+D375+D382+D387</f>
        <v>0</v>
      </c>
    </row>
    <row r="363" spans="1:4" ht="12" hidden="1" customHeight="1" outlineLevel="1" x14ac:dyDescent="0.3">
      <c r="A363" s="227"/>
      <c r="B363" s="231">
        <v>1000</v>
      </c>
      <c r="C363" s="232" t="s">
        <v>199</v>
      </c>
      <c r="D363" s="230">
        <f>SUM(D364:D365)</f>
        <v>0</v>
      </c>
    </row>
    <row r="364" spans="1:4" ht="12" hidden="1" customHeight="1" outlineLevel="1" x14ac:dyDescent="0.3">
      <c r="A364" s="227"/>
      <c r="B364" s="234">
        <v>1100</v>
      </c>
      <c r="C364" s="235" t="s">
        <v>200</v>
      </c>
      <c r="D364" s="236"/>
    </row>
    <row r="365" spans="1:4" ht="12" hidden="1" customHeight="1" outlineLevel="1" x14ac:dyDescent="0.3">
      <c r="A365" s="227"/>
      <c r="B365" s="234">
        <v>1200</v>
      </c>
      <c r="C365" s="237" t="s">
        <v>201</v>
      </c>
      <c r="D365" s="236"/>
    </row>
    <row r="366" spans="1:4" ht="12" hidden="1" customHeight="1" outlineLevel="1" x14ac:dyDescent="0.3">
      <c r="A366" s="238"/>
      <c r="B366" s="239">
        <v>2000</v>
      </c>
      <c r="C366" s="240" t="s">
        <v>202</v>
      </c>
      <c r="D366" s="260">
        <f>SUM(D367:D371)</f>
        <v>0</v>
      </c>
    </row>
    <row r="367" spans="1:4" ht="12" hidden="1" customHeight="1" outlineLevel="1" x14ac:dyDescent="0.3">
      <c r="A367" s="238"/>
      <c r="B367" s="242">
        <v>2100</v>
      </c>
      <c r="C367" s="243" t="s">
        <v>203</v>
      </c>
      <c r="D367" s="244"/>
    </row>
    <row r="368" spans="1:4" ht="12" hidden="1" customHeight="1" outlineLevel="1" x14ac:dyDescent="0.3">
      <c r="A368" s="238"/>
      <c r="B368" s="242">
        <v>2200</v>
      </c>
      <c r="C368" s="243" t="s">
        <v>204</v>
      </c>
      <c r="D368" s="244"/>
    </row>
    <row r="369" spans="1:4" ht="12" hidden="1" customHeight="1" outlineLevel="1" x14ac:dyDescent="0.3">
      <c r="A369" s="238"/>
      <c r="B369" s="242">
        <v>2300</v>
      </c>
      <c r="C369" s="243" t="s">
        <v>205</v>
      </c>
      <c r="D369" s="244"/>
    </row>
    <row r="370" spans="1:4" ht="12" hidden="1" customHeight="1" outlineLevel="1" x14ac:dyDescent="0.3">
      <c r="A370" s="238"/>
      <c r="B370" s="242">
        <v>2400</v>
      </c>
      <c r="C370" s="243" t="s">
        <v>206</v>
      </c>
      <c r="D370" s="244"/>
    </row>
    <row r="371" spans="1:4" ht="12" hidden="1" customHeight="1" outlineLevel="1" x14ac:dyDescent="0.3">
      <c r="A371" s="238"/>
      <c r="B371" s="242">
        <v>2500</v>
      </c>
      <c r="C371" s="243" t="s">
        <v>207</v>
      </c>
      <c r="D371" s="244"/>
    </row>
    <row r="372" spans="1:4" ht="12" hidden="1" customHeight="1" outlineLevel="1" x14ac:dyDescent="0.3">
      <c r="A372" s="238"/>
      <c r="B372" s="199">
        <v>3000</v>
      </c>
      <c r="C372" s="245" t="s">
        <v>208</v>
      </c>
      <c r="D372" s="260">
        <f>SUM(D373:D374)</f>
        <v>0</v>
      </c>
    </row>
    <row r="373" spans="1:4" ht="12" hidden="1" customHeight="1" outlineLevel="1" x14ac:dyDescent="0.3">
      <c r="A373" s="238"/>
      <c r="B373" s="242">
        <v>3200</v>
      </c>
      <c r="C373" s="243" t="s">
        <v>209</v>
      </c>
      <c r="D373" s="244"/>
    </row>
    <row r="374" spans="1:4" ht="12" hidden="1" customHeight="1" outlineLevel="1" x14ac:dyDescent="0.3">
      <c r="A374" s="238"/>
      <c r="B374" s="242">
        <v>3300</v>
      </c>
      <c r="C374" s="243" t="s">
        <v>210</v>
      </c>
      <c r="D374" s="244"/>
    </row>
    <row r="375" spans="1:4" ht="12" hidden="1" customHeight="1" outlineLevel="1" x14ac:dyDescent="0.3">
      <c r="A375" s="238"/>
      <c r="B375" s="199">
        <v>4000</v>
      </c>
      <c r="C375" s="246" t="s">
        <v>211</v>
      </c>
      <c r="D375" s="260">
        <f>SUM(D376:D377)</f>
        <v>0</v>
      </c>
    </row>
    <row r="376" spans="1:4" ht="12" hidden="1" customHeight="1" outlineLevel="1" x14ac:dyDescent="0.3">
      <c r="A376" s="238"/>
      <c r="B376" s="242">
        <v>4200</v>
      </c>
      <c r="C376" s="247" t="s">
        <v>212</v>
      </c>
      <c r="D376" s="244"/>
    </row>
    <row r="377" spans="1:4" ht="12" hidden="1" customHeight="1" outlineLevel="1" x14ac:dyDescent="0.3">
      <c r="A377" s="238"/>
      <c r="B377" s="242">
        <v>4300</v>
      </c>
      <c r="C377" s="247" t="s">
        <v>213</v>
      </c>
      <c r="D377" s="244"/>
    </row>
    <row r="378" spans="1:4" ht="12" hidden="1" customHeight="1" outlineLevel="1" x14ac:dyDescent="0.3">
      <c r="A378" s="238"/>
      <c r="B378" s="199">
        <v>5000</v>
      </c>
      <c r="C378" s="200" t="s">
        <v>214</v>
      </c>
      <c r="D378" s="260">
        <f>SUM(D379:D381)</f>
        <v>0</v>
      </c>
    </row>
    <row r="379" spans="1:4" ht="12" hidden="1" customHeight="1" outlineLevel="1" x14ac:dyDescent="0.3">
      <c r="A379" s="238"/>
      <c r="B379" s="242">
        <v>5100</v>
      </c>
      <c r="C379" s="248" t="s">
        <v>215</v>
      </c>
      <c r="D379" s="244"/>
    </row>
    <row r="380" spans="1:4" ht="12" hidden="1" customHeight="1" outlineLevel="1" x14ac:dyDescent="0.3">
      <c r="A380" s="238"/>
      <c r="B380" s="242">
        <v>5200</v>
      </c>
      <c r="C380" s="248" t="s">
        <v>216</v>
      </c>
      <c r="D380" s="244"/>
    </row>
    <row r="381" spans="1:4" ht="12" hidden="1" customHeight="1" outlineLevel="1" x14ac:dyDescent="0.3">
      <c r="A381" s="238"/>
      <c r="B381" s="242">
        <v>5300</v>
      </c>
      <c r="C381" s="249" t="s">
        <v>217</v>
      </c>
      <c r="D381" s="244"/>
    </row>
    <row r="382" spans="1:4" ht="12" hidden="1" customHeight="1" outlineLevel="1" x14ac:dyDescent="0.3">
      <c r="A382" s="238"/>
      <c r="B382" s="199">
        <v>6000</v>
      </c>
      <c r="C382" s="200" t="s">
        <v>218</v>
      </c>
      <c r="D382" s="260">
        <f>SUM(D383:D386)</f>
        <v>0</v>
      </c>
    </row>
    <row r="383" spans="1:4" ht="12" hidden="1" customHeight="1" outlineLevel="1" x14ac:dyDescent="0.3">
      <c r="A383" s="238"/>
      <c r="B383" s="242">
        <v>6200</v>
      </c>
      <c r="C383" s="248" t="s">
        <v>219</v>
      </c>
      <c r="D383" s="244"/>
    </row>
    <row r="384" spans="1:4" ht="12" hidden="1" customHeight="1" outlineLevel="1" x14ac:dyDescent="0.3">
      <c r="A384" s="238"/>
      <c r="B384" s="242">
        <v>6300</v>
      </c>
      <c r="C384" s="248" t="s">
        <v>220</v>
      </c>
      <c r="D384" s="244"/>
    </row>
    <row r="385" spans="1:4" ht="12" hidden="1" customHeight="1" outlineLevel="1" x14ac:dyDescent="0.3">
      <c r="A385" s="238"/>
      <c r="B385" s="242">
        <v>6400</v>
      </c>
      <c r="C385" s="248" t="s">
        <v>221</v>
      </c>
      <c r="D385" s="244"/>
    </row>
    <row r="386" spans="1:4" ht="12" hidden="1" customHeight="1" outlineLevel="1" x14ac:dyDescent="0.3">
      <c r="A386" s="238"/>
      <c r="B386" s="242">
        <v>6500</v>
      </c>
      <c r="C386" s="249" t="s">
        <v>222</v>
      </c>
      <c r="D386" s="244"/>
    </row>
    <row r="387" spans="1:4" ht="12" hidden="1" customHeight="1" outlineLevel="1" x14ac:dyDescent="0.3">
      <c r="A387" s="238"/>
      <c r="B387" s="199">
        <v>7000</v>
      </c>
      <c r="C387" s="200" t="s">
        <v>223</v>
      </c>
      <c r="D387" s="260">
        <f>SUM(D388:D390)</f>
        <v>0</v>
      </c>
    </row>
    <row r="388" spans="1:4" ht="12" hidden="1" customHeight="1" outlineLevel="1" x14ac:dyDescent="0.3">
      <c r="A388" s="238"/>
      <c r="B388" s="250">
        <v>7200</v>
      </c>
      <c r="C388" s="251" t="s">
        <v>224</v>
      </c>
      <c r="D388" s="244"/>
    </row>
    <row r="389" spans="1:4" ht="12" hidden="1" customHeight="1" outlineLevel="1" x14ac:dyDescent="0.3">
      <c r="A389" s="238"/>
      <c r="B389" s="250">
        <v>7500</v>
      </c>
      <c r="C389" s="251" t="s">
        <v>225</v>
      </c>
      <c r="D389" s="244"/>
    </row>
    <row r="390" spans="1:4" ht="12" hidden="1" customHeight="1" outlineLevel="1" x14ac:dyDescent="0.3">
      <c r="A390" s="238"/>
      <c r="B390" s="250">
        <v>7700</v>
      </c>
      <c r="C390" s="251" t="s">
        <v>226</v>
      </c>
      <c r="D390" s="244"/>
    </row>
    <row r="391" spans="1:4" ht="12" hidden="1" customHeight="1" outlineLevel="1" x14ac:dyDescent="0.3">
      <c r="A391" s="238"/>
      <c r="B391" s="252">
        <v>8000</v>
      </c>
      <c r="C391" s="253" t="s">
        <v>227</v>
      </c>
      <c r="D391" s="260">
        <f>SUM(D392:D394)</f>
        <v>0</v>
      </c>
    </row>
    <row r="392" spans="1:4" ht="12" hidden="1" customHeight="1" outlineLevel="1" x14ac:dyDescent="0.3">
      <c r="A392" s="238"/>
      <c r="B392" s="254">
        <v>8100</v>
      </c>
      <c r="C392" s="255" t="s">
        <v>228</v>
      </c>
      <c r="D392" s="260"/>
    </row>
    <row r="393" spans="1:4" ht="12" hidden="1" customHeight="1" outlineLevel="1" x14ac:dyDescent="0.3">
      <c r="A393" s="238"/>
      <c r="B393" s="254">
        <v>8600</v>
      </c>
      <c r="C393" s="255" t="s">
        <v>229</v>
      </c>
      <c r="D393" s="260"/>
    </row>
    <row r="394" spans="1:4" ht="12" hidden="1" customHeight="1" outlineLevel="1" x14ac:dyDescent="0.3">
      <c r="A394" s="238"/>
      <c r="B394" s="254">
        <v>8900</v>
      </c>
      <c r="C394" s="255" t="s">
        <v>230</v>
      </c>
      <c r="D394" s="260"/>
    </row>
    <row r="395" spans="1:4" ht="12" hidden="1" customHeight="1" outlineLevel="1" x14ac:dyDescent="0.3">
      <c r="A395" s="256" t="s">
        <v>249</v>
      </c>
      <c r="B395" s="257"/>
      <c r="C395" s="258" t="s">
        <v>250</v>
      </c>
      <c r="D395" s="259">
        <f t="shared" ref="D395" si="29">D396+D412+D425</f>
        <v>0</v>
      </c>
    </row>
    <row r="396" spans="1:4" ht="12" hidden="1" customHeight="1" outlineLevel="1" x14ac:dyDescent="0.3">
      <c r="A396" s="227"/>
      <c r="B396" s="228"/>
      <c r="C396" s="229" t="s">
        <v>251</v>
      </c>
      <c r="D396" s="230">
        <f t="shared" ref="D396" si="30">D397+D400+D406+D409+D416+D421</f>
        <v>0</v>
      </c>
    </row>
    <row r="397" spans="1:4" ht="12" hidden="1" customHeight="1" outlineLevel="1" x14ac:dyDescent="0.3">
      <c r="A397" s="227"/>
      <c r="B397" s="231">
        <v>1000</v>
      </c>
      <c r="C397" s="232" t="s">
        <v>199</v>
      </c>
      <c r="D397" s="230">
        <f>SUM(D398:D399)</f>
        <v>0</v>
      </c>
    </row>
    <row r="398" spans="1:4" ht="12" hidden="1" customHeight="1" outlineLevel="1" x14ac:dyDescent="0.3">
      <c r="A398" s="227"/>
      <c r="B398" s="234">
        <v>1100</v>
      </c>
      <c r="C398" s="235" t="s">
        <v>200</v>
      </c>
      <c r="D398" s="236"/>
    </row>
    <row r="399" spans="1:4" ht="12" hidden="1" customHeight="1" outlineLevel="1" x14ac:dyDescent="0.3">
      <c r="A399" s="227"/>
      <c r="B399" s="234">
        <v>1200</v>
      </c>
      <c r="C399" s="237" t="s">
        <v>201</v>
      </c>
      <c r="D399" s="236"/>
    </row>
    <row r="400" spans="1:4" ht="12" hidden="1" customHeight="1" outlineLevel="1" x14ac:dyDescent="0.3">
      <c r="A400" s="238"/>
      <c r="B400" s="239">
        <v>2000</v>
      </c>
      <c r="C400" s="240" t="s">
        <v>202</v>
      </c>
      <c r="D400" s="260">
        <f>SUM(D401:D405)</f>
        <v>0</v>
      </c>
    </row>
    <row r="401" spans="1:4" ht="12" hidden="1" customHeight="1" outlineLevel="1" x14ac:dyDescent="0.3">
      <c r="A401" s="238"/>
      <c r="B401" s="242">
        <v>2100</v>
      </c>
      <c r="C401" s="243" t="s">
        <v>203</v>
      </c>
      <c r="D401" s="244"/>
    </row>
    <row r="402" spans="1:4" ht="12" hidden="1" customHeight="1" outlineLevel="1" x14ac:dyDescent="0.3">
      <c r="A402" s="238"/>
      <c r="B402" s="242">
        <v>2200</v>
      </c>
      <c r="C402" s="243" t="s">
        <v>204</v>
      </c>
      <c r="D402" s="244"/>
    </row>
    <row r="403" spans="1:4" ht="12" hidden="1" customHeight="1" outlineLevel="1" x14ac:dyDescent="0.3">
      <c r="A403" s="238"/>
      <c r="B403" s="242">
        <v>2300</v>
      </c>
      <c r="C403" s="243" t="s">
        <v>205</v>
      </c>
      <c r="D403" s="244"/>
    </row>
    <row r="404" spans="1:4" ht="12" hidden="1" customHeight="1" outlineLevel="1" x14ac:dyDescent="0.3">
      <c r="A404" s="238"/>
      <c r="B404" s="242">
        <v>2400</v>
      </c>
      <c r="C404" s="243" t="s">
        <v>206</v>
      </c>
      <c r="D404" s="244"/>
    </row>
    <row r="405" spans="1:4" ht="12" hidden="1" customHeight="1" outlineLevel="1" x14ac:dyDescent="0.3">
      <c r="A405" s="238"/>
      <c r="B405" s="242">
        <v>2500</v>
      </c>
      <c r="C405" s="243" t="s">
        <v>207</v>
      </c>
      <c r="D405" s="244"/>
    </row>
    <row r="406" spans="1:4" ht="12" hidden="1" customHeight="1" outlineLevel="1" x14ac:dyDescent="0.3">
      <c r="A406" s="238"/>
      <c r="B406" s="199">
        <v>3000</v>
      </c>
      <c r="C406" s="245" t="s">
        <v>208</v>
      </c>
      <c r="D406" s="260">
        <f>SUM(D407:D408)</f>
        <v>0</v>
      </c>
    </row>
    <row r="407" spans="1:4" ht="12" hidden="1" customHeight="1" outlineLevel="1" x14ac:dyDescent="0.3">
      <c r="A407" s="238"/>
      <c r="B407" s="242">
        <v>3200</v>
      </c>
      <c r="C407" s="243" t="s">
        <v>209</v>
      </c>
      <c r="D407" s="244"/>
    </row>
    <row r="408" spans="1:4" ht="12" hidden="1" customHeight="1" outlineLevel="1" x14ac:dyDescent="0.3">
      <c r="A408" s="238"/>
      <c r="B408" s="242">
        <v>3300</v>
      </c>
      <c r="C408" s="243" t="s">
        <v>210</v>
      </c>
      <c r="D408" s="244"/>
    </row>
    <row r="409" spans="1:4" ht="12" hidden="1" customHeight="1" outlineLevel="1" x14ac:dyDescent="0.3">
      <c r="A409" s="238"/>
      <c r="B409" s="199">
        <v>4000</v>
      </c>
      <c r="C409" s="246" t="s">
        <v>211</v>
      </c>
      <c r="D409" s="260">
        <f>SUM(D410:D411)</f>
        <v>0</v>
      </c>
    </row>
    <row r="410" spans="1:4" ht="12" hidden="1" customHeight="1" outlineLevel="1" x14ac:dyDescent="0.3">
      <c r="A410" s="238"/>
      <c r="B410" s="242">
        <v>4200</v>
      </c>
      <c r="C410" s="247" t="s">
        <v>212</v>
      </c>
      <c r="D410" s="244"/>
    </row>
    <row r="411" spans="1:4" ht="12" hidden="1" customHeight="1" outlineLevel="1" x14ac:dyDescent="0.3">
      <c r="A411" s="238"/>
      <c r="B411" s="242">
        <v>4300</v>
      </c>
      <c r="C411" s="247" t="s">
        <v>213</v>
      </c>
      <c r="D411" s="244"/>
    </row>
    <row r="412" spans="1:4" ht="12" hidden="1" customHeight="1" outlineLevel="1" x14ac:dyDescent="0.3">
      <c r="A412" s="238"/>
      <c r="B412" s="199">
        <v>5000</v>
      </c>
      <c r="C412" s="200" t="s">
        <v>214</v>
      </c>
      <c r="D412" s="260">
        <f>SUM(D413:D415)</f>
        <v>0</v>
      </c>
    </row>
    <row r="413" spans="1:4" ht="12" hidden="1" customHeight="1" outlineLevel="1" x14ac:dyDescent="0.3">
      <c r="A413" s="238"/>
      <c r="B413" s="242">
        <v>5100</v>
      </c>
      <c r="C413" s="248" t="s">
        <v>215</v>
      </c>
      <c r="D413" s="244"/>
    </row>
    <row r="414" spans="1:4" ht="12" hidden="1" customHeight="1" outlineLevel="1" x14ac:dyDescent="0.3">
      <c r="A414" s="238"/>
      <c r="B414" s="242">
        <v>5200</v>
      </c>
      <c r="C414" s="248" t="s">
        <v>216</v>
      </c>
      <c r="D414" s="244"/>
    </row>
    <row r="415" spans="1:4" ht="12" hidden="1" customHeight="1" outlineLevel="1" x14ac:dyDescent="0.3">
      <c r="A415" s="238"/>
      <c r="B415" s="242">
        <v>5300</v>
      </c>
      <c r="C415" s="249" t="s">
        <v>217</v>
      </c>
      <c r="D415" s="244"/>
    </row>
    <row r="416" spans="1:4" ht="12" hidden="1" customHeight="1" outlineLevel="1" x14ac:dyDescent="0.3">
      <c r="A416" s="238"/>
      <c r="B416" s="199">
        <v>6000</v>
      </c>
      <c r="C416" s="200" t="s">
        <v>218</v>
      </c>
      <c r="D416" s="260">
        <f>SUM(D417:D420)</f>
        <v>0</v>
      </c>
    </row>
    <row r="417" spans="1:4" ht="12" hidden="1" customHeight="1" outlineLevel="1" x14ac:dyDescent="0.3">
      <c r="A417" s="238"/>
      <c r="B417" s="242">
        <v>6200</v>
      </c>
      <c r="C417" s="248" t="s">
        <v>219</v>
      </c>
      <c r="D417" s="244"/>
    </row>
    <row r="418" spans="1:4" ht="12" hidden="1" customHeight="1" outlineLevel="1" x14ac:dyDescent="0.3">
      <c r="A418" s="238"/>
      <c r="B418" s="242">
        <v>6300</v>
      </c>
      <c r="C418" s="248" t="s">
        <v>220</v>
      </c>
      <c r="D418" s="244"/>
    </row>
    <row r="419" spans="1:4" ht="12" hidden="1" customHeight="1" outlineLevel="1" x14ac:dyDescent="0.3">
      <c r="A419" s="238"/>
      <c r="B419" s="242">
        <v>6400</v>
      </c>
      <c r="C419" s="248" t="s">
        <v>221</v>
      </c>
      <c r="D419" s="244"/>
    </row>
    <row r="420" spans="1:4" ht="12" hidden="1" customHeight="1" outlineLevel="1" x14ac:dyDescent="0.3">
      <c r="A420" s="238"/>
      <c r="B420" s="242">
        <v>6500</v>
      </c>
      <c r="C420" s="249" t="s">
        <v>222</v>
      </c>
      <c r="D420" s="244"/>
    </row>
    <row r="421" spans="1:4" ht="12" hidden="1" customHeight="1" outlineLevel="1" x14ac:dyDescent="0.3">
      <c r="A421" s="238"/>
      <c r="B421" s="199">
        <v>7000</v>
      </c>
      <c r="C421" s="200" t="s">
        <v>223</v>
      </c>
      <c r="D421" s="260">
        <f>SUM(D422:D424)</f>
        <v>0</v>
      </c>
    </row>
    <row r="422" spans="1:4" ht="12" hidden="1" customHeight="1" outlineLevel="1" x14ac:dyDescent="0.3">
      <c r="A422" s="238"/>
      <c r="B422" s="250">
        <v>7200</v>
      </c>
      <c r="C422" s="251" t="s">
        <v>224</v>
      </c>
      <c r="D422" s="244"/>
    </row>
    <row r="423" spans="1:4" ht="12" hidden="1" customHeight="1" outlineLevel="1" x14ac:dyDescent="0.3">
      <c r="A423" s="238"/>
      <c r="B423" s="250">
        <v>7500</v>
      </c>
      <c r="C423" s="251" t="s">
        <v>225</v>
      </c>
      <c r="D423" s="244"/>
    </row>
    <row r="424" spans="1:4" ht="12" hidden="1" customHeight="1" outlineLevel="1" x14ac:dyDescent="0.3">
      <c r="A424" s="238"/>
      <c r="B424" s="250">
        <v>7700</v>
      </c>
      <c r="C424" s="251" t="s">
        <v>226</v>
      </c>
      <c r="D424" s="244"/>
    </row>
    <row r="425" spans="1:4" ht="12" hidden="1" customHeight="1" outlineLevel="1" x14ac:dyDescent="0.3">
      <c r="A425" s="238"/>
      <c r="B425" s="252">
        <v>8000</v>
      </c>
      <c r="C425" s="253" t="s">
        <v>227</v>
      </c>
      <c r="D425" s="260">
        <f>SUM(D426:D428)</f>
        <v>0</v>
      </c>
    </row>
    <row r="426" spans="1:4" ht="12" hidden="1" customHeight="1" outlineLevel="1" x14ac:dyDescent="0.3">
      <c r="A426" s="238"/>
      <c r="B426" s="254">
        <v>8100</v>
      </c>
      <c r="C426" s="255" t="s">
        <v>228</v>
      </c>
      <c r="D426" s="260"/>
    </row>
    <row r="427" spans="1:4" ht="12" hidden="1" customHeight="1" outlineLevel="1" x14ac:dyDescent="0.3">
      <c r="A427" s="238"/>
      <c r="B427" s="254">
        <v>8600</v>
      </c>
      <c r="C427" s="255" t="s">
        <v>229</v>
      </c>
      <c r="D427" s="260"/>
    </row>
    <row r="428" spans="1:4" ht="12" hidden="1" customHeight="1" outlineLevel="1" x14ac:dyDescent="0.3">
      <c r="A428" s="238"/>
      <c r="B428" s="254">
        <v>8900</v>
      </c>
      <c r="C428" s="255" t="s">
        <v>230</v>
      </c>
      <c r="D428" s="260"/>
    </row>
    <row r="429" spans="1:4" ht="12" hidden="1" customHeight="1" outlineLevel="1" x14ac:dyDescent="0.3">
      <c r="A429" s="256" t="s">
        <v>252</v>
      </c>
      <c r="B429" s="257"/>
      <c r="C429" s="258" t="s">
        <v>253</v>
      </c>
      <c r="D429" s="259">
        <f t="shared" ref="D429" si="31">D430+D446+D459</f>
        <v>0</v>
      </c>
    </row>
    <row r="430" spans="1:4" ht="12" hidden="1" customHeight="1" outlineLevel="1" x14ac:dyDescent="0.3">
      <c r="A430" s="227"/>
      <c r="B430" s="228"/>
      <c r="C430" s="229" t="s">
        <v>251</v>
      </c>
      <c r="D430" s="230">
        <f t="shared" ref="D430" si="32">D431+D434+D440+D443+D450+D455</f>
        <v>0</v>
      </c>
    </row>
    <row r="431" spans="1:4" ht="12" hidden="1" customHeight="1" outlineLevel="1" x14ac:dyDescent="0.3">
      <c r="A431" s="227"/>
      <c r="B431" s="231">
        <v>1000</v>
      </c>
      <c r="C431" s="232" t="s">
        <v>199</v>
      </c>
      <c r="D431" s="230">
        <f>SUM(D432:D433)</f>
        <v>0</v>
      </c>
    </row>
    <row r="432" spans="1:4" ht="12" hidden="1" customHeight="1" outlineLevel="1" x14ac:dyDescent="0.3">
      <c r="A432" s="227"/>
      <c r="B432" s="234">
        <v>1100</v>
      </c>
      <c r="C432" s="235" t="s">
        <v>200</v>
      </c>
      <c r="D432" s="236"/>
    </row>
    <row r="433" spans="1:4" ht="12" hidden="1" customHeight="1" outlineLevel="1" x14ac:dyDescent="0.3">
      <c r="A433" s="227"/>
      <c r="B433" s="234">
        <v>1200</v>
      </c>
      <c r="C433" s="237" t="s">
        <v>201</v>
      </c>
      <c r="D433" s="236"/>
    </row>
    <row r="434" spans="1:4" ht="12" hidden="1" customHeight="1" outlineLevel="1" x14ac:dyDescent="0.3">
      <c r="A434" s="238"/>
      <c r="B434" s="239">
        <v>2000</v>
      </c>
      <c r="C434" s="240" t="s">
        <v>202</v>
      </c>
      <c r="D434" s="260">
        <f>SUM(D435:D439)</f>
        <v>0</v>
      </c>
    </row>
    <row r="435" spans="1:4" ht="12" hidden="1" customHeight="1" outlineLevel="1" x14ac:dyDescent="0.3">
      <c r="A435" s="238"/>
      <c r="B435" s="242">
        <v>2100</v>
      </c>
      <c r="C435" s="243" t="s">
        <v>203</v>
      </c>
      <c r="D435" s="244"/>
    </row>
    <row r="436" spans="1:4" ht="12" hidden="1" customHeight="1" outlineLevel="1" x14ac:dyDescent="0.3">
      <c r="A436" s="238"/>
      <c r="B436" s="242">
        <v>2200</v>
      </c>
      <c r="C436" s="243" t="s">
        <v>204</v>
      </c>
      <c r="D436" s="244"/>
    </row>
    <row r="437" spans="1:4" ht="12" hidden="1" customHeight="1" outlineLevel="1" x14ac:dyDescent="0.3">
      <c r="A437" s="238"/>
      <c r="B437" s="242">
        <v>2300</v>
      </c>
      <c r="C437" s="243" t="s">
        <v>205</v>
      </c>
      <c r="D437" s="244"/>
    </row>
    <row r="438" spans="1:4" ht="12" hidden="1" customHeight="1" outlineLevel="1" x14ac:dyDescent="0.3">
      <c r="A438" s="238"/>
      <c r="B438" s="242">
        <v>2400</v>
      </c>
      <c r="C438" s="243" t="s">
        <v>206</v>
      </c>
      <c r="D438" s="244"/>
    </row>
    <row r="439" spans="1:4" ht="12" hidden="1" customHeight="1" outlineLevel="1" x14ac:dyDescent="0.3">
      <c r="A439" s="238"/>
      <c r="B439" s="242">
        <v>2500</v>
      </c>
      <c r="C439" s="243" t="s">
        <v>207</v>
      </c>
      <c r="D439" s="244"/>
    </row>
    <row r="440" spans="1:4" ht="12" hidden="1" customHeight="1" outlineLevel="1" x14ac:dyDescent="0.3">
      <c r="A440" s="238"/>
      <c r="B440" s="199">
        <v>3000</v>
      </c>
      <c r="C440" s="245" t="s">
        <v>208</v>
      </c>
      <c r="D440" s="260">
        <f>SUM(D441:D442)</f>
        <v>0</v>
      </c>
    </row>
    <row r="441" spans="1:4" ht="12" hidden="1" customHeight="1" outlineLevel="1" x14ac:dyDescent="0.3">
      <c r="A441" s="238"/>
      <c r="B441" s="242">
        <v>3200</v>
      </c>
      <c r="C441" s="243" t="s">
        <v>209</v>
      </c>
      <c r="D441" s="244"/>
    </row>
    <row r="442" spans="1:4" ht="12" hidden="1" customHeight="1" outlineLevel="1" x14ac:dyDescent="0.3">
      <c r="A442" s="238"/>
      <c r="B442" s="242">
        <v>3300</v>
      </c>
      <c r="C442" s="243" t="s">
        <v>210</v>
      </c>
      <c r="D442" s="244"/>
    </row>
    <row r="443" spans="1:4" ht="12" hidden="1" customHeight="1" outlineLevel="1" x14ac:dyDescent="0.3">
      <c r="A443" s="238"/>
      <c r="B443" s="199">
        <v>4000</v>
      </c>
      <c r="C443" s="246" t="s">
        <v>211</v>
      </c>
      <c r="D443" s="260">
        <f>SUM(D444:D445)</f>
        <v>0</v>
      </c>
    </row>
    <row r="444" spans="1:4" ht="12" hidden="1" customHeight="1" outlineLevel="1" x14ac:dyDescent="0.3">
      <c r="A444" s="238"/>
      <c r="B444" s="242">
        <v>4200</v>
      </c>
      <c r="C444" s="247" t="s">
        <v>212</v>
      </c>
      <c r="D444" s="244"/>
    </row>
    <row r="445" spans="1:4" ht="12" hidden="1" customHeight="1" outlineLevel="1" x14ac:dyDescent="0.3">
      <c r="A445" s="238"/>
      <c r="B445" s="242">
        <v>4300</v>
      </c>
      <c r="C445" s="247" t="s">
        <v>213</v>
      </c>
      <c r="D445" s="244"/>
    </row>
    <row r="446" spans="1:4" ht="12" hidden="1" customHeight="1" outlineLevel="1" x14ac:dyDescent="0.3">
      <c r="A446" s="238"/>
      <c r="B446" s="199">
        <v>5000</v>
      </c>
      <c r="C446" s="200" t="s">
        <v>214</v>
      </c>
      <c r="D446" s="260">
        <f>SUM(D447:D449)</f>
        <v>0</v>
      </c>
    </row>
    <row r="447" spans="1:4" ht="12" hidden="1" customHeight="1" outlineLevel="1" x14ac:dyDescent="0.3">
      <c r="A447" s="238"/>
      <c r="B447" s="242">
        <v>5100</v>
      </c>
      <c r="C447" s="248" t="s">
        <v>215</v>
      </c>
      <c r="D447" s="260"/>
    </row>
    <row r="448" spans="1:4" ht="12" hidden="1" customHeight="1" outlineLevel="1" x14ac:dyDescent="0.3">
      <c r="A448" s="238"/>
      <c r="B448" s="242">
        <v>5200</v>
      </c>
      <c r="C448" s="248" t="s">
        <v>216</v>
      </c>
      <c r="D448" s="260"/>
    </row>
    <row r="449" spans="1:4" ht="12" hidden="1" customHeight="1" outlineLevel="1" x14ac:dyDescent="0.3">
      <c r="A449" s="238"/>
      <c r="B449" s="242">
        <v>5300</v>
      </c>
      <c r="C449" s="249" t="s">
        <v>217</v>
      </c>
      <c r="D449" s="260"/>
    </row>
    <row r="450" spans="1:4" ht="12" hidden="1" customHeight="1" outlineLevel="1" x14ac:dyDescent="0.3">
      <c r="A450" s="238"/>
      <c r="B450" s="199">
        <v>6000</v>
      </c>
      <c r="C450" s="200" t="s">
        <v>218</v>
      </c>
      <c r="D450" s="260">
        <f>SUM(D451:D454)</f>
        <v>0</v>
      </c>
    </row>
    <row r="451" spans="1:4" ht="12" hidden="1" customHeight="1" outlineLevel="1" x14ac:dyDescent="0.3">
      <c r="A451" s="238"/>
      <c r="B451" s="242">
        <v>6200</v>
      </c>
      <c r="C451" s="248" t="s">
        <v>219</v>
      </c>
      <c r="D451" s="244"/>
    </row>
    <row r="452" spans="1:4" ht="12" hidden="1" customHeight="1" outlineLevel="1" x14ac:dyDescent="0.3">
      <c r="A452" s="238"/>
      <c r="B452" s="242">
        <v>6300</v>
      </c>
      <c r="C452" s="248" t="s">
        <v>220</v>
      </c>
      <c r="D452" s="244"/>
    </row>
    <row r="453" spans="1:4" ht="12" hidden="1" customHeight="1" outlineLevel="1" x14ac:dyDescent="0.3">
      <c r="A453" s="238"/>
      <c r="B453" s="242">
        <v>6400</v>
      </c>
      <c r="C453" s="248" t="s">
        <v>221</v>
      </c>
      <c r="D453" s="244"/>
    </row>
    <row r="454" spans="1:4" ht="12" hidden="1" customHeight="1" outlineLevel="1" x14ac:dyDescent="0.3">
      <c r="A454" s="238"/>
      <c r="B454" s="242">
        <v>6500</v>
      </c>
      <c r="C454" s="249" t="s">
        <v>222</v>
      </c>
      <c r="D454" s="244"/>
    </row>
    <row r="455" spans="1:4" ht="12" hidden="1" customHeight="1" outlineLevel="1" x14ac:dyDescent="0.3">
      <c r="A455" s="238"/>
      <c r="B455" s="199">
        <v>7000</v>
      </c>
      <c r="C455" s="200" t="s">
        <v>223</v>
      </c>
      <c r="D455" s="260">
        <f>SUM(D456:D458)</f>
        <v>0</v>
      </c>
    </row>
    <row r="456" spans="1:4" ht="12" hidden="1" customHeight="1" outlineLevel="1" x14ac:dyDescent="0.3">
      <c r="A456" s="238"/>
      <c r="B456" s="250">
        <v>7200</v>
      </c>
      <c r="C456" s="251" t="s">
        <v>224</v>
      </c>
      <c r="D456" s="244"/>
    </row>
    <row r="457" spans="1:4" ht="12" hidden="1" customHeight="1" outlineLevel="1" x14ac:dyDescent="0.3">
      <c r="A457" s="238"/>
      <c r="B457" s="250">
        <v>7500</v>
      </c>
      <c r="C457" s="251" t="s">
        <v>225</v>
      </c>
      <c r="D457" s="244"/>
    </row>
    <row r="458" spans="1:4" ht="12" hidden="1" customHeight="1" outlineLevel="1" x14ac:dyDescent="0.3">
      <c r="A458" s="238"/>
      <c r="B458" s="250">
        <v>7700</v>
      </c>
      <c r="C458" s="251" t="s">
        <v>226</v>
      </c>
      <c r="D458" s="244"/>
    </row>
    <row r="459" spans="1:4" ht="12" hidden="1" customHeight="1" outlineLevel="1" x14ac:dyDescent="0.3">
      <c r="A459" s="238"/>
      <c r="B459" s="252">
        <v>8000</v>
      </c>
      <c r="C459" s="253" t="s">
        <v>227</v>
      </c>
      <c r="D459" s="260">
        <f>SUM(D460:D462)</f>
        <v>0</v>
      </c>
    </row>
    <row r="460" spans="1:4" ht="12" hidden="1" customHeight="1" outlineLevel="1" x14ac:dyDescent="0.3">
      <c r="A460" s="238"/>
      <c r="B460" s="254">
        <v>8100</v>
      </c>
      <c r="C460" s="255" t="s">
        <v>228</v>
      </c>
      <c r="D460" s="260"/>
    </row>
    <row r="461" spans="1:4" ht="12" hidden="1" customHeight="1" outlineLevel="1" x14ac:dyDescent="0.3">
      <c r="A461" s="238"/>
      <c r="B461" s="254">
        <v>8600</v>
      </c>
      <c r="C461" s="255" t="s">
        <v>229</v>
      </c>
      <c r="D461" s="260"/>
    </row>
    <row r="462" spans="1:4" ht="12" hidden="1" customHeight="1" outlineLevel="1" x14ac:dyDescent="0.3">
      <c r="A462" s="238"/>
      <c r="B462" s="254">
        <v>8900</v>
      </c>
      <c r="C462" s="255" t="s">
        <v>230</v>
      </c>
      <c r="D462" s="260"/>
    </row>
    <row r="463" spans="1:4" ht="28.5" hidden="1" customHeight="1" outlineLevel="1" x14ac:dyDescent="0.3">
      <c r="A463" s="256" t="s">
        <v>254</v>
      </c>
      <c r="B463" s="257"/>
      <c r="C463" s="258" t="s">
        <v>255</v>
      </c>
      <c r="D463" s="259">
        <f t="shared" ref="D463" si="33">D464+D480+D493</f>
        <v>0</v>
      </c>
    </row>
    <row r="464" spans="1:4" ht="12" hidden="1" customHeight="1" outlineLevel="1" x14ac:dyDescent="0.3">
      <c r="A464" s="227"/>
      <c r="B464" s="228"/>
      <c r="C464" s="229" t="s">
        <v>251</v>
      </c>
      <c r="D464" s="230">
        <f t="shared" ref="D464" si="34">D465+D468+D474+D477+D484+D489</f>
        <v>0</v>
      </c>
    </row>
    <row r="465" spans="1:4" ht="12" hidden="1" customHeight="1" outlineLevel="1" x14ac:dyDescent="0.3">
      <c r="A465" s="227"/>
      <c r="B465" s="231">
        <v>1000</v>
      </c>
      <c r="C465" s="232" t="s">
        <v>199</v>
      </c>
      <c r="D465" s="230">
        <f>SUM(D466:D467)</f>
        <v>0</v>
      </c>
    </row>
    <row r="466" spans="1:4" ht="12" hidden="1" customHeight="1" outlineLevel="1" x14ac:dyDescent="0.3">
      <c r="A466" s="227"/>
      <c r="B466" s="234">
        <v>1100</v>
      </c>
      <c r="C466" s="235" t="s">
        <v>200</v>
      </c>
      <c r="D466" s="236"/>
    </row>
    <row r="467" spans="1:4" ht="12" hidden="1" customHeight="1" outlineLevel="1" x14ac:dyDescent="0.3">
      <c r="A467" s="227"/>
      <c r="B467" s="234">
        <v>1200</v>
      </c>
      <c r="C467" s="237" t="s">
        <v>201</v>
      </c>
      <c r="D467" s="236"/>
    </row>
    <row r="468" spans="1:4" ht="12" hidden="1" customHeight="1" outlineLevel="1" x14ac:dyDescent="0.3">
      <c r="A468" s="238"/>
      <c r="B468" s="239">
        <v>2000</v>
      </c>
      <c r="C468" s="240" t="s">
        <v>202</v>
      </c>
      <c r="D468" s="260">
        <f>SUM(D469:D473)</f>
        <v>0</v>
      </c>
    </row>
    <row r="469" spans="1:4" ht="12" hidden="1" customHeight="1" outlineLevel="1" x14ac:dyDescent="0.3">
      <c r="A469" s="238"/>
      <c r="B469" s="242">
        <v>2100</v>
      </c>
      <c r="C469" s="243" t="s">
        <v>203</v>
      </c>
      <c r="D469" s="244"/>
    </row>
    <row r="470" spans="1:4" ht="12" hidden="1" customHeight="1" outlineLevel="1" x14ac:dyDescent="0.3">
      <c r="A470" s="238"/>
      <c r="B470" s="242">
        <v>2200</v>
      </c>
      <c r="C470" s="243" t="s">
        <v>204</v>
      </c>
      <c r="D470" s="244"/>
    </row>
    <row r="471" spans="1:4" ht="12" hidden="1" customHeight="1" outlineLevel="1" x14ac:dyDescent="0.3">
      <c r="A471" s="238"/>
      <c r="B471" s="242">
        <v>2300</v>
      </c>
      <c r="C471" s="243" t="s">
        <v>205</v>
      </c>
      <c r="D471" s="244"/>
    </row>
    <row r="472" spans="1:4" ht="12" hidden="1" customHeight="1" outlineLevel="1" x14ac:dyDescent="0.3">
      <c r="A472" s="238"/>
      <c r="B472" s="242">
        <v>2400</v>
      </c>
      <c r="C472" s="243" t="s">
        <v>206</v>
      </c>
      <c r="D472" s="244"/>
    </row>
    <row r="473" spans="1:4" ht="12" hidden="1" customHeight="1" outlineLevel="1" x14ac:dyDescent="0.3">
      <c r="A473" s="238"/>
      <c r="B473" s="242">
        <v>2500</v>
      </c>
      <c r="C473" s="243" t="s">
        <v>207</v>
      </c>
      <c r="D473" s="244"/>
    </row>
    <row r="474" spans="1:4" ht="12" hidden="1" customHeight="1" outlineLevel="1" x14ac:dyDescent="0.3">
      <c r="A474" s="238"/>
      <c r="B474" s="199">
        <v>3000</v>
      </c>
      <c r="C474" s="245" t="s">
        <v>208</v>
      </c>
      <c r="D474" s="260">
        <f>SUM(D475:D476)</f>
        <v>0</v>
      </c>
    </row>
    <row r="475" spans="1:4" ht="12" hidden="1" customHeight="1" outlineLevel="1" x14ac:dyDescent="0.3">
      <c r="A475" s="238"/>
      <c r="B475" s="242">
        <v>3200</v>
      </c>
      <c r="C475" s="243" t="s">
        <v>209</v>
      </c>
      <c r="D475" s="244"/>
    </row>
    <row r="476" spans="1:4" ht="12" hidden="1" customHeight="1" outlineLevel="1" x14ac:dyDescent="0.3">
      <c r="A476" s="238"/>
      <c r="B476" s="242">
        <v>3300</v>
      </c>
      <c r="C476" s="243" t="s">
        <v>210</v>
      </c>
      <c r="D476" s="244"/>
    </row>
    <row r="477" spans="1:4" ht="12" hidden="1" customHeight="1" outlineLevel="1" x14ac:dyDescent="0.3">
      <c r="A477" s="238"/>
      <c r="B477" s="199">
        <v>4000</v>
      </c>
      <c r="C477" s="246" t="s">
        <v>211</v>
      </c>
      <c r="D477" s="260">
        <f>SUM(D478:D479)</f>
        <v>0</v>
      </c>
    </row>
    <row r="478" spans="1:4" ht="12" hidden="1" customHeight="1" outlineLevel="1" x14ac:dyDescent="0.3">
      <c r="A478" s="238"/>
      <c r="B478" s="242">
        <v>4200</v>
      </c>
      <c r="C478" s="247" t="s">
        <v>212</v>
      </c>
      <c r="D478" s="244"/>
    </row>
    <row r="479" spans="1:4" ht="12" hidden="1" customHeight="1" outlineLevel="1" x14ac:dyDescent="0.3">
      <c r="A479" s="238"/>
      <c r="B479" s="242">
        <v>4300</v>
      </c>
      <c r="C479" s="247" t="s">
        <v>213</v>
      </c>
      <c r="D479" s="244"/>
    </row>
    <row r="480" spans="1:4" ht="12" hidden="1" customHeight="1" outlineLevel="1" x14ac:dyDescent="0.3">
      <c r="A480" s="238"/>
      <c r="B480" s="199">
        <v>5000</v>
      </c>
      <c r="C480" s="200" t="s">
        <v>214</v>
      </c>
      <c r="D480" s="260">
        <f>SUM(D481:D483)</f>
        <v>0</v>
      </c>
    </row>
    <row r="481" spans="1:4" ht="12" hidden="1" customHeight="1" outlineLevel="1" x14ac:dyDescent="0.3">
      <c r="A481" s="238"/>
      <c r="B481" s="242">
        <v>5100</v>
      </c>
      <c r="C481" s="248" t="s">
        <v>215</v>
      </c>
      <c r="D481" s="260"/>
    </row>
    <row r="482" spans="1:4" ht="12" hidden="1" customHeight="1" outlineLevel="1" x14ac:dyDescent="0.3">
      <c r="A482" s="238"/>
      <c r="B482" s="242">
        <v>5200</v>
      </c>
      <c r="C482" s="248" t="s">
        <v>216</v>
      </c>
      <c r="D482" s="260"/>
    </row>
    <row r="483" spans="1:4" ht="12" hidden="1" customHeight="1" outlineLevel="1" x14ac:dyDescent="0.3">
      <c r="A483" s="238"/>
      <c r="B483" s="242">
        <v>5300</v>
      </c>
      <c r="C483" s="249" t="s">
        <v>217</v>
      </c>
      <c r="D483" s="260"/>
    </row>
    <row r="484" spans="1:4" ht="12" hidden="1" customHeight="1" outlineLevel="1" x14ac:dyDescent="0.3">
      <c r="A484" s="238"/>
      <c r="B484" s="199">
        <v>6000</v>
      </c>
      <c r="C484" s="200" t="s">
        <v>218</v>
      </c>
      <c r="D484" s="260">
        <f>SUM(D485:D488)</f>
        <v>0</v>
      </c>
    </row>
    <row r="485" spans="1:4" ht="12" hidden="1" customHeight="1" outlineLevel="1" x14ac:dyDescent="0.3">
      <c r="A485" s="238"/>
      <c r="B485" s="242">
        <v>6200</v>
      </c>
      <c r="C485" s="248" t="s">
        <v>219</v>
      </c>
      <c r="D485" s="244"/>
    </row>
    <row r="486" spans="1:4" ht="12" hidden="1" customHeight="1" outlineLevel="1" x14ac:dyDescent="0.3">
      <c r="A486" s="238"/>
      <c r="B486" s="242">
        <v>6300</v>
      </c>
      <c r="C486" s="248" t="s">
        <v>220</v>
      </c>
      <c r="D486" s="244"/>
    </row>
    <row r="487" spans="1:4" ht="12" hidden="1" customHeight="1" outlineLevel="1" x14ac:dyDescent="0.3">
      <c r="A487" s="238"/>
      <c r="B487" s="242">
        <v>6400</v>
      </c>
      <c r="C487" s="248" t="s">
        <v>221</v>
      </c>
      <c r="D487" s="244"/>
    </row>
    <row r="488" spans="1:4" ht="12" hidden="1" customHeight="1" outlineLevel="1" x14ac:dyDescent="0.3">
      <c r="A488" s="238"/>
      <c r="B488" s="242">
        <v>6500</v>
      </c>
      <c r="C488" s="249" t="s">
        <v>222</v>
      </c>
      <c r="D488" s="244"/>
    </row>
    <row r="489" spans="1:4" ht="12" hidden="1" customHeight="1" outlineLevel="1" x14ac:dyDescent="0.3">
      <c r="A489" s="238"/>
      <c r="B489" s="199">
        <v>7000</v>
      </c>
      <c r="C489" s="200" t="s">
        <v>223</v>
      </c>
      <c r="D489" s="260">
        <f>SUM(D490:D492)</f>
        <v>0</v>
      </c>
    </row>
    <row r="490" spans="1:4" ht="12" hidden="1" customHeight="1" outlineLevel="1" x14ac:dyDescent="0.3">
      <c r="A490" s="238"/>
      <c r="B490" s="250">
        <v>7200</v>
      </c>
      <c r="C490" s="251" t="s">
        <v>224</v>
      </c>
      <c r="D490" s="244"/>
    </row>
    <row r="491" spans="1:4" ht="12" hidden="1" customHeight="1" outlineLevel="1" x14ac:dyDescent="0.3">
      <c r="A491" s="238"/>
      <c r="B491" s="250">
        <v>7500</v>
      </c>
      <c r="C491" s="251" t="s">
        <v>225</v>
      </c>
      <c r="D491" s="244"/>
    </row>
    <row r="492" spans="1:4" ht="12" hidden="1" customHeight="1" outlineLevel="1" x14ac:dyDescent="0.3">
      <c r="A492" s="238"/>
      <c r="B492" s="250">
        <v>7700</v>
      </c>
      <c r="C492" s="251" t="s">
        <v>226</v>
      </c>
      <c r="D492" s="244"/>
    </row>
    <row r="493" spans="1:4" ht="12" hidden="1" customHeight="1" outlineLevel="1" x14ac:dyDescent="0.3">
      <c r="A493" s="238"/>
      <c r="B493" s="252">
        <v>8000</v>
      </c>
      <c r="C493" s="253" t="s">
        <v>227</v>
      </c>
      <c r="D493" s="260">
        <f>SUM(D494:D496)</f>
        <v>0</v>
      </c>
    </row>
    <row r="494" spans="1:4" ht="12" hidden="1" customHeight="1" outlineLevel="1" x14ac:dyDescent="0.3">
      <c r="A494" s="238"/>
      <c r="B494" s="254">
        <v>8100</v>
      </c>
      <c r="C494" s="255" t="s">
        <v>228</v>
      </c>
      <c r="D494" s="260"/>
    </row>
    <row r="495" spans="1:4" ht="12" hidden="1" customHeight="1" outlineLevel="1" x14ac:dyDescent="0.3">
      <c r="A495" s="238"/>
      <c r="B495" s="254">
        <v>8600</v>
      </c>
      <c r="C495" s="255" t="s">
        <v>229</v>
      </c>
      <c r="D495" s="260"/>
    </row>
    <row r="496" spans="1:4" ht="12" hidden="1" customHeight="1" outlineLevel="1" x14ac:dyDescent="0.3">
      <c r="A496" s="238"/>
      <c r="B496" s="254">
        <v>8900</v>
      </c>
      <c r="C496" s="255" t="s">
        <v>230</v>
      </c>
      <c r="D496" s="260"/>
    </row>
    <row r="497" spans="1:4" ht="17.100000000000001" hidden="1" customHeight="1" outlineLevel="1" x14ac:dyDescent="0.3">
      <c r="A497" s="270" t="s">
        <v>256</v>
      </c>
      <c r="B497" s="224"/>
      <c r="C497" s="225" t="s">
        <v>257</v>
      </c>
      <c r="D497" s="226">
        <f t="shared" ref="D497" si="35">D498+D514+D527</f>
        <v>0</v>
      </c>
    </row>
    <row r="498" spans="1:4" ht="12" hidden="1" customHeight="1" outlineLevel="1" x14ac:dyDescent="0.3">
      <c r="A498" s="227"/>
      <c r="B498" s="228"/>
      <c r="C498" s="229" t="s">
        <v>251</v>
      </c>
      <c r="D498" s="230">
        <f t="shared" ref="D498" si="36">D499+D502+D508+D511+D518+D523</f>
        <v>0</v>
      </c>
    </row>
    <row r="499" spans="1:4" ht="12" hidden="1" customHeight="1" outlineLevel="1" x14ac:dyDescent="0.3">
      <c r="A499" s="238"/>
      <c r="B499" s="231">
        <v>1000</v>
      </c>
      <c r="C499" s="232" t="s">
        <v>199</v>
      </c>
      <c r="D499" s="233">
        <f>D533+D567+D669+D703+D737+D771+D873</f>
        <v>0</v>
      </c>
    </row>
    <row r="500" spans="1:4" ht="12" hidden="1" customHeight="1" outlineLevel="1" x14ac:dyDescent="0.3">
      <c r="A500" s="238"/>
      <c r="B500" s="234">
        <v>1100</v>
      </c>
      <c r="C500" s="235" t="s">
        <v>200</v>
      </c>
      <c r="D500" s="236">
        <f t="shared" ref="D500:D501" si="37">D534+D568+D670+D704+D738+D772+D874</f>
        <v>0</v>
      </c>
    </row>
    <row r="501" spans="1:4" ht="12" hidden="1" customHeight="1" outlineLevel="1" x14ac:dyDescent="0.3">
      <c r="A501" s="238"/>
      <c r="B501" s="234">
        <v>1200</v>
      </c>
      <c r="C501" s="237" t="s">
        <v>201</v>
      </c>
      <c r="D501" s="236">
        <f t="shared" si="37"/>
        <v>0</v>
      </c>
    </row>
    <row r="502" spans="1:4" ht="12" hidden="1" customHeight="1" outlineLevel="1" x14ac:dyDescent="0.3">
      <c r="A502" s="238"/>
      <c r="B502" s="239">
        <v>2000</v>
      </c>
      <c r="C502" s="240" t="s">
        <v>202</v>
      </c>
      <c r="D502" s="241">
        <f>D536+D570+D672+D706+D740+D774+D876</f>
        <v>0</v>
      </c>
    </row>
    <row r="503" spans="1:4" ht="12" hidden="1" customHeight="1" outlineLevel="1" x14ac:dyDescent="0.3">
      <c r="A503" s="238"/>
      <c r="B503" s="242">
        <v>2100</v>
      </c>
      <c r="C503" s="243" t="s">
        <v>203</v>
      </c>
      <c r="D503" s="244">
        <f t="shared" ref="D503:D507" si="38">D537+D571+D673+D707+D741+D775+D877</f>
        <v>0</v>
      </c>
    </row>
    <row r="504" spans="1:4" ht="12" hidden="1" customHeight="1" outlineLevel="1" x14ac:dyDescent="0.3">
      <c r="A504" s="238"/>
      <c r="B504" s="242">
        <v>2200</v>
      </c>
      <c r="C504" s="243" t="s">
        <v>204</v>
      </c>
      <c r="D504" s="244">
        <f t="shared" si="38"/>
        <v>0</v>
      </c>
    </row>
    <row r="505" spans="1:4" ht="12" hidden="1" customHeight="1" outlineLevel="1" x14ac:dyDescent="0.3">
      <c r="A505" s="238"/>
      <c r="B505" s="242">
        <v>2300</v>
      </c>
      <c r="C505" s="243" t="s">
        <v>205</v>
      </c>
      <c r="D505" s="244">
        <f t="shared" si="38"/>
        <v>0</v>
      </c>
    </row>
    <row r="506" spans="1:4" ht="12" hidden="1" customHeight="1" outlineLevel="1" x14ac:dyDescent="0.3">
      <c r="A506" s="238"/>
      <c r="B506" s="242">
        <v>2400</v>
      </c>
      <c r="C506" s="243" t="s">
        <v>206</v>
      </c>
      <c r="D506" s="244">
        <f t="shared" si="38"/>
        <v>0</v>
      </c>
    </row>
    <row r="507" spans="1:4" ht="12" hidden="1" customHeight="1" outlineLevel="1" x14ac:dyDescent="0.3">
      <c r="A507" s="238"/>
      <c r="B507" s="242">
        <v>2500</v>
      </c>
      <c r="C507" s="243" t="s">
        <v>207</v>
      </c>
      <c r="D507" s="244">
        <f t="shared" si="38"/>
        <v>0</v>
      </c>
    </row>
    <row r="508" spans="1:4" ht="12" hidden="1" customHeight="1" outlineLevel="1" x14ac:dyDescent="0.3">
      <c r="A508" s="238"/>
      <c r="B508" s="199">
        <v>3000</v>
      </c>
      <c r="C508" s="245" t="s">
        <v>208</v>
      </c>
      <c r="D508" s="241">
        <f>D542+D576+D678+D712+D746+D780+D882</f>
        <v>0</v>
      </c>
    </row>
    <row r="509" spans="1:4" ht="12" hidden="1" customHeight="1" outlineLevel="1" x14ac:dyDescent="0.3">
      <c r="A509" s="238"/>
      <c r="B509" s="242">
        <v>3200</v>
      </c>
      <c r="C509" s="243" t="s">
        <v>209</v>
      </c>
      <c r="D509" s="244">
        <f t="shared" ref="D509:D510" si="39">D543+D577+D679+D713+D747+D781+D883</f>
        <v>0</v>
      </c>
    </row>
    <row r="510" spans="1:4" ht="12" hidden="1" customHeight="1" outlineLevel="1" x14ac:dyDescent="0.3">
      <c r="A510" s="238"/>
      <c r="B510" s="242">
        <v>3300</v>
      </c>
      <c r="C510" s="243" t="s">
        <v>210</v>
      </c>
      <c r="D510" s="244">
        <f t="shared" si="39"/>
        <v>0</v>
      </c>
    </row>
    <row r="511" spans="1:4" ht="12" hidden="1" customHeight="1" outlineLevel="1" x14ac:dyDescent="0.3">
      <c r="A511" s="238"/>
      <c r="B511" s="199">
        <v>4000</v>
      </c>
      <c r="C511" s="246" t="s">
        <v>211</v>
      </c>
      <c r="D511" s="241">
        <f>D545+D579+D681+D715+D749+D783+D885</f>
        <v>0</v>
      </c>
    </row>
    <row r="512" spans="1:4" ht="12" hidden="1" customHeight="1" outlineLevel="1" x14ac:dyDescent="0.3">
      <c r="A512" s="238"/>
      <c r="B512" s="242">
        <v>4200</v>
      </c>
      <c r="C512" s="247" t="s">
        <v>212</v>
      </c>
      <c r="D512" s="244">
        <f t="shared" ref="D512:D513" si="40">D546+D580+D682+D716+D750+D784+D886</f>
        <v>0</v>
      </c>
    </row>
    <row r="513" spans="1:4" ht="12" hidden="1" customHeight="1" outlineLevel="1" x14ac:dyDescent="0.3">
      <c r="A513" s="238"/>
      <c r="B513" s="242">
        <v>4300</v>
      </c>
      <c r="C513" s="247" t="s">
        <v>213</v>
      </c>
      <c r="D513" s="244">
        <f t="shared" si="40"/>
        <v>0</v>
      </c>
    </row>
    <row r="514" spans="1:4" ht="12" hidden="1" customHeight="1" outlineLevel="1" x14ac:dyDescent="0.3">
      <c r="A514" s="238"/>
      <c r="B514" s="199">
        <v>5000</v>
      </c>
      <c r="C514" s="200" t="s">
        <v>214</v>
      </c>
      <c r="D514" s="241">
        <f>D548+D582+D684+D718+D752+D786+D888</f>
        <v>0</v>
      </c>
    </row>
    <row r="515" spans="1:4" ht="12" hidden="1" customHeight="1" outlineLevel="1" x14ac:dyDescent="0.3">
      <c r="A515" s="238"/>
      <c r="B515" s="242">
        <v>5100</v>
      </c>
      <c r="C515" s="248" t="s">
        <v>215</v>
      </c>
      <c r="D515" s="244">
        <f t="shared" ref="D515:D517" si="41">D549+D583+D685+D719+D753+D787+D889</f>
        <v>0</v>
      </c>
    </row>
    <row r="516" spans="1:4" ht="12" hidden="1" customHeight="1" outlineLevel="1" x14ac:dyDescent="0.3">
      <c r="A516" s="238"/>
      <c r="B516" s="242">
        <v>5200</v>
      </c>
      <c r="C516" s="248" t="s">
        <v>216</v>
      </c>
      <c r="D516" s="244">
        <f t="shared" si="41"/>
        <v>0</v>
      </c>
    </row>
    <row r="517" spans="1:4" ht="12" hidden="1" customHeight="1" outlineLevel="1" x14ac:dyDescent="0.3">
      <c r="A517" s="238"/>
      <c r="B517" s="242">
        <v>5300</v>
      </c>
      <c r="C517" s="249" t="s">
        <v>217</v>
      </c>
      <c r="D517" s="244">
        <f t="shared" si="41"/>
        <v>0</v>
      </c>
    </row>
    <row r="518" spans="1:4" ht="12" hidden="1" customHeight="1" outlineLevel="1" x14ac:dyDescent="0.3">
      <c r="A518" s="238"/>
      <c r="B518" s="199">
        <v>6000</v>
      </c>
      <c r="C518" s="200" t="s">
        <v>218</v>
      </c>
      <c r="D518" s="241">
        <f>D552+D586+D688+D722+D756+D790+D892</f>
        <v>0</v>
      </c>
    </row>
    <row r="519" spans="1:4" ht="12" hidden="1" customHeight="1" outlineLevel="1" x14ac:dyDescent="0.3">
      <c r="A519" s="238"/>
      <c r="B519" s="242">
        <v>6200</v>
      </c>
      <c r="C519" s="248" t="s">
        <v>219</v>
      </c>
      <c r="D519" s="244">
        <f t="shared" ref="D519:D522" si="42">D553+D587+D689+D723+D757+D791+D893</f>
        <v>0</v>
      </c>
    </row>
    <row r="520" spans="1:4" ht="12" hidden="1" customHeight="1" outlineLevel="1" x14ac:dyDescent="0.3">
      <c r="A520" s="238"/>
      <c r="B520" s="242">
        <v>6300</v>
      </c>
      <c r="C520" s="248" t="s">
        <v>220</v>
      </c>
      <c r="D520" s="244">
        <f t="shared" si="42"/>
        <v>0</v>
      </c>
    </row>
    <row r="521" spans="1:4" ht="12" hidden="1" customHeight="1" outlineLevel="1" x14ac:dyDescent="0.3">
      <c r="A521" s="238"/>
      <c r="B521" s="242">
        <v>6400</v>
      </c>
      <c r="C521" s="248" t="s">
        <v>221</v>
      </c>
      <c r="D521" s="244">
        <f t="shared" si="42"/>
        <v>0</v>
      </c>
    </row>
    <row r="522" spans="1:4" ht="12" hidden="1" customHeight="1" outlineLevel="1" x14ac:dyDescent="0.3">
      <c r="A522" s="238"/>
      <c r="B522" s="242">
        <v>6500</v>
      </c>
      <c r="C522" s="249" t="s">
        <v>222</v>
      </c>
      <c r="D522" s="244">
        <f t="shared" si="42"/>
        <v>0</v>
      </c>
    </row>
    <row r="523" spans="1:4" ht="12" hidden="1" customHeight="1" outlineLevel="1" x14ac:dyDescent="0.3">
      <c r="A523" s="238"/>
      <c r="B523" s="199">
        <v>7000</v>
      </c>
      <c r="C523" s="200" t="s">
        <v>223</v>
      </c>
      <c r="D523" s="241">
        <f>D557+D591+D693+D727+D761+D795+D898</f>
        <v>0</v>
      </c>
    </row>
    <row r="524" spans="1:4" ht="12" hidden="1" customHeight="1" outlineLevel="1" x14ac:dyDescent="0.3">
      <c r="A524" s="238"/>
      <c r="B524" s="250">
        <v>7200</v>
      </c>
      <c r="C524" s="251" t="s">
        <v>224</v>
      </c>
      <c r="D524" s="244">
        <f t="shared" ref="D524:D526" si="43">D558+D592+D694+D728+D762+D796+D899</f>
        <v>0</v>
      </c>
    </row>
    <row r="525" spans="1:4" ht="12" hidden="1" customHeight="1" outlineLevel="1" x14ac:dyDescent="0.3">
      <c r="A525" s="238"/>
      <c r="B525" s="250">
        <v>7500</v>
      </c>
      <c r="C525" s="251" t="s">
        <v>225</v>
      </c>
      <c r="D525" s="244">
        <f t="shared" si="43"/>
        <v>0</v>
      </c>
    </row>
    <row r="526" spans="1:4" ht="12" hidden="1" customHeight="1" outlineLevel="1" x14ac:dyDescent="0.3">
      <c r="A526" s="238"/>
      <c r="B526" s="250">
        <v>7700</v>
      </c>
      <c r="C526" s="251" t="s">
        <v>226</v>
      </c>
      <c r="D526" s="244">
        <f t="shared" si="43"/>
        <v>0</v>
      </c>
    </row>
    <row r="527" spans="1:4" ht="12" hidden="1" customHeight="1" outlineLevel="1" x14ac:dyDescent="0.3">
      <c r="A527" s="238"/>
      <c r="B527" s="252">
        <v>8000</v>
      </c>
      <c r="C527" s="253" t="s">
        <v>227</v>
      </c>
      <c r="D527" s="241">
        <f>D561+D595+D697+D731+D765+D799+D901</f>
        <v>0</v>
      </c>
    </row>
    <row r="528" spans="1:4" ht="12" hidden="1" customHeight="1" outlineLevel="1" x14ac:dyDescent="0.3">
      <c r="A528" s="238"/>
      <c r="B528" s="254">
        <v>8100</v>
      </c>
      <c r="C528" s="255" t="s">
        <v>228</v>
      </c>
      <c r="D528" s="244">
        <f t="shared" ref="D528:D530" si="44">D562+D596+D698+D732+D766+D800+D902</f>
        <v>0</v>
      </c>
    </row>
    <row r="529" spans="1:4" ht="12" hidden="1" customHeight="1" outlineLevel="1" x14ac:dyDescent="0.3">
      <c r="A529" s="238"/>
      <c r="B529" s="254">
        <v>8600</v>
      </c>
      <c r="C529" s="255" t="s">
        <v>229</v>
      </c>
      <c r="D529" s="244">
        <f t="shared" si="44"/>
        <v>0</v>
      </c>
    </row>
    <row r="530" spans="1:4" ht="12" hidden="1" customHeight="1" outlineLevel="1" x14ac:dyDescent="0.3">
      <c r="A530" s="238"/>
      <c r="B530" s="254">
        <v>8900</v>
      </c>
      <c r="C530" s="255" t="s">
        <v>230</v>
      </c>
      <c r="D530" s="244">
        <f t="shared" si="44"/>
        <v>0</v>
      </c>
    </row>
    <row r="531" spans="1:4" ht="12" hidden="1" customHeight="1" outlineLevel="1" x14ac:dyDescent="0.3">
      <c r="A531" s="256" t="s">
        <v>258</v>
      </c>
      <c r="B531" s="257"/>
      <c r="C531" s="258" t="s">
        <v>259</v>
      </c>
      <c r="D531" s="259">
        <f>D532+D548+D561</f>
        <v>0</v>
      </c>
    </row>
    <row r="532" spans="1:4" ht="12" hidden="1" customHeight="1" outlineLevel="1" x14ac:dyDescent="0.3">
      <c r="A532" s="238"/>
      <c r="B532" s="228"/>
      <c r="C532" s="229" t="s">
        <v>251</v>
      </c>
      <c r="D532" s="230">
        <f>D533+D536+D542+D545+D552+D557</f>
        <v>0</v>
      </c>
    </row>
    <row r="533" spans="1:4" ht="12" hidden="1" customHeight="1" outlineLevel="1" x14ac:dyDescent="0.3">
      <c r="A533" s="238"/>
      <c r="B533" s="231">
        <v>1000</v>
      </c>
      <c r="C533" s="232" t="s">
        <v>199</v>
      </c>
      <c r="D533" s="230">
        <f>SUM(D534:D535)</f>
        <v>0</v>
      </c>
    </row>
    <row r="534" spans="1:4" ht="12" hidden="1" customHeight="1" outlineLevel="1" x14ac:dyDescent="0.3">
      <c r="A534" s="238"/>
      <c r="B534" s="234">
        <v>1100</v>
      </c>
      <c r="C534" s="235" t="s">
        <v>200</v>
      </c>
      <c r="D534" s="236"/>
    </row>
    <row r="535" spans="1:4" ht="12" hidden="1" customHeight="1" outlineLevel="1" x14ac:dyDescent="0.3">
      <c r="A535" s="238"/>
      <c r="B535" s="234">
        <v>1200</v>
      </c>
      <c r="C535" s="237" t="s">
        <v>201</v>
      </c>
      <c r="D535" s="236"/>
    </row>
    <row r="536" spans="1:4" ht="12" hidden="1" customHeight="1" outlineLevel="1" x14ac:dyDescent="0.3">
      <c r="A536" s="238"/>
      <c r="B536" s="239">
        <v>2000</v>
      </c>
      <c r="C536" s="240" t="s">
        <v>202</v>
      </c>
      <c r="D536" s="260">
        <f>SUM(D537:D541)</f>
        <v>0</v>
      </c>
    </row>
    <row r="537" spans="1:4" ht="12" hidden="1" customHeight="1" outlineLevel="1" x14ac:dyDescent="0.3">
      <c r="A537" s="238"/>
      <c r="B537" s="242">
        <v>2100</v>
      </c>
      <c r="C537" s="243" t="s">
        <v>203</v>
      </c>
      <c r="D537" s="244"/>
    </row>
    <row r="538" spans="1:4" ht="12" hidden="1" customHeight="1" outlineLevel="1" x14ac:dyDescent="0.3">
      <c r="A538" s="238"/>
      <c r="B538" s="242">
        <v>2200</v>
      </c>
      <c r="C538" s="243" t="s">
        <v>204</v>
      </c>
      <c r="D538" s="244"/>
    </row>
    <row r="539" spans="1:4" ht="12" hidden="1" customHeight="1" outlineLevel="1" x14ac:dyDescent="0.3">
      <c r="A539" s="238"/>
      <c r="B539" s="242">
        <v>2300</v>
      </c>
      <c r="C539" s="243" t="s">
        <v>205</v>
      </c>
      <c r="D539" s="244"/>
    </row>
    <row r="540" spans="1:4" ht="12" hidden="1" customHeight="1" outlineLevel="1" x14ac:dyDescent="0.3">
      <c r="A540" s="238"/>
      <c r="B540" s="242">
        <v>2400</v>
      </c>
      <c r="C540" s="243" t="s">
        <v>206</v>
      </c>
      <c r="D540" s="244"/>
    </row>
    <row r="541" spans="1:4" ht="12.75" hidden="1" customHeight="1" outlineLevel="1" x14ac:dyDescent="0.3">
      <c r="A541" s="238"/>
      <c r="B541" s="242">
        <v>2500</v>
      </c>
      <c r="C541" s="243" t="s">
        <v>207</v>
      </c>
      <c r="D541" s="244"/>
    </row>
    <row r="542" spans="1:4" ht="12" hidden="1" customHeight="1" outlineLevel="1" x14ac:dyDescent="0.3">
      <c r="A542" s="238"/>
      <c r="B542" s="199">
        <v>3000</v>
      </c>
      <c r="C542" s="245" t="s">
        <v>208</v>
      </c>
      <c r="D542" s="260">
        <f>SUM(D543:D544)</f>
        <v>0</v>
      </c>
    </row>
    <row r="543" spans="1:4" ht="12" hidden="1" customHeight="1" outlineLevel="1" x14ac:dyDescent="0.3">
      <c r="A543" s="238"/>
      <c r="B543" s="242">
        <v>3200</v>
      </c>
      <c r="C543" s="243" t="s">
        <v>209</v>
      </c>
      <c r="D543" s="244"/>
    </row>
    <row r="544" spans="1:4" ht="12" hidden="1" customHeight="1" outlineLevel="1" x14ac:dyDescent="0.3">
      <c r="A544" s="238"/>
      <c r="B544" s="242">
        <v>3300</v>
      </c>
      <c r="C544" s="243" t="s">
        <v>210</v>
      </c>
      <c r="D544" s="244"/>
    </row>
    <row r="545" spans="1:4" ht="12" hidden="1" customHeight="1" outlineLevel="1" x14ac:dyDescent="0.3">
      <c r="A545" s="238"/>
      <c r="B545" s="199">
        <v>4000</v>
      </c>
      <c r="C545" s="246" t="s">
        <v>211</v>
      </c>
      <c r="D545" s="260">
        <f>SUM(D546:D547)</f>
        <v>0</v>
      </c>
    </row>
    <row r="546" spans="1:4" ht="12" hidden="1" customHeight="1" outlineLevel="1" x14ac:dyDescent="0.3">
      <c r="A546" s="238"/>
      <c r="B546" s="242">
        <v>4200</v>
      </c>
      <c r="C546" s="247" t="s">
        <v>212</v>
      </c>
      <c r="D546" s="244"/>
    </row>
    <row r="547" spans="1:4" ht="12" hidden="1" customHeight="1" outlineLevel="1" x14ac:dyDescent="0.3">
      <c r="A547" s="238"/>
      <c r="B547" s="242">
        <v>4300</v>
      </c>
      <c r="C547" s="247" t="s">
        <v>213</v>
      </c>
      <c r="D547" s="244"/>
    </row>
    <row r="548" spans="1:4" ht="12" hidden="1" customHeight="1" outlineLevel="1" x14ac:dyDescent="0.3">
      <c r="A548" s="238"/>
      <c r="B548" s="199">
        <v>5000</v>
      </c>
      <c r="C548" s="200" t="s">
        <v>214</v>
      </c>
      <c r="D548" s="260">
        <f>SUM(D549:D551)</f>
        <v>0</v>
      </c>
    </row>
    <row r="549" spans="1:4" ht="12" hidden="1" customHeight="1" outlineLevel="1" x14ac:dyDescent="0.3">
      <c r="A549" s="238"/>
      <c r="B549" s="242">
        <v>5100</v>
      </c>
      <c r="C549" s="248" t="s">
        <v>215</v>
      </c>
      <c r="D549" s="260"/>
    </row>
    <row r="550" spans="1:4" ht="12" hidden="1" customHeight="1" outlineLevel="1" x14ac:dyDescent="0.3">
      <c r="A550" s="238"/>
      <c r="B550" s="242">
        <v>5200</v>
      </c>
      <c r="C550" s="248" t="s">
        <v>216</v>
      </c>
      <c r="D550" s="260"/>
    </row>
    <row r="551" spans="1:4" ht="12" hidden="1" customHeight="1" outlineLevel="1" x14ac:dyDescent="0.3">
      <c r="A551" s="238"/>
      <c r="B551" s="242">
        <v>5300</v>
      </c>
      <c r="C551" s="249" t="s">
        <v>217</v>
      </c>
      <c r="D551" s="260"/>
    </row>
    <row r="552" spans="1:4" ht="12" hidden="1" customHeight="1" outlineLevel="1" x14ac:dyDescent="0.3">
      <c r="A552" s="238"/>
      <c r="B552" s="199">
        <v>6000</v>
      </c>
      <c r="C552" s="200" t="s">
        <v>218</v>
      </c>
      <c r="D552" s="260">
        <f>SUM(D553:D556)</f>
        <v>0</v>
      </c>
    </row>
    <row r="553" spans="1:4" ht="12" hidden="1" customHeight="1" outlineLevel="1" x14ac:dyDescent="0.3">
      <c r="A553" s="238"/>
      <c r="B553" s="242">
        <v>6200</v>
      </c>
      <c r="C553" s="248" t="s">
        <v>219</v>
      </c>
      <c r="D553" s="244"/>
    </row>
    <row r="554" spans="1:4" ht="12" hidden="1" customHeight="1" outlineLevel="1" x14ac:dyDescent="0.3">
      <c r="A554" s="238"/>
      <c r="B554" s="242">
        <v>6300</v>
      </c>
      <c r="C554" s="248" t="s">
        <v>220</v>
      </c>
      <c r="D554" s="244"/>
    </row>
    <row r="555" spans="1:4" ht="12" hidden="1" customHeight="1" outlineLevel="1" x14ac:dyDescent="0.3">
      <c r="A555" s="238"/>
      <c r="B555" s="242">
        <v>6400</v>
      </c>
      <c r="C555" s="248" t="s">
        <v>221</v>
      </c>
      <c r="D555" s="244"/>
    </row>
    <row r="556" spans="1:4" ht="12" hidden="1" customHeight="1" outlineLevel="1" x14ac:dyDescent="0.3">
      <c r="A556" s="238"/>
      <c r="B556" s="242">
        <v>6500</v>
      </c>
      <c r="C556" s="249" t="s">
        <v>222</v>
      </c>
      <c r="D556" s="244"/>
    </row>
    <row r="557" spans="1:4" ht="12" hidden="1" customHeight="1" outlineLevel="1" x14ac:dyDescent="0.3">
      <c r="A557" s="238"/>
      <c r="B557" s="199">
        <v>7000</v>
      </c>
      <c r="C557" s="200" t="s">
        <v>223</v>
      </c>
      <c r="D557" s="260">
        <f>SUM(D558:D560)</f>
        <v>0</v>
      </c>
    </row>
    <row r="558" spans="1:4" ht="12" hidden="1" customHeight="1" outlineLevel="1" x14ac:dyDescent="0.3">
      <c r="A558" s="238"/>
      <c r="B558" s="250">
        <v>7200</v>
      </c>
      <c r="C558" s="251" t="s">
        <v>224</v>
      </c>
      <c r="D558" s="244"/>
    </row>
    <row r="559" spans="1:4" ht="12" hidden="1" customHeight="1" outlineLevel="1" x14ac:dyDescent="0.3">
      <c r="A559" s="238"/>
      <c r="B559" s="250">
        <v>7500</v>
      </c>
      <c r="C559" s="251" t="s">
        <v>225</v>
      </c>
      <c r="D559" s="244"/>
    </row>
    <row r="560" spans="1:4" ht="12" hidden="1" customHeight="1" outlineLevel="1" x14ac:dyDescent="0.3">
      <c r="A560" s="238"/>
      <c r="B560" s="250">
        <v>7700</v>
      </c>
      <c r="C560" s="251" t="s">
        <v>226</v>
      </c>
      <c r="D560" s="244"/>
    </row>
    <row r="561" spans="1:4" ht="12" hidden="1" customHeight="1" outlineLevel="1" x14ac:dyDescent="0.3">
      <c r="A561" s="238"/>
      <c r="B561" s="252">
        <v>8000</v>
      </c>
      <c r="C561" s="253" t="s">
        <v>227</v>
      </c>
      <c r="D561" s="260">
        <f>SUM(D562:D564)</f>
        <v>0</v>
      </c>
    </row>
    <row r="562" spans="1:4" ht="12" hidden="1" customHeight="1" outlineLevel="1" x14ac:dyDescent="0.3">
      <c r="A562" s="238"/>
      <c r="B562" s="254">
        <v>8100</v>
      </c>
      <c r="C562" s="255" t="s">
        <v>228</v>
      </c>
      <c r="D562" s="260"/>
    </row>
    <row r="563" spans="1:4" ht="12" hidden="1" customHeight="1" outlineLevel="1" x14ac:dyDescent="0.3">
      <c r="A563" s="238"/>
      <c r="B563" s="254">
        <v>8600</v>
      </c>
      <c r="C563" s="255" t="s">
        <v>229</v>
      </c>
      <c r="D563" s="260"/>
    </row>
    <row r="564" spans="1:4" ht="12" hidden="1" customHeight="1" outlineLevel="1" x14ac:dyDescent="0.3">
      <c r="A564" s="238"/>
      <c r="B564" s="254">
        <v>8900</v>
      </c>
      <c r="C564" s="255" t="s">
        <v>230</v>
      </c>
      <c r="D564" s="260"/>
    </row>
    <row r="565" spans="1:4" ht="13.5" hidden="1" customHeight="1" outlineLevel="1" x14ac:dyDescent="0.3">
      <c r="A565" s="256" t="s">
        <v>260</v>
      </c>
      <c r="B565" s="257"/>
      <c r="C565" s="258" t="s">
        <v>261</v>
      </c>
      <c r="D565" s="259">
        <f>D566++D582+D595</f>
        <v>0</v>
      </c>
    </row>
    <row r="566" spans="1:4" ht="13.5" hidden="1" customHeight="1" outlineLevel="1" x14ac:dyDescent="0.3">
      <c r="A566" s="238"/>
      <c r="B566" s="228"/>
      <c r="C566" s="229" t="s">
        <v>251</v>
      </c>
      <c r="D566" s="230">
        <f>D567+D570+D576+D579+D586+D591</f>
        <v>0</v>
      </c>
    </row>
    <row r="567" spans="1:4" ht="13.5" hidden="1" customHeight="1" outlineLevel="1" x14ac:dyDescent="0.3">
      <c r="A567" s="238"/>
      <c r="B567" s="231">
        <v>1000</v>
      </c>
      <c r="C567" s="232" t="s">
        <v>199</v>
      </c>
      <c r="D567" s="233">
        <f t="shared" ref="D567:D569" si="45">D601+D635</f>
        <v>0</v>
      </c>
    </row>
    <row r="568" spans="1:4" ht="13.5" hidden="1" customHeight="1" outlineLevel="1" x14ac:dyDescent="0.3">
      <c r="A568" s="238"/>
      <c r="B568" s="234">
        <v>1100</v>
      </c>
      <c r="C568" s="235" t="s">
        <v>200</v>
      </c>
      <c r="D568" s="236">
        <f t="shared" si="45"/>
        <v>0</v>
      </c>
    </row>
    <row r="569" spans="1:4" ht="13.5" hidden="1" customHeight="1" outlineLevel="1" x14ac:dyDescent="0.3">
      <c r="A569" s="238"/>
      <c r="B569" s="234">
        <v>1200</v>
      </c>
      <c r="C569" s="237" t="s">
        <v>201</v>
      </c>
      <c r="D569" s="236">
        <f t="shared" si="45"/>
        <v>0</v>
      </c>
    </row>
    <row r="570" spans="1:4" ht="12" hidden="1" customHeight="1" outlineLevel="1" x14ac:dyDescent="0.3">
      <c r="A570" s="238"/>
      <c r="B570" s="239">
        <v>2000</v>
      </c>
      <c r="C570" s="240" t="s">
        <v>202</v>
      </c>
      <c r="D570" s="241">
        <f>D604+D638</f>
        <v>0</v>
      </c>
    </row>
    <row r="571" spans="1:4" ht="12" hidden="1" customHeight="1" outlineLevel="1" x14ac:dyDescent="0.3">
      <c r="A571" s="238"/>
      <c r="B571" s="242">
        <v>2100</v>
      </c>
      <c r="C571" s="243" t="s">
        <v>203</v>
      </c>
      <c r="D571" s="244">
        <f t="shared" ref="D571" si="46">D605+D639</f>
        <v>0</v>
      </c>
    </row>
    <row r="572" spans="1:4" ht="12" hidden="1" customHeight="1" outlineLevel="1" x14ac:dyDescent="0.3">
      <c r="A572" s="238"/>
      <c r="B572" s="242">
        <v>2200</v>
      </c>
      <c r="C572" s="243" t="s">
        <v>204</v>
      </c>
      <c r="D572" s="244"/>
    </row>
    <row r="573" spans="1:4" ht="12" hidden="1" customHeight="1" outlineLevel="1" x14ac:dyDescent="0.3">
      <c r="A573" s="238"/>
      <c r="B573" s="242">
        <v>2300</v>
      </c>
      <c r="C573" s="243" t="s">
        <v>205</v>
      </c>
      <c r="D573" s="244"/>
    </row>
    <row r="574" spans="1:4" ht="12" hidden="1" customHeight="1" outlineLevel="1" x14ac:dyDescent="0.3">
      <c r="A574" s="238"/>
      <c r="B574" s="242">
        <v>2400</v>
      </c>
      <c r="C574" s="243" t="s">
        <v>206</v>
      </c>
      <c r="D574" s="244"/>
    </row>
    <row r="575" spans="1:4" ht="12" hidden="1" customHeight="1" outlineLevel="1" x14ac:dyDescent="0.3">
      <c r="A575" s="238"/>
      <c r="B575" s="242">
        <v>2500</v>
      </c>
      <c r="C575" s="243" t="s">
        <v>207</v>
      </c>
      <c r="D575" s="244"/>
    </row>
    <row r="576" spans="1:4" ht="13.5" hidden="1" customHeight="1" outlineLevel="1" x14ac:dyDescent="0.3">
      <c r="A576" s="238"/>
      <c r="B576" s="199">
        <v>3000</v>
      </c>
      <c r="C576" s="245" t="s">
        <v>208</v>
      </c>
      <c r="D576" s="241">
        <f>D610+D644</f>
        <v>0</v>
      </c>
    </row>
    <row r="577" spans="1:4" ht="13.5" hidden="1" customHeight="1" outlineLevel="1" x14ac:dyDescent="0.3">
      <c r="A577" s="238"/>
      <c r="B577" s="242">
        <v>3200</v>
      </c>
      <c r="C577" s="243" t="s">
        <v>209</v>
      </c>
      <c r="D577" s="244">
        <f t="shared" ref="D577:D578" si="47">D611+D645</f>
        <v>0</v>
      </c>
    </row>
    <row r="578" spans="1:4" ht="13.5" hidden="1" customHeight="1" outlineLevel="1" x14ac:dyDescent="0.3">
      <c r="A578" s="238"/>
      <c r="B578" s="242">
        <v>3300</v>
      </c>
      <c r="C578" s="243" t="s">
        <v>210</v>
      </c>
      <c r="D578" s="244">
        <f t="shared" si="47"/>
        <v>0</v>
      </c>
    </row>
    <row r="579" spans="1:4" ht="13.5" hidden="1" customHeight="1" outlineLevel="1" x14ac:dyDescent="0.3">
      <c r="A579" s="238"/>
      <c r="B579" s="199">
        <v>4000</v>
      </c>
      <c r="C579" s="246" t="s">
        <v>211</v>
      </c>
      <c r="D579" s="241">
        <f>D613+D647</f>
        <v>0</v>
      </c>
    </row>
    <row r="580" spans="1:4" ht="13.5" hidden="1" customHeight="1" outlineLevel="1" x14ac:dyDescent="0.3">
      <c r="A580" s="238"/>
      <c r="B580" s="242">
        <v>4200</v>
      </c>
      <c r="C580" s="247" t="s">
        <v>212</v>
      </c>
      <c r="D580" s="244">
        <f t="shared" ref="D580:D581" si="48">D614+D648</f>
        <v>0</v>
      </c>
    </row>
    <row r="581" spans="1:4" ht="13.5" hidden="1" customHeight="1" outlineLevel="1" x14ac:dyDescent="0.3">
      <c r="A581" s="238"/>
      <c r="B581" s="242">
        <v>4300</v>
      </c>
      <c r="C581" s="247" t="s">
        <v>213</v>
      </c>
      <c r="D581" s="244">
        <f t="shared" si="48"/>
        <v>0</v>
      </c>
    </row>
    <row r="582" spans="1:4" ht="12" hidden="1" customHeight="1" outlineLevel="1" x14ac:dyDescent="0.3">
      <c r="A582" s="238"/>
      <c r="B582" s="199">
        <v>5000</v>
      </c>
      <c r="C582" s="200" t="s">
        <v>214</v>
      </c>
      <c r="D582" s="241">
        <f>D616+D650</f>
        <v>0</v>
      </c>
    </row>
    <row r="583" spans="1:4" ht="12" hidden="1" customHeight="1" outlineLevel="1" x14ac:dyDescent="0.3">
      <c r="A583" s="238"/>
      <c r="B583" s="242">
        <v>5100</v>
      </c>
      <c r="C583" s="248" t="s">
        <v>215</v>
      </c>
      <c r="D583" s="244">
        <f t="shared" ref="D583:D585" si="49">D617+D651</f>
        <v>0</v>
      </c>
    </row>
    <row r="584" spans="1:4" ht="12" hidden="1" customHeight="1" outlineLevel="1" x14ac:dyDescent="0.3">
      <c r="A584" s="238"/>
      <c r="B584" s="242">
        <v>5200</v>
      </c>
      <c r="C584" s="248" t="s">
        <v>216</v>
      </c>
      <c r="D584" s="244"/>
    </row>
    <row r="585" spans="1:4" ht="12" hidden="1" customHeight="1" outlineLevel="1" x14ac:dyDescent="0.3">
      <c r="A585" s="238"/>
      <c r="B585" s="242">
        <v>5300</v>
      </c>
      <c r="C585" s="249" t="s">
        <v>217</v>
      </c>
      <c r="D585" s="244">
        <f t="shared" si="49"/>
        <v>0</v>
      </c>
    </row>
    <row r="586" spans="1:4" ht="12" hidden="1" customHeight="1" outlineLevel="1" x14ac:dyDescent="0.3">
      <c r="A586" s="238"/>
      <c r="B586" s="199">
        <v>6000</v>
      </c>
      <c r="C586" s="200" t="s">
        <v>218</v>
      </c>
      <c r="D586" s="241">
        <f>D620+D654</f>
        <v>0</v>
      </c>
    </row>
    <row r="587" spans="1:4" ht="12" hidden="1" customHeight="1" outlineLevel="1" x14ac:dyDescent="0.3">
      <c r="A587" s="238"/>
      <c r="B587" s="242">
        <v>6200</v>
      </c>
      <c r="C587" s="248" t="s">
        <v>219</v>
      </c>
      <c r="D587" s="244">
        <f t="shared" ref="D587:D590" si="50">D621+D655</f>
        <v>0</v>
      </c>
    </row>
    <row r="588" spans="1:4" ht="12" hidden="1" customHeight="1" outlineLevel="1" x14ac:dyDescent="0.3">
      <c r="A588" s="238"/>
      <c r="B588" s="242">
        <v>6300</v>
      </c>
      <c r="C588" s="248" t="s">
        <v>220</v>
      </c>
      <c r="D588" s="244">
        <f t="shared" si="50"/>
        <v>0</v>
      </c>
    </row>
    <row r="589" spans="1:4" ht="12" hidden="1" customHeight="1" outlineLevel="1" x14ac:dyDescent="0.3">
      <c r="A589" s="238"/>
      <c r="B589" s="242">
        <v>6400</v>
      </c>
      <c r="C589" s="248" t="s">
        <v>221</v>
      </c>
      <c r="D589" s="244">
        <f t="shared" si="50"/>
        <v>0</v>
      </c>
    </row>
    <row r="590" spans="1:4" ht="12" hidden="1" customHeight="1" outlineLevel="1" x14ac:dyDescent="0.3">
      <c r="A590" s="238"/>
      <c r="B590" s="242">
        <v>6500</v>
      </c>
      <c r="C590" s="249" t="s">
        <v>222</v>
      </c>
      <c r="D590" s="244">
        <f t="shared" si="50"/>
        <v>0</v>
      </c>
    </row>
    <row r="591" spans="1:4" ht="12" hidden="1" customHeight="1" outlineLevel="1" x14ac:dyDescent="0.3">
      <c r="A591" s="238"/>
      <c r="B591" s="199">
        <v>7000</v>
      </c>
      <c r="C591" s="200" t="s">
        <v>223</v>
      </c>
      <c r="D591" s="241">
        <f>D625+D659</f>
        <v>0</v>
      </c>
    </row>
    <row r="592" spans="1:4" ht="12" hidden="1" customHeight="1" outlineLevel="1" x14ac:dyDescent="0.3">
      <c r="A592" s="238"/>
      <c r="B592" s="250">
        <v>7200</v>
      </c>
      <c r="C592" s="251" t="s">
        <v>224</v>
      </c>
      <c r="D592" s="244"/>
    </row>
    <row r="593" spans="1:4" ht="12" hidden="1" customHeight="1" outlineLevel="1" x14ac:dyDescent="0.3">
      <c r="A593" s="238"/>
      <c r="B593" s="250">
        <v>7500</v>
      </c>
      <c r="C593" s="251" t="s">
        <v>225</v>
      </c>
      <c r="D593" s="244">
        <f t="shared" ref="D593:D594" si="51">D627+D661</f>
        <v>0</v>
      </c>
    </row>
    <row r="594" spans="1:4" ht="12" hidden="1" customHeight="1" outlineLevel="1" x14ac:dyDescent="0.3">
      <c r="A594" s="238"/>
      <c r="B594" s="250">
        <v>7700</v>
      </c>
      <c r="C594" s="251" t="s">
        <v>226</v>
      </c>
      <c r="D594" s="244">
        <f t="shared" si="51"/>
        <v>0</v>
      </c>
    </row>
    <row r="595" spans="1:4" ht="12" hidden="1" customHeight="1" outlineLevel="1" x14ac:dyDescent="0.3">
      <c r="A595" s="238"/>
      <c r="B595" s="252">
        <v>8000</v>
      </c>
      <c r="C595" s="253" t="s">
        <v>227</v>
      </c>
      <c r="D595" s="241">
        <f>D629+D663</f>
        <v>0</v>
      </c>
    </row>
    <row r="596" spans="1:4" ht="12" hidden="1" customHeight="1" outlineLevel="1" x14ac:dyDescent="0.3">
      <c r="A596" s="238"/>
      <c r="B596" s="254">
        <v>8100</v>
      </c>
      <c r="C596" s="255" t="s">
        <v>228</v>
      </c>
      <c r="D596" s="244">
        <f t="shared" ref="D596:D598" si="52">D630+D664</f>
        <v>0</v>
      </c>
    </row>
    <row r="597" spans="1:4" ht="12" hidden="1" customHeight="1" outlineLevel="1" x14ac:dyDescent="0.3">
      <c r="A597" s="238"/>
      <c r="B597" s="254">
        <v>8600</v>
      </c>
      <c r="C597" s="255" t="s">
        <v>229</v>
      </c>
      <c r="D597" s="244">
        <f t="shared" si="52"/>
        <v>0</v>
      </c>
    </row>
    <row r="598" spans="1:4" ht="12" hidden="1" customHeight="1" outlineLevel="1" x14ac:dyDescent="0.3">
      <c r="A598" s="238"/>
      <c r="B598" s="254">
        <v>8900</v>
      </c>
      <c r="C598" s="255" t="s">
        <v>230</v>
      </c>
      <c r="D598" s="244">
        <f t="shared" si="52"/>
        <v>0</v>
      </c>
    </row>
    <row r="599" spans="1:4" ht="12" hidden="1" customHeight="1" outlineLevel="1" x14ac:dyDescent="0.3">
      <c r="A599" s="262" t="s">
        <v>262</v>
      </c>
      <c r="B599" s="263"/>
      <c r="C599" s="264" t="s">
        <v>263</v>
      </c>
      <c r="D599" s="265">
        <f t="shared" ref="D599" si="53">D600+D616+D629</f>
        <v>0</v>
      </c>
    </row>
    <row r="600" spans="1:4" ht="12" hidden="1" customHeight="1" outlineLevel="1" x14ac:dyDescent="0.3">
      <c r="A600" s="238"/>
      <c r="B600" s="228"/>
      <c r="C600" s="229" t="s">
        <v>251</v>
      </c>
      <c r="D600" s="230">
        <f t="shared" ref="D600" si="54">D601+D604+D610+D613+D620+D625</f>
        <v>0</v>
      </c>
    </row>
    <row r="601" spans="1:4" ht="12" hidden="1" customHeight="1" outlineLevel="1" x14ac:dyDescent="0.3">
      <c r="A601" s="238"/>
      <c r="B601" s="231">
        <v>1000</v>
      </c>
      <c r="C601" s="232" t="s">
        <v>199</v>
      </c>
      <c r="D601" s="230">
        <f>SUM(D602:D603)</f>
        <v>0</v>
      </c>
    </row>
    <row r="602" spans="1:4" ht="12" hidden="1" customHeight="1" outlineLevel="1" x14ac:dyDescent="0.3">
      <c r="A602" s="238"/>
      <c r="B602" s="234">
        <v>1100</v>
      </c>
      <c r="C602" s="235" t="s">
        <v>200</v>
      </c>
      <c r="D602" s="236"/>
    </row>
    <row r="603" spans="1:4" ht="12" hidden="1" customHeight="1" outlineLevel="1" x14ac:dyDescent="0.3">
      <c r="A603" s="238"/>
      <c r="B603" s="234">
        <v>1200</v>
      </c>
      <c r="C603" s="237" t="s">
        <v>201</v>
      </c>
      <c r="D603" s="236"/>
    </row>
    <row r="604" spans="1:4" ht="12" hidden="1" customHeight="1" outlineLevel="1" x14ac:dyDescent="0.3">
      <c r="A604" s="238"/>
      <c r="B604" s="239">
        <v>2000</v>
      </c>
      <c r="C604" s="240" t="s">
        <v>202</v>
      </c>
      <c r="D604" s="260">
        <f>SUM(D605:D609)</f>
        <v>0</v>
      </c>
    </row>
    <row r="605" spans="1:4" ht="12" hidden="1" customHeight="1" outlineLevel="1" x14ac:dyDescent="0.3">
      <c r="A605" s="238"/>
      <c r="B605" s="242">
        <v>2100</v>
      </c>
      <c r="C605" s="243" t="s">
        <v>203</v>
      </c>
      <c r="D605" s="244"/>
    </row>
    <row r="606" spans="1:4" ht="12" hidden="1" customHeight="1" outlineLevel="1" x14ac:dyDescent="0.3">
      <c r="A606" s="238"/>
      <c r="B606" s="242">
        <v>2200</v>
      </c>
      <c r="C606" s="243" t="s">
        <v>204</v>
      </c>
      <c r="D606" s="244"/>
    </row>
    <row r="607" spans="1:4" ht="12" hidden="1" customHeight="1" outlineLevel="1" x14ac:dyDescent="0.3">
      <c r="A607" s="238"/>
      <c r="B607" s="242">
        <v>2300</v>
      </c>
      <c r="C607" s="243" t="s">
        <v>205</v>
      </c>
      <c r="D607" s="244"/>
    </row>
    <row r="608" spans="1:4" ht="12" hidden="1" customHeight="1" outlineLevel="1" x14ac:dyDescent="0.3">
      <c r="A608" s="238"/>
      <c r="B608" s="242">
        <v>2400</v>
      </c>
      <c r="C608" s="243" t="s">
        <v>206</v>
      </c>
      <c r="D608" s="244"/>
    </row>
    <row r="609" spans="1:4" ht="12" hidden="1" customHeight="1" outlineLevel="1" x14ac:dyDescent="0.3">
      <c r="A609" s="238"/>
      <c r="B609" s="242">
        <v>2500</v>
      </c>
      <c r="C609" s="243" t="s">
        <v>207</v>
      </c>
      <c r="D609" s="244"/>
    </row>
    <row r="610" spans="1:4" ht="12" hidden="1" customHeight="1" outlineLevel="1" x14ac:dyDescent="0.3">
      <c r="A610" s="238"/>
      <c r="B610" s="199">
        <v>3000</v>
      </c>
      <c r="C610" s="245" t="s">
        <v>208</v>
      </c>
      <c r="D610" s="260">
        <f>SUM(D611:D612)</f>
        <v>0</v>
      </c>
    </row>
    <row r="611" spans="1:4" ht="12" hidden="1" customHeight="1" outlineLevel="1" x14ac:dyDescent="0.3">
      <c r="A611" s="238"/>
      <c r="B611" s="242">
        <v>3200</v>
      </c>
      <c r="C611" s="243" t="s">
        <v>209</v>
      </c>
      <c r="D611" s="244"/>
    </row>
    <row r="612" spans="1:4" ht="12" hidden="1" customHeight="1" outlineLevel="1" x14ac:dyDescent="0.3">
      <c r="A612" s="238"/>
      <c r="B612" s="242">
        <v>3300</v>
      </c>
      <c r="C612" s="243" t="s">
        <v>210</v>
      </c>
      <c r="D612" s="244"/>
    </row>
    <row r="613" spans="1:4" ht="12" hidden="1" customHeight="1" outlineLevel="1" x14ac:dyDescent="0.3">
      <c r="A613" s="238"/>
      <c r="B613" s="199">
        <v>4000</v>
      </c>
      <c r="C613" s="246" t="s">
        <v>211</v>
      </c>
      <c r="D613" s="260">
        <f>SUM(D614:D615)</f>
        <v>0</v>
      </c>
    </row>
    <row r="614" spans="1:4" ht="12" hidden="1" customHeight="1" outlineLevel="1" x14ac:dyDescent="0.3">
      <c r="A614" s="238"/>
      <c r="B614" s="242">
        <v>4200</v>
      </c>
      <c r="C614" s="247" t="s">
        <v>212</v>
      </c>
      <c r="D614" s="244"/>
    </row>
    <row r="615" spans="1:4" ht="12" hidden="1" customHeight="1" outlineLevel="1" x14ac:dyDescent="0.3">
      <c r="A615" s="238"/>
      <c r="B615" s="242">
        <v>4300</v>
      </c>
      <c r="C615" s="247" t="s">
        <v>213</v>
      </c>
      <c r="D615" s="244"/>
    </row>
    <row r="616" spans="1:4" ht="12" hidden="1" customHeight="1" outlineLevel="1" x14ac:dyDescent="0.3">
      <c r="A616" s="238"/>
      <c r="B616" s="199">
        <v>5000</v>
      </c>
      <c r="C616" s="200" t="s">
        <v>214</v>
      </c>
      <c r="D616" s="260">
        <f>SUM(D617:D619)</f>
        <v>0</v>
      </c>
    </row>
    <row r="617" spans="1:4" ht="12" hidden="1" customHeight="1" outlineLevel="1" x14ac:dyDescent="0.3">
      <c r="A617" s="238"/>
      <c r="B617" s="242">
        <v>5100</v>
      </c>
      <c r="C617" s="248" t="s">
        <v>215</v>
      </c>
      <c r="D617" s="244"/>
    </row>
    <row r="618" spans="1:4" ht="12" hidden="1" customHeight="1" outlineLevel="1" x14ac:dyDescent="0.3">
      <c r="A618" s="238"/>
      <c r="B618" s="242">
        <v>5200</v>
      </c>
      <c r="C618" s="248" t="s">
        <v>216</v>
      </c>
      <c r="D618" s="244"/>
    </row>
    <row r="619" spans="1:4" ht="12" hidden="1" customHeight="1" outlineLevel="1" x14ac:dyDescent="0.3">
      <c r="A619" s="238"/>
      <c r="B619" s="242">
        <v>5300</v>
      </c>
      <c r="C619" s="249" t="s">
        <v>217</v>
      </c>
      <c r="D619" s="244"/>
    </row>
    <row r="620" spans="1:4" ht="12" hidden="1" customHeight="1" outlineLevel="1" x14ac:dyDescent="0.3">
      <c r="A620" s="238"/>
      <c r="B620" s="199">
        <v>6000</v>
      </c>
      <c r="C620" s="200" t="s">
        <v>218</v>
      </c>
      <c r="D620" s="260">
        <f>SUM(D621:D624)</f>
        <v>0</v>
      </c>
    </row>
    <row r="621" spans="1:4" ht="12" hidden="1" customHeight="1" outlineLevel="1" x14ac:dyDescent="0.3">
      <c r="A621" s="238"/>
      <c r="B621" s="242">
        <v>6200</v>
      </c>
      <c r="C621" s="248" t="s">
        <v>219</v>
      </c>
      <c r="D621" s="244"/>
    </row>
    <row r="622" spans="1:4" ht="12" hidden="1" customHeight="1" outlineLevel="1" x14ac:dyDescent="0.3">
      <c r="A622" s="238"/>
      <c r="B622" s="242">
        <v>6300</v>
      </c>
      <c r="C622" s="248" t="s">
        <v>220</v>
      </c>
      <c r="D622" s="244"/>
    </row>
    <row r="623" spans="1:4" ht="12" hidden="1" customHeight="1" outlineLevel="1" x14ac:dyDescent="0.3">
      <c r="A623" s="238"/>
      <c r="B623" s="242">
        <v>6400</v>
      </c>
      <c r="C623" s="248" t="s">
        <v>221</v>
      </c>
      <c r="D623" s="244"/>
    </row>
    <row r="624" spans="1:4" ht="12" hidden="1" customHeight="1" outlineLevel="1" x14ac:dyDescent="0.3">
      <c r="A624" s="238"/>
      <c r="B624" s="242">
        <v>6500</v>
      </c>
      <c r="C624" s="249" t="s">
        <v>222</v>
      </c>
      <c r="D624" s="244"/>
    </row>
    <row r="625" spans="1:4" ht="12" hidden="1" customHeight="1" outlineLevel="1" x14ac:dyDescent="0.3">
      <c r="A625" s="238"/>
      <c r="B625" s="199">
        <v>7000</v>
      </c>
      <c r="C625" s="200" t="s">
        <v>223</v>
      </c>
      <c r="D625" s="260">
        <f>SUM(D626:D628)</f>
        <v>0</v>
      </c>
    </row>
    <row r="626" spans="1:4" ht="12" hidden="1" customHeight="1" outlineLevel="1" x14ac:dyDescent="0.3">
      <c r="A626" s="238"/>
      <c r="B626" s="250">
        <v>7200</v>
      </c>
      <c r="C626" s="251" t="s">
        <v>224</v>
      </c>
      <c r="D626" s="244"/>
    </row>
    <row r="627" spans="1:4" ht="12" hidden="1" customHeight="1" outlineLevel="1" x14ac:dyDescent="0.3">
      <c r="A627" s="238"/>
      <c r="B627" s="250">
        <v>7500</v>
      </c>
      <c r="C627" s="251" t="s">
        <v>225</v>
      </c>
      <c r="D627" s="244"/>
    </row>
    <row r="628" spans="1:4" ht="12" hidden="1" customHeight="1" outlineLevel="1" x14ac:dyDescent="0.3">
      <c r="A628" s="238"/>
      <c r="B628" s="250">
        <v>7700</v>
      </c>
      <c r="C628" s="251" t="s">
        <v>226</v>
      </c>
      <c r="D628" s="244"/>
    </row>
    <row r="629" spans="1:4" ht="12" hidden="1" customHeight="1" outlineLevel="1" x14ac:dyDescent="0.3">
      <c r="A629" s="238"/>
      <c r="B629" s="252">
        <v>8000</v>
      </c>
      <c r="C629" s="253" t="s">
        <v>227</v>
      </c>
      <c r="D629" s="260">
        <f>SUM(D630:D632)</f>
        <v>0</v>
      </c>
    </row>
    <row r="630" spans="1:4" ht="12" hidden="1" customHeight="1" outlineLevel="1" x14ac:dyDescent="0.3">
      <c r="A630" s="238"/>
      <c r="B630" s="254">
        <v>8100</v>
      </c>
      <c r="C630" s="255" t="s">
        <v>228</v>
      </c>
      <c r="D630" s="260"/>
    </row>
    <row r="631" spans="1:4" ht="12" hidden="1" customHeight="1" outlineLevel="1" x14ac:dyDescent="0.3">
      <c r="A631" s="238"/>
      <c r="B631" s="254">
        <v>8600</v>
      </c>
      <c r="C631" s="255" t="s">
        <v>229</v>
      </c>
      <c r="D631" s="260"/>
    </row>
    <row r="632" spans="1:4" ht="12" hidden="1" customHeight="1" outlineLevel="1" x14ac:dyDescent="0.3">
      <c r="A632" s="238"/>
      <c r="B632" s="254">
        <v>8900</v>
      </c>
      <c r="C632" s="255" t="s">
        <v>230</v>
      </c>
      <c r="D632" s="260"/>
    </row>
    <row r="633" spans="1:4" ht="24" hidden="1" customHeight="1" outlineLevel="1" x14ac:dyDescent="0.3">
      <c r="A633" s="262" t="s">
        <v>264</v>
      </c>
      <c r="B633" s="263"/>
      <c r="C633" s="269" t="s">
        <v>265</v>
      </c>
      <c r="D633" s="265">
        <f t="shared" ref="D633" si="55">D634+D650+D663</f>
        <v>0</v>
      </c>
    </row>
    <row r="634" spans="1:4" ht="12" hidden="1" customHeight="1" outlineLevel="1" x14ac:dyDescent="0.3">
      <c r="A634" s="227"/>
      <c r="B634" s="228"/>
      <c r="C634" s="229" t="s">
        <v>251</v>
      </c>
      <c r="D634" s="230">
        <f t="shared" ref="D634" si="56">D635+D638+D644+D647+D654+D659</f>
        <v>0</v>
      </c>
    </row>
    <row r="635" spans="1:4" ht="12" hidden="1" customHeight="1" outlineLevel="1" x14ac:dyDescent="0.3">
      <c r="A635" s="227"/>
      <c r="B635" s="231">
        <v>1000</v>
      </c>
      <c r="C635" s="232" t="s">
        <v>199</v>
      </c>
      <c r="D635" s="230">
        <f>SUM(D636:D637)</f>
        <v>0</v>
      </c>
    </row>
    <row r="636" spans="1:4" ht="12" hidden="1" customHeight="1" outlineLevel="1" x14ac:dyDescent="0.3">
      <c r="A636" s="227"/>
      <c r="B636" s="234">
        <v>1100</v>
      </c>
      <c r="C636" s="235" t="s">
        <v>200</v>
      </c>
      <c r="D636" s="236"/>
    </row>
    <row r="637" spans="1:4" ht="12" hidden="1" customHeight="1" outlineLevel="1" x14ac:dyDescent="0.3">
      <c r="A637" s="227"/>
      <c r="B637" s="234">
        <v>1200</v>
      </c>
      <c r="C637" s="237" t="s">
        <v>201</v>
      </c>
      <c r="D637" s="236"/>
    </row>
    <row r="638" spans="1:4" ht="12" hidden="1" customHeight="1" outlineLevel="1" x14ac:dyDescent="0.3">
      <c r="A638" s="238"/>
      <c r="B638" s="239">
        <v>2000</v>
      </c>
      <c r="C638" s="240" t="s">
        <v>202</v>
      </c>
      <c r="D638" s="260">
        <f>SUM(D639:D643)</f>
        <v>0</v>
      </c>
    </row>
    <row r="639" spans="1:4" ht="12" hidden="1" customHeight="1" outlineLevel="1" x14ac:dyDescent="0.3">
      <c r="A639" s="238"/>
      <c r="B639" s="242">
        <v>2100</v>
      </c>
      <c r="C639" s="243" t="s">
        <v>203</v>
      </c>
      <c r="D639" s="244"/>
    </row>
    <row r="640" spans="1:4" ht="12" hidden="1" customHeight="1" outlineLevel="1" x14ac:dyDescent="0.3">
      <c r="A640" s="238"/>
      <c r="B640" s="242">
        <v>2200</v>
      </c>
      <c r="C640" s="243" t="s">
        <v>204</v>
      </c>
      <c r="D640" s="244"/>
    </row>
    <row r="641" spans="1:4" ht="12" hidden="1" customHeight="1" outlineLevel="1" x14ac:dyDescent="0.3">
      <c r="A641" s="238"/>
      <c r="B641" s="242">
        <v>2300</v>
      </c>
      <c r="C641" s="243" t="s">
        <v>205</v>
      </c>
      <c r="D641" s="244"/>
    </row>
    <row r="642" spans="1:4" ht="12" hidden="1" customHeight="1" outlineLevel="1" x14ac:dyDescent="0.3">
      <c r="A642" s="238"/>
      <c r="B642" s="242">
        <v>2400</v>
      </c>
      <c r="C642" s="243" t="s">
        <v>206</v>
      </c>
      <c r="D642" s="244"/>
    </row>
    <row r="643" spans="1:4" ht="12" hidden="1" customHeight="1" outlineLevel="1" x14ac:dyDescent="0.3">
      <c r="A643" s="238"/>
      <c r="B643" s="242">
        <v>2500</v>
      </c>
      <c r="C643" s="243" t="s">
        <v>207</v>
      </c>
      <c r="D643" s="244"/>
    </row>
    <row r="644" spans="1:4" ht="12" hidden="1" customHeight="1" outlineLevel="1" x14ac:dyDescent="0.3">
      <c r="A644" s="238"/>
      <c r="B644" s="199">
        <v>3000</v>
      </c>
      <c r="C644" s="245" t="s">
        <v>208</v>
      </c>
      <c r="D644" s="260">
        <f>SUM(D645:D646)</f>
        <v>0</v>
      </c>
    </row>
    <row r="645" spans="1:4" ht="12" hidden="1" customHeight="1" outlineLevel="1" x14ac:dyDescent="0.3">
      <c r="A645" s="238"/>
      <c r="B645" s="242">
        <v>3200</v>
      </c>
      <c r="C645" s="243" t="s">
        <v>209</v>
      </c>
      <c r="D645" s="244"/>
    </row>
    <row r="646" spans="1:4" ht="12" hidden="1" customHeight="1" outlineLevel="1" x14ac:dyDescent="0.3">
      <c r="A646" s="238"/>
      <c r="B646" s="242">
        <v>3300</v>
      </c>
      <c r="C646" s="243" t="s">
        <v>210</v>
      </c>
      <c r="D646" s="244"/>
    </row>
    <row r="647" spans="1:4" ht="12" hidden="1" customHeight="1" outlineLevel="1" x14ac:dyDescent="0.3">
      <c r="A647" s="238"/>
      <c r="B647" s="199">
        <v>4000</v>
      </c>
      <c r="C647" s="246" t="s">
        <v>211</v>
      </c>
      <c r="D647" s="260">
        <f>SUM(D648:D649)</f>
        <v>0</v>
      </c>
    </row>
    <row r="648" spans="1:4" ht="12" hidden="1" customHeight="1" outlineLevel="1" x14ac:dyDescent="0.3">
      <c r="A648" s="238"/>
      <c r="B648" s="242">
        <v>4200</v>
      </c>
      <c r="C648" s="247" t="s">
        <v>212</v>
      </c>
      <c r="D648" s="244"/>
    </row>
    <row r="649" spans="1:4" ht="12" hidden="1" customHeight="1" outlineLevel="1" x14ac:dyDescent="0.3">
      <c r="A649" s="238"/>
      <c r="B649" s="242">
        <v>4300</v>
      </c>
      <c r="C649" s="247" t="s">
        <v>213</v>
      </c>
      <c r="D649" s="244"/>
    </row>
    <row r="650" spans="1:4" ht="12" hidden="1" customHeight="1" outlineLevel="1" x14ac:dyDescent="0.3">
      <c r="A650" s="238"/>
      <c r="B650" s="199">
        <v>5000</v>
      </c>
      <c r="C650" s="200" t="s">
        <v>214</v>
      </c>
      <c r="D650" s="260">
        <f>SUM(D651:D653)</f>
        <v>0</v>
      </c>
    </row>
    <row r="651" spans="1:4" ht="12" hidden="1" customHeight="1" outlineLevel="1" x14ac:dyDescent="0.3">
      <c r="A651" s="238"/>
      <c r="B651" s="242">
        <v>5100</v>
      </c>
      <c r="C651" s="248" t="s">
        <v>215</v>
      </c>
      <c r="D651" s="260"/>
    </row>
    <row r="652" spans="1:4" ht="12" hidden="1" customHeight="1" outlineLevel="1" x14ac:dyDescent="0.3">
      <c r="A652" s="238"/>
      <c r="B652" s="242">
        <v>5200</v>
      </c>
      <c r="C652" s="248" t="s">
        <v>216</v>
      </c>
      <c r="D652" s="260"/>
    </row>
    <row r="653" spans="1:4" ht="12" hidden="1" customHeight="1" outlineLevel="1" x14ac:dyDescent="0.3">
      <c r="A653" s="238"/>
      <c r="B653" s="242">
        <v>5300</v>
      </c>
      <c r="C653" s="249" t="s">
        <v>217</v>
      </c>
      <c r="D653" s="260"/>
    </row>
    <row r="654" spans="1:4" ht="12" hidden="1" customHeight="1" outlineLevel="1" x14ac:dyDescent="0.3">
      <c r="A654" s="238"/>
      <c r="B654" s="199">
        <v>6000</v>
      </c>
      <c r="C654" s="200" t="s">
        <v>218</v>
      </c>
      <c r="D654" s="260">
        <f>SUM(D655:D658)</f>
        <v>0</v>
      </c>
    </row>
    <row r="655" spans="1:4" ht="12" hidden="1" customHeight="1" outlineLevel="1" x14ac:dyDescent="0.3">
      <c r="A655" s="238"/>
      <c r="B655" s="242">
        <v>6200</v>
      </c>
      <c r="C655" s="248" t="s">
        <v>219</v>
      </c>
      <c r="D655" s="244"/>
    </row>
    <row r="656" spans="1:4" ht="12" hidden="1" customHeight="1" outlineLevel="1" x14ac:dyDescent="0.3">
      <c r="A656" s="238"/>
      <c r="B656" s="242">
        <v>6300</v>
      </c>
      <c r="C656" s="248" t="s">
        <v>220</v>
      </c>
      <c r="D656" s="244"/>
    </row>
    <row r="657" spans="1:4" ht="12" hidden="1" customHeight="1" outlineLevel="1" x14ac:dyDescent="0.3">
      <c r="A657" s="238"/>
      <c r="B657" s="242">
        <v>6400</v>
      </c>
      <c r="C657" s="248" t="s">
        <v>221</v>
      </c>
      <c r="D657" s="244"/>
    </row>
    <row r="658" spans="1:4" ht="12" hidden="1" customHeight="1" outlineLevel="1" x14ac:dyDescent="0.3">
      <c r="A658" s="238"/>
      <c r="B658" s="242">
        <v>6500</v>
      </c>
      <c r="C658" s="249" t="s">
        <v>222</v>
      </c>
      <c r="D658" s="244"/>
    </row>
    <row r="659" spans="1:4" ht="12" hidden="1" customHeight="1" outlineLevel="1" x14ac:dyDescent="0.3">
      <c r="A659" s="238"/>
      <c r="B659" s="199">
        <v>7000</v>
      </c>
      <c r="C659" s="200" t="s">
        <v>223</v>
      </c>
      <c r="D659" s="260">
        <f>SUM(D660:D662)</f>
        <v>0</v>
      </c>
    </row>
    <row r="660" spans="1:4" ht="12" hidden="1" customHeight="1" outlineLevel="1" x14ac:dyDescent="0.3">
      <c r="A660" s="238"/>
      <c r="B660" s="250">
        <v>7200</v>
      </c>
      <c r="C660" s="251" t="s">
        <v>224</v>
      </c>
      <c r="D660" s="244"/>
    </row>
    <row r="661" spans="1:4" ht="12" hidden="1" customHeight="1" outlineLevel="1" x14ac:dyDescent="0.3">
      <c r="A661" s="238"/>
      <c r="B661" s="250">
        <v>7500</v>
      </c>
      <c r="C661" s="251" t="s">
        <v>225</v>
      </c>
      <c r="D661" s="244"/>
    </row>
    <row r="662" spans="1:4" ht="12" hidden="1" customHeight="1" outlineLevel="1" x14ac:dyDescent="0.3">
      <c r="A662" s="238"/>
      <c r="B662" s="250">
        <v>7700</v>
      </c>
      <c r="C662" s="251" t="s">
        <v>226</v>
      </c>
      <c r="D662" s="244"/>
    </row>
    <row r="663" spans="1:4" ht="12" hidden="1" customHeight="1" outlineLevel="1" x14ac:dyDescent="0.3">
      <c r="A663" s="238"/>
      <c r="B663" s="252">
        <v>8000</v>
      </c>
      <c r="C663" s="253" t="s">
        <v>227</v>
      </c>
      <c r="D663" s="260">
        <f>SUM(D664:D666)</f>
        <v>0</v>
      </c>
    </row>
    <row r="664" spans="1:4" ht="12" hidden="1" customHeight="1" outlineLevel="1" x14ac:dyDescent="0.3">
      <c r="A664" s="238"/>
      <c r="B664" s="254">
        <v>8100</v>
      </c>
      <c r="C664" s="255" t="s">
        <v>228</v>
      </c>
      <c r="D664" s="260"/>
    </row>
    <row r="665" spans="1:4" ht="12" hidden="1" customHeight="1" outlineLevel="1" x14ac:dyDescent="0.3">
      <c r="A665" s="238"/>
      <c r="B665" s="254">
        <v>8600</v>
      </c>
      <c r="C665" s="255" t="s">
        <v>229</v>
      </c>
      <c r="D665" s="260"/>
    </row>
    <row r="666" spans="1:4" ht="12" hidden="1" customHeight="1" outlineLevel="1" x14ac:dyDescent="0.3">
      <c r="A666" s="238"/>
      <c r="B666" s="254">
        <v>8900</v>
      </c>
      <c r="C666" s="255" t="s">
        <v>230</v>
      </c>
      <c r="D666" s="260"/>
    </row>
    <row r="667" spans="1:4" ht="12" hidden="1" customHeight="1" outlineLevel="1" x14ac:dyDescent="0.3">
      <c r="A667" s="256" t="s">
        <v>266</v>
      </c>
      <c r="B667" s="257"/>
      <c r="C667" s="258" t="s">
        <v>267</v>
      </c>
      <c r="D667" s="259">
        <f t="shared" ref="D667" si="57">D668+D684+D697</f>
        <v>0</v>
      </c>
    </row>
    <row r="668" spans="1:4" ht="12" hidden="1" customHeight="1" outlineLevel="1" x14ac:dyDescent="0.3">
      <c r="A668" s="227"/>
      <c r="B668" s="228"/>
      <c r="C668" s="229" t="s">
        <v>251</v>
      </c>
      <c r="D668" s="230">
        <f t="shared" ref="D668" si="58">D669+D672+D678+D681+D688+D693</f>
        <v>0</v>
      </c>
    </row>
    <row r="669" spans="1:4" ht="12" hidden="1" customHeight="1" outlineLevel="1" x14ac:dyDescent="0.3">
      <c r="A669" s="227"/>
      <c r="B669" s="231">
        <v>1000</v>
      </c>
      <c r="C669" s="232" t="s">
        <v>199</v>
      </c>
      <c r="D669" s="230">
        <f>SUM(D670:D671)</f>
        <v>0</v>
      </c>
    </row>
    <row r="670" spans="1:4" ht="12" hidden="1" customHeight="1" outlineLevel="1" x14ac:dyDescent="0.3">
      <c r="A670" s="227"/>
      <c r="B670" s="234">
        <v>1100</v>
      </c>
      <c r="C670" s="235" t="s">
        <v>200</v>
      </c>
      <c r="D670" s="236"/>
    </row>
    <row r="671" spans="1:4" ht="12" hidden="1" customHeight="1" outlineLevel="1" x14ac:dyDescent="0.3">
      <c r="A671" s="227"/>
      <c r="B671" s="234">
        <v>1200</v>
      </c>
      <c r="C671" s="237" t="s">
        <v>201</v>
      </c>
      <c r="D671" s="236"/>
    </row>
    <row r="672" spans="1:4" ht="12" hidden="1" customHeight="1" outlineLevel="1" x14ac:dyDescent="0.3">
      <c r="A672" s="238"/>
      <c r="B672" s="239">
        <v>2000</v>
      </c>
      <c r="C672" s="240" t="s">
        <v>202</v>
      </c>
      <c r="D672" s="260">
        <f>SUM(D673:D677)</f>
        <v>0</v>
      </c>
    </row>
    <row r="673" spans="1:4" ht="12" hidden="1" customHeight="1" outlineLevel="1" x14ac:dyDescent="0.3">
      <c r="A673" s="238"/>
      <c r="B673" s="242">
        <v>2100</v>
      </c>
      <c r="C673" s="243" t="s">
        <v>203</v>
      </c>
      <c r="D673" s="244"/>
    </row>
    <row r="674" spans="1:4" ht="12" hidden="1" customHeight="1" outlineLevel="1" x14ac:dyDescent="0.3">
      <c r="A674" s="238"/>
      <c r="B674" s="242">
        <v>2200</v>
      </c>
      <c r="C674" s="243" t="s">
        <v>204</v>
      </c>
      <c r="D674" s="244"/>
    </row>
    <row r="675" spans="1:4" ht="12" hidden="1" customHeight="1" outlineLevel="1" x14ac:dyDescent="0.3">
      <c r="A675" s="238"/>
      <c r="B675" s="242">
        <v>2300</v>
      </c>
      <c r="C675" s="243" t="s">
        <v>205</v>
      </c>
      <c r="D675" s="244"/>
    </row>
    <row r="676" spans="1:4" ht="12" hidden="1" customHeight="1" outlineLevel="1" x14ac:dyDescent="0.3">
      <c r="A676" s="238"/>
      <c r="B676" s="242">
        <v>2400</v>
      </c>
      <c r="C676" s="243" t="s">
        <v>206</v>
      </c>
      <c r="D676" s="244"/>
    </row>
    <row r="677" spans="1:4" ht="12" hidden="1" customHeight="1" outlineLevel="1" x14ac:dyDescent="0.3">
      <c r="A677" s="238"/>
      <c r="B677" s="242">
        <v>2500</v>
      </c>
      <c r="C677" s="243" t="s">
        <v>207</v>
      </c>
      <c r="D677" s="244"/>
    </row>
    <row r="678" spans="1:4" ht="12" hidden="1" customHeight="1" outlineLevel="1" x14ac:dyDescent="0.3">
      <c r="A678" s="238"/>
      <c r="B678" s="199">
        <v>3000</v>
      </c>
      <c r="C678" s="245" t="s">
        <v>208</v>
      </c>
      <c r="D678" s="260">
        <f>SUM(D679:D680)</f>
        <v>0</v>
      </c>
    </row>
    <row r="679" spans="1:4" ht="12" hidden="1" customHeight="1" outlineLevel="1" x14ac:dyDescent="0.3">
      <c r="A679" s="238"/>
      <c r="B679" s="242">
        <v>3200</v>
      </c>
      <c r="C679" s="243" t="s">
        <v>209</v>
      </c>
      <c r="D679" s="244"/>
    </row>
    <row r="680" spans="1:4" ht="12" hidden="1" customHeight="1" outlineLevel="1" x14ac:dyDescent="0.3">
      <c r="A680" s="238"/>
      <c r="B680" s="242">
        <v>3300</v>
      </c>
      <c r="C680" s="243" t="s">
        <v>210</v>
      </c>
      <c r="D680" s="244"/>
    </row>
    <row r="681" spans="1:4" ht="12" hidden="1" customHeight="1" outlineLevel="1" x14ac:dyDescent="0.3">
      <c r="A681" s="238"/>
      <c r="B681" s="199">
        <v>4000</v>
      </c>
      <c r="C681" s="246" t="s">
        <v>211</v>
      </c>
      <c r="D681" s="260">
        <f>SUM(D682:D683)</f>
        <v>0</v>
      </c>
    </row>
    <row r="682" spans="1:4" ht="12" hidden="1" customHeight="1" outlineLevel="1" x14ac:dyDescent="0.3">
      <c r="A682" s="238"/>
      <c r="B682" s="242">
        <v>4200</v>
      </c>
      <c r="C682" s="247" t="s">
        <v>212</v>
      </c>
      <c r="D682" s="244"/>
    </row>
    <row r="683" spans="1:4" ht="12" hidden="1" customHeight="1" outlineLevel="1" x14ac:dyDescent="0.3">
      <c r="A683" s="238"/>
      <c r="B683" s="242">
        <v>4300</v>
      </c>
      <c r="C683" s="247" t="s">
        <v>213</v>
      </c>
      <c r="D683" s="244"/>
    </row>
    <row r="684" spans="1:4" ht="12" hidden="1" customHeight="1" outlineLevel="1" x14ac:dyDescent="0.3">
      <c r="A684" s="238"/>
      <c r="B684" s="199">
        <v>5000</v>
      </c>
      <c r="C684" s="200" t="s">
        <v>214</v>
      </c>
      <c r="D684" s="260">
        <f>SUM(D685:D687)</f>
        <v>0</v>
      </c>
    </row>
    <row r="685" spans="1:4" ht="12" hidden="1" customHeight="1" outlineLevel="1" x14ac:dyDescent="0.3">
      <c r="A685" s="238"/>
      <c r="B685" s="242">
        <v>5100</v>
      </c>
      <c r="C685" s="248" t="s">
        <v>215</v>
      </c>
      <c r="D685" s="244"/>
    </row>
    <row r="686" spans="1:4" ht="12" hidden="1" customHeight="1" outlineLevel="1" x14ac:dyDescent="0.3">
      <c r="A686" s="238"/>
      <c r="B686" s="242">
        <v>5200</v>
      </c>
      <c r="C686" s="248" t="s">
        <v>216</v>
      </c>
      <c r="D686" s="244"/>
    </row>
    <row r="687" spans="1:4" ht="12" hidden="1" customHeight="1" outlineLevel="1" x14ac:dyDescent="0.3">
      <c r="A687" s="238"/>
      <c r="B687" s="242">
        <v>5300</v>
      </c>
      <c r="C687" s="249" t="s">
        <v>217</v>
      </c>
      <c r="D687" s="244"/>
    </row>
    <row r="688" spans="1:4" ht="12" hidden="1" customHeight="1" outlineLevel="1" x14ac:dyDescent="0.3">
      <c r="A688" s="238"/>
      <c r="B688" s="199">
        <v>6000</v>
      </c>
      <c r="C688" s="200" t="s">
        <v>218</v>
      </c>
      <c r="D688" s="260">
        <f>SUM(D689:D692)</f>
        <v>0</v>
      </c>
    </row>
    <row r="689" spans="1:4" ht="12" hidden="1" customHeight="1" outlineLevel="1" x14ac:dyDescent="0.3">
      <c r="A689" s="238"/>
      <c r="B689" s="242">
        <v>6200</v>
      </c>
      <c r="C689" s="248" t="s">
        <v>219</v>
      </c>
      <c r="D689" s="244"/>
    </row>
    <row r="690" spans="1:4" ht="12" hidden="1" customHeight="1" outlineLevel="1" x14ac:dyDescent="0.3">
      <c r="A690" s="238"/>
      <c r="B690" s="242">
        <v>6300</v>
      </c>
      <c r="C690" s="248" t="s">
        <v>220</v>
      </c>
      <c r="D690" s="244"/>
    </row>
    <row r="691" spans="1:4" ht="12" hidden="1" customHeight="1" outlineLevel="1" x14ac:dyDescent="0.3">
      <c r="A691" s="238"/>
      <c r="B691" s="242">
        <v>6400</v>
      </c>
      <c r="C691" s="248" t="s">
        <v>221</v>
      </c>
      <c r="D691" s="244"/>
    </row>
    <row r="692" spans="1:4" ht="12" hidden="1" customHeight="1" outlineLevel="1" x14ac:dyDescent="0.3">
      <c r="A692" s="238"/>
      <c r="B692" s="242">
        <v>6500</v>
      </c>
      <c r="C692" s="249" t="s">
        <v>222</v>
      </c>
      <c r="D692" s="244"/>
    </row>
    <row r="693" spans="1:4" ht="12" hidden="1" customHeight="1" outlineLevel="1" x14ac:dyDescent="0.3">
      <c r="A693" s="238"/>
      <c r="B693" s="199">
        <v>7000</v>
      </c>
      <c r="C693" s="200" t="s">
        <v>223</v>
      </c>
      <c r="D693" s="260">
        <f>SUM(D694:D696)</f>
        <v>0</v>
      </c>
    </row>
    <row r="694" spans="1:4" ht="12" hidden="1" customHeight="1" outlineLevel="1" x14ac:dyDescent="0.3">
      <c r="A694" s="238"/>
      <c r="B694" s="250">
        <v>7200</v>
      </c>
      <c r="C694" s="251" t="s">
        <v>224</v>
      </c>
      <c r="D694" s="244"/>
    </row>
    <row r="695" spans="1:4" ht="12" hidden="1" customHeight="1" outlineLevel="1" x14ac:dyDescent="0.3">
      <c r="A695" s="238"/>
      <c r="B695" s="250">
        <v>7500</v>
      </c>
      <c r="C695" s="251" t="s">
        <v>225</v>
      </c>
      <c r="D695" s="244"/>
    </row>
    <row r="696" spans="1:4" ht="12" hidden="1" customHeight="1" outlineLevel="1" x14ac:dyDescent="0.3">
      <c r="A696" s="238"/>
      <c r="B696" s="250">
        <v>7700</v>
      </c>
      <c r="C696" s="251" t="s">
        <v>226</v>
      </c>
      <c r="D696" s="244"/>
    </row>
    <row r="697" spans="1:4" ht="12" hidden="1" customHeight="1" outlineLevel="1" x14ac:dyDescent="0.3">
      <c r="A697" s="238"/>
      <c r="B697" s="252">
        <v>8000</v>
      </c>
      <c r="C697" s="253" t="s">
        <v>227</v>
      </c>
      <c r="D697" s="260">
        <f>SUM(D698:D700)</f>
        <v>0</v>
      </c>
    </row>
    <row r="698" spans="1:4" ht="12" hidden="1" customHeight="1" outlineLevel="1" x14ac:dyDescent="0.3">
      <c r="A698" s="238"/>
      <c r="B698" s="254">
        <v>8100</v>
      </c>
      <c r="C698" s="255" t="s">
        <v>228</v>
      </c>
      <c r="D698" s="260"/>
    </row>
    <row r="699" spans="1:4" ht="12" hidden="1" customHeight="1" outlineLevel="1" x14ac:dyDescent="0.3">
      <c r="A699" s="238"/>
      <c r="B699" s="254">
        <v>8600</v>
      </c>
      <c r="C699" s="255" t="s">
        <v>229</v>
      </c>
      <c r="D699" s="260"/>
    </row>
    <row r="700" spans="1:4" ht="12" hidden="1" customHeight="1" outlineLevel="1" x14ac:dyDescent="0.3">
      <c r="A700" s="238"/>
      <c r="B700" s="254">
        <v>8900</v>
      </c>
      <c r="C700" s="255" t="s">
        <v>230</v>
      </c>
      <c r="D700" s="260"/>
    </row>
    <row r="701" spans="1:4" ht="12" hidden="1" customHeight="1" outlineLevel="1" x14ac:dyDescent="0.3">
      <c r="A701" s="256" t="s">
        <v>268</v>
      </c>
      <c r="B701" s="257"/>
      <c r="C701" s="258" t="s">
        <v>269</v>
      </c>
      <c r="D701" s="259">
        <f t="shared" ref="D701" si="59">D702+D718+D731</f>
        <v>0</v>
      </c>
    </row>
    <row r="702" spans="1:4" ht="12" hidden="1" customHeight="1" outlineLevel="1" x14ac:dyDescent="0.3">
      <c r="A702" s="227"/>
      <c r="B702" s="228"/>
      <c r="C702" s="229" t="s">
        <v>198</v>
      </c>
      <c r="D702" s="230">
        <f t="shared" ref="D702" si="60">D703+D706+D712+D715+D722+D727</f>
        <v>0</v>
      </c>
    </row>
    <row r="703" spans="1:4" ht="12" hidden="1" customHeight="1" outlineLevel="1" x14ac:dyDescent="0.3">
      <c r="A703" s="227"/>
      <c r="B703" s="231">
        <v>1000</v>
      </c>
      <c r="C703" s="232" t="s">
        <v>199</v>
      </c>
      <c r="D703" s="230">
        <f>SUM(D704:D705)</f>
        <v>0</v>
      </c>
    </row>
    <row r="704" spans="1:4" ht="12" hidden="1" customHeight="1" outlineLevel="1" x14ac:dyDescent="0.3">
      <c r="A704" s="227"/>
      <c r="B704" s="234">
        <v>1100</v>
      </c>
      <c r="C704" s="235" t="s">
        <v>200</v>
      </c>
      <c r="D704" s="236"/>
    </row>
    <row r="705" spans="1:4" ht="12" hidden="1" customHeight="1" outlineLevel="1" x14ac:dyDescent="0.3">
      <c r="A705" s="227"/>
      <c r="B705" s="234">
        <v>1200</v>
      </c>
      <c r="C705" s="237" t="s">
        <v>201</v>
      </c>
      <c r="D705" s="236"/>
    </row>
    <row r="706" spans="1:4" ht="12" hidden="1" customHeight="1" outlineLevel="1" x14ac:dyDescent="0.3">
      <c r="A706" s="238"/>
      <c r="B706" s="239">
        <v>2000</v>
      </c>
      <c r="C706" s="240" t="s">
        <v>202</v>
      </c>
      <c r="D706" s="260">
        <f>SUM(D707:D711)</f>
        <v>0</v>
      </c>
    </row>
    <row r="707" spans="1:4" ht="12" hidden="1" customHeight="1" outlineLevel="1" x14ac:dyDescent="0.3">
      <c r="A707" s="238"/>
      <c r="B707" s="242">
        <v>2100</v>
      </c>
      <c r="C707" s="243" t="s">
        <v>203</v>
      </c>
      <c r="D707" s="244"/>
    </row>
    <row r="708" spans="1:4" ht="12" hidden="1" customHeight="1" outlineLevel="1" x14ac:dyDescent="0.3">
      <c r="A708" s="238"/>
      <c r="B708" s="242">
        <v>2200</v>
      </c>
      <c r="C708" s="243" t="s">
        <v>204</v>
      </c>
      <c r="D708" s="244"/>
    </row>
    <row r="709" spans="1:4" ht="12" hidden="1" customHeight="1" outlineLevel="1" x14ac:dyDescent="0.3">
      <c r="A709" s="238"/>
      <c r="B709" s="242">
        <v>2300</v>
      </c>
      <c r="C709" s="243" t="s">
        <v>205</v>
      </c>
      <c r="D709" s="244"/>
    </row>
    <row r="710" spans="1:4" ht="12" hidden="1" customHeight="1" outlineLevel="1" x14ac:dyDescent="0.3">
      <c r="A710" s="238"/>
      <c r="B710" s="242">
        <v>2400</v>
      </c>
      <c r="C710" s="243" t="s">
        <v>206</v>
      </c>
      <c r="D710" s="244"/>
    </row>
    <row r="711" spans="1:4" ht="12" hidden="1" customHeight="1" outlineLevel="1" x14ac:dyDescent="0.3">
      <c r="A711" s="238"/>
      <c r="B711" s="242">
        <v>2500</v>
      </c>
      <c r="C711" s="243" t="s">
        <v>207</v>
      </c>
      <c r="D711" s="244"/>
    </row>
    <row r="712" spans="1:4" ht="12" hidden="1" customHeight="1" outlineLevel="1" x14ac:dyDescent="0.3">
      <c r="A712" s="238"/>
      <c r="B712" s="199">
        <v>3000</v>
      </c>
      <c r="C712" s="245" t="s">
        <v>208</v>
      </c>
      <c r="D712" s="260">
        <f>SUM(D713:D714)</f>
        <v>0</v>
      </c>
    </row>
    <row r="713" spans="1:4" ht="12" hidden="1" customHeight="1" outlineLevel="1" x14ac:dyDescent="0.3">
      <c r="A713" s="238"/>
      <c r="B713" s="242">
        <v>3200</v>
      </c>
      <c r="C713" s="243" t="s">
        <v>209</v>
      </c>
      <c r="D713" s="244"/>
    </row>
    <row r="714" spans="1:4" ht="12" hidden="1" customHeight="1" outlineLevel="1" x14ac:dyDescent="0.3">
      <c r="A714" s="238"/>
      <c r="B714" s="242">
        <v>3300</v>
      </c>
      <c r="C714" s="243" t="s">
        <v>210</v>
      </c>
      <c r="D714" s="244"/>
    </row>
    <row r="715" spans="1:4" ht="12" hidden="1" customHeight="1" outlineLevel="1" x14ac:dyDescent="0.3">
      <c r="A715" s="238"/>
      <c r="B715" s="199">
        <v>4000</v>
      </c>
      <c r="C715" s="246" t="s">
        <v>211</v>
      </c>
      <c r="D715" s="260">
        <f>SUM(D716:D717)</f>
        <v>0</v>
      </c>
    </row>
    <row r="716" spans="1:4" ht="12" hidden="1" customHeight="1" outlineLevel="1" x14ac:dyDescent="0.3">
      <c r="A716" s="238"/>
      <c r="B716" s="242">
        <v>4200</v>
      </c>
      <c r="C716" s="247" t="s">
        <v>212</v>
      </c>
      <c r="D716" s="244"/>
    </row>
    <row r="717" spans="1:4" ht="12" hidden="1" customHeight="1" outlineLevel="1" x14ac:dyDescent="0.3">
      <c r="A717" s="238"/>
      <c r="B717" s="242">
        <v>4300</v>
      </c>
      <c r="C717" s="247" t="s">
        <v>213</v>
      </c>
      <c r="D717" s="244"/>
    </row>
    <row r="718" spans="1:4" ht="12" hidden="1" customHeight="1" outlineLevel="1" x14ac:dyDescent="0.3">
      <c r="A718" s="238"/>
      <c r="B718" s="199">
        <v>5000</v>
      </c>
      <c r="C718" s="200" t="s">
        <v>214</v>
      </c>
      <c r="D718" s="260">
        <f>SUM(D719:D721)</f>
        <v>0</v>
      </c>
    </row>
    <row r="719" spans="1:4" ht="12" hidden="1" customHeight="1" outlineLevel="1" x14ac:dyDescent="0.3">
      <c r="A719" s="238"/>
      <c r="B719" s="242">
        <v>5100</v>
      </c>
      <c r="C719" s="248" t="s">
        <v>215</v>
      </c>
      <c r="D719" s="260"/>
    </row>
    <row r="720" spans="1:4" ht="12" hidden="1" customHeight="1" outlineLevel="1" x14ac:dyDescent="0.3">
      <c r="A720" s="238"/>
      <c r="B720" s="242">
        <v>5200</v>
      </c>
      <c r="C720" s="248" t="s">
        <v>216</v>
      </c>
      <c r="D720" s="260"/>
    </row>
    <row r="721" spans="1:4" ht="12" hidden="1" customHeight="1" outlineLevel="1" x14ac:dyDescent="0.3">
      <c r="A721" s="238"/>
      <c r="B721" s="242">
        <v>5300</v>
      </c>
      <c r="C721" s="249" t="s">
        <v>217</v>
      </c>
      <c r="D721" s="260"/>
    </row>
    <row r="722" spans="1:4" ht="12" hidden="1" customHeight="1" outlineLevel="1" x14ac:dyDescent="0.3">
      <c r="A722" s="238"/>
      <c r="B722" s="199">
        <v>6000</v>
      </c>
      <c r="C722" s="200" t="s">
        <v>218</v>
      </c>
      <c r="D722" s="260">
        <f>SUM(D723:D726)</f>
        <v>0</v>
      </c>
    </row>
    <row r="723" spans="1:4" ht="12" hidden="1" customHeight="1" outlineLevel="1" x14ac:dyDescent="0.3">
      <c r="A723" s="238"/>
      <c r="B723" s="242">
        <v>6200</v>
      </c>
      <c r="C723" s="248" t="s">
        <v>219</v>
      </c>
      <c r="D723" s="244"/>
    </row>
    <row r="724" spans="1:4" ht="12" hidden="1" customHeight="1" outlineLevel="1" x14ac:dyDescent="0.3">
      <c r="A724" s="238"/>
      <c r="B724" s="242">
        <v>6300</v>
      </c>
      <c r="C724" s="248" t="s">
        <v>220</v>
      </c>
      <c r="D724" s="244"/>
    </row>
    <row r="725" spans="1:4" ht="12" hidden="1" customHeight="1" outlineLevel="1" x14ac:dyDescent="0.3">
      <c r="A725" s="238"/>
      <c r="B725" s="242">
        <v>6400</v>
      </c>
      <c r="C725" s="248" t="s">
        <v>221</v>
      </c>
      <c r="D725" s="244"/>
    </row>
    <row r="726" spans="1:4" ht="12" hidden="1" customHeight="1" outlineLevel="1" x14ac:dyDescent="0.3">
      <c r="A726" s="238"/>
      <c r="B726" s="242">
        <v>6500</v>
      </c>
      <c r="C726" s="249" t="s">
        <v>222</v>
      </c>
      <c r="D726" s="244"/>
    </row>
    <row r="727" spans="1:4" ht="12" hidden="1" customHeight="1" outlineLevel="1" x14ac:dyDescent="0.3">
      <c r="A727" s="238"/>
      <c r="B727" s="199">
        <v>7000</v>
      </c>
      <c r="C727" s="200" t="s">
        <v>223</v>
      </c>
      <c r="D727" s="260">
        <f>SUM(D728:D730)</f>
        <v>0</v>
      </c>
    </row>
    <row r="728" spans="1:4" ht="12" hidden="1" customHeight="1" outlineLevel="1" x14ac:dyDescent="0.3">
      <c r="A728" s="238"/>
      <c r="B728" s="250">
        <v>7200</v>
      </c>
      <c r="C728" s="251" t="s">
        <v>224</v>
      </c>
      <c r="D728" s="244"/>
    </row>
    <row r="729" spans="1:4" ht="12" hidden="1" customHeight="1" outlineLevel="1" x14ac:dyDescent="0.3">
      <c r="A729" s="238"/>
      <c r="B729" s="250">
        <v>7500</v>
      </c>
      <c r="C729" s="251" t="s">
        <v>225</v>
      </c>
      <c r="D729" s="244"/>
    </row>
    <row r="730" spans="1:4" ht="12" hidden="1" customHeight="1" outlineLevel="1" x14ac:dyDescent="0.3">
      <c r="A730" s="238"/>
      <c r="B730" s="250">
        <v>7700</v>
      </c>
      <c r="C730" s="251" t="s">
        <v>226</v>
      </c>
      <c r="D730" s="244"/>
    </row>
    <row r="731" spans="1:4" ht="12" hidden="1" customHeight="1" outlineLevel="1" x14ac:dyDescent="0.3">
      <c r="A731" s="238"/>
      <c r="B731" s="252">
        <v>8000</v>
      </c>
      <c r="C731" s="253" t="s">
        <v>227</v>
      </c>
      <c r="D731" s="260">
        <f>SUM(D732:D734)</f>
        <v>0</v>
      </c>
    </row>
    <row r="732" spans="1:4" ht="12" hidden="1" customHeight="1" outlineLevel="1" x14ac:dyDescent="0.3">
      <c r="A732" s="238"/>
      <c r="B732" s="254">
        <v>8100</v>
      </c>
      <c r="C732" s="255" t="s">
        <v>228</v>
      </c>
      <c r="D732" s="260"/>
    </row>
    <row r="733" spans="1:4" ht="12" hidden="1" customHeight="1" outlineLevel="1" x14ac:dyDescent="0.3">
      <c r="A733" s="238"/>
      <c r="B733" s="254">
        <v>8600</v>
      </c>
      <c r="C733" s="255" t="s">
        <v>229</v>
      </c>
      <c r="D733" s="260"/>
    </row>
    <row r="734" spans="1:4" ht="12" hidden="1" customHeight="1" outlineLevel="1" x14ac:dyDescent="0.3">
      <c r="A734" s="238"/>
      <c r="B734" s="254">
        <v>8900</v>
      </c>
      <c r="C734" s="255" t="s">
        <v>230</v>
      </c>
      <c r="D734" s="260"/>
    </row>
    <row r="735" spans="1:4" ht="12" hidden="1" customHeight="1" outlineLevel="1" x14ac:dyDescent="0.3">
      <c r="A735" s="256" t="s">
        <v>270</v>
      </c>
      <c r="B735" s="257"/>
      <c r="C735" s="258" t="s">
        <v>271</v>
      </c>
      <c r="D735" s="259">
        <f t="shared" ref="D735" si="61">D736+D752+D765</f>
        <v>0</v>
      </c>
    </row>
    <row r="736" spans="1:4" ht="12" hidden="1" customHeight="1" outlineLevel="1" x14ac:dyDescent="0.3">
      <c r="A736" s="227"/>
      <c r="B736" s="228"/>
      <c r="C736" s="229" t="s">
        <v>198</v>
      </c>
      <c r="D736" s="230">
        <f t="shared" ref="D736" si="62">D737+D740+D746+D749+D756+D761</f>
        <v>0</v>
      </c>
    </row>
    <row r="737" spans="1:4" ht="12" hidden="1" customHeight="1" outlineLevel="1" x14ac:dyDescent="0.3">
      <c r="A737" s="227"/>
      <c r="B737" s="231">
        <v>1000</v>
      </c>
      <c r="C737" s="232" t="s">
        <v>199</v>
      </c>
      <c r="D737" s="230">
        <f>SUM(D738:D739)</f>
        <v>0</v>
      </c>
    </row>
    <row r="738" spans="1:4" ht="12" hidden="1" customHeight="1" outlineLevel="1" x14ac:dyDescent="0.3">
      <c r="A738" s="227"/>
      <c r="B738" s="234">
        <v>1100</v>
      </c>
      <c r="C738" s="235" t="s">
        <v>200</v>
      </c>
      <c r="D738" s="236"/>
    </row>
    <row r="739" spans="1:4" ht="12" hidden="1" customHeight="1" outlineLevel="1" x14ac:dyDescent="0.3">
      <c r="A739" s="227"/>
      <c r="B739" s="234">
        <v>1200</v>
      </c>
      <c r="C739" s="237" t="s">
        <v>201</v>
      </c>
      <c r="D739" s="236"/>
    </row>
    <row r="740" spans="1:4" ht="12" hidden="1" customHeight="1" outlineLevel="1" x14ac:dyDescent="0.3">
      <c r="A740" s="238"/>
      <c r="B740" s="239">
        <v>2000</v>
      </c>
      <c r="C740" s="240" t="s">
        <v>202</v>
      </c>
      <c r="D740" s="260">
        <f>SUM(D741:D745)</f>
        <v>0</v>
      </c>
    </row>
    <row r="741" spans="1:4" ht="12" hidden="1" customHeight="1" outlineLevel="1" x14ac:dyDescent="0.3">
      <c r="A741" s="238"/>
      <c r="B741" s="242">
        <v>2100</v>
      </c>
      <c r="C741" s="243" t="s">
        <v>203</v>
      </c>
      <c r="D741" s="244"/>
    </row>
    <row r="742" spans="1:4" ht="12" hidden="1" customHeight="1" outlineLevel="1" x14ac:dyDescent="0.3">
      <c r="A742" s="238"/>
      <c r="B742" s="242">
        <v>2200</v>
      </c>
      <c r="C742" s="243" t="s">
        <v>204</v>
      </c>
      <c r="D742" s="244"/>
    </row>
    <row r="743" spans="1:4" ht="12" hidden="1" customHeight="1" outlineLevel="1" x14ac:dyDescent="0.3">
      <c r="A743" s="238"/>
      <c r="B743" s="242">
        <v>2300</v>
      </c>
      <c r="C743" s="243" t="s">
        <v>205</v>
      </c>
      <c r="D743" s="244"/>
    </row>
    <row r="744" spans="1:4" ht="12" hidden="1" customHeight="1" outlineLevel="1" x14ac:dyDescent="0.3">
      <c r="A744" s="238"/>
      <c r="B744" s="242">
        <v>2400</v>
      </c>
      <c r="C744" s="243" t="s">
        <v>206</v>
      </c>
      <c r="D744" s="244"/>
    </row>
    <row r="745" spans="1:4" ht="12" hidden="1" customHeight="1" outlineLevel="1" x14ac:dyDescent="0.3">
      <c r="A745" s="238"/>
      <c r="B745" s="242">
        <v>2500</v>
      </c>
      <c r="C745" s="243" t="s">
        <v>207</v>
      </c>
      <c r="D745" s="244"/>
    </row>
    <row r="746" spans="1:4" ht="12" hidden="1" customHeight="1" outlineLevel="1" x14ac:dyDescent="0.3">
      <c r="A746" s="238"/>
      <c r="B746" s="199">
        <v>3000</v>
      </c>
      <c r="C746" s="245" t="s">
        <v>208</v>
      </c>
      <c r="D746" s="260">
        <f>SUM(D747:D748)</f>
        <v>0</v>
      </c>
    </row>
    <row r="747" spans="1:4" ht="12" hidden="1" customHeight="1" outlineLevel="1" x14ac:dyDescent="0.3">
      <c r="A747" s="238"/>
      <c r="B747" s="242">
        <v>3200</v>
      </c>
      <c r="C747" s="243" t="s">
        <v>209</v>
      </c>
      <c r="D747" s="244"/>
    </row>
    <row r="748" spans="1:4" ht="12" hidden="1" customHeight="1" outlineLevel="1" x14ac:dyDescent="0.3">
      <c r="A748" s="238"/>
      <c r="B748" s="242">
        <v>3300</v>
      </c>
      <c r="C748" s="243" t="s">
        <v>210</v>
      </c>
      <c r="D748" s="244"/>
    </row>
    <row r="749" spans="1:4" ht="12" hidden="1" customHeight="1" outlineLevel="1" x14ac:dyDescent="0.3">
      <c r="A749" s="238"/>
      <c r="B749" s="199">
        <v>4000</v>
      </c>
      <c r="C749" s="246" t="s">
        <v>211</v>
      </c>
      <c r="D749" s="260">
        <f>SUM(D750:D751)</f>
        <v>0</v>
      </c>
    </row>
    <row r="750" spans="1:4" ht="12" hidden="1" customHeight="1" outlineLevel="1" x14ac:dyDescent="0.3">
      <c r="A750" s="238"/>
      <c r="B750" s="242">
        <v>4200</v>
      </c>
      <c r="C750" s="247" t="s">
        <v>212</v>
      </c>
      <c r="D750" s="244"/>
    </row>
    <row r="751" spans="1:4" ht="12" hidden="1" customHeight="1" outlineLevel="1" x14ac:dyDescent="0.3">
      <c r="A751" s="238"/>
      <c r="B751" s="242">
        <v>4300</v>
      </c>
      <c r="C751" s="247" t="s">
        <v>213</v>
      </c>
      <c r="D751" s="244"/>
    </row>
    <row r="752" spans="1:4" ht="12" hidden="1" customHeight="1" outlineLevel="1" x14ac:dyDescent="0.3">
      <c r="A752" s="238"/>
      <c r="B752" s="199">
        <v>5000</v>
      </c>
      <c r="C752" s="200" t="s">
        <v>214</v>
      </c>
      <c r="D752" s="260">
        <f>SUM(D753:D755)</f>
        <v>0</v>
      </c>
    </row>
    <row r="753" spans="1:4" ht="12" hidden="1" customHeight="1" outlineLevel="1" x14ac:dyDescent="0.3">
      <c r="A753" s="238"/>
      <c r="B753" s="242">
        <v>5100</v>
      </c>
      <c r="C753" s="248" t="s">
        <v>215</v>
      </c>
      <c r="D753" s="260"/>
    </row>
    <row r="754" spans="1:4" ht="12" hidden="1" customHeight="1" outlineLevel="1" x14ac:dyDescent="0.3">
      <c r="A754" s="238"/>
      <c r="B754" s="242">
        <v>5200</v>
      </c>
      <c r="C754" s="248" t="s">
        <v>216</v>
      </c>
      <c r="D754" s="244"/>
    </row>
    <row r="755" spans="1:4" ht="12" hidden="1" customHeight="1" outlineLevel="1" x14ac:dyDescent="0.3">
      <c r="A755" s="238"/>
      <c r="B755" s="242">
        <v>5300</v>
      </c>
      <c r="C755" s="249" t="s">
        <v>217</v>
      </c>
      <c r="D755" s="260"/>
    </row>
    <row r="756" spans="1:4" ht="12" hidden="1" customHeight="1" outlineLevel="1" x14ac:dyDescent="0.3">
      <c r="A756" s="238"/>
      <c r="B756" s="199">
        <v>6000</v>
      </c>
      <c r="C756" s="200" t="s">
        <v>218</v>
      </c>
      <c r="D756" s="260">
        <f>SUM(D757:D760)</f>
        <v>0</v>
      </c>
    </row>
    <row r="757" spans="1:4" ht="12" hidden="1" customHeight="1" outlineLevel="1" x14ac:dyDescent="0.3">
      <c r="A757" s="238"/>
      <c r="B757" s="242">
        <v>6200</v>
      </c>
      <c r="C757" s="248" t="s">
        <v>219</v>
      </c>
      <c r="D757" s="244"/>
    </row>
    <row r="758" spans="1:4" ht="12" hidden="1" customHeight="1" outlineLevel="1" x14ac:dyDescent="0.3">
      <c r="A758" s="238"/>
      <c r="B758" s="242">
        <v>6300</v>
      </c>
      <c r="C758" s="248" t="s">
        <v>220</v>
      </c>
      <c r="D758" s="244"/>
    </row>
    <row r="759" spans="1:4" ht="12" hidden="1" customHeight="1" outlineLevel="1" x14ac:dyDescent="0.3">
      <c r="A759" s="238"/>
      <c r="B759" s="242">
        <v>6400</v>
      </c>
      <c r="C759" s="248" t="s">
        <v>221</v>
      </c>
      <c r="D759" s="244"/>
    </row>
    <row r="760" spans="1:4" ht="12" hidden="1" customHeight="1" outlineLevel="1" x14ac:dyDescent="0.3">
      <c r="A760" s="238"/>
      <c r="B760" s="242">
        <v>6500</v>
      </c>
      <c r="C760" s="249" t="s">
        <v>222</v>
      </c>
      <c r="D760" s="244"/>
    </row>
    <row r="761" spans="1:4" ht="12" hidden="1" customHeight="1" outlineLevel="1" x14ac:dyDescent="0.3">
      <c r="A761" s="238"/>
      <c r="B761" s="199">
        <v>7000</v>
      </c>
      <c r="C761" s="200" t="s">
        <v>223</v>
      </c>
      <c r="D761" s="260">
        <f>SUM(D762:D764)</f>
        <v>0</v>
      </c>
    </row>
    <row r="762" spans="1:4" ht="12" hidden="1" customHeight="1" outlineLevel="1" x14ac:dyDescent="0.3">
      <c r="A762" s="238"/>
      <c r="B762" s="250">
        <v>7200</v>
      </c>
      <c r="C762" s="251" t="s">
        <v>224</v>
      </c>
      <c r="D762" s="244"/>
    </row>
    <row r="763" spans="1:4" ht="12" hidden="1" customHeight="1" outlineLevel="1" x14ac:dyDescent="0.3">
      <c r="A763" s="238"/>
      <c r="B763" s="250">
        <v>7500</v>
      </c>
      <c r="C763" s="251" t="s">
        <v>225</v>
      </c>
      <c r="D763" s="244"/>
    </row>
    <row r="764" spans="1:4" ht="12" hidden="1" customHeight="1" outlineLevel="1" x14ac:dyDescent="0.3">
      <c r="A764" s="238"/>
      <c r="B764" s="250">
        <v>7700</v>
      </c>
      <c r="C764" s="251" t="s">
        <v>226</v>
      </c>
      <c r="D764" s="244"/>
    </row>
    <row r="765" spans="1:4" ht="12" hidden="1" customHeight="1" outlineLevel="1" x14ac:dyDescent="0.3">
      <c r="A765" s="238"/>
      <c r="B765" s="252">
        <v>8000</v>
      </c>
      <c r="C765" s="253" t="s">
        <v>227</v>
      </c>
      <c r="D765" s="260">
        <f>SUM(D766:D768)</f>
        <v>0</v>
      </c>
    </row>
    <row r="766" spans="1:4" ht="12" hidden="1" customHeight="1" outlineLevel="1" x14ac:dyDescent="0.3">
      <c r="A766" s="238"/>
      <c r="B766" s="254">
        <v>8100</v>
      </c>
      <c r="C766" s="255" t="s">
        <v>228</v>
      </c>
      <c r="D766" s="260"/>
    </row>
    <row r="767" spans="1:4" ht="12" hidden="1" customHeight="1" outlineLevel="1" x14ac:dyDescent="0.3">
      <c r="A767" s="238"/>
      <c r="B767" s="254">
        <v>8600</v>
      </c>
      <c r="C767" s="255" t="s">
        <v>229</v>
      </c>
      <c r="D767" s="260"/>
    </row>
    <row r="768" spans="1:4" ht="12" hidden="1" customHeight="1" outlineLevel="1" x14ac:dyDescent="0.3">
      <c r="A768" s="238"/>
      <c r="B768" s="254">
        <v>8900</v>
      </c>
      <c r="C768" s="255" t="s">
        <v>230</v>
      </c>
      <c r="D768" s="260"/>
    </row>
    <row r="769" spans="1:4" ht="12" hidden="1" customHeight="1" outlineLevel="1" x14ac:dyDescent="0.3">
      <c r="A769" s="256" t="s">
        <v>272</v>
      </c>
      <c r="B769" s="257"/>
      <c r="C769" s="258" t="s">
        <v>273</v>
      </c>
      <c r="D769" s="259">
        <f t="shared" ref="D769" si="63">D770+D786+D799</f>
        <v>0</v>
      </c>
    </row>
    <row r="770" spans="1:4" ht="12" hidden="1" customHeight="1" outlineLevel="1" x14ac:dyDescent="0.3">
      <c r="A770" s="227"/>
      <c r="B770" s="228"/>
      <c r="C770" s="229" t="s">
        <v>198</v>
      </c>
      <c r="D770" s="230">
        <f t="shared" ref="D770" si="64">D771+D774+D780+D783+D790+D795</f>
        <v>0</v>
      </c>
    </row>
    <row r="771" spans="1:4" ht="12" hidden="1" customHeight="1" outlineLevel="1" x14ac:dyDescent="0.3">
      <c r="A771" s="227"/>
      <c r="B771" s="231">
        <v>1000</v>
      </c>
      <c r="C771" s="232" t="s">
        <v>199</v>
      </c>
      <c r="D771" s="233">
        <f t="shared" ref="D771:D773" si="65">D805+D839</f>
        <v>0</v>
      </c>
    </row>
    <row r="772" spans="1:4" ht="12" hidden="1" customHeight="1" outlineLevel="1" x14ac:dyDescent="0.3">
      <c r="A772" s="227"/>
      <c r="B772" s="234">
        <v>1100</v>
      </c>
      <c r="C772" s="235" t="s">
        <v>200</v>
      </c>
      <c r="D772" s="236">
        <f t="shared" si="65"/>
        <v>0</v>
      </c>
    </row>
    <row r="773" spans="1:4" ht="12" hidden="1" customHeight="1" outlineLevel="1" x14ac:dyDescent="0.3">
      <c r="A773" s="227"/>
      <c r="B773" s="234">
        <v>1200</v>
      </c>
      <c r="C773" s="237" t="s">
        <v>201</v>
      </c>
      <c r="D773" s="236">
        <f t="shared" si="65"/>
        <v>0</v>
      </c>
    </row>
    <row r="774" spans="1:4" ht="12" hidden="1" customHeight="1" outlineLevel="1" x14ac:dyDescent="0.3">
      <c r="A774" s="238"/>
      <c r="B774" s="239">
        <v>2000</v>
      </c>
      <c r="C774" s="240" t="s">
        <v>202</v>
      </c>
      <c r="D774" s="241">
        <f>D808+D842</f>
        <v>0</v>
      </c>
    </row>
    <row r="775" spans="1:4" ht="12" hidden="1" customHeight="1" outlineLevel="1" x14ac:dyDescent="0.3">
      <c r="A775" s="238"/>
      <c r="B775" s="242">
        <v>2100</v>
      </c>
      <c r="C775" s="243" t="s">
        <v>203</v>
      </c>
      <c r="D775" s="244">
        <f t="shared" ref="D775:D779" si="66">D809+D843</f>
        <v>0</v>
      </c>
    </row>
    <row r="776" spans="1:4" ht="12" hidden="1" customHeight="1" outlineLevel="1" x14ac:dyDescent="0.3">
      <c r="A776" s="238"/>
      <c r="B776" s="242">
        <v>2200</v>
      </c>
      <c r="C776" s="243" t="s">
        <v>204</v>
      </c>
      <c r="D776" s="244">
        <f t="shared" si="66"/>
        <v>0</v>
      </c>
    </row>
    <row r="777" spans="1:4" ht="12" hidden="1" customHeight="1" outlineLevel="1" x14ac:dyDescent="0.3">
      <c r="A777" s="238"/>
      <c r="B777" s="242">
        <v>2300</v>
      </c>
      <c r="C777" s="243" t="s">
        <v>205</v>
      </c>
      <c r="D777" s="244">
        <f t="shared" si="66"/>
        <v>0</v>
      </c>
    </row>
    <row r="778" spans="1:4" ht="12" hidden="1" customHeight="1" outlineLevel="1" x14ac:dyDescent="0.3">
      <c r="A778" s="238"/>
      <c r="B778" s="242">
        <v>2400</v>
      </c>
      <c r="C778" s="243" t="s">
        <v>206</v>
      </c>
      <c r="D778" s="244">
        <f t="shared" si="66"/>
        <v>0</v>
      </c>
    </row>
    <row r="779" spans="1:4" ht="12" hidden="1" customHeight="1" outlineLevel="1" x14ac:dyDescent="0.3">
      <c r="A779" s="238"/>
      <c r="B779" s="242">
        <v>2500</v>
      </c>
      <c r="C779" s="243" t="s">
        <v>207</v>
      </c>
      <c r="D779" s="244">
        <f t="shared" si="66"/>
        <v>0</v>
      </c>
    </row>
    <row r="780" spans="1:4" ht="12" hidden="1" customHeight="1" outlineLevel="1" x14ac:dyDescent="0.3">
      <c r="A780" s="238"/>
      <c r="B780" s="199">
        <v>3000</v>
      </c>
      <c r="C780" s="245" t="s">
        <v>208</v>
      </c>
      <c r="D780" s="241">
        <f>D814+D848</f>
        <v>0</v>
      </c>
    </row>
    <row r="781" spans="1:4" ht="12" hidden="1" customHeight="1" outlineLevel="1" x14ac:dyDescent="0.3">
      <c r="A781" s="238"/>
      <c r="B781" s="242">
        <v>3200</v>
      </c>
      <c r="C781" s="243" t="s">
        <v>209</v>
      </c>
      <c r="D781" s="244">
        <f t="shared" ref="D781:D782" si="67">D815+D849</f>
        <v>0</v>
      </c>
    </row>
    <row r="782" spans="1:4" ht="12" hidden="1" customHeight="1" outlineLevel="1" x14ac:dyDescent="0.3">
      <c r="A782" s="238"/>
      <c r="B782" s="242">
        <v>3300</v>
      </c>
      <c r="C782" s="243" t="s">
        <v>210</v>
      </c>
      <c r="D782" s="244">
        <f t="shared" si="67"/>
        <v>0</v>
      </c>
    </row>
    <row r="783" spans="1:4" ht="12" hidden="1" customHeight="1" outlineLevel="1" x14ac:dyDescent="0.3">
      <c r="A783" s="238"/>
      <c r="B783" s="199">
        <v>4000</v>
      </c>
      <c r="C783" s="246" t="s">
        <v>211</v>
      </c>
      <c r="D783" s="241">
        <f>D817+D851</f>
        <v>0</v>
      </c>
    </row>
    <row r="784" spans="1:4" ht="12" hidden="1" customHeight="1" outlineLevel="1" x14ac:dyDescent="0.3">
      <c r="A784" s="238"/>
      <c r="B784" s="242">
        <v>4200</v>
      </c>
      <c r="C784" s="247" t="s">
        <v>212</v>
      </c>
      <c r="D784" s="244">
        <f t="shared" ref="D784:D785" si="68">D818+D852</f>
        <v>0</v>
      </c>
    </row>
    <row r="785" spans="1:4" ht="12" hidden="1" customHeight="1" outlineLevel="1" x14ac:dyDescent="0.3">
      <c r="A785" s="238"/>
      <c r="B785" s="242">
        <v>4300</v>
      </c>
      <c r="C785" s="247" t="s">
        <v>213</v>
      </c>
      <c r="D785" s="244">
        <f t="shared" si="68"/>
        <v>0</v>
      </c>
    </row>
    <row r="786" spans="1:4" ht="12" hidden="1" customHeight="1" outlineLevel="1" x14ac:dyDescent="0.3">
      <c r="A786" s="238"/>
      <c r="B786" s="199">
        <v>5000</v>
      </c>
      <c r="C786" s="200" t="s">
        <v>214</v>
      </c>
      <c r="D786" s="241">
        <f>D820+D854</f>
        <v>0</v>
      </c>
    </row>
    <row r="787" spans="1:4" ht="12" hidden="1" customHeight="1" outlineLevel="1" x14ac:dyDescent="0.3">
      <c r="A787" s="238"/>
      <c r="B787" s="242">
        <v>5100</v>
      </c>
      <c r="C787" s="248" t="s">
        <v>215</v>
      </c>
      <c r="D787" s="244">
        <f t="shared" ref="D787:D789" si="69">D821+D855</f>
        <v>0</v>
      </c>
    </row>
    <row r="788" spans="1:4" ht="12" hidden="1" customHeight="1" outlineLevel="1" x14ac:dyDescent="0.3">
      <c r="A788" s="238"/>
      <c r="B788" s="242">
        <v>5200</v>
      </c>
      <c r="C788" s="248" t="s">
        <v>216</v>
      </c>
      <c r="D788" s="244">
        <f t="shared" si="69"/>
        <v>0</v>
      </c>
    </row>
    <row r="789" spans="1:4" ht="12" hidden="1" customHeight="1" outlineLevel="1" x14ac:dyDescent="0.3">
      <c r="A789" s="238"/>
      <c r="B789" s="242">
        <v>5300</v>
      </c>
      <c r="C789" s="249" t="s">
        <v>217</v>
      </c>
      <c r="D789" s="244">
        <f t="shared" si="69"/>
        <v>0</v>
      </c>
    </row>
    <row r="790" spans="1:4" ht="12" hidden="1" customHeight="1" outlineLevel="1" x14ac:dyDescent="0.3">
      <c r="A790" s="238"/>
      <c r="B790" s="199">
        <v>6000</v>
      </c>
      <c r="C790" s="200" t="s">
        <v>218</v>
      </c>
      <c r="D790" s="241">
        <f>D824+D858</f>
        <v>0</v>
      </c>
    </row>
    <row r="791" spans="1:4" ht="12" hidden="1" customHeight="1" outlineLevel="1" x14ac:dyDescent="0.3">
      <c r="A791" s="238"/>
      <c r="B791" s="242">
        <v>6200</v>
      </c>
      <c r="C791" s="248" t="s">
        <v>219</v>
      </c>
      <c r="D791" s="244">
        <f t="shared" ref="D791:D794" si="70">D825+D859</f>
        <v>0</v>
      </c>
    </row>
    <row r="792" spans="1:4" ht="12" hidden="1" customHeight="1" outlineLevel="1" x14ac:dyDescent="0.3">
      <c r="A792" s="238"/>
      <c r="B792" s="242">
        <v>6300</v>
      </c>
      <c r="C792" s="248" t="s">
        <v>220</v>
      </c>
      <c r="D792" s="244">
        <f t="shared" si="70"/>
        <v>0</v>
      </c>
    </row>
    <row r="793" spans="1:4" ht="12" hidden="1" customHeight="1" outlineLevel="1" x14ac:dyDescent="0.3">
      <c r="A793" s="238"/>
      <c r="B793" s="242">
        <v>6400</v>
      </c>
      <c r="C793" s="248" t="s">
        <v>221</v>
      </c>
      <c r="D793" s="244">
        <f t="shared" si="70"/>
        <v>0</v>
      </c>
    </row>
    <row r="794" spans="1:4" ht="12" hidden="1" customHeight="1" outlineLevel="1" x14ac:dyDescent="0.3">
      <c r="A794" s="238"/>
      <c r="B794" s="242">
        <v>6500</v>
      </c>
      <c r="C794" s="249" t="s">
        <v>222</v>
      </c>
      <c r="D794" s="244">
        <f t="shared" si="70"/>
        <v>0</v>
      </c>
    </row>
    <row r="795" spans="1:4" ht="12" hidden="1" customHeight="1" outlineLevel="1" x14ac:dyDescent="0.3">
      <c r="A795" s="238"/>
      <c r="B795" s="199">
        <v>7000</v>
      </c>
      <c r="C795" s="200" t="s">
        <v>223</v>
      </c>
      <c r="D795" s="241">
        <f>D829+D863</f>
        <v>0</v>
      </c>
    </row>
    <row r="796" spans="1:4" ht="12" hidden="1" customHeight="1" outlineLevel="1" x14ac:dyDescent="0.3">
      <c r="A796" s="238"/>
      <c r="B796" s="250">
        <v>7200</v>
      </c>
      <c r="C796" s="251" t="s">
        <v>224</v>
      </c>
      <c r="D796" s="244">
        <f t="shared" ref="D796:D798" si="71">D830+D864</f>
        <v>0</v>
      </c>
    </row>
    <row r="797" spans="1:4" ht="12" hidden="1" customHeight="1" outlineLevel="1" x14ac:dyDescent="0.3">
      <c r="A797" s="238"/>
      <c r="B797" s="250">
        <v>7500</v>
      </c>
      <c r="C797" s="251" t="s">
        <v>225</v>
      </c>
      <c r="D797" s="244">
        <f t="shared" si="71"/>
        <v>0</v>
      </c>
    </row>
    <row r="798" spans="1:4" ht="12" hidden="1" customHeight="1" outlineLevel="1" x14ac:dyDescent="0.3">
      <c r="A798" s="238"/>
      <c r="B798" s="250">
        <v>7700</v>
      </c>
      <c r="C798" s="251" t="s">
        <v>226</v>
      </c>
      <c r="D798" s="244">
        <f t="shared" si="71"/>
        <v>0</v>
      </c>
    </row>
    <row r="799" spans="1:4" ht="12" hidden="1" customHeight="1" outlineLevel="1" x14ac:dyDescent="0.3">
      <c r="A799" s="238"/>
      <c r="B799" s="252">
        <v>8000</v>
      </c>
      <c r="C799" s="253" t="s">
        <v>227</v>
      </c>
      <c r="D799" s="241">
        <f>D833+D867</f>
        <v>0</v>
      </c>
    </row>
    <row r="800" spans="1:4" ht="12" hidden="1" customHeight="1" outlineLevel="1" x14ac:dyDescent="0.3">
      <c r="A800" s="238"/>
      <c r="B800" s="254">
        <v>8100</v>
      </c>
      <c r="C800" s="255" t="s">
        <v>228</v>
      </c>
      <c r="D800" s="244">
        <f t="shared" ref="D800:D802" si="72">D834+D868</f>
        <v>0</v>
      </c>
    </row>
    <row r="801" spans="1:4" ht="12" hidden="1" customHeight="1" outlineLevel="1" x14ac:dyDescent="0.3">
      <c r="A801" s="238"/>
      <c r="B801" s="254">
        <v>8600</v>
      </c>
      <c r="C801" s="255" t="s">
        <v>229</v>
      </c>
      <c r="D801" s="244">
        <f t="shared" si="72"/>
        <v>0</v>
      </c>
    </row>
    <row r="802" spans="1:4" ht="12" hidden="1" customHeight="1" outlineLevel="1" x14ac:dyDescent="0.3">
      <c r="A802" s="238"/>
      <c r="B802" s="254">
        <v>8900</v>
      </c>
      <c r="C802" s="255" t="s">
        <v>230</v>
      </c>
      <c r="D802" s="244">
        <f t="shared" si="72"/>
        <v>0</v>
      </c>
    </row>
    <row r="803" spans="1:4" ht="12" hidden="1" customHeight="1" outlineLevel="1" x14ac:dyDescent="0.3">
      <c r="A803" s="272" t="s">
        <v>274</v>
      </c>
      <c r="B803" s="273"/>
      <c r="C803" s="274" t="s">
        <v>275</v>
      </c>
      <c r="D803" s="275">
        <f t="shared" ref="D803" si="73">D804+D820+D833</f>
        <v>0</v>
      </c>
    </row>
    <row r="804" spans="1:4" ht="12" hidden="1" customHeight="1" outlineLevel="1" x14ac:dyDescent="0.3">
      <c r="A804" s="227"/>
      <c r="B804" s="228"/>
      <c r="C804" s="229" t="s">
        <v>198</v>
      </c>
      <c r="D804" s="230">
        <f t="shared" ref="D804" si="74">D805+D808+D814+D817+D824+D829</f>
        <v>0</v>
      </c>
    </row>
    <row r="805" spans="1:4" ht="12" hidden="1" customHeight="1" outlineLevel="1" x14ac:dyDescent="0.3">
      <c r="A805" s="227"/>
      <c r="B805" s="231">
        <v>1000</v>
      </c>
      <c r="C805" s="232" t="s">
        <v>199</v>
      </c>
      <c r="D805" s="230">
        <f>SUM(D806:D807)</f>
        <v>0</v>
      </c>
    </row>
    <row r="806" spans="1:4" ht="12" hidden="1" customHeight="1" outlineLevel="1" x14ac:dyDescent="0.3">
      <c r="A806" s="227"/>
      <c r="B806" s="234">
        <v>1100</v>
      </c>
      <c r="C806" s="235" t="s">
        <v>200</v>
      </c>
      <c r="D806" s="236"/>
    </row>
    <row r="807" spans="1:4" ht="12" hidden="1" customHeight="1" outlineLevel="1" x14ac:dyDescent="0.3">
      <c r="A807" s="227"/>
      <c r="B807" s="234">
        <v>1200</v>
      </c>
      <c r="C807" s="237" t="s">
        <v>201</v>
      </c>
      <c r="D807" s="236"/>
    </row>
    <row r="808" spans="1:4" ht="12" hidden="1" customHeight="1" outlineLevel="1" x14ac:dyDescent="0.3">
      <c r="A808" s="238"/>
      <c r="B808" s="239">
        <v>2000</v>
      </c>
      <c r="C808" s="240" t="s">
        <v>202</v>
      </c>
      <c r="D808" s="260"/>
    </row>
    <row r="809" spans="1:4" ht="12" hidden="1" customHeight="1" outlineLevel="1" x14ac:dyDescent="0.3">
      <c r="A809" s="238"/>
      <c r="B809" s="242">
        <v>2100</v>
      </c>
      <c r="C809" s="243" t="s">
        <v>203</v>
      </c>
      <c r="D809" s="244"/>
    </row>
    <row r="810" spans="1:4" ht="12" hidden="1" customHeight="1" outlineLevel="1" x14ac:dyDescent="0.3">
      <c r="A810" s="238"/>
      <c r="B810" s="242">
        <v>2200</v>
      </c>
      <c r="C810" s="243" t="s">
        <v>204</v>
      </c>
      <c r="D810" s="244"/>
    </row>
    <row r="811" spans="1:4" ht="12" hidden="1" customHeight="1" outlineLevel="1" x14ac:dyDescent="0.3">
      <c r="A811" s="238"/>
      <c r="B811" s="242">
        <v>2300</v>
      </c>
      <c r="C811" s="243" t="s">
        <v>205</v>
      </c>
      <c r="D811" s="244"/>
    </row>
    <row r="812" spans="1:4" ht="12" hidden="1" customHeight="1" outlineLevel="1" x14ac:dyDescent="0.3">
      <c r="A812" s="238"/>
      <c r="B812" s="242">
        <v>2400</v>
      </c>
      <c r="C812" s="243" t="s">
        <v>206</v>
      </c>
      <c r="D812" s="244"/>
    </row>
    <row r="813" spans="1:4" ht="12" hidden="1" customHeight="1" outlineLevel="1" x14ac:dyDescent="0.3">
      <c r="A813" s="238"/>
      <c r="B813" s="242">
        <v>2500</v>
      </c>
      <c r="C813" s="243" t="s">
        <v>207</v>
      </c>
      <c r="D813" s="244"/>
    </row>
    <row r="814" spans="1:4" ht="12" hidden="1" customHeight="1" outlineLevel="1" x14ac:dyDescent="0.3">
      <c r="A814" s="238"/>
      <c r="B814" s="199">
        <v>3000</v>
      </c>
      <c r="C814" s="245" t="s">
        <v>208</v>
      </c>
      <c r="D814" s="260">
        <f>SUM(D815:D816)</f>
        <v>0</v>
      </c>
    </row>
    <row r="815" spans="1:4" ht="12" hidden="1" customHeight="1" outlineLevel="1" x14ac:dyDescent="0.3">
      <c r="A815" s="238"/>
      <c r="B815" s="242">
        <v>3200</v>
      </c>
      <c r="C815" s="243" t="s">
        <v>209</v>
      </c>
      <c r="D815" s="244"/>
    </row>
    <row r="816" spans="1:4" ht="12" hidden="1" customHeight="1" outlineLevel="1" x14ac:dyDescent="0.3">
      <c r="A816" s="238"/>
      <c r="B816" s="242">
        <v>3300</v>
      </c>
      <c r="C816" s="243" t="s">
        <v>210</v>
      </c>
      <c r="D816" s="244"/>
    </row>
    <row r="817" spans="1:4" ht="12" hidden="1" customHeight="1" outlineLevel="1" x14ac:dyDescent="0.3">
      <c r="A817" s="238"/>
      <c r="B817" s="199">
        <v>4000</v>
      </c>
      <c r="C817" s="246" t="s">
        <v>211</v>
      </c>
      <c r="D817" s="260">
        <f>SUM(D818:D819)</f>
        <v>0</v>
      </c>
    </row>
    <row r="818" spans="1:4" ht="12" hidden="1" customHeight="1" outlineLevel="1" x14ac:dyDescent="0.3">
      <c r="A818" s="238"/>
      <c r="B818" s="242">
        <v>4200</v>
      </c>
      <c r="C818" s="247" t="s">
        <v>212</v>
      </c>
      <c r="D818" s="244"/>
    </row>
    <row r="819" spans="1:4" ht="12" hidden="1" customHeight="1" outlineLevel="1" x14ac:dyDescent="0.3">
      <c r="A819" s="238"/>
      <c r="B819" s="242">
        <v>4300</v>
      </c>
      <c r="C819" s="247" t="s">
        <v>213</v>
      </c>
      <c r="D819" s="244"/>
    </row>
    <row r="820" spans="1:4" ht="12" hidden="1" customHeight="1" outlineLevel="1" x14ac:dyDescent="0.3">
      <c r="A820" s="238"/>
      <c r="B820" s="199">
        <v>5000</v>
      </c>
      <c r="C820" s="200" t="s">
        <v>214</v>
      </c>
      <c r="D820" s="260">
        <f>SUM(D821:D823)</f>
        <v>0</v>
      </c>
    </row>
    <row r="821" spans="1:4" ht="12" hidden="1" customHeight="1" outlineLevel="1" x14ac:dyDescent="0.3">
      <c r="A821" s="238"/>
      <c r="B821" s="242">
        <v>5100</v>
      </c>
      <c r="C821" s="248" t="s">
        <v>215</v>
      </c>
      <c r="D821" s="260"/>
    </row>
    <row r="822" spans="1:4" ht="12" hidden="1" customHeight="1" outlineLevel="1" x14ac:dyDescent="0.3">
      <c r="A822" s="238"/>
      <c r="B822" s="242">
        <v>5200</v>
      </c>
      <c r="C822" s="248" t="s">
        <v>216</v>
      </c>
      <c r="D822" s="260"/>
    </row>
    <row r="823" spans="1:4" ht="12" hidden="1" customHeight="1" outlineLevel="1" x14ac:dyDescent="0.3">
      <c r="A823" s="238"/>
      <c r="B823" s="242">
        <v>5300</v>
      </c>
      <c r="C823" s="249" t="s">
        <v>217</v>
      </c>
      <c r="D823" s="260"/>
    </row>
    <row r="824" spans="1:4" ht="12" hidden="1" customHeight="1" outlineLevel="1" x14ac:dyDescent="0.3">
      <c r="A824" s="238"/>
      <c r="B824" s="199">
        <v>6000</v>
      </c>
      <c r="C824" s="200" t="s">
        <v>218</v>
      </c>
      <c r="D824" s="260">
        <f>SUM(D825:D828)</f>
        <v>0</v>
      </c>
    </row>
    <row r="825" spans="1:4" ht="12" hidden="1" customHeight="1" outlineLevel="1" x14ac:dyDescent="0.3">
      <c r="A825" s="238"/>
      <c r="B825" s="242">
        <v>6200</v>
      </c>
      <c r="C825" s="248" t="s">
        <v>219</v>
      </c>
      <c r="D825" s="244"/>
    </row>
    <row r="826" spans="1:4" ht="12" hidden="1" customHeight="1" outlineLevel="1" x14ac:dyDescent="0.3">
      <c r="A826" s="238"/>
      <c r="B826" s="242">
        <v>6300</v>
      </c>
      <c r="C826" s="248" t="s">
        <v>220</v>
      </c>
      <c r="D826" s="244"/>
    </row>
    <row r="827" spans="1:4" ht="12" hidden="1" customHeight="1" outlineLevel="1" x14ac:dyDescent="0.3">
      <c r="A827" s="238"/>
      <c r="B827" s="242">
        <v>6400</v>
      </c>
      <c r="C827" s="248" t="s">
        <v>221</v>
      </c>
      <c r="D827" s="244"/>
    </row>
    <row r="828" spans="1:4" ht="12" hidden="1" customHeight="1" outlineLevel="1" x14ac:dyDescent="0.3">
      <c r="A828" s="238"/>
      <c r="B828" s="242">
        <v>6500</v>
      </c>
      <c r="C828" s="249" t="s">
        <v>222</v>
      </c>
      <c r="D828" s="244"/>
    </row>
    <row r="829" spans="1:4" ht="12" hidden="1" customHeight="1" outlineLevel="1" x14ac:dyDescent="0.3">
      <c r="A829" s="238"/>
      <c r="B829" s="199">
        <v>7000</v>
      </c>
      <c r="C829" s="200" t="s">
        <v>223</v>
      </c>
      <c r="D829" s="260">
        <f>SUM(D830:D832)</f>
        <v>0</v>
      </c>
    </row>
    <row r="830" spans="1:4" ht="12" hidden="1" customHeight="1" outlineLevel="1" x14ac:dyDescent="0.3">
      <c r="A830" s="238"/>
      <c r="B830" s="250">
        <v>7200</v>
      </c>
      <c r="C830" s="251" t="s">
        <v>224</v>
      </c>
      <c r="D830" s="244"/>
    </row>
    <row r="831" spans="1:4" ht="12" hidden="1" customHeight="1" outlineLevel="1" x14ac:dyDescent="0.3">
      <c r="A831" s="238"/>
      <c r="B831" s="250">
        <v>7500</v>
      </c>
      <c r="C831" s="251" t="s">
        <v>225</v>
      </c>
      <c r="D831" s="244"/>
    </row>
    <row r="832" spans="1:4" ht="12" hidden="1" customHeight="1" outlineLevel="1" x14ac:dyDescent="0.3">
      <c r="A832" s="238"/>
      <c r="B832" s="250">
        <v>7700</v>
      </c>
      <c r="C832" s="251" t="s">
        <v>226</v>
      </c>
      <c r="D832" s="244"/>
    </row>
    <row r="833" spans="1:4" ht="12" hidden="1" customHeight="1" outlineLevel="1" x14ac:dyDescent="0.3">
      <c r="A833" s="238"/>
      <c r="B833" s="252">
        <v>8000</v>
      </c>
      <c r="C833" s="253" t="s">
        <v>227</v>
      </c>
      <c r="D833" s="260">
        <f>SUM(D834:D836)</f>
        <v>0</v>
      </c>
    </row>
    <row r="834" spans="1:4" ht="12" hidden="1" customHeight="1" outlineLevel="1" x14ac:dyDescent="0.3">
      <c r="A834" s="238"/>
      <c r="B834" s="254">
        <v>8100</v>
      </c>
      <c r="C834" s="255" t="s">
        <v>228</v>
      </c>
      <c r="D834" s="260"/>
    </row>
    <row r="835" spans="1:4" ht="12" hidden="1" customHeight="1" outlineLevel="1" x14ac:dyDescent="0.3">
      <c r="A835" s="238"/>
      <c r="B835" s="254">
        <v>8600</v>
      </c>
      <c r="C835" s="255" t="s">
        <v>229</v>
      </c>
      <c r="D835" s="260"/>
    </row>
    <row r="836" spans="1:4" ht="12" hidden="1" customHeight="1" outlineLevel="1" x14ac:dyDescent="0.3">
      <c r="A836" s="238"/>
      <c r="B836" s="254">
        <v>8900</v>
      </c>
      <c r="C836" s="255" t="s">
        <v>230</v>
      </c>
      <c r="D836" s="260"/>
    </row>
    <row r="837" spans="1:4" ht="12" hidden="1" customHeight="1" outlineLevel="1" x14ac:dyDescent="0.3">
      <c r="A837" s="272" t="s">
        <v>276</v>
      </c>
      <c r="B837" s="273"/>
      <c r="C837" s="274" t="s">
        <v>277</v>
      </c>
      <c r="D837" s="275">
        <f t="shared" ref="D837" si="75">D838+D854+D867</f>
        <v>0</v>
      </c>
    </row>
    <row r="838" spans="1:4" ht="12" hidden="1" customHeight="1" outlineLevel="1" collapsed="1" x14ac:dyDescent="0.3">
      <c r="A838" s="227"/>
      <c r="B838" s="228"/>
      <c r="C838" s="229" t="s">
        <v>198</v>
      </c>
      <c r="D838" s="230">
        <f t="shared" ref="D838" si="76">D839+D842+D848+D851+D858+D863</f>
        <v>0</v>
      </c>
    </row>
    <row r="839" spans="1:4" ht="12" hidden="1" customHeight="1" outlineLevel="1" x14ac:dyDescent="0.3">
      <c r="A839" s="227"/>
      <c r="B839" s="231">
        <v>1000</v>
      </c>
      <c r="C839" s="232" t="s">
        <v>199</v>
      </c>
      <c r="D839" s="230">
        <f>SUM(D840:D841)</f>
        <v>0</v>
      </c>
    </row>
    <row r="840" spans="1:4" ht="12" hidden="1" customHeight="1" outlineLevel="1" x14ac:dyDescent="0.3">
      <c r="A840" s="227"/>
      <c r="B840" s="234">
        <v>1100</v>
      </c>
      <c r="C840" s="235" t="s">
        <v>200</v>
      </c>
      <c r="D840" s="236"/>
    </row>
    <row r="841" spans="1:4" ht="12" hidden="1" customHeight="1" outlineLevel="1" x14ac:dyDescent="0.3">
      <c r="A841" s="227"/>
      <c r="B841" s="234">
        <v>1200</v>
      </c>
      <c r="C841" s="237" t="s">
        <v>201</v>
      </c>
      <c r="D841" s="236"/>
    </row>
    <row r="842" spans="1:4" ht="12" hidden="1" customHeight="1" outlineLevel="1" x14ac:dyDescent="0.3">
      <c r="A842" s="238"/>
      <c r="B842" s="239">
        <v>2000</v>
      </c>
      <c r="C842" s="240" t="s">
        <v>202</v>
      </c>
      <c r="D842" s="260">
        <f>SUM(D843:D847)</f>
        <v>0</v>
      </c>
    </row>
    <row r="843" spans="1:4" ht="12" hidden="1" customHeight="1" outlineLevel="1" x14ac:dyDescent="0.3">
      <c r="A843" s="238"/>
      <c r="B843" s="242">
        <v>2100</v>
      </c>
      <c r="C843" s="243" t="s">
        <v>203</v>
      </c>
      <c r="D843" s="244"/>
    </row>
    <row r="844" spans="1:4" ht="12" hidden="1" customHeight="1" outlineLevel="1" x14ac:dyDescent="0.3">
      <c r="A844" s="238"/>
      <c r="B844" s="242">
        <v>2200</v>
      </c>
      <c r="C844" s="243" t="s">
        <v>204</v>
      </c>
      <c r="D844" s="244"/>
    </row>
    <row r="845" spans="1:4" ht="12" hidden="1" customHeight="1" outlineLevel="1" x14ac:dyDescent="0.3">
      <c r="A845" s="238"/>
      <c r="B845" s="242">
        <v>2300</v>
      </c>
      <c r="C845" s="243" t="s">
        <v>205</v>
      </c>
      <c r="D845" s="244"/>
    </row>
    <row r="846" spans="1:4" ht="12" hidden="1" customHeight="1" outlineLevel="1" x14ac:dyDescent="0.3">
      <c r="A846" s="238"/>
      <c r="B846" s="242">
        <v>2400</v>
      </c>
      <c r="C846" s="243" t="s">
        <v>206</v>
      </c>
      <c r="D846" s="244"/>
    </row>
    <row r="847" spans="1:4" ht="12" hidden="1" customHeight="1" outlineLevel="1" x14ac:dyDescent="0.3">
      <c r="A847" s="238"/>
      <c r="B847" s="242">
        <v>2500</v>
      </c>
      <c r="C847" s="243" t="s">
        <v>207</v>
      </c>
      <c r="D847" s="244"/>
    </row>
    <row r="848" spans="1:4" ht="12" hidden="1" customHeight="1" outlineLevel="1" x14ac:dyDescent="0.3">
      <c r="A848" s="238"/>
      <c r="B848" s="199">
        <v>3000</v>
      </c>
      <c r="C848" s="245" t="s">
        <v>208</v>
      </c>
      <c r="D848" s="260">
        <f>SUM(D849:D850)</f>
        <v>0</v>
      </c>
    </row>
    <row r="849" spans="1:4" ht="12" hidden="1" customHeight="1" outlineLevel="1" x14ac:dyDescent="0.3">
      <c r="A849" s="238"/>
      <c r="B849" s="242">
        <v>3200</v>
      </c>
      <c r="C849" s="243" t="s">
        <v>209</v>
      </c>
      <c r="D849" s="244"/>
    </row>
    <row r="850" spans="1:4" ht="12" hidden="1" customHeight="1" outlineLevel="1" x14ac:dyDescent="0.3">
      <c r="A850" s="238"/>
      <c r="B850" s="242">
        <v>3300</v>
      </c>
      <c r="C850" s="243" t="s">
        <v>210</v>
      </c>
      <c r="D850" s="244"/>
    </row>
    <row r="851" spans="1:4" ht="12" hidden="1" customHeight="1" outlineLevel="1" x14ac:dyDescent="0.3">
      <c r="A851" s="238"/>
      <c r="B851" s="199">
        <v>4000</v>
      </c>
      <c r="C851" s="246" t="s">
        <v>211</v>
      </c>
      <c r="D851" s="260">
        <f>SUM(D852:D853)</f>
        <v>0</v>
      </c>
    </row>
    <row r="852" spans="1:4" ht="12" hidden="1" customHeight="1" outlineLevel="1" x14ac:dyDescent="0.3">
      <c r="A852" s="238"/>
      <c r="B852" s="242">
        <v>4200</v>
      </c>
      <c r="C852" s="247" t="s">
        <v>212</v>
      </c>
      <c r="D852" s="244"/>
    </row>
    <row r="853" spans="1:4" ht="12" hidden="1" customHeight="1" outlineLevel="1" x14ac:dyDescent="0.3">
      <c r="A853" s="238"/>
      <c r="B853" s="242">
        <v>4300</v>
      </c>
      <c r="C853" s="247" t="s">
        <v>213</v>
      </c>
      <c r="D853" s="244"/>
    </row>
    <row r="854" spans="1:4" ht="12" hidden="1" customHeight="1" outlineLevel="1" x14ac:dyDescent="0.3">
      <c r="A854" s="238"/>
      <c r="B854" s="199">
        <v>5000</v>
      </c>
      <c r="C854" s="200" t="s">
        <v>214</v>
      </c>
      <c r="D854" s="260">
        <f>SUM(D855:D857)</f>
        <v>0</v>
      </c>
    </row>
    <row r="855" spans="1:4" ht="12" hidden="1" customHeight="1" outlineLevel="1" x14ac:dyDescent="0.3">
      <c r="A855" s="238"/>
      <c r="B855" s="242">
        <v>5100</v>
      </c>
      <c r="C855" s="248" t="s">
        <v>215</v>
      </c>
      <c r="D855" s="260"/>
    </row>
    <row r="856" spans="1:4" ht="12" hidden="1" customHeight="1" outlineLevel="1" x14ac:dyDescent="0.3">
      <c r="A856" s="238"/>
      <c r="B856" s="242">
        <v>5200</v>
      </c>
      <c r="C856" s="248" t="s">
        <v>216</v>
      </c>
      <c r="D856" s="260"/>
    </row>
    <row r="857" spans="1:4" ht="12" hidden="1" customHeight="1" outlineLevel="1" x14ac:dyDescent="0.3">
      <c r="A857" s="238"/>
      <c r="B857" s="242">
        <v>5300</v>
      </c>
      <c r="C857" s="249" t="s">
        <v>217</v>
      </c>
      <c r="D857" s="260"/>
    </row>
    <row r="858" spans="1:4" ht="12" hidden="1" customHeight="1" outlineLevel="1" x14ac:dyDescent="0.3">
      <c r="A858" s="238"/>
      <c r="B858" s="199">
        <v>6000</v>
      </c>
      <c r="C858" s="200" t="s">
        <v>218</v>
      </c>
      <c r="D858" s="260">
        <f>SUM(D859:D862)</f>
        <v>0</v>
      </c>
    </row>
    <row r="859" spans="1:4" ht="12" hidden="1" customHeight="1" outlineLevel="1" x14ac:dyDescent="0.3">
      <c r="A859" s="238"/>
      <c r="B859" s="242">
        <v>6200</v>
      </c>
      <c r="C859" s="248" t="s">
        <v>219</v>
      </c>
      <c r="D859" s="244"/>
    </row>
    <row r="860" spans="1:4" ht="12" hidden="1" customHeight="1" outlineLevel="1" x14ac:dyDescent="0.3">
      <c r="A860" s="238"/>
      <c r="B860" s="242">
        <v>6300</v>
      </c>
      <c r="C860" s="248" t="s">
        <v>220</v>
      </c>
      <c r="D860" s="244"/>
    </row>
    <row r="861" spans="1:4" ht="12" hidden="1" customHeight="1" outlineLevel="1" x14ac:dyDescent="0.3">
      <c r="A861" s="238"/>
      <c r="B861" s="242">
        <v>6400</v>
      </c>
      <c r="C861" s="248" t="s">
        <v>221</v>
      </c>
      <c r="D861" s="244"/>
    </row>
    <row r="862" spans="1:4" ht="12" hidden="1" customHeight="1" outlineLevel="1" x14ac:dyDescent="0.3">
      <c r="A862" s="238"/>
      <c r="B862" s="242">
        <v>6500</v>
      </c>
      <c r="C862" s="249" t="s">
        <v>222</v>
      </c>
      <c r="D862" s="244"/>
    </row>
    <row r="863" spans="1:4" ht="12" hidden="1" customHeight="1" outlineLevel="1" x14ac:dyDescent="0.3">
      <c r="A863" s="238"/>
      <c r="B863" s="199">
        <v>7000</v>
      </c>
      <c r="C863" s="200" t="s">
        <v>223</v>
      </c>
      <c r="D863" s="260">
        <f>SUM(D864:D866)</f>
        <v>0</v>
      </c>
    </row>
    <row r="864" spans="1:4" ht="12" hidden="1" customHeight="1" outlineLevel="1" x14ac:dyDescent="0.3">
      <c r="A864" s="238"/>
      <c r="B864" s="250">
        <v>7200</v>
      </c>
      <c r="C864" s="251" t="s">
        <v>224</v>
      </c>
      <c r="D864" s="244"/>
    </row>
    <row r="865" spans="1:4" ht="12" hidden="1" customHeight="1" outlineLevel="1" x14ac:dyDescent="0.3">
      <c r="A865" s="238"/>
      <c r="B865" s="250">
        <v>7500</v>
      </c>
      <c r="C865" s="251" t="s">
        <v>225</v>
      </c>
      <c r="D865" s="244"/>
    </row>
    <row r="866" spans="1:4" ht="12" hidden="1" customHeight="1" outlineLevel="1" x14ac:dyDescent="0.3">
      <c r="A866" s="238"/>
      <c r="B866" s="250">
        <v>7700</v>
      </c>
      <c r="C866" s="251" t="s">
        <v>226</v>
      </c>
      <c r="D866" s="244"/>
    </row>
    <row r="867" spans="1:4" ht="12" hidden="1" customHeight="1" outlineLevel="1" x14ac:dyDescent="0.3">
      <c r="A867" s="238"/>
      <c r="B867" s="252">
        <v>8000</v>
      </c>
      <c r="C867" s="253" t="s">
        <v>227</v>
      </c>
      <c r="D867" s="260">
        <f>SUM(D868:D870)</f>
        <v>0</v>
      </c>
    </row>
    <row r="868" spans="1:4" ht="12" hidden="1" customHeight="1" outlineLevel="1" x14ac:dyDescent="0.3">
      <c r="A868" s="238"/>
      <c r="B868" s="254">
        <v>8100</v>
      </c>
      <c r="C868" s="255" t="s">
        <v>228</v>
      </c>
      <c r="D868" s="260"/>
    </row>
    <row r="869" spans="1:4" ht="12" hidden="1" customHeight="1" outlineLevel="1" x14ac:dyDescent="0.3">
      <c r="A869" s="238"/>
      <c r="B869" s="254">
        <v>8600</v>
      </c>
      <c r="C869" s="255" t="s">
        <v>229</v>
      </c>
      <c r="D869" s="260"/>
    </row>
    <row r="870" spans="1:4" ht="12" hidden="1" customHeight="1" outlineLevel="1" x14ac:dyDescent="0.3">
      <c r="A870" s="238"/>
      <c r="B870" s="254">
        <v>8900</v>
      </c>
      <c r="C870" s="255" t="s">
        <v>230</v>
      </c>
      <c r="D870" s="260"/>
    </row>
    <row r="871" spans="1:4" ht="15.75" hidden="1" customHeight="1" outlineLevel="1" x14ac:dyDescent="0.3">
      <c r="A871" s="256" t="s">
        <v>278</v>
      </c>
      <c r="B871" s="257"/>
      <c r="C871" s="258" t="s">
        <v>279</v>
      </c>
      <c r="D871" s="259">
        <f t="shared" ref="D871" si="77">D872+D888+D901</f>
        <v>0</v>
      </c>
    </row>
    <row r="872" spans="1:4" ht="12" hidden="1" customHeight="1" outlineLevel="1" x14ac:dyDescent="0.3">
      <c r="A872" s="227"/>
      <c r="B872" s="228"/>
      <c r="C872" s="229" t="s">
        <v>198</v>
      </c>
      <c r="D872" s="230">
        <f t="shared" ref="D872" si="78">D873+D876+D882+D885+D892+D898</f>
        <v>0</v>
      </c>
    </row>
    <row r="873" spans="1:4" ht="12" hidden="1" customHeight="1" outlineLevel="1" x14ac:dyDescent="0.3">
      <c r="A873" s="227"/>
      <c r="B873" s="231">
        <v>1000</v>
      </c>
      <c r="C873" s="232" t="s">
        <v>199</v>
      </c>
      <c r="D873" s="230">
        <f>SUM(D874:D875)</f>
        <v>0</v>
      </c>
    </row>
    <row r="874" spans="1:4" ht="12" hidden="1" customHeight="1" outlineLevel="1" x14ac:dyDescent="0.3">
      <c r="A874" s="227"/>
      <c r="B874" s="234">
        <v>1100</v>
      </c>
      <c r="C874" s="235" t="s">
        <v>200</v>
      </c>
      <c r="D874" s="236"/>
    </row>
    <row r="875" spans="1:4" ht="12" hidden="1" customHeight="1" outlineLevel="1" x14ac:dyDescent="0.3">
      <c r="A875" s="227"/>
      <c r="B875" s="234">
        <v>1200</v>
      </c>
      <c r="C875" s="237" t="s">
        <v>201</v>
      </c>
      <c r="D875" s="236"/>
    </row>
    <row r="876" spans="1:4" ht="12" hidden="1" customHeight="1" outlineLevel="1" x14ac:dyDescent="0.3">
      <c r="A876" s="238"/>
      <c r="B876" s="239">
        <v>2000</v>
      </c>
      <c r="C876" s="240" t="s">
        <v>202</v>
      </c>
      <c r="D876" s="260">
        <f>SUM(D877:D881)</f>
        <v>0</v>
      </c>
    </row>
    <row r="877" spans="1:4" ht="12" hidden="1" customHeight="1" outlineLevel="1" x14ac:dyDescent="0.3">
      <c r="A877" s="238"/>
      <c r="B877" s="242">
        <v>2100</v>
      </c>
      <c r="C877" s="243" t="s">
        <v>203</v>
      </c>
      <c r="D877" s="244"/>
    </row>
    <row r="878" spans="1:4" ht="8.25" hidden="1" customHeight="1" outlineLevel="1" x14ac:dyDescent="0.3">
      <c r="A878" s="238"/>
      <c r="B878" s="242">
        <v>2200</v>
      </c>
      <c r="C878" s="243" t="s">
        <v>204</v>
      </c>
      <c r="D878" s="244"/>
    </row>
    <row r="879" spans="1:4" ht="12" hidden="1" customHeight="1" outlineLevel="1" x14ac:dyDescent="0.3">
      <c r="A879" s="238"/>
      <c r="B879" s="242">
        <v>2300</v>
      </c>
      <c r="C879" s="243" t="s">
        <v>205</v>
      </c>
      <c r="D879" s="244"/>
    </row>
    <row r="880" spans="1:4" ht="12" hidden="1" customHeight="1" outlineLevel="1" x14ac:dyDescent="0.3">
      <c r="A880" s="238"/>
      <c r="B880" s="242">
        <v>2400</v>
      </c>
      <c r="C880" s="243" t="s">
        <v>206</v>
      </c>
      <c r="D880" s="244"/>
    </row>
    <row r="881" spans="1:4" ht="12" hidden="1" customHeight="1" outlineLevel="1" x14ac:dyDescent="0.3">
      <c r="A881" s="238"/>
      <c r="B881" s="242">
        <v>2500</v>
      </c>
      <c r="C881" s="243" t="s">
        <v>207</v>
      </c>
      <c r="D881" s="244"/>
    </row>
    <row r="882" spans="1:4" ht="12" hidden="1" customHeight="1" outlineLevel="1" x14ac:dyDescent="0.3">
      <c r="A882" s="238"/>
      <c r="B882" s="199">
        <v>3000</v>
      </c>
      <c r="C882" s="245" t="s">
        <v>208</v>
      </c>
      <c r="D882" s="260">
        <f>SUM(D883:D884)</f>
        <v>0</v>
      </c>
    </row>
    <row r="883" spans="1:4" ht="12" hidden="1" customHeight="1" outlineLevel="1" x14ac:dyDescent="0.3">
      <c r="A883" s="238"/>
      <c r="B883" s="242">
        <v>3200</v>
      </c>
      <c r="C883" s="243" t="s">
        <v>209</v>
      </c>
      <c r="D883" s="244"/>
    </row>
    <row r="884" spans="1:4" ht="12" hidden="1" customHeight="1" outlineLevel="1" x14ac:dyDescent="0.3">
      <c r="A884" s="238"/>
      <c r="B884" s="242">
        <v>3300</v>
      </c>
      <c r="C884" s="243" t="s">
        <v>210</v>
      </c>
      <c r="D884" s="244"/>
    </row>
    <row r="885" spans="1:4" ht="12" hidden="1" customHeight="1" outlineLevel="1" x14ac:dyDescent="0.3">
      <c r="A885" s="238"/>
      <c r="B885" s="199">
        <v>4000</v>
      </c>
      <c r="C885" s="246" t="s">
        <v>211</v>
      </c>
      <c r="D885" s="260">
        <f>SUM(D886:D887)</f>
        <v>0</v>
      </c>
    </row>
    <row r="886" spans="1:4" ht="12" hidden="1" customHeight="1" outlineLevel="1" x14ac:dyDescent="0.3">
      <c r="A886" s="238"/>
      <c r="B886" s="242">
        <v>4200</v>
      </c>
      <c r="C886" s="247" t="s">
        <v>212</v>
      </c>
      <c r="D886" s="244"/>
    </row>
    <row r="887" spans="1:4" ht="12" hidden="1" customHeight="1" outlineLevel="1" x14ac:dyDescent="0.3">
      <c r="A887" s="238"/>
      <c r="B887" s="242">
        <v>4300</v>
      </c>
      <c r="C887" s="247" t="s">
        <v>213</v>
      </c>
      <c r="D887" s="244"/>
    </row>
    <row r="888" spans="1:4" ht="12" hidden="1" customHeight="1" outlineLevel="1" x14ac:dyDescent="0.3">
      <c r="A888" s="238"/>
      <c r="B888" s="199">
        <v>5000</v>
      </c>
      <c r="C888" s="200" t="s">
        <v>214</v>
      </c>
      <c r="D888" s="260">
        <f>SUM(D889:D891)</f>
        <v>0</v>
      </c>
    </row>
    <row r="889" spans="1:4" ht="12" hidden="1" customHeight="1" outlineLevel="1" x14ac:dyDescent="0.3">
      <c r="A889" s="238"/>
      <c r="B889" s="242">
        <v>5100</v>
      </c>
      <c r="C889" s="248" t="s">
        <v>215</v>
      </c>
      <c r="D889" s="260"/>
    </row>
    <row r="890" spans="1:4" ht="12" hidden="1" customHeight="1" outlineLevel="1" x14ac:dyDescent="0.3">
      <c r="A890" s="238"/>
      <c r="B890" s="242">
        <v>5200</v>
      </c>
      <c r="C890" s="248" t="s">
        <v>216</v>
      </c>
      <c r="D890" s="260"/>
    </row>
    <row r="891" spans="1:4" ht="12" hidden="1" customHeight="1" outlineLevel="1" x14ac:dyDescent="0.3">
      <c r="A891" s="238"/>
      <c r="B891" s="242">
        <v>5300</v>
      </c>
      <c r="C891" s="249" t="s">
        <v>217</v>
      </c>
      <c r="D891" s="260"/>
    </row>
    <row r="892" spans="1:4" ht="12" hidden="1" customHeight="1" outlineLevel="1" x14ac:dyDescent="0.3">
      <c r="A892" s="238"/>
      <c r="B892" s="199">
        <v>6000</v>
      </c>
      <c r="C892" s="200" t="s">
        <v>218</v>
      </c>
      <c r="D892" s="260">
        <f>SUM(D893:D896)</f>
        <v>0</v>
      </c>
    </row>
    <row r="893" spans="1:4" ht="12" hidden="1" customHeight="1" outlineLevel="1" x14ac:dyDescent="0.3">
      <c r="A893" s="238"/>
      <c r="B893" s="242">
        <v>6200</v>
      </c>
      <c r="C893" s="248" t="s">
        <v>219</v>
      </c>
      <c r="D893" s="244"/>
    </row>
    <row r="894" spans="1:4" ht="12" hidden="1" customHeight="1" outlineLevel="1" x14ac:dyDescent="0.3">
      <c r="A894" s="238"/>
      <c r="B894" s="242">
        <v>6300</v>
      </c>
      <c r="C894" s="248" t="s">
        <v>220</v>
      </c>
      <c r="D894" s="244"/>
    </row>
    <row r="895" spans="1:4" ht="12" hidden="1" customHeight="1" outlineLevel="1" x14ac:dyDescent="0.3">
      <c r="A895" s="238"/>
      <c r="B895" s="242">
        <v>6400</v>
      </c>
      <c r="C895" s="248" t="s">
        <v>221</v>
      </c>
      <c r="D895" s="244"/>
    </row>
    <row r="896" spans="1:4" ht="12" hidden="1" customHeight="1" outlineLevel="1" x14ac:dyDescent="0.3">
      <c r="A896" s="238"/>
      <c r="B896" s="242">
        <v>6500</v>
      </c>
      <c r="C896" s="249" t="s">
        <v>222</v>
      </c>
      <c r="D896" s="244"/>
    </row>
    <row r="897" spans="1:4" ht="12" hidden="1" customHeight="1" outlineLevel="1" x14ac:dyDescent="0.3">
      <c r="A897" s="238"/>
      <c r="B897" s="199">
        <v>7000</v>
      </c>
      <c r="C897" s="200" t="s">
        <v>223</v>
      </c>
      <c r="D897" s="260">
        <f>SUM(D898:D900)</f>
        <v>0</v>
      </c>
    </row>
    <row r="898" spans="1:4" ht="12" hidden="1" customHeight="1" outlineLevel="1" x14ac:dyDescent="0.3">
      <c r="A898" s="238"/>
      <c r="B898" s="250">
        <v>7200</v>
      </c>
      <c r="C898" s="251" t="s">
        <v>224</v>
      </c>
      <c r="D898" s="244"/>
    </row>
    <row r="899" spans="1:4" ht="12" hidden="1" customHeight="1" outlineLevel="1" x14ac:dyDescent="0.3">
      <c r="A899" s="238"/>
      <c r="B899" s="250">
        <v>7500</v>
      </c>
      <c r="C899" s="251" t="s">
        <v>225</v>
      </c>
      <c r="D899" s="244"/>
    </row>
    <row r="900" spans="1:4" ht="12" hidden="1" customHeight="1" outlineLevel="1" x14ac:dyDescent="0.3">
      <c r="A900" s="238"/>
      <c r="B900" s="250">
        <v>7700</v>
      </c>
      <c r="C900" s="251" t="s">
        <v>226</v>
      </c>
      <c r="D900" s="244"/>
    </row>
    <row r="901" spans="1:4" ht="12" hidden="1" customHeight="1" outlineLevel="1" x14ac:dyDescent="0.3">
      <c r="A901" s="238"/>
      <c r="B901" s="252">
        <v>8000</v>
      </c>
      <c r="C901" s="253" t="s">
        <v>227</v>
      </c>
      <c r="D901" s="260">
        <f>SUM(D902:D904)</f>
        <v>0</v>
      </c>
    </row>
    <row r="902" spans="1:4" ht="12" hidden="1" customHeight="1" outlineLevel="1" x14ac:dyDescent="0.3">
      <c r="A902" s="238"/>
      <c r="B902" s="254">
        <v>8100</v>
      </c>
      <c r="C902" s="255" t="s">
        <v>228</v>
      </c>
      <c r="D902" s="260"/>
    </row>
    <row r="903" spans="1:4" ht="12" hidden="1" customHeight="1" outlineLevel="1" x14ac:dyDescent="0.3">
      <c r="A903" s="238"/>
      <c r="B903" s="254">
        <v>8600</v>
      </c>
      <c r="C903" s="255" t="s">
        <v>229</v>
      </c>
      <c r="D903" s="260"/>
    </row>
    <row r="904" spans="1:4" ht="12" hidden="1" customHeight="1" outlineLevel="1" x14ac:dyDescent="0.3">
      <c r="A904" s="238"/>
      <c r="B904" s="254">
        <v>8900</v>
      </c>
      <c r="C904" s="255" t="s">
        <v>230</v>
      </c>
      <c r="D904" s="260"/>
    </row>
    <row r="905" spans="1:4" ht="17.100000000000001" hidden="1" customHeight="1" outlineLevel="1" x14ac:dyDescent="0.3">
      <c r="A905" s="223" t="s">
        <v>280</v>
      </c>
      <c r="B905" s="276"/>
      <c r="C905" s="225" t="s">
        <v>281</v>
      </c>
      <c r="D905" s="226">
        <f t="shared" ref="D905" si="79">D906+D922+D936</f>
        <v>0</v>
      </c>
    </row>
    <row r="906" spans="1:4" ht="12" hidden="1" customHeight="1" outlineLevel="1" x14ac:dyDescent="0.3">
      <c r="A906" s="227"/>
      <c r="B906" s="228"/>
      <c r="C906" s="229" t="s">
        <v>198</v>
      </c>
      <c r="D906" s="230">
        <f t="shared" ref="D906" si="80">D907+D910+D916+D919+D927+D932</f>
        <v>0</v>
      </c>
    </row>
    <row r="907" spans="1:4" ht="12" hidden="1" customHeight="1" outlineLevel="1" x14ac:dyDescent="0.3">
      <c r="A907" s="227"/>
      <c r="B907" s="231">
        <v>1000</v>
      </c>
      <c r="C907" s="232" t="s">
        <v>199</v>
      </c>
      <c r="D907" s="233">
        <f>D942+D976+D1010+D1044+D1112+D1078</f>
        <v>0</v>
      </c>
    </row>
    <row r="908" spans="1:4" ht="12" hidden="1" customHeight="1" outlineLevel="1" x14ac:dyDescent="0.3">
      <c r="A908" s="227"/>
      <c r="B908" s="234">
        <v>1100</v>
      </c>
      <c r="C908" s="235" t="s">
        <v>200</v>
      </c>
      <c r="D908" s="236">
        <f t="shared" ref="D908:D909" si="81">D943+D977+D1011+D1045+D1113+D1079</f>
        <v>0</v>
      </c>
    </row>
    <row r="909" spans="1:4" ht="12" hidden="1" customHeight="1" outlineLevel="1" x14ac:dyDescent="0.3">
      <c r="A909" s="227"/>
      <c r="B909" s="234">
        <v>1200</v>
      </c>
      <c r="C909" s="237" t="s">
        <v>201</v>
      </c>
      <c r="D909" s="236">
        <f t="shared" si="81"/>
        <v>0</v>
      </c>
    </row>
    <row r="910" spans="1:4" ht="12" hidden="1" customHeight="1" outlineLevel="1" x14ac:dyDescent="0.3">
      <c r="A910" s="238"/>
      <c r="B910" s="239">
        <v>2000</v>
      </c>
      <c r="C910" s="240" t="s">
        <v>202</v>
      </c>
      <c r="D910" s="233">
        <f>D945+D979+D1013+D1047+D1115+D1081</f>
        <v>0</v>
      </c>
    </row>
    <row r="911" spans="1:4" ht="12" hidden="1" customHeight="1" outlineLevel="1" x14ac:dyDescent="0.3">
      <c r="A911" s="238"/>
      <c r="B911" s="242">
        <v>2100</v>
      </c>
      <c r="C911" s="243" t="s">
        <v>203</v>
      </c>
      <c r="D911" s="236">
        <f t="shared" ref="D911:D915" si="82">D946+D980+D1014+D1048+D1116+D1082</f>
        <v>0</v>
      </c>
    </row>
    <row r="912" spans="1:4" ht="12" hidden="1" customHeight="1" outlineLevel="1" x14ac:dyDescent="0.3">
      <c r="A912" s="238"/>
      <c r="B912" s="242">
        <v>2200</v>
      </c>
      <c r="C912" s="243" t="s">
        <v>204</v>
      </c>
      <c r="D912" s="236">
        <f t="shared" si="82"/>
        <v>0</v>
      </c>
    </row>
    <row r="913" spans="1:4" ht="12" hidden="1" customHeight="1" outlineLevel="1" x14ac:dyDescent="0.3">
      <c r="A913" s="238"/>
      <c r="B913" s="242">
        <v>2300</v>
      </c>
      <c r="C913" s="243" t="s">
        <v>205</v>
      </c>
      <c r="D913" s="236">
        <f t="shared" si="82"/>
        <v>0</v>
      </c>
    </row>
    <row r="914" spans="1:4" ht="12" hidden="1" customHeight="1" outlineLevel="1" x14ac:dyDescent="0.3">
      <c r="A914" s="238"/>
      <c r="B914" s="242">
        <v>2400</v>
      </c>
      <c r="C914" s="243" t="s">
        <v>206</v>
      </c>
      <c r="D914" s="236">
        <f t="shared" si="82"/>
        <v>0</v>
      </c>
    </row>
    <row r="915" spans="1:4" ht="12" hidden="1" customHeight="1" outlineLevel="1" x14ac:dyDescent="0.3">
      <c r="A915" s="238"/>
      <c r="B915" s="242">
        <v>2500</v>
      </c>
      <c r="C915" s="243" t="s">
        <v>207</v>
      </c>
      <c r="D915" s="236">
        <f t="shared" si="82"/>
        <v>0</v>
      </c>
    </row>
    <row r="916" spans="1:4" ht="12" hidden="1" customHeight="1" outlineLevel="1" x14ac:dyDescent="0.3">
      <c r="A916" s="238"/>
      <c r="B916" s="199">
        <v>3000</v>
      </c>
      <c r="C916" s="245" t="s">
        <v>208</v>
      </c>
      <c r="D916" s="233">
        <f>D951+D985+D1019+D1053+D1121+D1087</f>
        <v>0</v>
      </c>
    </row>
    <row r="917" spans="1:4" ht="12" hidden="1" customHeight="1" outlineLevel="1" x14ac:dyDescent="0.3">
      <c r="A917" s="238"/>
      <c r="B917" s="242">
        <v>3200</v>
      </c>
      <c r="C917" s="243" t="s">
        <v>209</v>
      </c>
      <c r="D917" s="236">
        <f t="shared" ref="D917:D918" si="83">D952+D986+D1020+D1054+D1122+D1088</f>
        <v>0</v>
      </c>
    </row>
    <row r="918" spans="1:4" ht="12" hidden="1" customHeight="1" outlineLevel="1" x14ac:dyDescent="0.3">
      <c r="A918" s="238"/>
      <c r="B918" s="242">
        <v>3300</v>
      </c>
      <c r="C918" s="243" t="s">
        <v>210</v>
      </c>
      <c r="D918" s="236">
        <f t="shared" si="83"/>
        <v>0</v>
      </c>
    </row>
    <row r="919" spans="1:4" ht="12" hidden="1" customHeight="1" outlineLevel="1" x14ac:dyDescent="0.3">
      <c r="A919" s="238"/>
      <c r="B919" s="199">
        <v>4000</v>
      </c>
      <c r="C919" s="246" t="s">
        <v>211</v>
      </c>
      <c r="D919" s="233">
        <f>D954+D988+D1022+D1056+D1124+D1090</f>
        <v>0</v>
      </c>
    </row>
    <row r="920" spans="1:4" ht="12" hidden="1" customHeight="1" outlineLevel="1" x14ac:dyDescent="0.3">
      <c r="A920" s="238"/>
      <c r="B920" s="242">
        <v>4200</v>
      </c>
      <c r="C920" s="247" t="s">
        <v>212</v>
      </c>
      <c r="D920" s="236">
        <f t="shared" ref="D920:D921" si="84">D955+D989+D1023+D1057+D1125+D1091</f>
        <v>0</v>
      </c>
    </row>
    <row r="921" spans="1:4" ht="12" hidden="1" customHeight="1" outlineLevel="1" x14ac:dyDescent="0.3">
      <c r="A921" s="238"/>
      <c r="B921" s="242">
        <v>4300</v>
      </c>
      <c r="C921" s="247" t="s">
        <v>213</v>
      </c>
      <c r="D921" s="236">
        <f t="shared" si="84"/>
        <v>0</v>
      </c>
    </row>
    <row r="922" spans="1:4" ht="12" hidden="1" customHeight="1" outlineLevel="1" x14ac:dyDescent="0.3">
      <c r="A922" s="238"/>
      <c r="B922" s="199">
        <v>5000</v>
      </c>
      <c r="C922" s="200" t="s">
        <v>214</v>
      </c>
      <c r="D922" s="233">
        <f>D957+D991+D1025+D1059+D1127+D1093</f>
        <v>0</v>
      </c>
    </row>
    <row r="923" spans="1:4" ht="12" hidden="1" customHeight="1" outlineLevel="1" x14ac:dyDescent="0.3">
      <c r="A923" s="238"/>
      <c r="B923" s="242">
        <v>5100</v>
      </c>
      <c r="C923" s="248" t="s">
        <v>215</v>
      </c>
      <c r="D923" s="236">
        <f t="shared" ref="D923:D926" si="85">D958+D992+D1026+D1060+D1128+D1094</f>
        <v>0</v>
      </c>
    </row>
    <row r="924" spans="1:4" ht="12" hidden="1" customHeight="1" outlineLevel="1" x14ac:dyDescent="0.3">
      <c r="A924" s="238"/>
      <c r="B924" s="242">
        <v>5200</v>
      </c>
      <c r="C924" s="248" t="s">
        <v>216</v>
      </c>
      <c r="D924" s="236">
        <f t="shared" si="85"/>
        <v>0</v>
      </c>
    </row>
    <row r="925" spans="1:4" ht="12" hidden="1" customHeight="1" outlineLevel="1" x14ac:dyDescent="0.3">
      <c r="A925" s="238"/>
      <c r="B925" s="242">
        <v>5300</v>
      </c>
      <c r="C925" s="249" t="s">
        <v>217</v>
      </c>
      <c r="D925" s="236">
        <f t="shared" si="85"/>
        <v>0</v>
      </c>
    </row>
    <row r="926" spans="1:4" ht="12" hidden="1" customHeight="1" outlineLevel="1" x14ac:dyDescent="0.3">
      <c r="A926" s="238"/>
      <c r="B926" s="199">
        <v>6000</v>
      </c>
      <c r="C926" s="200" t="s">
        <v>218</v>
      </c>
      <c r="D926" s="233">
        <f t="shared" si="85"/>
        <v>0</v>
      </c>
    </row>
    <row r="927" spans="1:4" ht="12" hidden="1" customHeight="1" outlineLevel="1" x14ac:dyDescent="0.3">
      <c r="A927" s="238"/>
      <c r="B927" s="242">
        <v>6200</v>
      </c>
      <c r="C927" s="248" t="s">
        <v>219</v>
      </c>
      <c r="D927" s="236">
        <f>D961+D995+D1029+D1063+D1131+D1097</f>
        <v>0</v>
      </c>
    </row>
    <row r="928" spans="1:4" ht="12" hidden="1" customHeight="1" outlineLevel="1" x14ac:dyDescent="0.3">
      <c r="A928" s="238"/>
      <c r="B928" s="242">
        <v>6300</v>
      </c>
      <c r="C928" s="248" t="s">
        <v>220</v>
      </c>
      <c r="D928" s="236">
        <f t="shared" ref="D928:D931" si="86">D962+D996+D1030+D1064+D1132+D1098</f>
        <v>0</v>
      </c>
    </row>
    <row r="929" spans="1:4" ht="12" hidden="1" customHeight="1" outlineLevel="1" x14ac:dyDescent="0.3">
      <c r="A929" s="238"/>
      <c r="B929" s="242">
        <v>6400</v>
      </c>
      <c r="C929" s="248" t="s">
        <v>221</v>
      </c>
      <c r="D929" s="236">
        <f t="shared" si="86"/>
        <v>0</v>
      </c>
    </row>
    <row r="930" spans="1:4" ht="12" hidden="1" customHeight="1" outlineLevel="1" x14ac:dyDescent="0.3">
      <c r="A930" s="238"/>
      <c r="B930" s="242">
        <v>6500</v>
      </c>
      <c r="C930" s="249" t="s">
        <v>222</v>
      </c>
      <c r="D930" s="236">
        <f t="shared" si="86"/>
        <v>0</v>
      </c>
    </row>
    <row r="931" spans="1:4" ht="12" hidden="1" customHeight="1" outlineLevel="1" x14ac:dyDescent="0.3">
      <c r="A931" s="238"/>
      <c r="B931" s="199">
        <v>7000</v>
      </c>
      <c r="C931" s="200" t="s">
        <v>223</v>
      </c>
      <c r="D931" s="233">
        <f t="shared" si="86"/>
        <v>0</v>
      </c>
    </row>
    <row r="932" spans="1:4" ht="12" hidden="1" customHeight="1" outlineLevel="1" x14ac:dyDescent="0.3">
      <c r="A932" s="238"/>
      <c r="B932" s="250">
        <v>7200</v>
      </c>
      <c r="C932" s="251" t="s">
        <v>224</v>
      </c>
      <c r="D932" s="236">
        <f>D966+D1000+D1034+D1068+D1136+D1102</f>
        <v>0</v>
      </c>
    </row>
    <row r="933" spans="1:4" ht="12" hidden="1" customHeight="1" outlineLevel="1" x14ac:dyDescent="0.3">
      <c r="A933" s="238"/>
      <c r="B933" s="250">
        <v>7500</v>
      </c>
      <c r="C933" s="251" t="s">
        <v>225</v>
      </c>
      <c r="D933" s="236">
        <f t="shared" ref="D933:D935" si="87">D967+D1001+D1035+D1069+D1137+D1103</f>
        <v>0</v>
      </c>
    </row>
    <row r="934" spans="1:4" ht="12" hidden="1" customHeight="1" outlineLevel="1" x14ac:dyDescent="0.3">
      <c r="A934" s="238"/>
      <c r="B934" s="250">
        <v>7700</v>
      </c>
      <c r="C934" s="251" t="s">
        <v>226</v>
      </c>
      <c r="D934" s="236">
        <f t="shared" si="87"/>
        <v>0</v>
      </c>
    </row>
    <row r="935" spans="1:4" ht="12" hidden="1" customHeight="1" outlineLevel="1" x14ac:dyDescent="0.3">
      <c r="A935" s="238"/>
      <c r="B935" s="252">
        <v>8000</v>
      </c>
      <c r="C935" s="253" t="s">
        <v>227</v>
      </c>
      <c r="D935" s="236">
        <f t="shared" si="87"/>
        <v>0</v>
      </c>
    </row>
    <row r="936" spans="1:4" ht="12" hidden="1" customHeight="1" outlineLevel="1" x14ac:dyDescent="0.3">
      <c r="A936" s="238"/>
      <c r="B936" s="254">
        <v>8100</v>
      </c>
      <c r="C936" s="255" t="s">
        <v>228</v>
      </c>
      <c r="D936" s="233">
        <f>D970+D1004+D1038+D1072+D1140+D1106</f>
        <v>0</v>
      </c>
    </row>
    <row r="937" spans="1:4" ht="12" hidden="1" customHeight="1" outlineLevel="1" x14ac:dyDescent="0.3">
      <c r="A937" s="238"/>
      <c r="B937" s="254">
        <v>8600</v>
      </c>
      <c r="C937" s="255" t="s">
        <v>229</v>
      </c>
      <c r="D937" s="236">
        <f t="shared" ref="D937:D939" si="88">D971+D1005+D1039+D1073+D1141+D1107</f>
        <v>0</v>
      </c>
    </row>
    <row r="938" spans="1:4" ht="12" hidden="1" customHeight="1" outlineLevel="1" x14ac:dyDescent="0.3">
      <c r="A938" s="238"/>
      <c r="B938" s="254">
        <v>8900</v>
      </c>
      <c r="C938" s="255" t="s">
        <v>230</v>
      </c>
      <c r="D938" s="236">
        <f t="shared" si="88"/>
        <v>0</v>
      </c>
    </row>
    <row r="939" spans="1:4" ht="12" hidden="1" customHeight="1" outlineLevel="1" x14ac:dyDescent="0.3">
      <c r="A939" s="238"/>
      <c r="B939" s="252"/>
      <c r="C939" s="277"/>
      <c r="D939" s="236">
        <f t="shared" si="88"/>
        <v>0</v>
      </c>
    </row>
    <row r="940" spans="1:4" ht="12" hidden="1" customHeight="1" outlineLevel="1" x14ac:dyDescent="0.3">
      <c r="A940" s="256" t="s">
        <v>282</v>
      </c>
      <c r="B940" s="257"/>
      <c r="C940" s="258" t="s">
        <v>283</v>
      </c>
      <c r="D940" s="259">
        <f t="shared" ref="D940" si="89">D941+D957+D970</f>
        <v>0</v>
      </c>
    </row>
    <row r="941" spans="1:4" ht="12" hidden="1" customHeight="1" outlineLevel="1" x14ac:dyDescent="0.3">
      <c r="A941" s="238"/>
      <c r="B941" s="228"/>
      <c r="C941" s="229" t="s">
        <v>198</v>
      </c>
      <c r="D941" s="230">
        <f t="shared" ref="D941" si="90">D942+D945+D951+D954+D961+D966</f>
        <v>0</v>
      </c>
    </row>
    <row r="942" spans="1:4" ht="12" hidden="1" customHeight="1" outlineLevel="1" x14ac:dyDescent="0.3">
      <c r="A942" s="238"/>
      <c r="B942" s="231">
        <v>1000</v>
      </c>
      <c r="C942" s="232" t="s">
        <v>199</v>
      </c>
      <c r="D942" s="230">
        <f>SUM(D943:D944)</f>
        <v>0</v>
      </c>
    </row>
    <row r="943" spans="1:4" ht="12" hidden="1" customHeight="1" outlineLevel="1" x14ac:dyDescent="0.3">
      <c r="A943" s="238"/>
      <c r="B943" s="234">
        <v>1100</v>
      </c>
      <c r="C943" s="235" t="s">
        <v>200</v>
      </c>
      <c r="D943" s="236"/>
    </row>
    <row r="944" spans="1:4" ht="12" hidden="1" customHeight="1" outlineLevel="1" x14ac:dyDescent="0.3">
      <c r="A944" s="238"/>
      <c r="B944" s="234">
        <v>1200</v>
      </c>
      <c r="C944" s="237" t="s">
        <v>201</v>
      </c>
      <c r="D944" s="236"/>
    </row>
    <row r="945" spans="1:4" ht="12" hidden="1" customHeight="1" outlineLevel="1" x14ac:dyDescent="0.3">
      <c r="A945" s="238"/>
      <c r="B945" s="239">
        <v>2000</v>
      </c>
      <c r="C945" s="240" t="s">
        <v>202</v>
      </c>
      <c r="D945" s="260">
        <f>SUM(D946:D950)</f>
        <v>0</v>
      </c>
    </row>
    <row r="946" spans="1:4" ht="12" hidden="1" customHeight="1" outlineLevel="1" x14ac:dyDescent="0.3">
      <c r="A946" s="238"/>
      <c r="B946" s="242">
        <v>2100</v>
      </c>
      <c r="C946" s="243" t="s">
        <v>203</v>
      </c>
      <c r="D946" s="244"/>
    </row>
    <row r="947" spans="1:4" ht="12" hidden="1" customHeight="1" outlineLevel="1" x14ac:dyDescent="0.3">
      <c r="A947" s="238"/>
      <c r="B947" s="242">
        <v>2200</v>
      </c>
      <c r="C947" s="243" t="s">
        <v>204</v>
      </c>
      <c r="D947" s="244"/>
    </row>
    <row r="948" spans="1:4" ht="12" hidden="1" customHeight="1" outlineLevel="1" x14ac:dyDescent="0.3">
      <c r="A948" s="238"/>
      <c r="B948" s="242">
        <v>2300</v>
      </c>
      <c r="C948" s="243" t="s">
        <v>205</v>
      </c>
      <c r="D948" s="244"/>
    </row>
    <row r="949" spans="1:4" ht="12" hidden="1" customHeight="1" outlineLevel="1" x14ac:dyDescent="0.3">
      <c r="A949" s="238"/>
      <c r="B949" s="242">
        <v>2400</v>
      </c>
      <c r="C949" s="243" t="s">
        <v>206</v>
      </c>
      <c r="D949" s="244"/>
    </row>
    <row r="950" spans="1:4" ht="12" hidden="1" customHeight="1" outlineLevel="1" x14ac:dyDescent="0.3">
      <c r="A950" s="238"/>
      <c r="B950" s="242">
        <v>2500</v>
      </c>
      <c r="C950" s="243" t="s">
        <v>207</v>
      </c>
      <c r="D950" s="244"/>
    </row>
    <row r="951" spans="1:4" ht="12" hidden="1" customHeight="1" outlineLevel="1" x14ac:dyDescent="0.3">
      <c r="A951" s="238"/>
      <c r="B951" s="199">
        <v>3000</v>
      </c>
      <c r="C951" s="245" t="s">
        <v>208</v>
      </c>
      <c r="D951" s="260">
        <f>SUM(D952:D953)</f>
        <v>0</v>
      </c>
    </row>
    <row r="952" spans="1:4" ht="12" hidden="1" customHeight="1" outlineLevel="1" x14ac:dyDescent="0.3">
      <c r="A952" s="238"/>
      <c r="B952" s="242">
        <v>3200</v>
      </c>
      <c r="C952" s="243" t="s">
        <v>209</v>
      </c>
      <c r="D952" s="244"/>
    </row>
    <row r="953" spans="1:4" ht="12" hidden="1" customHeight="1" outlineLevel="1" x14ac:dyDescent="0.3">
      <c r="A953" s="238"/>
      <c r="B953" s="242">
        <v>3300</v>
      </c>
      <c r="C953" s="243" t="s">
        <v>210</v>
      </c>
      <c r="D953" s="244"/>
    </row>
    <row r="954" spans="1:4" ht="12" hidden="1" customHeight="1" outlineLevel="1" x14ac:dyDescent="0.3">
      <c r="A954" s="238"/>
      <c r="B954" s="199">
        <v>4000</v>
      </c>
      <c r="C954" s="246" t="s">
        <v>211</v>
      </c>
      <c r="D954" s="260">
        <f>SUM(D955:D956)</f>
        <v>0</v>
      </c>
    </row>
    <row r="955" spans="1:4" ht="12" hidden="1" customHeight="1" outlineLevel="1" x14ac:dyDescent="0.3">
      <c r="A955" s="238"/>
      <c r="B955" s="242">
        <v>4200</v>
      </c>
      <c r="C955" s="247" t="s">
        <v>212</v>
      </c>
      <c r="D955" s="244"/>
    </row>
    <row r="956" spans="1:4" ht="12" hidden="1" customHeight="1" outlineLevel="1" x14ac:dyDescent="0.3">
      <c r="A956" s="238"/>
      <c r="B956" s="242">
        <v>4300</v>
      </c>
      <c r="C956" s="247" t="s">
        <v>213</v>
      </c>
      <c r="D956" s="244"/>
    </row>
    <row r="957" spans="1:4" ht="12" hidden="1" customHeight="1" outlineLevel="1" x14ac:dyDescent="0.3">
      <c r="A957" s="238"/>
      <c r="B957" s="199">
        <v>5000</v>
      </c>
      <c r="C957" s="200" t="s">
        <v>214</v>
      </c>
      <c r="D957" s="260">
        <f>SUM(D958:D960)</f>
        <v>0</v>
      </c>
    </row>
    <row r="958" spans="1:4" ht="12" hidden="1" customHeight="1" outlineLevel="1" x14ac:dyDescent="0.3">
      <c r="A958" s="238"/>
      <c r="B958" s="242">
        <v>5100</v>
      </c>
      <c r="C958" s="248" t="s">
        <v>215</v>
      </c>
      <c r="D958" s="260"/>
    </row>
    <row r="959" spans="1:4" ht="12" hidden="1" customHeight="1" outlineLevel="1" x14ac:dyDescent="0.3">
      <c r="A959" s="238"/>
      <c r="B959" s="242">
        <v>5200</v>
      </c>
      <c r="C959" s="248" t="s">
        <v>216</v>
      </c>
      <c r="D959" s="260"/>
    </row>
    <row r="960" spans="1:4" ht="12" hidden="1" customHeight="1" outlineLevel="1" x14ac:dyDescent="0.3">
      <c r="A960" s="238"/>
      <c r="B960" s="242">
        <v>5300</v>
      </c>
      <c r="C960" s="249" t="s">
        <v>217</v>
      </c>
      <c r="D960" s="260"/>
    </row>
    <row r="961" spans="1:4" ht="12" hidden="1" customHeight="1" outlineLevel="1" x14ac:dyDescent="0.3">
      <c r="A961" s="238"/>
      <c r="B961" s="199">
        <v>6000</v>
      </c>
      <c r="C961" s="200" t="s">
        <v>218</v>
      </c>
      <c r="D961" s="260">
        <f>SUM(D962:D965)</f>
        <v>0</v>
      </c>
    </row>
    <row r="962" spans="1:4" ht="12" hidden="1" customHeight="1" outlineLevel="1" x14ac:dyDescent="0.3">
      <c r="A962" s="238"/>
      <c r="B962" s="242">
        <v>6200</v>
      </c>
      <c r="C962" s="248" t="s">
        <v>219</v>
      </c>
      <c r="D962" s="244"/>
    </row>
    <row r="963" spans="1:4" ht="12" hidden="1" customHeight="1" outlineLevel="1" x14ac:dyDescent="0.3">
      <c r="A963" s="238"/>
      <c r="B963" s="242">
        <v>6300</v>
      </c>
      <c r="C963" s="248" t="s">
        <v>220</v>
      </c>
      <c r="D963" s="244"/>
    </row>
    <row r="964" spans="1:4" ht="12" hidden="1" customHeight="1" outlineLevel="1" x14ac:dyDescent="0.3">
      <c r="A964" s="238"/>
      <c r="B964" s="242">
        <v>6400</v>
      </c>
      <c r="C964" s="248" t="s">
        <v>221</v>
      </c>
      <c r="D964" s="244"/>
    </row>
    <row r="965" spans="1:4" ht="12" hidden="1" customHeight="1" outlineLevel="1" x14ac:dyDescent="0.3">
      <c r="A965" s="238"/>
      <c r="B965" s="242">
        <v>6500</v>
      </c>
      <c r="C965" s="249" t="s">
        <v>222</v>
      </c>
      <c r="D965" s="244"/>
    </row>
    <row r="966" spans="1:4" ht="12" hidden="1" customHeight="1" outlineLevel="1" x14ac:dyDescent="0.3">
      <c r="A966" s="238"/>
      <c r="B966" s="199">
        <v>7000</v>
      </c>
      <c r="C966" s="200" t="s">
        <v>223</v>
      </c>
      <c r="D966" s="260">
        <f>SUM(D967:D969)</f>
        <v>0</v>
      </c>
    </row>
    <row r="967" spans="1:4" ht="12" hidden="1" customHeight="1" outlineLevel="1" x14ac:dyDescent="0.3">
      <c r="A967" s="238"/>
      <c r="B967" s="250">
        <v>7200</v>
      </c>
      <c r="C967" s="251" t="s">
        <v>224</v>
      </c>
      <c r="D967" s="244"/>
    </row>
    <row r="968" spans="1:4" ht="12" hidden="1" customHeight="1" outlineLevel="1" x14ac:dyDescent="0.3">
      <c r="A968" s="238"/>
      <c r="B968" s="250">
        <v>7500</v>
      </c>
      <c r="C968" s="251" t="s">
        <v>225</v>
      </c>
      <c r="D968" s="244"/>
    </row>
    <row r="969" spans="1:4" ht="12" hidden="1" customHeight="1" outlineLevel="1" x14ac:dyDescent="0.3">
      <c r="A969" s="238"/>
      <c r="B969" s="250">
        <v>7700</v>
      </c>
      <c r="C969" s="251" t="s">
        <v>226</v>
      </c>
      <c r="D969" s="244"/>
    </row>
    <row r="970" spans="1:4" ht="12" hidden="1" customHeight="1" outlineLevel="1" x14ac:dyDescent="0.3">
      <c r="A970" s="238"/>
      <c r="B970" s="252">
        <v>8000</v>
      </c>
      <c r="C970" s="253" t="s">
        <v>227</v>
      </c>
      <c r="D970" s="260">
        <f>SUM(D971:D973)</f>
        <v>0</v>
      </c>
    </row>
    <row r="971" spans="1:4" ht="12" hidden="1" customHeight="1" outlineLevel="1" x14ac:dyDescent="0.3">
      <c r="A971" s="238"/>
      <c r="B971" s="254">
        <v>8100</v>
      </c>
      <c r="C971" s="255" t="s">
        <v>228</v>
      </c>
      <c r="D971" s="260"/>
    </row>
    <row r="972" spans="1:4" ht="12" hidden="1" customHeight="1" outlineLevel="1" x14ac:dyDescent="0.3">
      <c r="A972" s="238"/>
      <c r="B972" s="254">
        <v>8600</v>
      </c>
      <c r="C972" s="255" t="s">
        <v>229</v>
      </c>
      <c r="D972" s="260"/>
    </row>
    <row r="973" spans="1:4" ht="12" hidden="1" customHeight="1" outlineLevel="1" x14ac:dyDescent="0.3">
      <c r="A973" s="238"/>
      <c r="B973" s="254">
        <v>8900</v>
      </c>
      <c r="C973" s="255" t="s">
        <v>230</v>
      </c>
      <c r="D973" s="260"/>
    </row>
    <row r="974" spans="1:4" ht="12" hidden="1" customHeight="1" outlineLevel="1" x14ac:dyDescent="0.3">
      <c r="A974" s="256" t="s">
        <v>284</v>
      </c>
      <c r="B974" s="257"/>
      <c r="C974" s="258" t="s">
        <v>285</v>
      </c>
      <c r="D974" s="259">
        <f t="shared" ref="D974" si="91">D975+D991+D1004</f>
        <v>0</v>
      </c>
    </row>
    <row r="975" spans="1:4" ht="12" hidden="1" customHeight="1" outlineLevel="1" x14ac:dyDescent="0.3">
      <c r="A975" s="227"/>
      <c r="B975" s="228"/>
      <c r="C975" s="229" t="s">
        <v>198</v>
      </c>
      <c r="D975" s="230">
        <f t="shared" ref="D975" si="92">D976+D979+D985+D988+D995+D1000</f>
        <v>0</v>
      </c>
    </row>
    <row r="976" spans="1:4" ht="12" hidden="1" customHeight="1" outlineLevel="1" x14ac:dyDescent="0.3">
      <c r="A976" s="227"/>
      <c r="B976" s="231">
        <v>1000</v>
      </c>
      <c r="C976" s="232" t="s">
        <v>199</v>
      </c>
      <c r="D976" s="230">
        <f>SUM(D977:D978)</f>
        <v>0</v>
      </c>
    </row>
    <row r="977" spans="1:4" ht="12" hidden="1" customHeight="1" outlineLevel="1" x14ac:dyDescent="0.3">
      <c r="A977" s="227"/>
      <c r="B977" s="234">
        <v>1100</v>
      </c>
      <c r="C977" s="235" t="s">
        <v>200</v>
      </c>
      <c r="D977" s="236"/>
    </row>
    <row r="978" spans="1:4" ht="12" hidden="1" customHeight="1" outlineLevel="1" x14ac:dyDescent="0.3">
      <c r="A978" s="227"/>
      <c r="B978" s="234">
        <v>1200</v>
      </c>
      <c r="C978" s="237" t="s">
        <v>201</v>
      </c>
      <c r="D978" s="236"/>
    </row>
    <row r="979" spans="1:4" ht="12" hidden="1" customHeight="1" outlineLevel="1" x14ac:dyDescent="0.3">
      <c r="A979" s="238"/>
      <c r="B979" s="239">
        <v>2000</v>
      </c>
      <c r="C979" s="240" t="s">
        <v>202</v>
      </c>
      <c r="D979" s="260">
        <f>SUM(D980:D984)</f>
        <v>0</v>
      </c>
    </row>
    <row r="980" spans="1:4" ht="12" hidden="1" customHeight="1" outlineLevel="1" x14ac:dyDescent="0.3">
      <c r="A980" s="238"/>
      <c r="B980" s="242">
        <v>2100</v>
      </c>
      <c r="C980" s="243" t="s">
        <v>203</v>
      </c>
      <c r="D980" s="244"/>
    </row>
    <row r="981" spans="1:4" ht="12" hidden="1" customHeight="1" outlineLevel="1" x14ac:dyDescent="0.3">
      <c r="A981" s="238"/>
      <c r="B981" s="242">
        <v>2200</v>
      </c>
      <c r="C981" s="243" t="s">
        <v>204</v>
      </c>
      <c r="D981" s="244"/>
    </row>
    <row r="982" spans="1:4" ht="12" hidden="1" customHeight="1" outlineLevel="1" x14ac:dyDescent="0.3">
      <c r="A982" s="238"/>
      <c r="B982" s="242">
        <v>2300</v>
      </c>
      <c r="C982" s="243" t="s">
        <v>205</v>
      </c>
      <c r="D982" s="244"/>
    </row>
    <row r="983" spans="1:4" ht="12" hidden="1" customHeight="1" outlineLevel="1" x14ac:dyDescent="0.3">
      <c r="A983" s="238"/>
      <c r="B983" s="242">
        <v>2400</v>
      </c>
      <c r="C983" s="243" t="s">
        <v>206</v>
      </c>
      <c r="D983" s="244"/>
    </row>
    <row r="984" spans="1:4" ht="12" hidden="1" customHeight="1" outlineLevel="1" x14ac:dyDescent="0.3">
      <c r="A984" s="238"/>
      <c r="B984" s="242">
        <v>2500</v>
      </c>
      <c r="C984" s="243" t="s">
        <v>207</v>
      </c>
      <c r="D984" s="244"/>
    </row>
    <row r="985" spans="1:4" ht="12" hidden="1" customHeight="1" outlineLevel="1" x14ac:dyDescent="0.3">
      <c r="A985" s="238"/>
      <c r="B985" s="199">
        <v>3000</v>
      </c>
      <c r="C985" s="245" t="s">
        <v>208</v>
      </c>
      <c r="D985" s="260">
        <f>SUM(D986:D987)</f>
        <v>0</v>
      </c>
    </row>
    <row r="986" spans="1:4" ht="12" hidden="1" customHeight="1" outlineLevel="1" x14ac:dyDescent="0.3">
      <c r="A986" s="238"/>
      <c r="B986" s="242">
        <v>3200</v>
      </c>
      <c r="C986" s="243" t="s">
        <v>209</v>
      </c>
      <c r="D986" s="244"/>
    </row>
    <row r="987" spans="1:4" ht="12" hidden="1" customHeight="1" outlineLevel="1" x14ac:dyDescent="0.3">
      <c r="A987" s="238"/>
      <c r="B987" s="242">
        <v>3300</v>
      </c>
      <c r="C987" s="243" t="s">
        <v>210</v>
      </c>
      <c r="D987" s="244"/>
    </row>
    <row r="988" spans="1:4" ht="15" hidden="1" customHeight="1" outlineLevel="1" x14ac:dyDescent="0.3">
      <c r="A988" s="238"/>
      <c r="B988" s="199">
        <v>4000</v>
      </c>
      <c r="C988" s="246" t="s">
        <v>211</v>
      </c>
      <c r="D988" s="260">
        <f>SUM(D989:D990)</f>
        <v>0</v>
      </c>
    </row>
    <row r="989" spans="1:4" ht="15" hidden="1" customHeight="1" outlineLevel="1" x14ac:dyDescent="0.3">
      <c r="A989" s="238"/>
      <c r="B989" s="242">
        <v>4200</v>
      </c>
      <c r="C989" s="247" t="s">
        <v>212</v>
      </c>
      <c r="D989" s="244"/>
    </row>
    <row r="990" spans="1:4" ht="15" hidden="1" customHeight="1" outlineLevel="1" x14ac:dyDescent="0.3">
      <c r="A990" s="238"/>
      <c r="B990" s="242">
        <v>4300</v>
      </c>
      <c r="C990" s="247" t="s">
        <v>213</v>
      </c>
      <c r="D990" s="244"/>
    </row>
    <row r="991" spans="1:4" ht="12" hidden="1" customHeight="1" outlineLevel="1" x14ac:dyDescent="0.3">
      <c r="A991" s="238"/>
      <c r="B991" s="199">
        <v>5000</v>
      </c>
      <c r="C991" s="200" t="s">
        <v>214</v>
      </c>
      <c r="D991" s="260">
        <f>SUM(D992:D994)</f>
        <v>0</v>
      </c>
    </row>
    <row r="992" spans="1:4" ht="12" hidden="1" customHeight="1" outlineLevel="1" x14ac:dyDescent="0.3">
      <c r="A992" s="238"/>
      <c r="B992" s="242">
        <v>5100</v>
      </c>
      <c r="C992" s="248" t="s">
        <v>215</v>
      </c>
      <c r="D992" s="260"/>
    </row>
    <row r="993" spans="1:4" ht="12" hidden="1" customHeight="1" outlineLevel="1" x14ac:dyDescent="0.3">
      <c r="A993" s="238"/>
      <c r="B993" s="242">
        <v>5200</v>
      </c>
      <c r="C993" s="248" t="s">
        <v>216</v>
      </c>
      <c r="D993" s="260"/>
    </row>
    <row r="994" spans="1:4" ht="12" hidden="1" customHeight="1" outlineLevel="1" x14ac:dyDescent="0.3">
      <c r="A994" s="238"/>
      <c r="B994" s="242">
        <v>5300</v>
      </c>
      <c r="C994" s="249" t="s">
        <v>217</v>
      </c>
      <c r="D994" s="260"/>
    </row>
    <row r="995" spans="1:4" ht="12" hidden="1" customHeight="1" outlineLevel="1" x14ac:dyDescent="0.3">
      <c r="A995" s="238"/>
      <c r="B995" s="199">
        <v>6000</v>
      </c>
      <c r="C995" s="200" t="s">
        <v>218</v>
      </c>
      <c r="D995" s="260">
        <f>SUM(D996:D999)</f>
        <v>0</v>
      </c>
    </row>
    <row r="996" spans="1:4" ht="12" hidden="1" customHeight="1" outlineLevel="1" x14ac:dyDescent="0.3">
      <c r="A996" s="238"/>
      <c r="B996" s="242">
        <v>6200</v>
      </c>
      <c r="C996" s="248" t="s">
        <v>219</v>
      </c>
      <c r="D996" s="244"/>
    </row>
    <row r="997" spans="1:4" ht="12" hidden="1" customHeight="1" outlineLevel="1" x14ac:dyDescent="0.3">
      <c r="A997" s="238"/>
      <c r="B997" s="242">
        <v>6300</v>
      </c>
      <c r="C997" s="248" t="s">
        <v>220</v>
      </c>
      <c r="D997" s="244"/>
    </row>
    <row r="998" spans="1:4" ht="12" hidden="1" customHeight="1" outlineLevel="1" x14ac:dyDescent="0.3">
      <c r="A998" s="238"/>
      <c r="B998" s="242">
        <v>6400</v>
      </c>
      <c r="C998" s="248" t="s">
        <v>221</v>
      </c>
      <c r="D998" s="244"/>
    </row>
    <row r="999" spans="1:4" ht="12" hidden="1" customHeight="1" outlineLevel="1" x14ac:dyDescent="0.3">
      <c r="A999" s="238"/>
      <c r="B999" s="242">
        <v>6500</v>
      </c>
      <c r="C999" s="249" t="s">
        <v>222</v>
      </c>
      <c r="D999" s="244"/>
    </row>
    <row r="1000" spans="1:4" ht="12" hidden="1" customHeight="1" outlineLevel="1" x14ac:dyDescent="0.3">
      <c r="A1000" s="238"/>
      <c r="B1000" s="199">
        <v>7000</v>
      </c>
      <c r="C1000" s="200" t="s">
        <v>223</v>
      </c>
      <c r="D1000" s="260">
        <f>SUM(D1001:D1003)</f>
        <v>0</v>
      </c>
    </row>
    <row r="1001" spans="1:4" ht="12" hidden="1" customHeight="1" outlineLevel="1" x14ac:dyDescent="0.3">
      <c r="A1001" s="238"/>
      <c r="B1001" s="250">
        <v>7200</v>
      </c>
      <c r="C1001" s="251" t="s">
        <v>224</v>
      </c>
      <c r="D1001" s="244"/>
    </row>
    <row r="1002" spans="1:4" ht="12" hidden="1" customHeight="1" outlineLevel="1" x14ac:dyDescent="0.3">
      <c r="A1002" s="238"/>
      <c r="B1002" s="250">
        <v>7500</v>
      </c>
      <c r="C1002" s="251" t="s">
        <v>225</v>
      </c>
      <c r="D1002" s="244"/>
    </row>
    <row r="1003" spans="1:4" ht="12" hidden="1" customHeight="1" outlineLevel="1" x14ac:dyDescent="0.3">
      <c r="A1003" s="238"/>
      <c r="B1003" s="250">
        <v>7700</v>
      </c>
      <c r="C1003" s="251" t="s">
        <v>226</v>
      </c>
      <c r="D1003" s="244"/>
    </row>
    <row r="1004" spans="1:4" ht="12" hidden="1" customHeight="1" outlineLevel="1" x14ac:dyDescent="0.3">
      <c r="A1004" s="238"/>
      <c r="B1004" s="252">
        <v>8000</v>
      </c>
      <c r="C1004" s="253" t="s">
        <v>227</v>
      </c>
      <c r="D1004" s="260">
        <f>SUM(D1005:D1007)</f>
        <v>0</v>
      </c>
    </row>
    <row r="1005" spans="1:4" ht="12" hidden="1" customHeight="1" outlineLevel="1" x14ac:dyDescent="0.3">
      <c r="A1005" s="238"/>
      <c r="B1005" s="254">
        <v>8100</v>
      </c>
      <c r="C1005" s="255" t="s">
        <v>228</v>
      </c>
      <c r="D1005" s="260"/>
    </row>
    <row r="1006" spans="1:4" ht="12" hidden="1" customHeight="1" outlineLevel="1" x14ac:dyDescent="0.3">
      <c r="A1006" s="238"/>
      <c r="B1006" s="254">
        <v>8600</v>
      </c>
      <c r="C1006" s="255" t="s">
        <v>229</v>
      </c>
      <c r="D1006" s="260"/>
    </row>
    <row r="1007" spans="1:4" ht="12" hidden="1" customHeight="1" outlineLevel="1" x14ac:dyDescent="0.3">
      <c r="A1007" s="238"/>
      <c r="B1007" s="254">
        <v>8900</v>
      </c>
      <c r="C1007" s="255" t="s">
        <v>230</v>
      </c>
      <c r="D1007" s="260"/>
    </row>
    <row r="1008" spans="1:4" ht="12" hidden="1" customHeight="1" outlineLevel="1" x14ac:dyDescent="0.3">
      <c r="A1008" s="256" t="s">
        <v>286</v>
      </c>
      <c r="B1008" s="257"/>
      <c r="C1008" s="258" t="s">
        <v>287</v>
      </c>
      <c r="D1008" s="259">
        <f t="shared" ref="D1008" si="93">D1038+D1025+D1009</f>
        <v>0</v>
      </c>
    </row>
    <row r="1009" spans="1:4" ht="12" hidden="1" customHeight="1" outlineLevel="1" x14ac:dyDescent="0.3">
      <c r="A1009" s="238"/>
      <c r="B1009" s="228"/>
      <c r="C1009" s="229" t="s">
        <v>198</v>
      </c>
      <c r="D1009" s="230">
        <f t="shared" ref="D1009" si="94">D1010+D1013+D1019+D1022+D1029+D1034</f>
        <v>0</v>
      </c>
    </row>
    <row r="1010" spans="1:4" ht="12" hidden="1" customHeight="1" outlineLevel="1" x14ac:dyDescent="0.3">
      <c r="A1010" s="238"/>
      <c r="B1010" s="231">
        <v>1000</v>
      </c>
      <c r="C1010" s="232" t="s">
        <v>199</v>
      </c>
      <c r="D1010" s="230">
        <f>SUM(D1011:D1012)</f>
        <v>0</v>
      </c>
    </row>
    <row r="1011" spans="1:4" ht="12" hidden="1" customHeight="1" outlineLevel="1" x14ac:dyDescent="0.3">
      <c r="A1011" s="238"/>
      <c r="B1011" s="234">
        <v>1100</v>
      </c>
      <c r="C1011" s="235" t="s">
        <v>200</v>
      </c>
      <c r="D1011" s="236"/>
    </row>
    <row r="1012" spans="1:4" ht="12" hidden="1" customHeight="1" outlineLevel="1" x14ac:dyDescent="0.3">
      <c r="A1012" s="238"/>
      <c r="B1012" s="234">
        <v>1200</v>
      </c>
      <c r="C1012" s="237" t="s">
        <v>201</v>
      </c>
      <c r="D1012" s="236"/>
    </row>
    <row r="1013" spans="1:4" ht="12" hidden="1" customHeight="1" outlineLevel="1" x14ac:dyDescent="0.3">
      <c r="A1013" s="238"/>
      <c r="B1013" s="239">
        <v>2000</v>
      </c>
      <c r="C1013" s="240" t="s">
        <v>202</v>
      </c>
      <c r="D1013" s="260">
        <f>SUM(D1014:D1018)</f>
        <v>0</v>
      </c>
    </row>
    <row r="1014" spans="1:4" ht="12" hidden="1" customHeight="1" outlineLevel="1" x14ac:dyDescent="0.3">
      <c r="A1014" s="238"/>
      <c r="B1014" s="242">
        <v>2100</v>
      </c>
      <c r="C1014" s="243" t="s">
        <v>203</v>
      </c>
      <c r="D1014" s="244"/>
    </row>
    <row r="1015" spans="1:4" ht="12" hidden="1" customHeight="1" outlineLevel="1" x14ac:dyDescent="0.3">
      <c r="A1015" s="238"/>
      <c r="B1015" s="242">
        <v>2200</v>
      </c>
      <c r="C1015" s="243" t="s">
        <v>204</v>
      </c>
      <c r="D1015" s="244"/>
    </row>
    <row r="1016" spans="1:4" ht="12" hidden="1" customHeight="1" outlineLevel="1" x14ac:dyDescent="0.3">
      <c r="A1016" s="238"/>
      <c r="B1016" s="242">
        <v>2300</v>
      </c>
      <c r="C1016" s="243" t="s">
        <v>205</v>
      </c>
      <c r="D1016" s="244"/>
    </row>
    <row r="1017" spans="1:4" ht="12" hidden="1" customHeight="1" outlineLevel="1" x14ac:dyDescent="0.3">
      <c r="A1017" s="238"/>
      <c r="B1017" s="242">
        <v>2400</v>
      </c>
      <c r="C1017" s="243" t="s">
        <v>206</v>
      </c>
      <c r="D1017" s="244"/>
    </row>
    <row r="1018" spans="1:4" ht="12" hidden="1" customHeight="1" outlineLevel="1" x14ac:dyDescent="0.3">
      <c r="A1018" s="238"/>
      <c r="B1018" s="242">
        <v>2500</v>
      </c>
      <c r="C1018" s="243" t="s">
        <v>207</v>
      </c>
      <c r="D1018" s="244"/>
    </row>
    <row r="1019" spans="1:4" ht="12" hidden="1" customHeight="1" outlineLevel="1" x14ac:dyDescent="0.3">
      <c r="A1019" s="238"/>
      <c r="B1019" s="199">
        <v>3000</v>
      </c>
      <c r="C1019" s="245" t="s">
        <v>208</v>
      </c>
      <c r="D1019" s="260">
        <f>SUM(D1020:D1021)</f>
        <v>0</v>
      </c>
    </row>
    <row r="1020" spans="1:4" ht="12" hidden="1" customHeight="1" outlineLevel="1" x14ac:dyDescent="0.3">
      <c r="A1020" s="238"/>
      <c r="B1020" s="242">
        <v>3200</v>
      </c>
      <c r="C1020" s="243" t="s">
        <v>209</v>
      </c>
      <c r="D1020" s="244"/>
    </row>
    <row r="1021" spans="1:4" ht="12" hidden="1" customHeight="1" outlineLevel="1" x14ac:dyDescent="0.3">
      <c r="A1021" s="238"/>
      <c r="B1021" s="242">
        <v>3300</v>
      </c>
      <c r="C1021" s="243" t="s">
        <v>210</v>
      </c>
      <c r="D1021" s="244"/>
    </row>
    <row r="1022" spans="1:4" ht="12" hidden="1" customHeight="1" outlineLevel="1" x14ac:dyDescent="0.3">
      <c r="A1022" s="238"/>
      <c r="B1022" s="199">
        <v>4000</v>
      </c>
      <c r="C1022" s="246" t="s">
        <v>211</v>
      </c>
      <c r="D1022" s="260">
        <f>SUM(D1023:D1024)</f>
        <v>0</v>
      </c>
    </row>
    <row r="1023" spans="1:4" ht="12" hidden="1" customHeight="1" outlineLevel="1" x14ac:dyDescent="0.3">
      <c r="A1023" s="238"/>
      <c r="B1023" s="242">
        <v>4200</v>
      </c>
      <c r="C1023" s="247" t="s">
        <v>212</v>
      </c>
      <c r="D1023" s="244"/>
    </row>
    <row r="1024" spans="1:4" ht="12" hidden="1" customHeight="1" outlineLevel="1" x14ac:dyDescent="0.3">
      <c r="A1024" s="238"/>
      <c r="B1024" s="242">
        <v>4300</v>
      </c>
      <c r="C1024" s="247" t="s">
        <v>213</v>
      </c>
      <c r="D1024" s="244"/>
    </row>
    <row r="1025" spans="1:4" ht="12" hidden="1" customHeight="1" outlineLevel="1" x14ac:dyDescent="0.3">
      <c r="A1025" s="238"/>
      <c r="B1025" s="199">
        <v>5000</v>
      </c>
      <c r="C1025" s="200" t="s">
        <v>214</v>
      </c>
      <c r="D1025" s="260">
        <f>SUM(D1026:D1028)</f>
        <v>0</v>
      </c>
    </row>
    <row r="1026" spans="1:4" ht="12" hidden="1" customHeight="1" outlineLevel="1" x14ac:dyDescent="0.3">
      <c r="A1026" s="238"/>
      <c r="B1026" s="242">
        <v>5100</v>
      </c>
      <c r="C1026" s="248" t="s">
        <v>215</v>
      </c>
      <c r="D1026" s="260"/>
    </row>
    <row r="1027" spans="1:4" ht="12" hidden="1" customHeight="1" outlineLevel="1" x14ac:dyDescent="0.3">
      <c r="A1027" s="238"/>
      <c r="B1027" s="242">
        <v>5200</v>
      </c>
      <c r="C1027" s="248" t="s">
        <v>216</v>
      </c>
      <c r="D1027" s="260"/>
    </row>
    <row r="1028" spans="1:4" ht="12" hidden="1" customHeight="1" outlineLevel="1" x14ac:dyDescent="0.3">
      <c r="A1028" s="238"/>
      <c r="B1028" s="242">
        <v>5300</v>
      </c>
      <c r="C1028" s="249" t="s">
        <v>217</v>
      </c>
      <c r="D1028" s="260"/>
    </row>
    <row r="1029" spans="1:4" ht="12" hidden="1" customHeight="1" outlineLevel="1" x14ac:dyDescent="0.3">
      <c r="A1029" s="238"/>
      <c r="B1029" s="199">
        <v>6000</v>
      </c>
      <c r="C1029" s="200" t="s">
        <v>218</v>
      </c>
      <c r="D1029" s="260">
        <f>SUM(D1030:D1033)</f>
        <v>0</v>
      </c>
    </row>
    <row r="1030" spans="1:4" ht="12" hidden="1" customHeight="1" outlineLevel="1" x14ac:dyDescent="0.3">
      <c r="A1030" s="238"/>
      <c r="B1030" s="242">
        <v>6200</v>
      </c>
      <c r="C1030" s="248" t="s">
        <v>219</v>
      </c>
      <c r="D1030" s="244"/>
    </row>
    <row r="1031" spans="1:4" ht="12" hidden="1" customHeight="1" outlineLevel="1" x14ac:dyDescent="0.3">
      <c r="A1031" s="238"/>
      <c r="B1031" s="242">
        <v>6300</v>
      </c>
      <c r="C1031" s="248" t="s">
        <v>220</v>
      </c>
      <c r="D1031" s="244"/>
    </row>
    <row r="1032" spans="1:4" ht="12" hidden="1" customHeight="1" outlineLevel="1" x14ac:dyDescent="0.3">
      <c r="A1032" s="238"/>
      <c r="B1032" s="242">
        <v>6400</v>
      </c>
      <c r="C1032" s="248" t="s">
        <v>221</v>
      </c>
      <c r="D1032" s="244"/>
    </row>
    <row r="1033" spans="1:4" ht="12" hidden="1" customHeight="1" outlineLevel="1" x14ac:dyDescent="0.3">
      <c r="A1033" s="238"/>
      <c r="B1033" s="242">
        <v>6500</v>
      </c>
      <c r="C1033" s="249" t="s">
        <v>222</v>
      </c>
      <c r="D1033" s="244"/>
    </row>
    <row r="1034" spans="1:4" ht="12" hidden="1" customHeight="1" outlineLevel="1" x14ac:dyDescent="0.3">
      <c r="A1034" s="238"/>
      <c r="B1034" s="199">
        <v>7000</v>
      </c>
      <c r="C1034" s="200" t="s">
        <v>223</v>
      </c>
      <c r="D1034" s="260">
        <f>SUM(D1035:D1037)</f>
        <v>0</v>
      </c>
    </row>
    <row r="1035" spans="1:4" ht="12" hidden="1" customHeight="1" outlineLevel="1" x14ac:dyDescent="0.3">
      <c r="A1035" s="238"/>
      <c r="B1035" s="250">
        <v>7200</v>
      </c>
      <c r="C1035" s="251" t="s">
        <v>224</v>
      </c>
      <c r="D1035" s="244"/>
    </row>
    <row r="1036" spans="1:4" ht="12" hidden="1" customHeight="1" outlineLevel="1" x14ac:dyDescent="0.3">
      <c r="A1036" s="238"/>
      <c r="B1036" s="250">
        <v>7500</v>
      </c>
      <c r="C1036" s="251" t="s">
        <v>225</v>
      </c>
      <c r="D1036" s="244"/>
    </row>
    <row r="1037" spans="1:4" ht="12" hidden="1" customHeight="1" outlineLevel="1" x14ac:dyDescent="0.3">
      <c r="A1037" s="238"/>
      <c r="B1037" s="250">
        <v>7700</v>
      </c>
      <c r="C1037" s="251" t="s">
        <v>226</v>
      </c>
      <c r="D1037" s="244"/>
    </row>
    <row r="1038" spans="1:4" ht="12" hidden="1" customHeight="1" outlineLevel="1" x14ac:dyDescent="0.3">
      <c r="A1038" s="238"/>
      <c r="B1038" s="252">
        <v>8000</v>
      </c>
      <c r="C1038" s="253" t="s">
        <v>227</v>
      </c>
      <c r="D1038" s="260">
        <f>SUM(D1039:D1041)</f>
        <v>0</v>
      </c>
    </row>
    <row r="1039" spans="1:4" ht="12" hidden="1" customHeight="1" outlineLevel="1" x14ac:dyDescent="0.3">
      <c r="A1039" s="238"/>
      <c r="B1039" s="254">
        <v>8100</v>
      </c>
      <c r="C1039" s="255" t="s">
        <v>228</v>
      </c>
      <c r="D1039" s="260"/>
    </row>
    <row r="1040" spans="1:4" ht="12" hidden="1" customHeight="1" outlineLevel="1" x14ac:dyDescent="0.3">
      <c r="A1040" s="238"/>
      <c r="B1040" s="254">
        <v>8600</v>
      </c>
      <c r="C1040" s="255" t="s">
        <v>229</v>
      </c>
      <c r="D1040" s="260"/>
    </row>
    <row r="1041" spans="1:4" ht="12" hidden="1" customHeight="1" outlineLevel="1" x14ac:dyDescent="0.3">
      <c r="A1041" s="238"/>
      <c r="B1041" s="254">
        <v>8900</v>
      </c>
      <c r="C1041" s="255" t="s">
        <v>230</v>
      </c>
      <c r="D1041" s="260"/>
    </row>
    <row r="1042" spans="1:4" ht="12" hidden="1" customHeight="1" outlineLevel="1" x14ac:dyDescent="0.3">
      <c r="A1042" s="256" t="s">
        <v>288</v>
      </c>
      <c r="B1042" s="257"/>
      <c r="C1042" s="258" t="s">
        <v>289</v>
      </c>
      <c r="D1042" s="259">
        <f t="shared" ref="D1042" si="95">D1043+D1059+D1072</f>
        <v>0</v>
      </c>
    </row>
    <row r="1043" spans="1:4" ht="12" hidden="1" customHeight="1" outlineLevel="1" x14ac:dyDescent="0.3">
      <c r="A1043" s="227"/>
      <c r="B1043" s="228"/>
      <c r="C1043" s="229" t="s">
        <v>198</v>
      </c>
      <c r="D1043" s="230">
        <f t="shared" ref="D1043" si="96">D1044+D1047+D1053+D1056+D1063+D1068</f>
        <v>0</v>
      </c>
    </row>
    <row r="1044" spans="1:4" ht="12" hidden="1" customHeight="1" outlineLevel="1" x14ac:dyDescent="0.3">
      <c r="A1044" s="227"/>
      <c r="B1044" s="231">
        <v>1000</v>
      </c>
      <c r="C1044" s="232" t="s">
        <v>199</v>
      </c>
      <c r="D1044" s="230">
        <f>SUM(D1045:D1046)</f>
        <v>0</v>
      </c>
    </row>
    <row r="1045" spans="1:4" ht="12" hidden="1" customHeight="1" outlineLevel="1" x14ac:dyDescent="0.3">
      <c r="A1045" s="227"/>
      <c r="B1045" s="234">
        <v>1100</v>
      </c>
      <c r="C1045" s="235" t="s">
        <v>200</v>
      </c>
      <c r="D1045" s="236"/>
    </row>
    <row r="1046" spans="1:4" ht="12" hidden="1" customHeight="1" outlineLevel="1" x14ac:dyDescent="0.3">
      <c r="A1046" s="227"/>
      <c r="B1046" s="234">
        <v>1200</v>
      </c>
      <c r="C1046" s="237" t="s">
        <v>201</v>
      </c>
      <c r="D1046" s="236"/>
    </row>
    <row r="1047" spans="1:4" ht="12" hidden="1" customHeight="1" outlineLevel="1" x14ac:dyDescent="0.3">
      <c r="A1047" s="238"/>
      <c r="B1047" s="239">
        <v>2000</v>
      </c>
      <c r="C1047" s="240" t="s">
        <v>202</v>
      </c>
      <c r="D1047" s="260">
        <f>SUM(D1048:D1052)</f>
        <v>0</v>
      </c>
    </row>
    <row r="1048" spans="1:4" ht="12" hidden="1" customHeight="1" outlineLevel="1" x14ac:dyDescent="0.3">
      <c r="A1048" s="238"/>
      <c r="B1048" s="242">
        <v>2100</v>
      </c>
      <c r="C1048" s="243" t="s">
        <v>203</v>
      </c>
      <c r="D1048" s="244"/>
    </row>
    <row r="1049" spans="1:4" ht="12" hidden="1" customHeight="1" outlineLevel="1" x14ac:dyDescent="0.3">
      <c r="A1049" s="238"/>
      <c r="B1049" s="242">
        <v>2200</v>
      </c>
      <c r="C1049" s="243" t="s">
        <v>204</v>
      </c>
      <c r="D1049" s="244"/>
    </row>
    <row r="1050" spans="1:4" ht="12" hidden="1" customHeight="1" outlineLevel="1" x14ac:dyDescent="0.3">
      <c r="A1050" s="238"/>
      <c r="B1050" s="242">
        <v>2300</v>
      </c>
      <c r="C1050" s="243" t="s">
        <v>205</v>
      </c>
      <c r="D1050" s="244"/>
    </row>
    <row r="1051" spans="1:4" ht="12" hidden="1" customHeight="1" outlineLevel="1" x14ac:dyDescent="0.3">
      <c r="A1051" s="238"/>
      <c r="B1051" s="242">
        <v>2400</v>
      </c>
      <c r="C1051" s="243" t="s">
        <v>206</v>
      </c>
      <c r="D1051" s="244"/>
    </row>
    <row r="1052" spans="1:4" ht="12" hidden="1" customHeight="1" outlineLevel="1" x14ac:dyDescent="0.3">
      <c r="A1052" s="238"/>
      <c r="B1052" s="242">
        <v>2500</v>
      </c>
      <c r="C1052" s="243" t="s">
        <v>207</v>
      </c>
      <c r="D1052" s="244"/>
    </row>
    <row r="1053" spans="1:4" ht="12" hidden="1" customHeight="1" outlineLevel="1" x14ac:dyDescent="0.3">
      <c r="A1053" s="238"/>
      <c r="B1053" s="199">
        <v>3000</v>
      </c>
      <c r="C1053" s="245" t="s">
        <v>208</v>
      </c>
      <c r="D1053" s="260">
        <f>SUM(D1054:D1055)</f>
        <v>0</v>
      </c>
    </row>
    <row r="1054" spans="1:4" ht="12" hidden="1" customHeight="1" outlineLevel="1" x14ac:dyDescent="0.3">
      <c r="A1054" s="238"/>
      <c r="B1054" s="242">
        <v>3200</v>
      </c>
      <c r="C1054" s="243" t="s">
        <v>209</v>
      </c>
      <c r="D1054" s="244"/>
    </row>
    <row r="1055" spans="1:4" ht="12" hidden="1" customHeight="1" outlineLevel="1" x14ac:dyDescent="0.3">
      <c r="A1055" s="238"/>
      <c r="B1055" s="242">
        <v>3300</v>
      </c>
      <c r="C1055" s="243" t="s">
        <v>210</v>
      </c>
      <c r="D1055" s="244"/>
    </row>
    <row r="1056" spans="1:4" ht="12" hidden="1" customHeight="1" outlineLevel="1" x14ac:dyDescent="0.3">
      <c r="A1056" s="238"/>
      <c r="B1056" s="199">
        <v>4000</v>
      </c>
      <c r="C1056" s="246" t="s">
        <v>211</v>
      </c>
      <c r="D1056" s="260">
        <f>SUM(D1057:D1058)</f>
        <v>0</v>
      </c>
    </row>
    <row r="1057" spans="1:4" ht="12" hidden="1" customHeight="1" outlineLevel="1" x14ac:dyDescent="0.3">
      <c r="A1057" s="238"/>
      <c r="B1057" s="242">
        <v>4200</v>
      </c>
      <c r="C1057" s="247" t="s">
        <v>212</v>
      </c>
      <c r="D1057" s="244"/>
    </row>
    <row r="1058" spans="1:4" ht="12" hidden="1" customHeight="1" outlineLevel="1" x14ac:dyDescent="0.3">
      <c r="A1058" s="238"/>
      <c r="B1058" s="242">
        <v>4300</v>
      </c>
      <c r="C1058" s="247" t="s">
        <v>213</v>
      </c>
      <c r="D1058" s="244"/>
    </row>
    <row r="1059" spans="1:4" ht="12" hidden="1" customHeight="1" outlineLevel="1" x14ac:dyDescent="0.3">
      <c r="A1059" s="238"/>
      <c r="B1059" s="199">
        <v>5000</v>
      </c>
      <c r="C1059" s="200" t="s">
        <v>214</v>
      </c>
      <c r="D1059" s="260">
        <f>SUM(D1060:D1062)</f>
        <v>0</v>
      </c>
    </row>
    <row r="1060" spans="1:4" ht="12" hidden="1" customHeight="1" outlineLevel="1" x14ac:dyDescent="0.3">
      <c r="A1060" s="238"/>
      <c r="B1060" s="242">
        <v>5100</v>
      </c>
      <c r="C1060" s="248" t="s">
        <v>215</v>
      </c>
      <c r="D1060" s="260"/>
    </row>
    <row r="1061" spans="1:4" ht="12" hidden="1" customHeight="1" outlineLevel="1" x14ac:dyDescent="0.3">
      <c r="A1061" s="238"/>
      <c r="B1061" s="242">
        <v>5200</v>
      </c>
      <c r="C1061" s="248" t="s">
        <v>216</v>
      </c>
      <c r="D1061" s="260"/>
    </row>
    <row r="1062" spans="1:4" ht="12" hidden="1" customHeight="1" outlineLevel="1" x14ac:dyDescent="0.3">
      <c r="A1062" s="238"/>
      <c r="B1062" s="242">
        <v>5300</v>
      </c>
      <c r="C1062" s="249" t="s">
        <v>217</v>
      </c>
      <c r="D1062" s="260"/>
    </row>
    <row r="1063" spans="1:4" ht="12" hidden="1" customHeight="1" outlineLevel="1" x14ac:dyDescent="0.3">
      <c r="A1063" s="238"/>
      <c r="B1063" s="199">
        <v>6000</v>
      </c>
      <c r="C1063" s="200" t="s">
        <v>218</v>
      </c>
      <c r="D1063" s="260">
        <f>SUM(D1064:D1067)</f>
        <v>0</v>
      </c>
    </row>
    <row r="1064" spans="1:4" ht="12" hidden="1" customHeight="1" outlineLevel="1" x14ac:dyDescent="0.3">
      <c r="A1064" s="238"/>
      <c r="B1064" s="242">
        <v>6200</v>
      </c>
      <c r="C1064" s="248" t="s">
        <v>219</v>
      </c>
      <c r="D1064" s="244"/>
    </row>
    <row r="1065" spans="1:4" ht="12" hidden="1" customHeight="1" outlineLevel="1" x14ac:dyDescent="0.3">
      <c r="A1065" s="238"/>
      <c r="B1065" s="242">
        <v>6300</v>
      </c>
      <c r="C1065" s="248" t="s">
        <v>220</v>
      </c>
      <c r="D1065" s="244"/>
    </row>
    <row r="1066" spans="1:4" ht="12" hidden="1" customHeight="1" outlineLevel="1" x14ac:dyDescent="0.3">
      <c r="A1066" s="238"/>
      <c r="B1066" s="242">
        <v>6400</v>
      </c>
      <c r="C1066" s="248" t="s">
        <v>221</v>
      </c>
      <c r="D1066" s="244"/>
    </row>
    <row r="1067" spans="1:4" ht="12" hidden="1" customHeight="1" outlineLevel="1" x14ac:dyDescent="0.3">
      <c r="A1067" s="238"/>
      <c r="B1067" s="242">
        <v>6500</v>
      </c>
      <c r="C1067" s="249" t="s">
        <v>222</v>
      </c>
      <c r="D1067" s="244"/>
    </row>
    <row r="1068" spans="1:4" ht="12" hidden="1" customHeight="1" outlineLevel="1" x14ac:dyDescent="0.3">
      <c r="A1068" s="238"/>
      <c r="B1068" s="199">
        <v>7000</v>
      </c>
      <c r="C1068" s="200" t="s">
        <v>223</v>
      </c>
      <c r="D1068" s="260">
        <f>SUM(D1069:D1071)</f>
        <v>0</v>
      </c>
    </row>
    <row r="1069" spans="1:4" ht="12" hidden="1" customHeight="1" outlineLevel="1" x14ac:dyDescent="0.3">
      <c r="A1069" s="238"/>
      <c r="B1069" s="250">
        <v>7200</v>
      </c>
      <c r="C1069" s="251" t="s">
        <v>224</v>
      </c>
      <c r="D1069" s="244"/>
    </row>
    <row r="1070" spans="1:4" ht="12" hidden="1" customHeight="1" outlineLevel="1" x14ac:dyDescent="0.3">
      <c r="A1070" s="238"/>
      <c r="B1070" s="250">
        <v>7500</v>
      </c>
      <c r="C1070" s="251" t="s">
        <v>225</v>
      </c>
      <c r="D1070" s="244"/>
    </row>
    <row r="1071" spans="1:4" ht="12" hidden="1" customHeight="1" outlineLevel="1" x14ac:dyDescent="0.3">
      <c r="A1071" s="238"/>
      <c r="B1071" s="250">
        <v>7700</v>
      </c>
      <c r="C1071" s="251" t="s">
        <v>226</v>
      </c>
      <c r="D1071" s="244"/>
    </row>
    <row r="1072" spans="1:4" ht="12" hidden="1" customHeight="1" outlineLevel="1" x14ac:dyDescent="0.3">
      <c r="A1072" s="238"/>
      <c r="B1072" s="252">
        <v>8000</v>
      </c>
      <c r="C1072" s="253" t="s">
        <v>227</v>
      </c>
      <c r="D1072" s="260">
        <f>SUM(D1073:D1075)</f>
        <v>0</v>
      </c>
    </row>
    <row r="1073" spans="1:4" ht="12" hidden="1" customHeight="1" outlineLevel="1" x14ac:dyDescent="0.3">
      <c r="A1073" s="238"/>
      <c r="B1073" s="254">
        <v>8100</v>
      </c>
      <c r="C1073" s="255" t="s">
        <v>228</v>
      </c>
      <c r="D1073" s="260"/>
    </row>
    <row r="1074" spans="1:4" ht="12" hidden="1" customHeight="1" outlineLevel="1" x14ac:dyDescent="0.3">
      <c r="A1074" s="238"/>
      <c r="B1074" s="254">
        <v>8600</v>
      </c>
      <c r="C1074" s="255" t="s">
        <v>229</v>
      </c>
      <c r="D1074" s="260"/>
    </row>
    <row r="1075" spans="1:4" ht="12" hidden="1" customHeight="1" outlineLevel="1" x14ac:dyDescent="0.3">
      <c r="A1075" s="238"/>
      <c r="B1075" s="254">
        <v>8900</v>
      </c>
      <c r="C1075" s="255" t="s">
        <v>230</v>
      </c>
      <c r="D1075" s="260"/>
    </row>
    <row r="1076" spans="1:4" ht="12" hidden="1" customHeight="1" outlineLevel="1" x14ac:dyDescent="0.3">
      <c r="A1076" s="256" t="s">
        <v>290</v>
      </c>
      <c r="B1076" s="257"/>
      <c r="C1076" s="258" t="s">
        <v>291</v>
      </c>
      <c r="D1076" s="259">
        <f t="shared" ref="D1076" si="97">D1077+D1093+D1106</f>
        <v>0</v>
      </c>
    </row>
    <row r="1077" spans="1:4" ht="12" hidden="1" customHeight="1" outlineLevel="1" x14ac:dyDescent="0.3">
      <c r="A1077" s="227"/>
      <c r="B1077" s="228"/>
      <c r="C1077" s="229" t="s">
        <v>198</v>
      </c>
      <c r="D1077" s="230">
        <f t="shared" ref="D1077" si="98">D1078+D1081+D1087+D1090+D1097+D1102</f>
        <v>0</v>
      </c>
    </row>
    <row r="1078" spans="1:4" ht="12" hidden="1" customHeight="1" outlineLevel="1" x14ac:dyDescent="0.3">
      <c r="A1078" s="227"/>
      <c r="B1078" s="231">
        <v>1000</v>
      </c>
      <c r="C1078" s="232" t="s">
        <v>199</v>
      </c>
      <c r="D1078" s="230">
        <f>SUM(D1079:D1080)</f>
        <v>0</v>
      </c>
    </row>
    <row r="1079" spans="1:4" ht="12" hidden="1" customHeight="1" outlineLevel="1" x14ac:dyDescent="0.3">
      <c r="A1079" s="227"/>
      <c r="B1079" s="234">
        <v>1100</v>
      </c>
      <c r="C1079" s="235" t="s">
        <v>200</v>
      </c>
      <c r="D1079" s="236"/>
    </row>
    <row r="1080" spans="1:4" ht="12" hidden="1" customHeight="1" outlineLevel="1" x14ac:dyDescent="0.3">
      <c r="A1080" s="227"/>
      <c r="B1080" s="234">
        <v>1200</v>
      </c>
      <c r="C1080" s="237" t="s">
        <v>201</v>
      </c>
      <c r="D1080" s="236"/>
    </row>
    <row r="1081" spans="1:4" ht="12" hidden="1" customHeight="1" outlineLevel="1" x14ac:dyDescent="0.3">
      <c r="A1081" s="238"/>
      <c r="B1081" s="239">
        <v>2000</v>
      </c>
      <c r="C1081" s="240" t="s">
        <v>202</v>
      </c>
      <c r="D1081" s="260">
        <f>SUM(D1082:D1086)</f>
        <v>0</v>
      </c>
    </row>
    <row r="1082" spans="1:4" ht="12" hidden="1" customHeight="1" outlineLevel="1" x14ac:dyDescent="0.3">
      <c r="A1082" s="238"/>
      <c r="B1082" s="242">
        <v>2100</v>
      </c>
      <c r="C1082" s="243" t="s">
        <v>203</v>
      </c>
      <c r="D1082" s="244"/>
    </row>
    <row r="1083" spans="1:4" ht="12" hidden="1" customHeight="1" outlineLevel="1" x14ac:dyDescent="0.3">
      <c r="A1083" s="238"/>
      <c r="B1083" s="242">
        <v>2200</v>
      </c>
      <c r="C1083" s="243" t="s">
        <v>204</v>
      </c>
      <c r="D1083" s="244"/>
    </row>
    <row r="1084" spans="1:4" ht="12" hidden="1" customHeight="1" outlineLevel="1" x14ac:dyDescent="0.3">
      <c r="A1084" s="238"/>
      <c r="B1084" s="242">
        <v>2300</v>
      </c>
      <c r="C1084" s="243" t="s">
        <v>205</v>
      </c>
      <c r="D1084" s="244"/>
    </row>
    <row r="1085" spans="1:4" ht="12" hidden="1" customHeight="1" outlineLevel="1" x14ac:dyDescent="0.3">
      <c r="A1085" s="238"/>
      <c r="B1085" s="242">
        <v>2400</v>
      </c>
      <c r="C1085" s="243" t="s">
        <v>206</v>
      </c>
      <c r="D1085" s="244"/>
    </row>
    <row r="1086" spans="1:4" ht="12" hidden="1" customHeight="1" outlineLevel="1" x14ac:dyDescent="0.3">
      <c r="A1086" s="238"/>
      <c r="B1086" s="242">
        <v>2500</v>
      </c>
      <c r="C1086" s="243" t="s">
        <v>207</v>
      </c>
      <c r="D1086" s="244"/>
    </row>
    <row r="1087" spans="1:4" ht="12" hidden="1" customHeight="1" outlineLevel="1" x14ac:dyDescent="0.3">
      <c r="A1087" s="238"/>
      <c r="B1087" s="199">
        <v>3000</v>
      </c>
      <c r="C1087" s="245" t="s">
        <v>208</v>
      </c>
      <c r="D1087" s="260">
        <f>SUM(D1088:D1089)</f>
        <v>0</v>
      </c>
    </row>
    <row r="1088" spans="1:4" ht="12" hidden="1" customHeight="1" outlineLevel="1" x14ac:dyDescent="0.3">
      <c r="A1088" s="238"/>
      <c r="B1088" s="242">
        <v>3200</v>
      </c>
      <c r="C1088" s="243" t="s">
        <v>209</v>
      </c>
      <c r="D1088" s="244"/>
    </row>
    <row r="1089" spans="1:4" ht="12" hidden="1" customHeight="1" outlineLevel="1" x14ac:dyDescent="0.3">
      <c r="A1089" s="238"/>
      <c r="B1089" s="242">
        <v>3300</v>
      </c>
      <c r="C1089" s="243" t="s">
        <v>210</v>
      </c>
      <c r="D1089" s="244"/>
    </row>
    <row r="1090" spans="1:4" ht="12" hidden="1" customHeight="1" outlineLevel="1" x14ac:dyDescent="0.3">
      <c r="A1090" s="238"/>
      <c r="B1090" s="199">
        <v>4000</v>
      </c>
      <c r="C1090" s="246" t="s">
        <v>211</v>
      </c>
      <c r="D1090" s="260">
        <f>SUM(D1091:D1092)</f>
        <v>0</v>
      </c>
    </row>
    <row r="1091" spans="1:4" ht="12" hidden="1" customHeight="1" outlineLevel="1" x14ac:dyDescent="0.3">
      <c r="A1091" s="238"/>
      <c r="B1091" s="242">
        <v>4200</v>
      </c>
      <c r="C1091" s="247" t="s">
        <v>212</v>
      </c>
      <c r="D1091" s="244"/>
    </row>
    <row r="1092" spans="1:4" ht="12" hidden="1" customHeight="1" outlineLevel="1" x14ac:dyDescent="0.3">
      <c r="A1092" s="238"/>
      <c r="B1092" s="242">
        <v>4300</v>
      </c>
      <c r="C1092" s="247" t="s">
        <v>213</v>
      </c>
      <c r="D1092" s="244"/>
    </row>
    <row r="1093" spans="1:4" ht="12" hidden="1" customHeight="1" outlineLevel="1" x14ac:dyDescent="0.3">
      <c r="A1093" s="238"/>
      <c r="B1093" s="199">
        <v>5000</v>
      </c>
      <c r="C1093" s="200" t="s">
        <v>214</v>
      </c>
      <c r="D1093" s="260">
        <f>SUM(D1094:D1096)</f>
        <v>0</v>
      </c>
    </row>
    <row r="1094" spans="1:4" ht="12" hidden="1" customHeight="1" outlineLevel="1" x14ac:dyDescent="0.3">
      <c r="A1094" s="238"/>
      <c r="B1094" s="242">
        <v>5100</v>
      </c>
      <c r="C1094" s="248" t="s">
        <v>215</v>
      </c>
      <c r="D1094" s="260"/>
    </row>
    <row r="1095" spans="1:4" ht="12" hidden="1" customHeight="1" outlineLevel="1" x14ac:dyDescent="0.3">
      <c r="A1095" s="238"/>
      <c r="B1095" s="242">
        <v>5200</v>
      </c>
      <c r="C1095" s="248" t="s">
        <v>216</v>
      </c>
      <c r="D1095" s="260"/>
    </row>
    <row r="1096" spans="1:4" ht="12" hidden="1" customHeight="1" outlineLevel="1" x14ac:dyDescent="0.3">
      <c r="A1096" s="238"/>
      <c r="B1096" s="242">
        <v>5300</v>
      </c>
      <c r="C1096" s="249" t="s">
        <v>217</v>
      </c>
      <c r="D1096" s="260"/>
    </row>
    <row r="1097" spans="1:4" ht="12" hidden="1" customHeight="1" outlineLevel="1" x14ac:dyDescent="0.3">
      <c r="A1097" s="238"/>
      <c r="B1097" s="199">
        <v>6000</v>
      </c>
      <c r="C1097" s="200" t="s">
        <v>218</v>
      </c>
      <c r="D1097" s="260">
        <f>SUM(D1098:D1101)</f>
        <v>0</v>
      </c>
    </row>
    <row r="1098" spans="1:4" ht="12" hidden="1" customHeight="1" outlineLevel="1" x14ac:dyDescent="0.3">
      <c r="A1098" s="238"/>
      <c r="B1098" s="242">
        <v>6200</v>
      </c>
      <c r="C1098" s="248" t="s">
        <v>219</v>
      </c>
      <c r="D1098" s="244"/>
    </row>
    <row r="1099" spans="1:4" ht="12" hidden="1" customHeight="1" outlineLevel="1" x14ac:dyDescent="0.3">
      <c r="A1099" s="238"/>
      <c r="B1099" s="242">
        <v>6300</v>
      </c>
      <c r="C1099" s="248" t="s">
        <v>220</v>
      </c>
      <c r="D1099" s="244"/>
    </row>
    <row r="1100" spans="1:4" ht="12" hidden="1" customHeight="1" outlineLevel="1" x14ac:dyDescent="0.3">
      <c r="A1100" s="238"/>
      <c r="B1100" s="242">
        <v>6400</v>
      </c>
      <c r="C1100" s="248" t="s">
        <v>221</v>
      </c>
      <c r="D1100" s="244"/>
    </row>
    <row r="1101" spans="1:4" ht="12" hidden="1" customHeight="1" outlineLevel="1" x14ac:dyDescent="0.3">
      <c r="A1101" s="238"/>
      <c r="B1101" s="242">
        <v>6500</v>
      </c>
      <c r="C1101" s="249" t="s">
        <v>222</v>
      </c>
      <c r="D1101" s="244"/>
    </row>
    <row r="1102" spans="1:4" ht="12" hidden="1" customHeight="1" outlineLevel="1" x14ac:dyDescent="0.3">
      <c r="A1102" s="238"/>
      <c r="B1102" s="199">
        <v>7000</v>
      </c>
      <c r="C1102" s="200" t="s">
        <v>223</v>
      </c>
      <c r="D1102" s="260">
        <f>SUM(D1103:D1105)</f>
        <v>0</v>
      </c>
    </row>
    <row r="1103" spans="1:4" ht="12" hidden="1" customHeight="1" outlineLevel="1" x14ac:dyDescent="0.3">
      <c r="A1103" s="238"/>
      <c r="B1103" s="250">
        <v>7200</v>
      </c>
      <c r="C1103" s="251" t="s">
        <v>224</v>
      </c>
      <c r="D1103" s="244"/>
    </row>
    <row r="1104" spans="1:4" ht="12" hidden="1" customHeight="1" outlineLevel="1" x14ac:dyDescent="0.3">
      <c r="A1104" s="238"/>
      <c r="B1104" s="250">
        <v>7500</v>
      </c>
      <c r="C1104" s="251" t="s">
        <v>225</v>
      </c>
      <c r="D1104" s="244"/>
    </row>
    <row r="1105" spans="1:4" ht="12" hidden="1" customHeight="1" outlineLevel="1" x14ac:dyDescent="0.3">
      <c r="A1105" s="238"/>
      <c r="B1105" s="250">
        <v>7700</v>
      </c>
      <c r="C1105" s="251" t="s">
        <v>226</v>
      </c>
      <c r="D1105" s="244"/>
    </row>
    <row r="1106" spans="1:4" ht="12" hidden="1" customHeight="1" outlineLevel="1" x14ac:dyDescent="0.3">
      <c r="A1106" s="238"/>
      <c r="B1106" s="252">
        <v>8000</v>
      </c>
      <c r="C1106" s="253" t="s">
        <v>227</v>
      </c>
      <c r="D1106" s="260">
        <f>SUM(D1107:D1109)</f>
        <v>0</v>
      </c>
    </row>
    <row r="1107" spans="1:4" ht="12" hidden="1" customHeight="1" outlineLevel="1" x14ac:dyDescent="0.3">
      <c r="A1107" s="238"/>
      <c r="B1107" s="254">
        <v>8100</v>
      </c>
      <c r="C1107" s="255" t="s">
        <v>228</v>
      </c>
      <c r="D1107" s="260"/>
    </row>
    <row r="1108" spans="1:4" ht="12" hidden="1" customHeight="1" outlineLevel="1" x14ac:dyDescent="0.3">
      <c r="A1108" s="238"/>
      <c r="B1108" s="254">
        <v>8600</v>
      </c>
      <c r="C1108" s="255" t="s">
        <v>229</v>
      </c>
      <c r="D1108" s="260"/>
    </row>
    <row r="1109" spans="1:4" ht="12" hidden="1" customHeight="1" outlineLevel="1" x14ac:dyDescent="0.3">
      <c r="A1109" s="238"/>
      <c r="B1109" s="254">
        <v>8900</v>
      </c>
      <c r="C1109" s="255" t="s">
        <v>230</v>
      </c>
      <c r="D1109" s="260"/>
    </row>
    <row r="1110" spans="1:4" ht="12" hidden="1" customHeight="1" outlineLevel="1" x14ac:dyDescent="0.3">
      <c r="A1110" s="256" t="s">
        <v>292</v>
      </c>
      <c r="B1110" s="257"/>
      <c r="C1110" s="258" t="s">
        <v>293</v>
      </c>
      <c r="D1110" s="259">
        <f t="shared" ref="D1110" si="99">D1111+D1127+D1140</f>
        <v>0</v>
      </c>
    </row>
    <row r="1111" spans="1:4" ht="12" hidden="1" customHeight="1" outlineLevel="1" x14ac:dyDescent="0.3">
      <c r="A1111" s="227"/>
      <c r="B1111" s="228"/>
      <c r="C1111" s="229" t="s">
        <v>198</v>
      </c>
      <c r="D1111" s="230">
        <f t="shared" ref="D1111" si="100">D1112+D1115+D1121+D1124+D1131+D1136</f>
        <v>0</v>
      </c>
    </row>
    <row r="1112" spans="1:4" ht="12" hidden="1" customHeight="1" outlineLevel="1" x14ac:dyDescent="0.3">
      <c r="A1112" s="227"/>
      <c r="B1112" s="231">
        <v>1000</v>
      </c>
      <c r="C1112" s="232" t="s">
        <v>199</v>
      </c>
      <c r="D1112" s="230">
        <f>SUM(D1113:D1114)</f>
        <v>0</v>
      </c>
    </row>
    <row r="1113" spans="1:4" ht="12" hidden="1" customHeight="1" outlineLevel="1" x14ac:dyDescent="0.3">
      <c r="A1113" s="227"/>
      <c r="B1113" s="234">
        <v>1100</v>
      </c>
      <c r="C1113" s="235" t="s">
        <v>200</v>
      </c>
      <c r="D1113" s="236"/>
    </row>
    <row r="1114" spans="1:4" ht="12" hidden="1" customHeight="1" outlineLevel="1" x14ac:dyDescent="0.3">
      <c r="A1114" s="227"/>
      <c r="B1114" s="234">
        <v>1200</v>
      </c>
      <c r="C1114" s="237" t="s">
        <v>201</v>
      </c>
      <c r="D1114" s="236"/>
    </row>
    <row r="1115" spans="1:4" ht="12" hidden="1" customHeight="1" outlineLevel="1" x14ac:dyDescent="0.3">
      <c r="A1115" s="238"/>
      <c r="B1115" s="239">
        <v>2000</v>
      </c>
      <c r="C1115" s="240" t="s">
        <v>202</v>
      </c>
      <c r="D1115" s="260">
        <f>SUM(D1116:D1120)</f>
        <v>0</v>
      </c>
    </row>
    <row r="1116" spans="1:4" ht="12" hidden="1" customHeight="1" outlineLevel="1" x14ac:dyDescent="0.3">
      <c r="A1116" s="238"/>
      <c r="B1116" s="242">
        <v>2100</v>
      </c>
      <c r="C1116" s="243" t="s">
        <v>203</v>
      </c>
      <c r="D1116" s="244"/>
    </row>
    <row r="1117" spans="1:4" ht="12" hidden="1" customHeight="1" outlineLevel="1" x14ac:dyDescent="0.3">
      <c r="A1117" s="238"/>
      <c r="B1117" s="242">
        <v>2200</v>
      </c>
      <c r="C1117" s="243" t="s">
        <v>204</v>
      </c>
      <c r="D1117" s="244"/>
    </row>
    <row r="1118" spans="1:4" ht="12" hidden="1" customHeight="1" outlineLevel="1" x14ac:dyDescent="0.3">
      <c r="A1118" s="238"/>
      <c r="B1118" s="242">
        <v>2300</v>
      </c>
      <c r="C1118" s="243" t="s">
        <v>205</v>
      </c>
      <c r="D1118" s="244"/>
    </row>
    <row r="1119" spans="1:4" ht="12" hidden="1" customHeight="1" outlineLevel="1" x14ac:dyDescent="0.3">
      <c r="A1119" s="238"/>
      <c r="B1119" s="242">
        <v>2400</v>
      </c>
      <c r="C1119" s="243" t="s">
        <v>206</v>
      </c>
      <c r="D1119" s="244"/>
    </row>
    <row r="1120" spans="1:4" ht="12" hidden="1" customHeight="1" outlineLevel="1" x14ac:dyDescent="0.3">
      <c r="A1120" s="238"/>
      <c r="B1120" s="242">
        <v>2500</v>
      </c>
      <c r="C1120" s="243" t="s">
        <v>207</v>
      </c>
      <c r="D1120" s="244"/>
    </row>
    <row r="1121" spans="1:4" ht="12" hidden="1" customHeight="1" outlineLevel="1" x14ac:dyDescent="0.3">
      <c r="A1121" s="238"/>
      <c r="B1121" s="199">
        <v>3000</v>
      </c>
      <c r="C1121" s="245" t="s">
        <v>208</v>
      </c>
      <c r="D1121" s="260">
        <f>SUM(D1122:D1123)</f>
        <v>0</v>
      </c>
    </row>
    <row r="1122" spans="1:4" ht="12" hidden="1" customHeight="1" outlineLevel="1" x14ac:dyDescent="0.3">
      <c r="A1122" s="238"/>
      <c r="B1122" s="242">
        <v>3200</v>
      </c>
      <c r="C1122" s="243" t="s">
        <v>209</v>
      </c>
      <c r="D1122" s="244"/>
    </row>
    <row r="1123" spans="1:4" ht="12" hidden="1" customHeight="1" outlineLevel="1" x14ac:dyDescent="0.3">
      <c r="A1123" s="238"/>
      <c r="B1123" s="242">
        <v>3300</v>
      </c>
      <c r="C1123" s="243" t="s">
        <v>210</v>
      </c>
      <c r="D1123" s="244"/>
    </row>
    <row r="1124" spans="1:4" ht="12" hidden="1" customHeight="1" outlineLevel="1" x14ac:dyDescent="0.3">
      <c r="A1124" s="238"/>
      <c r="B1124" s="199">
        <v>4000</v>
      </c>
      <c r="C1124" s="246" t="s">
        <v>211</v>
      </c>
      <c r="D1124" s="260">
        <f>SUM(D1125:D1126)</f>
        <v>0</v>
      </c>
    </row>
    <row r="1125" spans="1:4" ht="12" hidden="1" customHeight="1" outlineLevel="1" x14ac:dyDescent="0.3">
      <c r="A1125" s="238"/>
      <c r="B1125" s="242">
        <v>4200</v>
      </c>
      <c r="C1125" s="247" t="s">
        <v>212</v>
      </c>
      <c r="D1125" s="244"/>
    </row>
    <row r="1126" spans="1:4" ht="12" hidden="1" customHeight="1" outlineLevel="1" x14ac:dyDescent="0.3">
      <c r="A1126" s="238"/>
      <c r="B1126" s="242">
        <v>4300</v>
      </c>
      <c r="C1126" s="247" t="s">
        <v>213</v>
      </c>
      <c r="D1126" s="244"/>
    </row>
    <row r="1127" spans="1:4" ht="12" hidden="1" customHeight="1" outlineLevel="1" x14ac:dyDescent="0.3">
      <c r="A1127" s="238"/>
      <c r="B1127" s="199">
        <v>5000</v>
      </c>
      <c r="C1127" s="200" t="s">
        <v>214</v>
      </c>
      <c r="D1127" s="260">
        <f>SUM(D1128:D1130)</f>
        <v>0</v>
      </c>
    </row>
    <row r="1128" spans="1:4" ht="12" hidden="1" customHeight="1" outlineLevel="1" x14ac:dyDescent="0.3">
      <c r="A1128" s="238"/>
      <c r="B1128" s="242">
        <v>5100</v>
      </c>
      <c r="C1128" s="248" t="s">
        <v>215</v>
      </c>
      <c r="D1128" s="260"/>
    </row>
    <row r="1129" spans="1:4" ht="12" hidden="1" customHeight="1" outlineLevel="1" x14ac:dyDescent="0.3">
      <c r="A1129" s="238"/>
      <c r="B1129" s="242">
        <v>5200</v>
      </c>
      <c r="C1129" s="248" t="s">
        <v>216</v>
      </c>
      <c r="D1129" s="260"/>
    </row>
    <row r="1130" spans="1:4" ht="12" hidden="1" customHeight="1" outlineLevel="1" x14ac:dyDescent="0.3">
      <c r="A1130" s="238"/>
      <c r="B1130" s="242">
        <v>5300</v>
      </c>
      <c r="C1130" s="249" t="s">
        <v>217</v>
      </c>
      <c r="D1130" s="260"/>
    </row>
    <row r="1131" spans="1:4" ht="12" hidden="1" customHeight="1" outlineLevel="1" x14ac:dyDescent="0.3">
      <c r="A1131" s="238"/>
      <c r="B1131" s="199">
        <v>6000</v>
      </c>
      <c r="C1131" s="200" t="s">
        <v>218</v>
      </c>
      <c r="D1131" s="260">
        <f>SUM(D1132:D1135)</f>
        <v>0</v>
      </c>
    </row>
    <row r="1132" spans="1:4" ht="12" hidden="1" customHeight="1" outlineLevel="1" x14ac:dyDescent="0.3">
      <c r="A1132" s="238"/>
      <c r="B1132" s="242">
        <v>6200</v>
      </c>
      <c r="C1132" s="248" t="s">
        <v>219</v>
      </c>
      <c r="D1132" s="244"/>
    </row>
    <row r="1133" spans="1:4" ht="12" hidden="1" customHeight="1" outlineLevel="1" x14ac:dyDescent="0.3">
      <c r="A1133" s="238"/>
      <c r="B1133" s="242">
        <v>6300</v>
      </c>
      <c r="C1133" s="248" t="s">
        <v>220</v>
      </c>
      <c r="D1133" s="244"/>
    </row>
    <row r="1134" spans="1:4" ht="12" hidden="1" customHeight="1" outlineLevel="1" x14ac:dyDescent="0.3">
      <c r="A1134" s="238"/>
      <c r="B1134" s="242">
        <v>6400</v>
      </c>
      <c r="C1134" s="248" t="s">
        <v>221</v>
      </c>
      <c r="D1134" s="244"/>
    </row>
    <row r="1135" spans="1:4" ht="12" hidden="1" customHeight="1" outlineLevel="1" x14ac:dyDescent="0.3">
      <c r="A1135" s="238"/>
      <c r="B1135" s="242">
        <v>6500</v>
      </c>
      <c r="C1135" s="249" t="s">
        <v>222</v>
      </c>
      <c r="D1135" s="244"/>
    </row>
    <row r="1136" spans="1:4" ht="12" hidden="1" customHeight="1" outlineLevel="1" x14ac:dyDescent="0.3">
      <c r="A1136" s="238"/>
      <c r="B1136" s="199">
        <v>7000</v>
      </c>
      <c r="C1136" s="200" t="s">
        <v>223</v>
      </c>
      <c r="D1136" s="260">
        <f>SUM(D1137:D1139)</f>
        <v>0</v>
      </c>
    </row>
    <row r="1137" spans="1:4" ht="12" hidden="1" customHeight="1" outlineLevel="1" x14ac:dyDescent="0.3">
      <c r="A1137" s="238"/>
      <c r="B1137" s="250">
        <v>7200</v>
      </c>
      <c r="C1137" s="251" t="s">
        <v>224</v>
      </c>
      <c r="D1137" s="244"/>
    </row>
    <row r="1138" spans="1:4" ht="12" hidden="1" customHeight="1" outlineLevel="1" x14ac:dyDescent="0.3">
      <c r="A1138" s="238"/>
      <c r="B1138" s="250">
        <v>7500</v>
      </c>
      <c r="C1138" s="251" t="s">
        <v>225</v>
      </c>
      <c r="D1138" s="244"/>
    </row>
    <row r="1139" spans="1:4" ht="12" hidden="1" customHeight="1" outlineLevel="1" x14ac:dyDescent="0.3">
      <c r="A1139" s="238"/>
      <c r="B1139" s="250">
        <v>7700</v>
      </c>
      <c r="C1139" s="251" t="s">
        <v>226</v>
      </c>
      <c r="D1139" s="244"/>
    </row>
    <row r="1140" spans="1:4" ht="12" hidden="1" customHeight="1" outlineLevel="1" x14ac:dyDescent="0.3">
      <c r="A1140" s="238"/>
      <c r="B1140" s="252">
        <v>8000</v>
      </c>
      <c r="C1140" s="253" t="s">
        <v>227</v>
      </c>
      <c r="D1140" s="260">
        <f>SUM(D1141:D1143)</f>
        <v>0</v>
      </c>
    </row>
    <row r="1141" spans="1:4" ht="12" hidden="1" customHeight="1" outlineLevel="1" x14ac:dyDescent="0.3">
      <c r="A1141" s="238"/>
      <c r="B1141" s="254">
        <v>8100</v>
      </c>
      <c r="C1141" s="255" t="s">
        <v>228</v>
      </c>
      <c r="D1141" s="260"/>
    </row>
    <row r="1142" spans="1:4" ht="12" hidden="1" customHeight="1" outlineLevel="1" x14ac:dyDescent="0.3">
      <c r="A1142" s="238"/>
      <c r="B1142" s="254">
        <v>8600</v>
      </c>
      <c r="C1142" s="255" t="s">
        <v>229</v>
      </c>
      <c r="D1142" s="260"/>
    </row>
    <row r="1143" spans="1:4" ht="12" hidden="1" customHeight="1" outlineLevel="1" x14ac:dyDescent="0.3">
      <c r="A1143" s="238"/>
      <c r="B1143" s="254">
        <v>8900</v>
      </c>
      <c r="C1143" s="255" t="s">
        <v>230</v>
      </c>
      <c r="D1143" s="260"/>
    </row>
    <row r="1144" spans="1:4" ht="17.100000000000001" customHeight="1" collapsed="1" x14ac:dyDescent="0.3">
      <c r="A1144" s="278" t="s">
        <v>294</v>
      </c>
      <c r="B1144" s="279"/>
      <c r="C1144" s="280" t="s">
        <v>295</v>
      </c>
      <c r="D1144" s="226">
        <f t="shared" ref="D1144" si="101">D1145+D1161+D1174</f>
        <v>0</v>
      </c>
    </row>
    <row r="1145" spans="1:4" ht="12" hidden="1" customHeight="1" outlineLevel="1" x14ac:dyDescent="0.3">
      <c r="A1145" s="227"/>
      <c r="B1145" s="228"/>
      <c r="C1145" s="229" t="s">
        <v>198</v>
      </c>
      <c r="D1145" s="230">
        <f t="shared" ref="D1145" si="102">D1146+D1149+D1155+D1158+D1165+D1170</f>
        <v>0</v>
      </c>
    </row>
    <row r="1146" spans="1:4" ht="12" hidden="1" customHeight="1" outlineLevel="1" x14ac:dyDescent="0.3">
      <c r="A1146" s="227"/>
      <c r="B1146" s="231">
        <v>1000</v>
      </c>
      <c r="C1146" s="232" t="s">
        <v>199</v>
      </c>
      <c r="D1146" s="233">
        <f>D1180+D1214+D1248+D1282+D1316</f>
        <v>0</v>
      </c>
    </row>
    <row r="1147" spans="1:4" ht="12" hidden="1" customHeight="1" outlineLevel="1" x14ac:dyDescent="0.3">
      <c r="A1147" s="227"/>
      <c r="B1147" s="234">
        <v>1100</v>
      </c>
      <c r="C1147" s="235" t="s">
        <v>200</v>
      </c>
      <c r="D1147" s="236">
        <f t="shared" ref="D1147:D1148" si="103">D1181+D1215+D1249+D1283+D1317</f>
        <v>0</v>
      </c>
    </row>
    <row r="1148" spans="1:4" ht="12" hidden="1" customHeight="1" outlineLevel="1" x14ac:dyDescent="0.3">
      <c r="A1148" s="227"/>
      <c r="B1148" s="234">
        <v>1200</v>
      </c>
      <c r="C1148" s="237" t="s">
        <v>201</v>
      </c>
      <c r="D1148" s="236">
        <f t="shared" si="103"/>
        <v>0</v>
      </c>
    </row>
    <row r="1149" spans="1:4" ht="12" hidden="1" customHeight="1" outlineLevel="1" x14ac:dyDescent="0.3">
      <c r="A1149" s="238"/>
      <c r="B1149" s="239">
        <v>2000</v>
      </c>
      <c r="C1149" s="240" t="s">
        <v>202</v>
      </c>
      <c r="D1149" s="241">
        <f>D1183+D1217+D1251+D1285+D1319</f>
        <v>0</v>
      </c>
    </row>
    <row r="1150" spans="1:4" ht="12" hidden="1" customHeight="1" outlineLevel="1" x14ac:dyDescent="0.3">
      <c r="A1150" s="238"/>
      <c r="B1150" s="242">
        <v>2100</v>
      </c>
      <c r="C1150" s="243" t="s">
        <v>203</v>
      </c>
      <c r="D1150" s="244">
        <f t="shared" ref="D1150:D1154" si="104">D1184+D1218+D1252+D1286+D1320</f>
        <v>0</v>
      </c>
    </row>
    <row r="1151" spans="1:4" ht="12" hidden="1" customHeight="1" outlineLevel="1" x14ac:dyDescent="0.3">
      <c r="A1151" s="238"/>
      <c r="B1151" s="242">
        <v>2200</v>
      </c>
      <c r="C1151" s="243" t="s">
        <v>204</v>
      </c>
      <c r="D1151" s="244">
        <f t="shared" si="104"/>
        <v>0</v>
      </c>
    </row>
    <row r="1152" spans="1:4" ht="12" hidden="1" customHeight="1" outlineLevel="1" x14ac:dyDescent="0.3">
      <c r="A1152" s="238"/>
      <c r="B1152" s="242">
        <v>2300</v>
      </c>
      <c r="C1152" s="243" t="s">
        <v>205</v>
      </c>
      <c r="D1152" s="244">
        <f t="shared" si="104"/>
        <v>0</v>
      </c>
    </row>
    <row r="1153" spans="1:4" ht="12" hidden="1" customHeight="1" outlineLevel="1" x14ac:dyDescent="0.3">
      <c r="A1153" s="238"/>
      <c r="B1153" s="242">
        <v>2400</v>
      </c>
      <c r="C1153" s="243" t="s">
        <v>206</v>
      </c>
      <c r="D1153" s="244">
        <f t="shared" si="104"/>
        <v>0</v>
      </c>
    </row>
    <row r="1154" spans="1:4" ht="12" hidden="1" customHeight="1" outlineLevel="1" x14ac:dyDescent="0.3">
      <c r="A1154" s="238"/>
      <c r="B1154" s="242">
        <v>2500</v>
      </c>
      <c r="C1154" s="243" t="s">
        <v>207</v>
      </c>
      <c r="D1154" s="244">
        <f t="shared" si="104"/>
        <v>0</v>
      </c>
    </row>
    <row r="1155" spans="1:4" ht="12" hidden="1" customHeight="1" outlineLevel="1" x14ac:dyDescent="0.3">
      <c r="A1155" s="238"/>
      <c r="B1155" s="199">
        <v>3000</v>
      </c>
      <c r="C1155" s="245" t="s">
        <v>208</v>
      </c>
      <c r="D1155" s="241">
        <f>D1189+D1223+D1257+D1291+D1325</f>
        <v>0</v>
      </c>
    </row>
    <row r="1156" spans="1:4" ht="12" hidden="1" customHeight="1" outlineLevel="1" x14ac:dyDescent="0.3">
      <c r="A1156" s="238"/>
      <c r="B1156" s="242">
        <v>3200</v>
      </c>
      <c r="C1156" s="243" t="s">
        <v>209</v>
      </c>
      <c r="D1156" s="244">
        <f t="shared" ref="D1156:D1157" si="105">D1190+D1224+D1258+D1292+D1326</f>
        <v>0</v>
      </c>
    </row>
    <row r="1157" spans="1:4" ht="12" hidden="1" customHeight="1" outlineLevel="1" x14ac:dyDescent="0.3">
      <c r="A1157" s="238"/>
      <c r="B1157" s="242">
        <v>3300</v>
      </c>
      <c r="C1157" s="243" t="s">
        <v>210</v>
      </c>
      <c r="D1157" s="244">
        <f t="shared" si="105"/>
        <v>0</v>
      </c>
    </row>
    <row r="1158" spans="1:4" ht="12" hidden="1" customHeight="1" outlineLevel="1" x14ac:dyDescent="0.3">
      <c r="A1158" s="238"/>
      <c r="B1158" s="199">
        <v>4000</v>
      </c>
      <c r="C1158" s="246" t="s">
        <v>211</v>
      </c>
      <c r="D1158" s="241">
        <f>D1192+D1226+D1260+D1294+D1328</f>
        <v>0</v>
      </c>
    </row>
    <row r="1159" spans="1:4" ht="12" hidden="1" customHeight="1" outlineLevel="1" x14ac:dyDescent="0.3">
      <c r="A1159" s="238"/>
      <c r="B1159" s="242">
        <v>4200</v>
      </c>
      <c r="C1159" s="247" t="s">
        <v>212</v>
      </c>
      <c r="D1159" s="244">
        <f t="shared" ref="D1159:D1160" si="106">D1193+D1227+D1261+D1295+D1329</f>
        <v>0</v>
      </c>
    </row>
    <row r="1160" spans="1:4" ht="12" hidden="1" customHeight="1" outlineLevel="1" x14ac:dyDescent="0.3">
      <c r="A1160" s="238"/>
      <c r="B1160" s="242">
        <v>4300</v>
      </c>
      <c r="C1160" s="247" t="s">
        <v>213</v>
      </c>
      <c r="D1160" s="244">
        <f t="shared" si="106"/>
        <v>0</v>
      </c>
    </row>
    <row r="1161" spans="1:4" ht="12" hidden="1" customHeight="1" outlineLevel="1" x14ac:dyDescent="0.3">
      <c r="A1161" s="238"/>
      <c r="B1161" s="199">
        <v>5000</v>
      </c>
      <c r="C1161" s="200" t="s">
        <v>214</v>
      </c>
      <c r="D1161" s="241">
        <f>D1195+D1229+D1263+D1297+D1331</f>
        <v>0</v>
      </c>
    </row>
    <row r="1162" spans="1:4" ht="12" hidden="1" customHeight="1" outlineLevel="1" x14ac:dyDescent="0.3">
      <c r="A1162" s="238"/>
      <c r="B1162" s="242">
        <v>5100</v>
      </c>
      <c r="C1162" s="248" t="s">
        <v>215</v>
      </c>
      <c r="D1162" s="244">
        <f t="shared" ref="D1162:D1164" si="107">D1196+D1230+D1264+D1298+D1332</f>
        <v>0</v>
      </c>
    </row>
    <row r="1163" spans="1:4" ht="12" hidden="1" customHeight="1" outlineLevel="1" x14ac:dyDescent="0.3">
      <c r="A1163" s="238"/>
      <c r="B1163" s="242">
        <v>5200</v>
      </c>
      <c r="C1163" s="248" t="s">
        <v>216</v>
      </c>
      <c r="D1163" s="244">
        <f t="shared" si="107"/>
        <v>0</v>
      </c>
    </row>
    <row r="1164" spans="1:4" ht="12" hidden="1" customHeight="1" outlineLevel="1" x14ac:dyDescent="0.3">
      <c r="A1164" s="238"/>
      <c r="B1164" s="242">
        <v>5300</v>
      </c>
      <c r="C1164" s="249" t="s">
        <v>217</v>
      </c>
      <c r="D1164" s="244">
        <f t="shared" si="107"/>
        <v>0</v>
      </c>
    </row>
    <row r="1165" spans="1:4" ht="12" hidden="1" customHeight="1" outlineLevel="1" x14ac:dyDescent="0.3">
      <c r="A1165" s="238"/>
      <c r="B1165" s="199">
        <v>6000</v>
      </c>
      <c r="C1165" s="200" t="s">
        <v>218</v>
      </c>
      <c r="D1165" s="241">
        <f>D1199+D1233+D1267+D1301+D1335</f>
        <v>0</v>
      </c>
    </row>
    <row r="1166" spans="1:4" ht="12" hidden="1" customHeight="1" outlineLevel="1" x14ac:dyDescent="0.3">
      <c r="A1166" s="238"/>
      <c r="B1166" s="242">
        <v>6200</v>
      </c>
      <c r="C1166" s="248" t="s">
        <v>219</v>
      </c>
      <c r="D1166" s="244">
        <f t="shared" ref="D1166:D1169" si="108">D1200+D1234+D1268+D1302+D1336</f>
        <v>0</v>
      </c>
    </row>
    <row r="1167" spans="1:4" ht="12" hidden="1" customHeight="1" outlineLevel="1" x14ac:dyDescent="0.3">
      <c r="A1167" s="238"/>
      <c r="B1167" s="242">
        <v>6300</v>
      </c>
      <c r="C1167" s="248" t="s">
        <v>220</v>
      </c>
      <c r="D1167" s="244">
        <f t="shared" si="108"/>
        <v>0</v>
      </c>
    </row>
    <row r="1168" spans="1:4" ht="12" hidden="1" customHeight="1" outlineLevel="1" x14ac:dyDescent="0.3">
      <c r="A1168" s="238"/>
      <c r="B1168" s="242">
        <v>6400</v>
      </c>
      <c r="C1168" s="248" t="s">
        <v>221</v>
      </c>
      <c r="D1168" s="244">
        <f t="shared" si="108"/>
        <v>0</v>
      </c>
    </row>
    <row r="1169" spans="1:4" ht="12" hidden="1" customHeight="1" outlineLevel="1" x14ac:dyDescent="0.3">
      <c r="A1169" s="238"/>
      <c r="B1169" s="242">
        <v>6500</v>
      </c>
      <c r="C1169" s="249" t="s">
        <v>222</v>
      </c>
      <c r="D1169" s="244">
        <f t="shared" si="108"/>
        <v>0</v>
      </c>
    </row>
    <row r="1170" spans="1:4" ht="12" hidden="1" customHeight="1" outlineLevel="1" x14ac:dyDescent="0.3">
      <c r="A1170" s="238"/>
      <c r="B1170" s="199">
        <v>7000</v>
      </c>
      <c r="C1170" s="200" t="s">
        <v>223</v>
      </c>
      <c r="D1170" s="241">
        <f>D1204+D1238+D1272+D1306+D1340</f>
        <v>0</v>
      </c>
    </row>
    <row r="1171" spans="1:4" ht="12" hidden="1" customHeight="1" outlineLevel="1" x14ac:dyDescent="0.3">
      <c r="A1171" s="238"/>
      <c r="B1171" s="250">
        <v>7200</v>
      </c>
      <c r="C1171" s="251" t="s">
        <v>224</v>
      </c>
      <c r="D1171" s="244">
        <f t="shared" ref="D1171:D1173" si="109">D1205+D1239+D1273+D1307+D1341</f>
        <v>0</v>
      </c>
    </row>
    <row r="1172" spans="1:4" ht="12" hidden="1" customHeight="1" outlineLevel="1" x14ac:dyDescent="0.3">
      <c r="A1172" s="238"/>
      <c r="B1172" s="250">
        <v>7500</v>
      </c>
      <c r="C1172" s="251" t="s">
        <v>225</v>
      </c>
      <c r="D1172" s="244">
        <f t="shared" si="109"/>
        <v>0</v>
      </c>
    </row>
    <row r="1173" spans="1:4" ht="12" hidden="1" customHeight="1" outlineLevel="1" x14ac:dyDescent="0.3">
      <c r="A1173" s="238"/>
      <c r="B1173" s="250">
        <v>7700</v>
      </c>
      <c r="C1173" s="251" t="s">
        <v>226</v>
      </c>
      <c r="D1173" s="244">
        <f t="shared" si="109"/>
        <v>0</v>
      </c>
    </row>
    <row r="1174" spans="1:4" ht="12" hidden="1" customHeight="1" outlineLevel="1" x14ac:dyDescent="0.3">
      <c r="A1174" s="238"/>
      <c r="B1174" s="252">
        <v>8000</v>
      </c>
      <c r="C1174" s="253" t="s">
        <v>227</v>
      </c>
      <c r="D1174" s="241">
        <f>D1208+D1242+D1276+D1310+D1344</f>
        <v>0</v>
      </c>
    </row>
    <row r="1175" spans="1:4" ht="12" hidden="1" customHeight="1" outlineLevel="1" x14ac:dyDescent="0.3">
      <c r="A1175" s="238"/>
      <c r="B1175" s="254">
        <v>8100</v>
      </c>
      <c r="C1175" s="255" t="s">
        <v>228</v>
      </c>
      <c r="D1175" s="244">
        <f t="shared" ref="D1175:D1177" si="110">D1209+D1243+D1277+D1311+D1345</f>
        <v>0</v>
      </c>
    </row>
    <row r="1176" spans="1:4" ht="12" hidden="1" customHeight="1" outlineLevel="1" x14ac:dyDescent="0.3">
      <c r="A1176" s="238"/>
      <c r="B1176" s="254">
        <v>8600</v>
      </c>
      <c r="C1176" s="255" t="s">
        <v>229</v>
      </c>
      <c r="D1176" s="244">
        <f t="shared" si="110"/>
        <v>0</v>
      </c>
    </row>
    <row r="1177" spans="1:4" ht="12" hidden="1" customHeight="1" outlineLevel="1" x14ac:dyDescent="0.3">
      <c r="A1177" s="238"/>
      <c r="B1177" s="254">
        <v>8900</v>
      </c>
      <c r="C1177" s="255" t="s">
        <v>230</v>
      </c>
      <c r="D1177" s="244">
        <f t="shared" si="110"/>
        <v>0</v>
      </c>
    </row>
    <row r="1178" spans="1:4" ht="12" hidden="1" customHeight="1" outlineLevel="1" x14ac:dyDescent="0.3">
      <c r="A1178" s="256" t="s">
        <v>296</v>
      </c>
      <c r="B1178" s="257"/>
      <c r="C1178" s="258" t="s">
        <v>297</v>
      </c>
      <c r="D1178" s="259">
        <f t="shared" ref="D1178" si="111">D1179+D1195+D1208</f>
        <v>0</v>
      </c>
    </row>
    <row r="1179" spans="1:4" ht="12" hidden="1" customHeight="1" outlineLevel="1" x14ac:dyDescent="0.3">
      <c r="A1179" s="227"/>
      <c r="B1179" s="228"/>
      <c r="C1179" s="229" t="s">
        <v>198</v>
      </c>
      <c r="D1179" s="230">
        <f t="shared" ref="D1179" si="112">D1180+D1183+D1189+D1192+D1199+D1204</f>
        <v>0</v>
      </c>
    </row>
    <row r="1180" spans="1:4" ht="12" hidden="1" customHeight="1" outlineLevel="1" x14ac:dyDescent="0.3">
      <c r="A1180" s="227"/>
      <c r="B1180" s="231">
        <v>1000</v>
      </c>
      <c r="C1180" s="232" t="s">
        <v>199</v>
      </c>
      <c r="D1180" s="230">
        <f>SUM(D1181:D1182)</f>
        <v>0</v>
      </c>
    </row>
    <row r="1181" spans="1:4" ht="12" hidden="1" customHeight="1" outlineLevel="1" x14ac:dyDescent="0.3">
      <c r="A1181" s="227"/>
      <c r="B1181" s="234">
        <v>1100</v>
      </c>
      <c r="C1181" s="235" t="s">
        <v>200</v>
      </c>
      <c r="D1181" s="236"/>
    </row>
    <row r="1182" spans="1:4" ht="12" hidden="1" customHeight="1" outlineLevel="1" x14ac:dyDescent="0.3">
      <c r="A1182" s="227"/>
      <c r="B1182" s="234">
        <v>1200</v>
      </c>
      <c r="C1182" s="237" t="s">
        <v>201</v>
      </c>
      <c r="D1182" s="236"/>
    </row>
    <row r="1183" spans="1:4" ht="12" hidden="1" customHeight="1" outlineLevel="1" x14ac:dyDescent="0.3">
      <c r="A1183" s="238"/>
      <c r="B1183" s="239">
        <v>2000</v>
      </c>
      <c r="C1183" s="240" t="s">
        <v>202</v>
      </c>
      <c r="D1183" s="260">
        <f>SUM(D1184:D1188)</f>
        <v>0</v>
      </c>
    </row>
    <row r="1184" spans="1:4" ht="12" hidden="1" customHeight="1" outlineLevel="1" x14ac:dyDescent="0.3">
      <c r="A1184" s="238"/>
      <c r="B1184" s="242">
        <v>2100</v>
      </c>
      <c r="C1184" s="243" t="s">
        <v>203</v>
      </c>
      <c r="D1184" s="244"/>
    </row>
    <row r="1185" spans="1:4" ht="12" hidden="1" customHeight="1" outlineLevel="1" x14ac:dyDescent="0.3">
      <c r="A1185" s="238"/>
      <c r="B1185" s="242">
        <v>2200</v>
      </c>
      <c r="C1185" s="243" t="s">
        <v>204</v>
      </c>
      <c r="D1185" s="244"/>
    </row>
    <row r="1186" spans="1:4" ht="12" hidden="1" customHeight="1" outlineLevel="1" x14ac:dyDescent="0.3">
      <c r="A1186" s="238"/>
      <c r="B1186" s="242">
        <v>2300</v>
      </c>
      <c r="C1186" s="243" t="s">
        <v>205</v>
      </c>
      <c r="D1186" s="244"/>
    </row>
    <row r="1187" spans="1:4" ht="12" hidden="1" customHeight="1" outlineLevel="1" x14ac:dyDescent="0.3">
      <c r="A1187" s="238"/>
      <c r="B1187" s="242">
        <v>2400</v>
      </c>
      <c r="C1187" s="243" t="s">
        <v>206</v>
      </c>
      <c r="D1187" s="244"/>
    </row>
    <row r="1188" spans="1:4" ht="12" hidden="1" customHeight="1" outlineLevel="1" x14ac:dyDescent="0.3">
      <c r="A1188" s="238"/>
      <c r="B1188" s="242">
        <v>2500</v>
      </c>
      <c r="C1188" s="243" t="s">
        <v>207</v>
      </c>
      <c r="D1188" s="244"/>
    </row>
    <row r="1189" spans="1:4" ht="12" hidden="1" customHeight="1" outlineLevel="1" x14ac:dyDescent="0.3">
      <c r="A1189" s="238"/>
      <c r="B1189" s="199">
        <v>3000</v>
      </c>
      <c r="C1189" s="245" t="s">
        <v>208</v>
      </c>
      <c r="D1189" s="260">
        <f>SUM(D1190:D1191)</f>
        <v>0</v>
      </c>
    </row>
    <row r="1190" spans="1:4" ht="12" hidden="1" customHeight="1" outlineLevel="1" x14ac:dyDescent="0.3">
      <c r="A1190" s="238"/>
      <c r="B1190" s="242">
        <v>3200</v>
      </c>
      <c r="C1190" s="243" t="s">
        <v>209</v>
      </c>
      <c r="D1190" s="244"/>
    </row>
    <row r="1191" spans="1:4" ht="12" hidden="1" customHeight="1" outlineLevel="1" x14ac:dyDescent="0.3">
      <c r="A1191" s="238"/>
      <c r="B1191" s="242">
        <v>3300</v>
      </c>
      <c r="C1191" s="243" t="s">
        <v>210</v>
      </c>
      <c r="D1191" s="244"/>
    </row>
    <row r="1192" spans="1:4" ht="12" hidden="1" customHeight="1" outlineLevel="1" x14ac:dyDescent="0.3">
      <c r="A1192" s="238"/>
      <c r="B1192" s="199">
        <v>4000</v>
      </c>
      <c r="C1192" s="246" t="s">
        <v>211</v>
      </c>
      <c r="D1192" s="260">
        <f>SUM(D1193:D1194)</f>
        <v>0</v>
      </c>
    </row>
    <row r="1193" spans="1:4" ht="12" hidden="1" customHeight="1" outlineLevel="1" x14ac:dyDescent="0.3">
      <c r="A1193" s="238"/>
      <c r="B1193" s="242">
        <v>4200</v>
      </c>
      <c r="C1193" s="247" t="s">
        <v>212</v>
      </c>
      <c r="D1193" s="244"/>
    </row>
    <row r="1194" spans="1:4" ht="12" hidden="1" customHeight="1" outlineLevel="1" x14ac:dyDescent="0.3">
      <c r="A1194" s="238"/>
      <c r="B1194" s="242">
        <v>4300</v>
      </c>
      <c r="C1194" s="247" t="s">
        <v>213</v>
      </c>
      <c r="D1194" s="244"/>
    </row>
    <row r="1195" spans="1:4" ht="12" hidden="1" customHeight="1" outlineLevel="1" x14ac:dyDescent="0.3">
      <c r="A1195" s="238"/>
      <c r="B1195" s="199">
        <v>5000</v>
      </c>
      <c r="C1195" s="200" t="s">
        <v>214</v>
      </c>
      <c r="D1195" s="260">
        <f>SUM(D1196:D1198)</f>
        <v>0</v>
      </c>
    </row>
    <row r="1196" spans="1:4" ht="12" hidden="1" customHeight="1" outlineLevel="1" x14ac:dyDescent="0.3">
      <c r="A1196" s="238"/>
      <c r="B1196" s="242">
        <v>5100</v>
      </c>
      <c r="C1196" s="248" t="s">
        <v>215</v>
      </c>
      <c r="D1196" s="260"/>
    </row>
    <row r="1197" spans="1:4" ht="12" hidden="1" customHeight="1" outlineLevel="1" x14ac:dyDescent="0.3">
      <c r="A1197" s="238"/>
      <c r="B1197" s="242">
        <v>5200</v>
      </c>
      <c r="C1197" s="248" t="s">
        <v>216</v>
      </c>
      <c r="D1197" s="244"/>
    </row>
    <row r="1198" spans="1:4" ht="12" hidden="1" customHeight="1" outlineLevel="1" x14ac:dyDescent="0.3">
      <c r="A1198" s="238"/>
      <c r="B1198" s="242">
        <v>5300</v>
      </c>
      <c r="C1198" s="249" t="s">
        <v>217</v>
      </c>
      <c r="D1198" s="260"/>
    </row>
    <row r="1199" spans="1:4" ht="12" hidden="1" customHeight="1" outlineLevel="1" x14ac:dyDescent="0.3">
      <c r="A1199" s="238"/>
      <c r="B1199" s="199">
        <v>6000</v>
      </c>
      <c r="C1199" s="200" t="s">
        <v>218</v>
      </c>
      <c r="D1199" s="260">
        <f>SUM(D1200:D1203)</f>
        <v>0</v>
      </c>
    </row>
    <row r="1200" spans="1:4" ht="12" hidden="1" customHeight="1" outlineLevel="1" x14ac:dyDescent="0.3">
      <c r="A1200" s="238"/>
      <c r="B1200" s="242">
        <v>6200</v>
      </c>
      <c r="C1200" s="248" t="s">
        <v>219</v>
      </c>
      <c r="D1200" s="244"/>
    </row>
    <row r="1201" spans="1:4" ht="12" hidden="1" customHeight="1" outlineLevel="1" x14ac:dyDescent="0.3">
      <c r="A1201" s="238"/>
      <c r="B1201" s="242">
        <v>6300</v>
      </c>
      <c r="C1201" s="248" t="s">
        <v>220</v>
      </c>
      <c r="D1201" s="244"/>
    </row>
    <row r="1202" spans="1:4" ht="12" hidden="1" customHeight="1" outlineLevel="1" x14ac:dyDescent="0.3">
      <c r="A1202" s="238"/>
      <c r="B1202" s="242">
        <v>6400</v>
      </c>
      <c r="C1202" s="248" t="s">
        <v>221</v>
      </c>
      <c r="D1202" s="244"/>
    </row>
    <row r="1203" spans="1:4" ht="12" hidden="1" customHeight="1" outlineLevel="1" x14ac:dyDescent="0.3">
      <c r="A1203" s="238"/>
      <c r="B1203" s="242">
        <v>6500</v>
      </c>
      <c r="C1203" s="249" t="s">
        <v>222</v>
      </c>
      <c r="D1203" s="244"/>
    </row>
    <row r="1204" spans="1:4" ht="12" hidden="1" customHeight="1" outlineLevel="1" x14ac:dyDescent="0.3">
      <c r="A1204" s="238"/>
      <c r="B1204" s="199">
        <v>7000</v>
      </c>
      <c r="C1204" s="200" t="s">
        <v>223</v>
      </c>
      <c r="D1204" s="260">
        <f>SUM(D1205:D1207)</f>
        <v>0</v>
      </c>
    </row>
    <row r="1205" spans="1:4" ht="12" hidden="1" customHeight="1" outlineLevel="1" x14ac:dyDescent="0.3">
      <c r="A1205" s="238"/>
      <c r="B1205" s="250">
        <v>7200</v>
      </c>
      <c r="C1205" s="251" t="s">
        <v>224</v>
      </c>
      <c r="D1205" s="244"/>
    </row>
    <row r="1206" spans="1:4" ht="12" hidden="1" customHeight="1" outlineLevel="1" x14ac:dyDescent="0.3">
      <c r="A1206" s="238"/>
      <c r="B1206" s="250">
        <v>7500</v>
      </c>
      <c r="C1206" s="251" t="s">
        <v>225</v>
      </c>
      <c r="D1206" s="244"/>
    </row>
    <row r="1207" spans="1:4" ht="12" hidden="1" customHeight="1" outlineLevel="1" x14ac:dyDescent="0.3">
      <c r="A1207" s="238"/>
      <c r="B1207" s="250">
        <v>7700</v>
      </c>
      <c r="C1207" s="251" t="s">
        <v>226</v>
      </c>
      <c r="D1207" s="244"/>
    </row>
    <row r="1208" spans="1:4" ht="12" hidden="1" customHeight="1" outlineLevel="1" x14ac:dyDescent="0.3">
      <c r="A1208" s="238"/>
      <c r="B1208" s="252">
        <v>8000</v>
      </c>
      <c r="C1208" s="253" t="s">
        <v>227</v>
      </c>
      <c r="D1208" s="260">
        <f>SUM(D1209:D1211)</f>
        <v>0</v>
      </c>
    </row>
    <row r="1209" spans="1:4" ht="12" hidden="1" customHeight="1" outlineLevel="1" x14ac:dyDescent="0.3">
      <c r="A1209" s="238"/>
      <c r="B1209" s="254">
        <v>8100</v>
      </c>
      <c r="C1209" s="255" t="s">
        <v>228</v>
      </c>
      <c r="D1209" s="260"/>
    </row>
    <row r="1210" spans="1:4" ht="12" hidden="1" customHeight="1" outlineLevel="1" x14ac:dyDescent="0.3">
      <c r="A1210" s="238"/>
      <c r="B1210" s="254">
        <v>8600</v>
      </c>
      <c r="C1210" s="255" t="s">
        <v>229</v>
      </c>
      <c r="D1210" s="260"/>
    </row>
    <row r="1211" spans="1:4" ht="12" hidden="1" customHeight="1" outlineLevel="1" x14ac:dyDescent="0.3">
      <c r="A1211" s="238"/>
      <c r="B1211" s="254">
        <v>8900</v>
      </c>
      <c r="C1211" s="255" t="s">
        <v>230</v>
      </c>
      <c r="D1211" s="260"/>
    </row>
    <row r="1212" spans="1:4" ht="12" hidden="1" customHeight="1" outlineLevel="1" x14ac:dyDescent="0.3">
      <c r="A1212" s="256" t="s">
        <v>298</v>
      </c>
      <c r="B1212" s="257"/>
      <c r="C1212" s="258" t="s">
        <v>299</v>
      </c>
      <c r="D1212" s="259">
        <f t="shared" ref="D1212" si="113">D1213+D1229+D1242</f>
        <v>0</v>
      </c>
    </row>
    <row r="1213" spans="1:4" ht="12" hidden="1" customHeight="1" outlineLevel="1" x14ac:dyDescent="0.3">
      <c r="A1213" s="227"/>
      <c r="B1213" s="228"/>
      <c r="C1213" s="229" t="s">
        <v>198</v>
      </c>
      <c r="D1213" s="230">
        <f t="shared" ref="D1213" si="114">D1214+D1217+D1223+D1226+D1233+D1238</f>
        <v>0</v>
      </c>
    </row>
    <row r="1214" spans="1:4" ht="12" hidden="1" customHeight="1" outlineLevel="1" x14ac:dyDescent="0.3">
      <c r="A1214" s="227"/>
      <c r="B1214" s="231">
        <v>1000</v>
      </c>
      <c r="C1214" s="232" t="s">
        <v>199</v>
      </c>
      <c r="D1214" s="230">
        <f>SUM(D1215:D1216)</f>
        <v>0</v>
      </c>
    </row>
    <row r="1215" spans="1:4" ht="12" hidden="1" customHeight="1" outlineLevel="1" x14ac:dyDescent="0.3">
      <c r="A1215" s="227"/>
      <c r="B1215" s="234">
        <v>1100</v>
      </c>
      <c r="C1215" s="235" t="s">
        <v>200</v>
      </c>
      <c r="D1215" s="236"/>
    </row>
    <row r="1216" spans="1:4" ht="12" hidden="1" customHeight="1" outlineLevel="1" x14ac:dyDescent="0.3">
      <c r="A1216" s="227"/>
      <c r="B1216" s="234">
        <v>1200</v>
      </c>
      <c r="C1216" s="237" t="s">
        <v>201</v>
      </c>
      <c r="D1216" s="236"/>
    </row>
    <row r="1217" spans="1:4" ht="12" hidden="1" customHeight="1" outlineLevel="1" x14ac:dyDescent="0.3">
      <c r="A1217" s="238"/>
      <c r="B1217" s="239">
        <v>2000</v>
      </c>
      <c r="C1217" s="240" t="s">
        <v>202</v>
      </c>
      <c r="D1217" s="260">
        <f>SUM(D1218:D1222)</f>
        <v>0</v>
      </c>
    </row>
    <row r="1218" spans="1:4" ht="12" hidden="1" customHeight="1" outlineLevel="1" x14ac:dyDescent="0.3">
      <c r="A1218" s="238"/>
      <c r="B1218" s="242">
        <v>2100</v>
      </c>
      <c r="C1218" s="243" t="s">
        <v>203</v>
      </c>
      <c r="D1218" s="244"/>
    </row>
    <row r="1219" spans="1:4" ht="12" hidden="1" customHeight="1" outlineLevel="1" x14ac:dyDescent="0.3">
      <c r="A1219" s="238"/>
      <c r="B1219" s="242">
        <v>2200</v>
      </c>
      <c r="C1219" s="243" t="s">
        <v>204</v>
      </c>
      <c r="D1219" s="244"/>
    </row>
    <row r="1220" spans="1:4" ht="12" hidden="1" customHeight="1" outlineLevel="1" x14ac:dyDescent="0.3">
      <c r="A1220" s="238"/>
      <c r="B1220" s="242">
        <v>2300</v>
      </c>
      <c r="C1220" s="243" t="s">
        <v>205</v>
      </c>
      <c r="D1220" s="244"/>
    </row>
    <row r="1221" spans="1:4" ht="12" hidden="1" customHeight="1" outlineLevel="1" x14ac:dyDescent="0.3">
      <c r="A1221" s="238"/>
      <c r="B1221" s="242">
        <v>2400</v>
      </c>
      <c r="C1221" s="243" t="s">
        <v>206</v>
      </c>
      <c r="D1221" s="244"/>
    </row>
    <row r="1222" spans="1:4" ht="12" hidden="1" customHeight="1" outlineLevel="1" x14ac:dyDescent="0.3">
      <c r="A1222" s="238"/>
      <c r="B1222" s="242">
        <v>2500</v>
      </c>
      <c r="C1222" s="243" t="s">
        <v>207</v>
      </c>
      <c r="D1222" s="244"/>
    </row>
    <row r="1223" spans="1:4" ht="12" hidden="1" customHeight="1" outlineLevel="1" x14ac:dyDescent="0.3">
      <c r="A1223" s="238"/>
      <c r="B1223" s="199">
        <v>3000</v>
      </c>
      <c r="C1223" s="245" t="s">
        <v>208</v>
      </c>
      <c r="D1223" s="260">
        <f>SUM(D1224:D1225)</f>
        <v>0</v>
      </c>
    </row>
    <row r="1224" spans="1:4" ht="12" hidden="1" customHeight="1" outlineLevel="1" x14ac:dyDescent="0.3">
      <c r="A1224" s="238"/>
      <c r="B1224" s="242">
        <v>3200</v>
      </c>
      <c r="C1224" s="243" t="s">
        <v>209</v>
      </c>
      <c r="D1224" s="244"/>
    </row>
    <row r="1225" spans="1:4" ht="12" hidden="1" customHeight="1" outlineLevel="1" x14ac:dyDescent="0.3">
      <c r="A1225" s="238"/>
      <c r="B1225" s="242">
        <v>3300</v>
      </c>
      <c r="C1225" s="243" t="s">
        <v>210</v>
      </c>
      <c r="D1225" s="244"/>
    </row>
    <row r="1226" spans="1:4" ht="12" hidden="1" customHeight="1" outlineLevel="1" x14ac:dyDescent="0.3">
      <c r="A1226" s="238"/>
      <c r="B1226" s="199">
        <v>4000</v>
      </c>
      <c r="C1226" s="246" t="s">
        <v>211</v>
      </c>
      <c r="D1226" s="260">
        <f>SUM(D1227:D1228)</f>
        <v>0</v>
      </c>
    </row>
    <row r="1227" spans="1:4" ht="12" hidden="1" customHeight="1" outlineLevel="1" x14ac:dyDescent="0.3">
      <c r="A1227" s="238"/>
      <c r="B1227" s="242">
        <v>4200</v>
      </c>
      <c r="C1227" s="247" t="s">
        <v>212</v>
      </c>
      <c r="D1227" s="244"/>
    </row>
    <row r="1228" spans="1:4" ht="12" hidden="1" customHeight="1" outlineLevel="1" x14ac:dyDescent="0.3">
      <c r="A1228" s="238"/>
      <c r="B1228" s="242">
        <v>4300</v>
      </c>
      <c r="C1228" s="247" t="s">
        <v>213</v>
      </c>
      <c r="D1228" s="244"/>
    </row>
    <row r="1229" spans="1:4" ht="12" hidden="1" customHeight="1" outlineLevel="1" x14ac:dyDescent="0.3">
      <c r="A1229" s="238"/>
      <c r="B1229" s="199">
        <v>5000</v>
      </c>
      <c r="C1229" s="200" t="s">
        <v>214</v>
      </c>
      <c r="D1229" s="260">
        <f>SUM(D1230:D1232)</f>
        <v>0</v>
      </c>
    </row>
    <row r="1230" spans="1:4" ht="12" hidden="1" customHeight="1" outlineLevel="1" x14ac:dyDescent="0.3">
      <c r="A1230" s="238"/>
      <c r="B1230" s="242">
        <v>5100</v>
      </c>
      <c r="C1230" s="248" t="s">
        <v>215</v>
      </c>
      <c r="D1230" s="244"/>
    </row>
    <row r="1231" spans="1:4" ht="12" hidden="1" customHeight="1" outlineLevel="1" x14ac:dyDescent="0.3">
      <c r="A1231" s="238"/>
      <c r="B1231" s="242">
        <v>5200</v>
      </c>
      <c r="C1231" s="248" t="s">
        <v>216</v>
      </c>
      <c r="D1231" s="244"/>
    </row>
    <row r="1232" spans="1:4" ht="12" hidden="1" customHeight="1" outlineLevel="1" x14ac:dyDescent="0.3">
      <c r="A1232" s="238"/>
      <c r="B1232" s="242">
        <v>5300</v>
      </c>
      <c r="C1232" s="249" t="s">
        <v>217</v>
      </c>
      <c r="D1232" s="260"/>
    </row>
    <row r="1233" spans="1:4" ht="12" hidden="1" customHeight="1" outlineLevel="1" x14ac:dyDescent="0.3">
      <c r="A1233" s="238"/>
      <c r="B1233" s="199">
        <v>6000</v>
      </c>
      <c r="C1233" s="200" t="s">
        <v>218</v>
      </c>
      <c r="D1233" s="260">
        <f>SUM(D1234:D1237)</f>
        <v>0</v>
      </c>
    </row>
    <row r="1234" spans="1:4" ht="12" hidden="1" customHeight="1" outlineLevel="1" x14ac:dyDescent="0.3">
      <c r="A1234" s="238"/>
      <c r="B1234" s="242">
        <v>6200</v>
      </c>
      <c r="C1234" s="248" t="s">
        <v>219</v>
      </c>
      <c r="D1234" s="244"/>
    </row>
    <row r="1235" spans="1:4" ht="12" hidden="1" customHeight="1" outlineLevel="1" x14ac:dyDescent="0.3">
      <c r="A1235" s="238"/>
      <c r="B1235" s="242">
        <v>6300</v>
      </c>
      <c r="C1235" s="248" t="s">
        <v>220</v>
      </c>
      <c r="D1235" s="244"/>
    </row>
    <row r="1236" spans="1:4" ht="12" hidden="1" customHeight="1" outlineLevel="1" x14ac:dyDescent="0.3">
      <c r="A1236" s="238"/>
      <c r="B1236" s="242">
        <v>6400</v>
      </c>
      <c r="C1236" s="248" t="s">
        <v>221</v>
      </c>
      <c r="D1236" s="244"/>
    </row>
    <row r="1237" spans="1:4" ht="12" hidden="1" customHeight="1" outlineLevel="1" x14ac:dyDescent="0.3">
      <c r="A1237" s="238"/>
      <c r="B1237" s="242">
        <v>6500</v>
      </c>
      <c r="C1237" s="249" t="s">
        <v>222</v>
      </c>
      <c r="D1237" s="244"/>
    </row>
    <row r="1238" spans="1:4" ht="12" hidden="1" customHeight="1" outlineLevel="1" collapsed="1" x14ac:dyDescent="0.3">
      <c r="A1238" s="238"/>
      <c r="B1238" s="199">
        <v>7000</v>
      </c>
      <c r="C1238" s="200" t="s">
        <v>223</v>
      </c>
      <c r="D1238" s="260">
        <f>SUM(D1239:D1241)</f>
        <v>0</v>
      </c>
    </row>
    <row r="1239" spans="1:4" ht="12" hidden="1" customHeight="1" outlineLevel="1" x14ac:dyDescent="0.3">
      <c r="A1239" s="238"/>
      <c r="B1239" s="250">
        <v>7200</v>
      </c>
      <c r="C1239" s="251" t="s">
        <v>224</v>
      </c>
      <c r="D1239" s="244"/>
    </row>
    <row r="1240" spans="1:4" ht="12" hidden="1" customHeight="1" outlineLevel="1" x14ac:dyDescent="0.3">
      <c r="A1240" s="238"/>
      <c r="B1240" s="250">
        <v>7500</v>
      </c>
      <c r="C1240" s="251" t="s">
        <v>225</v>
      </c>
      <c r="D1240" s="244"/>
    </row>
    <row r="1241" spans="1:4" ht="12" hidden="1" customHeight="1" outlineLevel="1" x14ac:dyDescent="0.3">
      <c r="A1241" s="238"/>
      <c r="B1241" s="250">
        <v>7700</v>
      </c>
      <c r="C1241" s="251" t="s">
        <v>226</v>
      </c>
      <c r="D1241" s="244"/>
    </row>
    <row r="1242" spans="1:4" ht="12" hidden="1" customHeight="1" outlineLevel="1" x14ac:dyDescent="0.3">
      <c r="A1242" s="238"/>
      <c r="B1242" s="252">
        <v>8000</v>
      </c>
      <c r="C1242" s="253" t="s">
        <v>227</v>
      </c>
      <c r="D1242" s="260">
        <f>SUM(D1243:D1245)</f>
        <v>0</v>
      </c>
    </row>
    <row r="1243" spans="1:4" ht="12" hidden="1" customHeight="1" outlineLevel="1" x14ac:dyDescent="0.3">
      <c r="A1243" s="238"/>
      <c r="B1243" s="254">
        <v>8100</v>
      </c>
      <c r="C1243" s="255" t="s">
        <v>228</v>
      </c>
      <c r="D1243" s="260"/>
    </row>
    <row r="1244" spans="1:4" ht="12" hidden="1" customHeight="1" outlineLevel="1" x14ac:dyDescent="0.3">
      <c r="A1244" s="238"/>
      <c r="B1244" s="254">
        <v>8600</v>
      </c>
      <c r="C1244" s="255" t="s">
        <v>229</v>
      </c>
      <c r="D1244" s="260"/>
    </row>
    <row r="1245" spans="1:4" ht="12" hidden="1" customHeight="1" outlineLevel="1" x14ac:dyDescent="0.3">
      <c r="A1245" s="238"/>
      <c r="B1245" s="254">
        <v>8900</v>
      </c>
      <c r="C1245" s="255" t="s">
        <v>230</v>
      </c>
      <c r="D1245" s="260"/>
    </row>
    <row r="1246" spans="1:4" ht="12" hidden="1" customHeight="1" outlineLevel="1" x14ac:dyDescent="0.3">
      <c r="A1246" s="256" t="s">
        <v>300</v>
      </c>
      <c r="B1246" s="257"/>
      <c r="C1246" s="258" t="s">
        <v>301</v>
      </c>
      <c r="D1246" s="259">
        <f t="shared" ref="D1246" si="115">D1247+D1263+D1276</f>
        <v>0</v>
      </c>
    </row>
    <row r="1247" spans="1:4" ht="12" hidden="1" customHeight="1" outlineLevel="1" x14ac:dyDescent="0.3">
      <c r="A1247" s="227"/>
      <c r="B1247" s="228"/>
      <c r="C1247" s="229" t="s">
        <v>198</v>
      </c>
      <c r="D1247" s="230">
        <f t="shared" ref="D1247" si="116">D1248+D1251+D1257+D1260+D1267+D1272</f>
        <v>0</v>
      </c>
    </row>
    <row r="1248" spans="1:4" ht="12" hidden="1" customHeight="1" outlineLevel="1" x14ac:dyDescent="0.3">
      <c r="A1248" s="227"/>
      <c r="B1248" s="231">
        <v>1000</v>
      </c>
      <c r="C1248" s="232" t="s">
        <v>199</v>
      </c>
      <c r="D1248" s="230">
        <f>SUM(D1249:D1250)</f>
        <v>0</v>
      </c>
    </row>
    <row r="1249" spans="1:4" ht="12" hidden="1" customHeight="1" outlineLevel="1" x14ac:dyDescent="0.3">
      <c r="A1249" s="227"/>
      <c r="B1249" s="234">
        <v>1100</v>
      </c>
      <c r="C1249" s="235" t="s">
        <v>200</v>
      </c>
      <c r="D1249" s="236"/>
    </row>
    <row r="1250" spans="1:4" ht="12" hidden="1" customHeight="1" outlineLevel="1" x14ac:dyDescent="0.3">
      <c r="A1250" s="227"/>
      <c r="B1250" s="234">
        <v>1200</v>
      </c>
      <c r="C1250" s="237" t="s">
        <v>201</v>
      </c>
      <c r="D1250" s="236"/>
    </row>
    <row r="1251" spans="1:4" ht="12" hidden="1" customHeight="1" outlineLevel="1" x14ac:dyDescent="0.3">
      <c r="A1251" s="238"/>
      <c r="B1251" s="239">
        <v>2000</v>
      </c>
      <c r="C1251" s="240" t="s">
        <v>202</v>
      </c>
      <c r="D1251" s="260">
        <f>SUM(D1252:D1256)</f>
        <v>0</v>
      </c>
    </row>
    <row r="1252" spans="1:4" ht="12" hidden="1" customHeight="1" outlineLevel="1" x14ac:dyDescent="0.3">
      <c r="A1252" s="238"/>
      <c r="B1252" s="242">
        <v>2100</v>
      </c>
      <c r="C1252" s="243" t="s">
        <v>203</v>
      </c>
      <c r="D1252" s="244"/>
    </row>
    <row r="1253" spans="1:4" ht="12" hidden="1" customHeight="1" outlineLevel="1" x14ac:dyDescent="0.3">
      <c r="A1253" s="238"/>
      <c r="B1253" s="242">
        <v>2200</v>
      </c>
      <c r="C1253" s="243" t="s">
        <v>204</v>
      </c>
      <c r="D1253" s="244"/>
    </row>
    <row r="1254" spans="1:4" ht="12" hidden="1" customHeight="1" outlineLevel="1" x14ac:dyDescent="0.3">
      <c r="A1254" s="238"/>
      <c r="B1254" s="242">
        <v>2300</v>
      </c>
      <c r="C1254" s="243" t="s">
        <v>205</v>
      </c>
      <c r="D1254" s="244"/>
    </row>
    <row r="1255" spans="1:4" ht="12" hidden="1" customHeight="1" outlineLevel="1" x14ac:dyDescent="0.3">
      <c r="A1255" s="238"/>
      <c r="B1255" s="242">
        <v>2400</v>
      </c>
      <c r="C1255" s="243" t="s">
        <v>206</v>
      </c>
      <c r="D1255" s="244"/>
    </row>
    <row r="1256" spans="1:4" ht="12" hidden="1" customHeight="1" outlineLevel="1" x14ac:dyDescent="0.3">
      <c r="A1256" s="238"/>
      <c r="B1256" s="242">
        <v>2500</v>
      </c>
      <c r="C1256" s="243" t="s">
        <v>207</v>
      </c>
      <c r="D1256" s="244"/>
    </row>
    <row r="1257" spans="1:4" ht="12" hidden="1" customHeight="1" outlineLevel="1" x14ac:dyDescent="0.3">
      <c r="A1257" s="238"/>
      <c r="B1257" s="199">
        <v>3000</v>
      </c>
      <c r="C1257" s="245" t="s">
        <v>208</v>
      </c>
      <c r="D1257" s="260">
        <f>SUM(D1258:D1259)</f>
        <v>0</v>
      </c>
    </row>
    <row r="1258" spans="1:4" ht="12" hidden="1" customHeight="1" outlineLevel="1" x14ac:dyDescent="0.3">
      <c r="A1258" s="238"/>
      <c r="B1258" s="242">
        <v>3200</v>
      </c>
      <c r="C1258" s="243" t="s">
        <v>209</v>
      </c>
      <c r="D1258" s="244"/>
    </row>
    <row r="1259" spans="1:4" ht="12" hidden="1" customHeight="1" outlineLevel="1" x14ac:dyDescent="0.3">
      <c r="A1259" s="238"/>
      <c r="B1259" s="242">
        <v>3300</v>
      </c>
      <c r="C1259" s="243" t="s">
        <v>210</v>
      </c>
      <c r="D1259" s="244"/>
    </row>
    <row r="1260" spans="1:4" ht="12" hidden="1" customHeight="1" outlineLevel="1" x14ac:dyDescent="0.3">
      <c r="A1260" s="238"/>
      <c r="B1260" s="199">
        <v>4000</v>
      </c>
      <c r="C1260" s="246" t="s">
        <v>211</v>
      </c>
      <c r="D1260" s="260">
        <f>SUM(D1261:D1262)</f>
        <v>0</v>
      </c>
    </row>
    <row r="1261" spans="1:4" ht="12" hidden="1" customHeight="1" outlineLevel="1" x14ac:dyDescent="0.3">
      <c r="A1261" s="238"/>
      <c r="B1261" s="242">
        <v>4200</v>
      </c>
      <c r="C1261" s="247" t="s">
        <v>212</v>
      </c>
      <c r="D1261" s="244"/>
    </row>
    <row r="1262" spans="1:4" ht="12" hidden="1" customHeight="1" outlineLevel="1" x14ac:dyDescent="0.3">
      <c r="A1262" s="238"/>
      <c r="B1262" s="242">
        <v>4300</v>
      </c>
      <c r="C1262" s="247" t="s">
        <v>213</v>
      </c>
      <c r="D1262" s="244"/>
    </row>
    <row r="1263" spans="1:4" ht="12" hidden="1" customHeight="1" outlineLevel="1" x14ac:dyDescent="0.3">
      <c r="A1263" s="238"/>
      <c r="B1263" s="199">
        <v>5000</v>
      </c>
      <c r="C1263" s="200" t="s">
        <v>214</v>
      </c>
      <c r="D1263" s="260">
        <f>SUM(D1264:D1266)</f>
        <v>0</v>
      </c>
    </row>
    <row r="1264" spans="1:4" ht="12" hidden="1" customHeight="1" outlineLevel="1" x14ac:dyDescent="0.3">
      <c r="A1264" s="238"/>
      <c r="B1264" s="242">
        <v>5100</v>
      </c>
      <c r="C1264" s="248" t="s">
        <v>215</v>
      </c>
      <c r="D1264" s="260"/>
    </row>
    <row r="1265" spans="1:4" ht="12" hidden="1" customHeight="1" outlineLevel="1" x14ac:dyDescent="0.3">
      <c r="A1265" s="238"/>
      <c r="B1265" s="242">
        <v>5200</v>
      </c>
      <c r="C1265" s="248" t="s">
        <v>216</v>
      </c>
      <c r="D1265" s="244"/>
    </row>
    <row r="1266" spans="1:4" ht="12" hidden="1" customHeight="1" outlineLevel="1" x14ac:dyDescent="0.3">
      <c r="A1266" s="238"/>
      <c r="B1266" s="242">
        <v>5300</v>
      </c>
      <c r="C1266" s="249" t="s">
        <v>217</v>
      </c>
      <c r="D1266" s="260"/>
    </row>
    <row r="1267" spans="1:4" ht="12" hidden="1" customHeight="1" outlineLevel="1" x14ac:dyDescent="0.3">
      <c r="A1267" s="238"/>
      <c r="B1267" s="199">
        <v>6000</v>
      </c>
      <c r="C1267" s="200" t="s">
        <v>218</v>
      </c>
      <c r="D1267" s="260">
        <f>SUM(D1268:D1271)</f>
        <v>0</v>
      </c>
    </row>
    <row r="1268" spans="1:4" ht="12" hidden="1" customHeight="1" outlineLevel="1" x14ac:dyDescent="0.3">
      <c r="A1268" s="238"/>
      <c r="B1268" s="242">
        <v>6200</v>
      </c>
      <c r="C1268" s="248" t="s">
        <v>219</v>
      </c>
      <c r="D1268" s="244"/>
    </row>
    <row r="1269" spans="1:4" ht="12" hidden="1" customHeight="1" outlineLevel="1" x14ac:dyDescent="0.3">
      <c r="A1269" s="238"/>
      <c r="B1269" s="242">
        <v>6300</v>
      </c>
      <c r="C1269" s="248" t="s">
        <v>220</v>
      </c>
      <c r="D1269" s="244"/>
    </row>
    <row r="1270" spans="1:4" ht="12" hidden="1" customHeight="1" outlineLevel="1" x14ac:dyDescent="0.3">
      <c r="A1270" s="238"/>
      <c r="B1270" s="242">
        <v>6400</v>
      </c>
      <c r="C1270" s="248" t="s">
        <v>221</v>
      </c>
      <c r="D1270" s="244"/>
    </row>
    <row r="1271" spans="1:4" ht="12" hidden="1" customHeight="1" outlineLevel="1" x14ac:dyDescent="0.3">
      <c r="A1271" s="238"/>
      <c r="B1271" s="242">
        <v>6500</v>
      </c>
      <c r="C1271" s="249" t="s">
        <v>222</v>
      </c>
      <c r="D1271" s="244"/>
    </row>
    <row r="1272" spans="1:4" ht="12" hidden="1" customHeight="1" outlineLevel="1" x14ac:dyDescent="0.3">
      <c r="A1272" s="238"/>
      <c r="B1272" s="199">
        <v>7000</v>
      </c>
      <c r="C1272" s="200" t="s">
        <v>223</v>
      </c>
      <c r="D1272" s="260">
        <f>SUM(D1273:D1275)</f>
        <v>0</v>
      </c>
    </row>
    <row r="1273" spans="1:4" ht="12" hidden="1" customHeight="1" outlineLevel="1" x14ac:dyDescent="0.3">
      <c r="A1273" s="238"/>
      <c r="B1273" s="250">
        <v>7200</v>
      </c>
      <c r="C1273" s="251" t="s">
        <v>224</v>
      </c>
      <c r="D1273" s="244"/>
    </row>
    <row r="1274" spans="1:4" ht="12" hidden="1" customHeight="1" outlineLevel="1" x14ac:dyDescent="0.3">
      <c r="A1274" s="238"/>
      <c r="B1274" s="250">
        <v>7500</v>
      </c>
      <c r="C1274" s="251" t="s">
        <v>225</v>
      </c>
      <c r="D1274" s="244"/>
    </row>
    <row r="1275" spans="1:4" ht="12" hidden="1" customHeight="1" outlineLevel="1" x14ac:dyDescent="0.3">
      <c r="A1275" s="238"/>
      <c r="B1275" s="250">
        <v>7700</v>
      </c>
      <c r="C1275" s="251" t="s">
        <v>226</v>
      </c>
      <c r="D1275" s="244"/>
    </row>
    <row r="1276" spans="1:4" ht="12" hidden="1" customHeight="1" outlineLevel="1" x14ac:dyDescent="0.3">
      <c r="A1276" s="238"/>
      <c r="B1276" s="252">
        <v>8000</v>
      </c>
      <c r="C1276" s="253" t="s">
        <v>227</v>
      </c>
      <c r="D1276" s="260">
        <f>SUM(D1277:D1279)</f>
        <v>0</v>
      </c>
    </row>
    <row r="1277" spans="1:4" ht="12" hidden="1" customHeight="1" outlineLevel="1" x14ac:dyDescent="0.3">
      <c r="A1277" s="238"/>
      <c r="B1277" s="254">
        <v>8100</v>
      </c>
      <c r="C1277" s="255" t="s">
        <v>228</v>
      </c>
      <c r="D1277" s="260"/>
    </row>
    <row r="1278" spans="1:4" ht="12" hidden="1" customHeight="1" outlineLevel="1" x14ac:dyDescent="0.3">
      <c r="A1278" s="238"/>
      <c r="B1278" s="254">
        <v>8600</v>
      </c>
      <c r="C1278" s="255" t="s">
        <v>229</v>
      </c>
      <c r="D1278" s="260"/>
    </row>
    <row r="1279" spans="1:4" ht="12" hidden="1" customHeight="1" outlineLevel="1" x14ac:dyDescent="0.3">
      <c r="A1279" s="238"/>
      <c r="B1279" s="254">
        <v>8900</v>
      </c>
      <c r="C1279" s="255" t="s">
        <v>230</v>
      </c>
      <c r="D1279" s="260"/>
    </row>
    <row r="1280" spans="1:4" ht="12" hidden="1" customHeight="1" outlineLevel="1" x14ac:dyDescent="0.3">
      <c r="A1280" s="256" t="s">
        <v>302</v>
      </c>
      <c r="B1280" s="257"/>
      <c r="C1280" s="258" t="s">
        <v>303</v>
      </c>
      <c r="D1280" s="259">
        <f t="shared" ref="D1280" si="117">D1281+D1297+D1310</f>
        <v>0</v>
      </c>
    </row>
    <row r="1281" spans="1:4" ht="12" hidden="1" customHeight="1" outlineLevel="1" x14ac:dyDescent="0.3">
      <c r="A1281" s="227"/>
      <c r="B1281" s="228"/>
      <c r="C1281" s="229" t="s">
        <v>198</v>
      </c>
      <c r="D1281" s="230">
        <f t="shared" ref="D1281" si="118">D1282+D1285+D1291+D1294+D1301+D1306</f>
        <v>0</v>
      </c>
    </row>
    <row r="1282" spans="1:4" ht="12" hidden="1" customHeight="1" outlineLevel="1" x14ac:dyDescent="0.3">
      <c r="A1282" s="227"/>
      <c r="B1282" s="231">
        <v>1000</v>
      </c>
      <c r="C1282" s="232" t="s">
        <v>199</v>
      </c>
      <c r="D1282" s="230">
        <f>SUM(D1283:D1284)</f>
        <v>0</v>
      </c>
    </row>
    <row r="1283" spans="1:4" ht="12" hidden="1" customHeight="1" outlineLevel="1" x14ac:dyDescent="0.3">
      <c r="A1283" s="227"/>
      <c r="B1283" s="234">
        <v>1100</v>
      </c>
      <c r="C1283" s="235" t="s">
        <v>200</v>
      </c>
      <c r="D1283" s="236"/>
    </row>
    <row r="1284" spans="1:4" ht="12" hidden="1" customHeight="1" outlineLevel="1" x14ac:dyDescent="0.3">
      <c r="A1284" s="227"/>
      <c r="B1284" s="234">
        <v>1200</v>
      </c>
      <c r="C1284" s="237" t="s">
        <v>201</v>
      </c>
      <c r="D1284" s="236"/>
    </row>
    <row r="1285" spans="1:4" ht="12" hidden="1" customHeight="1" outlineLevel="1" x14ac:dyDescent="0.3">
      <c r="A1285" s="238"/>
      <c r="B1285" s="239">
        <v>2000</v>
      </c>
      <c r="C1285" s="240" t="s">
        <v>202</v>
      </c>
      <c r="D1285" s="260">
        <f>SUM(D1286:D1290)</f>
        <v>0</v>
      </c>
    </row>
    <row r="1286" spans="1:4" ht="12" hidden="1" customHeight="1" outlineLevel="1" x14ac:dyDescent="0.3">
      <c r="A1286" s="238"/>
      <c r="B1286" s="242">
        <v>2100</v>
      </c>
      <c r="C1286" s="243" t="s">
        <v>203</v>
      </c>
      <c r="D1286" s="244"/>
    </row>
    <row r="1287" spans="1:4" ht="12" hidden="1" customHeight="1" outlineLevel="1" x14ac:dyDescent="0.3">
      <c r="A1287" s="238"/>
      <c r="B1287" s="242">
        <v>2200</v>
      </c>
      <c r="C1287" s="243" t="s">
        <v>204</v>
      </c>
      <c r="D1287" s="244"/>
    </row>
    <row r="1288" spans="1:4" ht="12" hidden="1" customHeight="1" outlineLevel="1" x14ac:dyDescent="0.3">
      <c r="A1288" s="238"/>
      <c r="B1288" s="242">
        <v>2300</v>
      </c>
      <c r="C1288" s="243" t="s">
        <v>205</v>
      </c>
      <c r="D1288" s="244"/>
    </row>
    <row r="1289" spans="1:4" ht="12" hidden="1" customHeight="1" outlineLevel="1" x14ac:dyDescent="0.3">
      <c r="A1289" s="238"/>
      <c r="B1289" s="242">
        <v>2400</v>
      </c>
      <c r="C1289" s="243" t="s">
        <v>206</v>
      </c>
      <c r="D1289" s="244"/>
    </row>
    <row r="1290" spans="1:4" ht="12" hidden="1" customHeight="1" outlineLevel="1" x14ac:dyDescent="0.3">
      <c r="A1290" s="238"/>
      <c r="B1290" s="242">
        <v>2500</v>
      </c>
      <c r="C1290" s="243" t="s">
        <v>207</v>
      </c>
      <c r="D1290" s="244"/>
    </row>
    <row r="1291" spans="1:4" ht="12" hidden="1" customHeight="1" outlineLevel="1" x14ac:dyDescent="0.3">
      <c r="A1291" s="238"/>
      <c r="B1291" s="199">
        <v>3000</v>
      </c>
      <c r="C1291" s="245" t="s">
        <v>208</v>
      </c>
      <c r="D1291" s="260">
        <f>SUM(D1292:D1293)</f>
        <v>0</v>
      </c>
    </row>
    <row r="1292" spans="1:4" ht="12" hidden="1" customHeight="1" outlineLevel="1" x14ac:dyDescent="0.3">
      <c r="A1292" s="238"/>
      <c r="B1292" s="242">
        <v>3200</v>
      </c>
      <c r="C1292" s="243" t="s">
        <v>209</v>
      </c>
      <c r="D1292" s="244"/>
    </row>
    <row r="1293" spans="1:4" ht="12" hidden="1" customHeight="1" outlineLevel="1" x14ac:dyDescent="0.3">
      <c r="A1293" s="238"/>
      <c r="B1293" s="242">
        <v>3300</v>
      </c>
      <c r="C1293" s="243" t="s">
        <v>210</v>
      </c>
      <c r="D1293" s="244"/>
    </row>
    <row r="1294" spans="1:4" ht="12" hidden="1" customHeight="1" outlineLevel="1" x14ac:dyDescent="0.3">
      <c r="A1294" s="238"/>
      <c r="B1294" s="199">
        <v>4000</v>
      </c>
      <c r="C1294" s="246" t="s">
        <v>211</v>
      </c>
      <c r="D1294" s="260">
        <f>SUM(D1295:D1296)</f>
        <v>0</v>
      </c>
    </row>
    <row r="1295" spans="1:4" ht="12" hidden="1" customHeight="1" outlineLevel="1" x14ac:dyDescent="0.3">
      <c r="A1295" s="238"/>
      <c r="B1295" s="242">
        <v>4200</v>
      </c>
      <c r="C1295" s="247" t="s">
        <v>212</v>
      </c>
      <c r="D1295" s="244"/>
    </row>
    <row r="1296" spans="1:4" ht="12" hidden="1" customHeight="1" outlineLevel="1" x14ac:dyDescent="0.3">
      <c r="A1296" s="238"/>
      <c r="B1296" s="242">
        <v>4300</v>
      </c>
      <c r="C1296" s="247" t="s">
        <v>213</v>
      </c>
      <c r="D1296" s="244"/>
    </row>
    <row r="1297" spans="1:4" ht="12" hidden="1" customHeight="1" outlineLevel="1" x14ac:dyDescent="0.3">
      <c r="A1297" s="238"/>
      <c r="B1297" s="199">
        <v>5000</v>
      </c>
      <c r="C1297" s="200" t="s">
        <v>214</v>
      </c>
      <c r="D1297" s="260">
        <f>SUM(D1298:D1300)</f>
        <v>0</v>
      </c>
    </row>
    <row r="1298" spans="1:4" ht="12" hidden="1" customHeight="1" outlineLevel="1" x14ac:dyDescent="0.3">
      <c r="A1298" s="238"/>
      <c r="B1298" s="242">
        <v>5100</v>
      </c>
      <c r="C1298" s="248" t="s">
        <v>215</v>
      </c>
      <c r="D1298" s="260"/>
    </row>
    <row r="1299" spans="1:4" ht="12" hidden="1" customHeight="1" outlineLevel="1" x14ac:dyDescent="0.3">
      <c r="A1299" s="238"/>
      <c r="B1299" s="242">
        <v>5200</v>
      </c>
      <c r="C1299" s="248" t="s">
        <v>216</v>
      </c>
      <c r="D1299" s="260"/>
    </row>
    <row r="1300" spans="1:4" ht="12" hidden="1" customHeight="1" outlineLevel="1" x14ac:dyDescent="0.3">
      <c r="A1300" s="238"/>
      <c r="B1300" s="242">
        <v>5300</v>
      </c>
      <c r="C1300" s="249" t="s">
        <v>217</v>
      </c>
      <c r="D1300" s="260"/>
    </row>
    <row r="1301" spans="1:4" ht="12" hidden="1" customHeight="1" outlineLevel="1" x14ac:dyDescent="0.3">
      <c r="A1301" s="238"/>
      <c r="B1301" s="199">
        <v>6000</v>
      </c>
      <c r="C1301" s="200" t="s">
        <v>218</v>
      </c>
      <c r="D1301" s="260">
        <f>SUM(D1302:D1305)</f>
        <v>0</v>
      </c>
    </row>
    <row r="1302" spans="1:4" ht="12" hidden="1" customHeight="1" outlineLevel="1" x14ac:dyDescent="0.3">
      <c r="A1302" s="238"/>
      <c r="B1302" s="242">
        <v>6200</v>
      </c>
      <c r="C1302" s="248" t="s">
        <v>219</v>
      </c>
      <c r="D1302" s="244"/>
    </row>
    <row r="1303" spans="1:4" ht="12" hidden="1" customHeight="1" outlineLevel="1" x14ac:dyDescent="0.3">
      <c r="A1303" s="238"/>
      <c r="B1303" s="242">
        <v>6300</v>
      </c>
      <c r="C1303" s="248" t="s">
        <v>220</v>
      </c>
      <c r="D1303" s="244"/>
    </row>
    <row r="1304" spans="1:4" ht="12" hidden="1" customHeight="1" outlineLevel="1" x14ac:dyDescent="0.3">
      <c r="A1304" s="238"/>
      <c r="B1304" s="242">
        <v>6400</v>
      </c>
      <c r="C1304" s="248" t="s">
        <v>221</v>
      </c>
      <c r="D1304" s="244"/>
    </row>
    <row r="1305" spans="1:4" ht="12" hidden="1" customHeight="1" outlineLevel="1" x14ac:dyDescent="0.3">
      <c r="A1305" s="238"/>
      <c r="B1305" s="242">
        <v>6500</v>
      </c>
      <c r="C1305" s="249" t="s">
        <v>222</v>
      </c>
      <c r="D1305" s="244"/>
    </row>
    <row r="1306" spans="1:4" ht="12" hidden="1" customHeight="1" outlineLevel="1" x14ac:dyDescent="0.3">
      <c r="A1306" s="238"/>
      <c r="B1306" s="199">
        <v>7000</v>
      </c>
      <c r="C1306" s="200" t="s">
        <v>223</v>
      </c>
      <c r="D1306" s="260">
        <f>SUM(D1307:D1309)</f>
        <v>0</v>
      </c>
    </row>
    <row r="1307" spans="1:4" ht="12" hidden="1" customHeight="1" outlineLevel="1" x14ac:dyDescent="0.3">
      <c r="A1307" s="238"/>
      <c r="B1307" s="250">
        <v>7200</v>
      </c>
      <c r="C1307" s="251" t="s">
        <v>224</v>
      </c>
      <c r="D1307" s="244"/>
    </row>
    <row r="1308" spans="1:4" ht="12" hidden="1" customHeight="1" outlineLevel="1" x14ac:dyDescent="0.3">
      <c r="A1308" s="238"/>
      <c r="B1308" s="250">
        <v>7500</v>
      </c>
      <c r="C1308" s="251" t="s">
        <v>225</v>
      </c>
      <c r="D1308" s="244"/>
    </row>
    <row r="1309" spans="1:4" ht="12" hidden="1" customHeight="1" outlineLevel="1" x14ac:dyDescent="0.3">
      <c r="A1309" s="238"/>
      <c r="B1309" s="250">
        <v>7700</v>
      </c>
      <c r="C1309" s="251" t="s">
        <v>226</v>
      </c>
      <c r="D1309" s="244"/>
    </row>
    <row r="1310" spans="1:4" ht="12" hidden="1" customHeight="1" outlineLevel="1" x14ac:dyDescent="0.3">
      <c r="A1310" s="238"/>
      <c r="B1310" s="252">
        <v>8000</v>
      </c>
      <c r="C1310" s="253" t="s">
        <v>227</v>
      </c>
      <c r="D1310" s="260">
        <f>SUM(D1311:D1313)</f>
        <v>0</v>
      </c>
    </row>
    <row r="1311" spans="1:4" ht="12" hidden="1" customHeight="1" outlineLevel="1" x14ac:dyDescent="0.3">
      <c r="A1311" s="238"/>
      <c r="B1311" s="254">
        <v>8100</v>
      </c>
      <c r="C1311" s="255" t="s">
        <v>228</v>
      </c>
      <c r="D1311" s="260"/>
    </row>
    <row r="1312" spans="1:4" ht="12" hidden="1" customHeight="1" outlineLevel="1" x14ac:dyDescent="0.3">
      <c r="A1312" s="238"/>
      <c r="B1312" s="254">
        <v>8600</v>
      </c>
      <c r="C1312" s="255" t="s">
        <v>229</v>
      </c>
      <c r="D1312" s="260"/>
    </row>
    <row r="1313" spans="1:4" ht="12" hidden="1" customHeight="1" outlineLevel="1" x14ac:dyDescent="0.3">
      <c r="A1313" s="238"/>
      <c r="B1313" s="254">
        <v>8900</v>
      </c>
      <c r="C1313" s="255" t="s">
        <v>230</v>
      </c>
      <c r="D1313" s="260"/>
    </row>
    <row r="1314" spans="1:4" ht="28.5" hidden="1" customHeight="1" outlineLevel="1" x14ac:dyDescent="0.3">
      <c r="A1314" s="256" t="s">
        <v>304</v>
      </c>
      <c r="B1314" s="257"/>
      <c r="C1314" s="281" t="s">
        <v>305</v>
      </c>
      <c r="D1314" s="259">
        <f t="shared" ref="D1314" si="119">D1315+D1331+D1344</f>
        <v>0</v>
      </c>
    </row>
    <row r="1315" spans="1:4" ht="12" hidden="1" customHeight="1" outlineLevel="1" x14ac:dyDescent="0.3">
      <c r="A1315" s="227"/>
      <c r="B1315" s="228"/>
      <c r="C1315" s="229" t="s">
        <v>198</v>
      </c>
      <c r="D1315" s="230">
        <f t="shared" ref="D1315" si="120">D1316+D1319+D1325+D1328+D1335+D1340</f>
        <v>0</v>
      </c>
    </row>
    <row r="1316" spans="1:4" ht="12" hidden="1" customHeight="1" outlineLevel="1" x14ac:dyDescent="0.3">
      <c r="A1316" s="227"/>
      <c r="B1316" s="231">
        <v>1000</v>
      </c>
      <c r="C1316" s="232" t="s">
        <v>199</v>
      </c>
      <c r="D1316" s="230">
        <f>SUM(D1317:D1318)</f>
        <v>0</v>
      </c>
    </row>
    <row r="1317" spans="1:4" ht="12" hidden="1" customHeight="1" outlineLevel="1" x14ac:dyDescent="0.3">
      <c r="A1317" s="227"/>
      <c r="B1317" s="234">
        <v>1100</v>
      </c>
      <c r="C1317" s="235" t="s">
        <v>200</v>
      </c>
      <c r="D1317" s="236"/>
    </row>
    <row r="1318" spans="1:4" ht="12" hidden="1" customHeight="1" outlineLevel="1" x14ac:dyDescent="0.3">
      <c r="A1318" s="227"/>
      <c r="B1318" s="234">
        <v>1200</v>
      </c>
      <c r="C1318" s="237" t="s">
        <v>201</v>
      </c>
      <c r="D1318" s="236"/>
    </row>
    <row r="1319" spans="1:4" ht="12" hidden="1" customHeight="1" outlineLevel="1" x14ac:dyDescent="0.3">
      <c r="A1319" s="238"/>
      <c r="B1319" s="239">
        <v>2000</v>
      </c>
      <c r="C1319" s="240" t="s">
        <v>202</v>
      </c>
      <c r="D1319" s="260">
        <f>SUM(D1320:D1324)</f>
        <v>0</v>
      </c>
    </row>
    <row r="1320" spans="1:4" ht="12" hidden="1" customHeight="1" outlineLevel="1" x14ac:dyDescent="0.3">
      <c r="A1320" s="238"/>
      <c r="B1320" s="242">
        <v>2100</v>
      </c>
      <c r="C1320" s="243" t="s">
        <v>203</v>
      </c>
      <c r="D1320" s="244"/>
    </row>
    <row r="1321" spans="1:4" ht="12" hidden="1" customHeight="1" outlineLevel="1" x14ac:dyDescent="0.3">
      <c r="A1321" s="238"/>
      <c r="B1321" s="242">
        <v>2200</v>
      </c>
      <c r="C1321" s="243" t="s">
        <v>204</v>
      </c>
      <c r="D1321" s="244"/>
    </row>
    <row r="1322" spans="1:4" ht="12" hidden="1" customHeight="1" outlineLevel="1" x14ac:dyDescent="0.3">
      <c r="A1322" s="238"/>
      <c r="B1322" s="242">
        <v>2300</v>
      </c>
      <c r="C1322" s="243" t="s">
        <v>205</v>
      </c>
      <c r="D1322" s="244"/>
    </row>
    <row r="1323" spans="1:4" ht="12" hidden="1" customHeight="1" outlineLevel="1" x14ac:dyDescent="0.3">
      <c r="A1323" s="238"/>
      <c r="B1323" s="242">
        <v>2400</v>
      </c>
      <c r="C1323" s="243" t="s">
        <v>206</v>
      </c>
      <c r="D1323" s="244"/>
    </row>
    <row r="1324" spans="1:4" ht="12" hidden="1" customHeight="1" outlineLevel="1" x14ac:dyDescent="0.3">
      <c r="A1324" s="238"/>
      <c r="B1324" s="242">
        <v>2500</v>
      </c>
      <c r="C1324" s="243" t="s">
        <v>207</v>
      </c>
      <c r="D1324" s="244"/>
    </row>
    <row r="1325" spans="1:4" ht="12" hidden="1" customHeight="1" outlineLevel="1" x14ac:dyDescent="0.3">
      <c r="A1325" s="238"/>
      <c r="B1325" s="199">
        <v>3000</v>
      </c>
      <c r="C1325" s="245" t="s">
        <v>208</v>
      </c>
      <c r="D1325" s="260">
        <f>SUM(D1326:D1327)</f>
        <v>0</v>
      </c>
    </row>
    <row r="1326" spans="1:4" ht="12" hidden="1" customHeight="1" outlineLevel="1" x14ac:dyDescent="0.3">
      <c r="A1326" s="238"/>
      <c r="B1326" s="242">
        <v>3200</v>
      </c>
      <c r="C1326" s="243" t="s">
        <v>209</v>
      </c>
      <c r="D1326" s="244"/>
    </row>
    <row r="1327" spans="1:4" ht="12" hidden="1" customHeight="1" outlineLevel="1" x14ac:dyDescent="0.3">
      <c r="A1327" s="238"/>
      <c r="B1327" s="242">
        <v>3300</v>
      </c>
      <c r="C1327" s="243" t="s">
        <v>210</v>
      </c>
      <c r="D1327" s="244"/>
    </row>
    <row r="1328" spans="1:4" ht="12" hidden="1" customHeight="1" outlineLevel="1" x14ac:dyDescent="0.3">
      <c r="A1328" s="238"/>
      <c r="B1328" s="199">
        <v>4000</v>
      </c>
      <c r="C1328" s="246" t="s">
        <v>211</v>
      </c>
      <c r="D1328" s="260">
        <f>SUM(D1329:D1330)</f>
        <v>0</v>
      </c>
    </row>
    <row r="1329" spans="1:4" ht="12" hidden="1" customHeight="1" outlineLevel="1" x14ac:dyDescent="0.3">
      <c r="A1329" s="238"/>
      <c r="B1329" s="242">
        <v>4200</v>
      </c>
      <c r="C1329" s="247" t="s">
        <v>212</v>
      </c>
      <c r="D1329" s="244"/>
    </row>
    <row r="1330" spans="1:4" ht="12" hidden="1" customHeight="1" outlineLevel="1" x14ac:dyDescent="0.3">
      <c r="A1330" s="238"/>
      <c r="B1330" s="242">
        <v>4300</v>
      </c>
      <c r="C1330" s="247" t="s">
        <v>213</v>
      </c>
      <c r="D1330" s="244"/>
    </row>
    <row r="1331" spans="1:4" ht="12" hidden="1" customHeight="1" outlineLevel="1" x14ac:dyDescent="0.3">
      <c r="A1331" s="238"/>
      <c r="B1331" s="199">
        <v>5000</v>
      </c>
      <c r="C1331" s="200" t="s">
        <v>214</v>
      </c>
      <c r="D1331" s="260">
        <f>SUM(D1332:D1334)</f>
        <v>0</v>
      </c>
    </row>
    <row r="1332" spans="1:4" ht="12" hidden="1" customHeight="1" outlineLevel="1" x14ac:dyDescent="0.3">
      <c r="A1332" s="238"/>
      <c r="B1332" s="242">
        <v>5100</v>
      </c>
      <c r="C1332" s="248" t="s">
        <v>215</v>
      </c>
      <c r="D1332" s="260"/>
    </row>
    <row r="1333" spans="1:4" ht="12" hidden="1" customHeight="1" outlineLevel="1" x14ac:dyDescent="0.3">
      <c r="A1333" s="238"/>
      <c r="B1333" s="242">
        <v>5200</v>
      </c>
      <c r="C1333" s="248" t="s">
        <v>216</v>
      </c>
      <c r="D1333" s="244"/>
    </row>
    <row r="1334" spans="1:4" ht="12" hidden="1" customHeight="1" outlineLevel="1" x14ac:dyDescent="0.3">
      <c r="A1334" s="238"/>
      <c r="B1334" s="242">
        <v>5300</v>
      </c>
      <c r="C1334" s="249" t="s">
        <v>217</v>
      </c>
      <c r="D1334" s="260"/>
    </row>
    <row r="1335" spans="1:4" ht="12" hidden="1" customHeight="1" outlineLevel="1" x14ac:dyDescent="0.3">
      <c r="A1335" s="238"/>
      <c r="B1335" s="199">
        <v>6000</v>
      </c>
      <c r="C1335" s="200" t="s">
        <v>218</v>
      </c>
      <c r="D1335" s="260">
        <f>SUM(D1336:D1339)</f>
        <v>0</v>
      </c>
    </row>
    <row r="1336" spans="1:4" ht="12" hidden="1" customHeight="1" outlineLevel="1" x14ac:dyDescent="0.3">
      <c r="A1336" s="238"/>
      <c r="B1336" s="242">
        <v>6200</v>
      </c>
      <c r="C1336" s="248" t="s">
        <v>219</v>
      </c>
      <c r="D1336" s="244"/>
    </row>
    <row r="1337" spans="1:4" ht="12" hidden="1" customHeight="1" outlineLevel="1" x14ac:dyDescent="0.3">
      <c r="A1337" s="238"/>
      <c r="B1337" s="242">
        <v>6300</v>
      </c>
      <c r="C1337" s="248" t="s">
        <v>220</v>
      </c>
      <c r="D1337" s="244"/>
    </row>
    <row r="1338" spans="1:4" ht="12" hidden="1" customHeight="1" outlineLevel="1" x14ac:dyDescent="0.3">
      <c r="A1338" s="238"/>
      <c r="B1338" s="242">
        <v>6400</v>
      </c>
      <c r="C1338" s="248" t="s">
        <v>221</v>
      </c>
      <c r="D1338" s="244"/>
    </row>
    <row r="1339" spans="1:4" ht="12" hidden="1" customHeight="1" outlineLevel="1" x14ac:dyDescent="0.3">
      <c r="A1339" s="238"/>
      <c r="B1339" s="242">
        <v>6500</v>
      </c>
      <c r="C1339" s="249" t="s">
        <v>222</v>
      </c>
      <c r="D1339" s="244"/>
    </row>
    <row r="1340" spans="1:4" ht="12" hidden="1" customHeight="1" outlineLevel="1" x14ac:dyDescent="0.3">
      <c r="A1340" s="238"/>
      <c r="B1340" s="199">
        <v>7000</v>
      </c>
      <c r="C1340" s="200" t="s">
        <v>223</v>
      </c>
      <c r="D1340" s="260">
        <f>SUM(D1341:D1343)</f>
        <v>0</v>
      </c>
    </row>
    <row r="1341" spans="1:4" ht="12" hidden="1" customHeight="1" outlineLevel="1" x14ac:dyDescent="0.3">
      <c r="A1341" s="238"/>
      <c r="B1341" s="250">
        <v>7200</v>
      </c>
      <c r="C1341" s="251" t="s">
        <v>224</v>
      </c>
      <c r="D1341" s="244"/>
    </row>
    <row r="1342" spans="1:4" ht="12" hidden="1" customHeight="1" outlineLevel="1" x14ac:dyDescent="0.3">
      <c r="A1342" s="238"/>
      <c r="B1342" s="250">
        <v>7500</v>
      </c>
      <c r="C1342" s="251" t="s">
        <v>225</v>
      </c>
      <c r="D1342" s="244"/>
    </row>
    <row r="1343" spans="1:4" ht="12" hidden="1" customHeight="1" outlineLevel="1" x14ac:dyDescent="0.3">
      <c r="A1343" s="238"/>
      <c r="B1343" s="250">
        <v>7700</v>
      </c>
      <c r="C1343" s="251" t="s">
        <v>226</v>
      </c>
      <c r="D1343" s="244"/>
    </row>
    <row r="1344" spans="1:4" ht="12" hidden="1" customHeight="1" outlineLevel="1" x14ac:dyDescent="0.3">
      <c r="A1344" s="238"/>
      <c r="B1344" s="252">
        <v>8000</v>
      </c>
      <c r="C1344" s="253" t="s">
        <v>227</v>
      </c>
      <c r="D1344" s="260">
        <f>SUM(D1345:D1347)</f>
        <v>0</v>
      </c>
    </row>
    <row r="1345" spans="1:4" ht="12" hidden="1" customHeight="1" outlineLevel="1" x14ac:dyDescent="0.3">
      <c r="A1345" s="238"/>
      <c r="B1345" s="254">
        <v>8100</v>
      </c>
      <c r="C1345" s="255" t="s">
        <v>228</v>
      </c>
      <c r="D1345" s="260"/>
    </row>
    <row r="1346" spans="1:4" ht="12" hidden="1" customHeight="1" outlineLevel="1" x14ac:dyDescent="0.3">
      <c r="A1346" s="238"/>
      <c r="B1346" s="254">
        <v>8600</v>
      </c>
      <c r="C1346" s="255" t="s">
        <v>229</v>
      </c>
      <c r="D1346" s="260"/>
    </row>
    <row r="1347" spans="1:4" ht="12" hidden="1" customHeight="1" outlineLevel="1" x14ac:dyDescent="0.3">
      <c r="A1347" s="238"/>
      <c r="B1347" s="254">
        <v>8900</v>
      </c>
      <c r="C1347" s="255" t="s">
        <v>230</v>
      </c>
      <c r="D1347" s="260"/>
    </row>
    <row r="1348" spans="1:4" ht="14.25" hidden="1" customHeight="1" outlineLevel="1" x14ac:dyDescent="0.3">
      <c r="A1348" s="278" t="s">
        <v>306</v>
      </c>
      <c r="B1348" s="279"/>
      <c r="C1348" s="280" t="s">
        <v>307</v>
      </c>
      <c r="D1348" s="226">
        <f t="shared" ref="D1348" si="121">D1349+D1354+D1357</f>
        <v>0</v>
      </c>
    </row>
    <row r="1349" spans="1:4" ht="12" hidden="1" customHeight="1" outlineLevel="1" x14ac:dyDescent="0.3">
      <c r="A1349" s="227"/>
      <c r="B1349" s="228"/>
      <c r="C1349" s="229" t="s">
        <v>198</v>
      </c>
      <c r="D1349" s="230">
        <f t="shared" ref="D1349" si="122">D1350+D1351+D1352+D1353+D1355+D1356</f>
        <v>0</v>
      </c>
    </row>
    <row r="1350" spans="1:4" ht="12" hidden="1" customHeight="1" outlineLevel="1" x14ac:dyDescent="0.3">
      <c r="A1350" s="227"/>
      <c r="B1350" s="231">
        <v>1000</v>
      </c>
      <c r="C1350" s="232" t="s">
        <v>199</v>
      </c>
      <c r="D1350" s="236">
        <f>D1360+D1394+D1428</f>
        <v>0</v>
      </c>
    </row>
    <row r="1351" spans="1:4" ht="12" hidden="1" customHeight="1" outlineLevel="1" x14ac:dyDescent="0.3">
      <c r="A1351" s="238"/>
      <c r="B1351" s="239">
        <v>2000</v>
      </c>
      <c r="C1351" s="240" t="s">
        <v>202</v>
      </c>
      <c r="D1351" s="244">
        <f>D1363+D1397+D1431</f>
        <v>0</v>
      </c>
    </row>
    <row r="1352" spans="1:4" ht="12" hidden="1" customHeight="1" outlineLevel="1" x14ac:dyDescent="0.3">
      <c r="A1352" s="238"/>
      <c r="B1352" s="199">
        <v>3000</v>
      </c>
      <c r="C1352" s="245" t="s">
        <v>208</v>
      </c>
      <c r="D1352" s="244">
        <f>D1369+D1403+D1437</f>
        <v>0</v>
      </c>
    </row>
    <row r="1353" spans="1:4" ht="12" hidden="1" customHeight="1" outlineLevel="1" x14ac:dyDescent="0.3">
      <c r="A1353" s="238"/>
      <c r="B1353" s="199">
        <v>4000</v>
      </c>
      <c r="C1353" s="246" t="s">
        <v>211</v>
      </c>
      <c r="D1353" s="244">
        <f>D1372+D1406+D1440</f>
        <v>0</v>
      </c>
    </row>
    <row r="1354" spans="1:4" ht="12" hidden="1" customHeight="1" outlineLevel="1" x14ac:dyDescent="0.3">
      <c r="A1354" s="238"/>
      <c r="B1354" s="199">
        <v>5000</v>
      </c>
      <c r="C1354" s="200" t="s">
        <v>214</v>
      </c>
      <c r="D1354" s="260">
        <f>D1375+D1409+D1443</f>
        <v>0</v>
      </c>
    </row>
    <row r="1355" spans="1:4" ht="12" hidden="1" customHeight="1" outlineLevel="1" x14ac:dyDescent="0.3">
      <c r="A1355" s="238"/>
      <c r="B1355" s="199">
        <v>6000</v>
      </c>
      <c r="C1355" s="200" t="s">
        <v>218</v>
      </c>
      <c r="D1355" s="244">
        <f>D1379+D1413+D1447</f>
        <v>0</v>
      </c>
    </row>
    <row r="1356" spans="1:4" ht="12" hidden="1" customHeight="1" outlineLevel="1" x14ac:dyDescent="0.3">
      <c r="A1356" s="238"/>
      <c r="B1356" s="199">
        <v>7000</v>
      </c>
      <c r="C1356" s="200" t="s">
        <v>223</v>
      </c>
      <c r="D1356" s="244">
        <f>D1384+D1418+D1452</f>
        <v>0</v>
      </c>
    </row>
    <row r="1357" spans="1:4" ht="12" hidden="1" customHeight="1" outlineLevel="1" x14ac:dyDescent="0.3">
      <c r="A1357" s="238"/>
      <c r="B1357" s="252">
        <v>8000</v>
      </c>
      <c r="C1357" s="405" t="s">
        <v>227</v>
      </c>
      <c r="D1357" s="260">
        <f>D1388+D1422+D1456</f>
        <v>0</v>
      </c>
    </row>
    <row r="1358" spans="1:4" ht="12" hidden="1" customHeight="1" outlineLevel="1" x14ac:dyDescent="0.3">
      <c r="A1358" s="256" t="s">
        <v>308</v>
      </c>
      <c r="B1358" s="257"/>
      <c r="C1358" s="258" t="s">
        <v>309</v>
      </c>
      <c r="D1358" s="259">
        <f t="shared" ref="D1358" si="123">D1359+D1375+D1388</f>
        <v>0</v>
      </c>
    </row>
    <row r="1359" spans="1:4" ht="12" hidden="1" customHeight="1" outlineLevel="1" x14ac:dyDescent="0.3">
      <c r="A1359" s="227"/>
      <c r="B1359" s="228"/>
      <c r="C1359" s="229" t="s">
        <v>198</v>
      </c>
      <c r="D1359" s="230">
        <f t="shared" ref="D1359" si="124">D1360+D1363+D1369+D1372+D1379+D1384</f>
        <v>0</v>
      </c>
    </row>
    <row r="1360" spans="1:4" ht="12" hidden="1" customHeight="1" outlineLevel="1" x14ac:dyDescent="0.3">
      <c r="A1360" s="227"/>
      <c r="B1360" s="231">
        <v>1000</v>
      </c>
      <c r="C1360" s="232" t="s">
        <v>199</v>
      </c>
      <c r="D1360" s="230">
        <f>SUM(D1361:D1362)</f>
        <v>0</v>
      </c>
    </row>
    <row r="1361" spans="1:4" ht="12" hidden="1" customHeight="1" outlineLevel="1" x14ac:dyDescent="0.3">
      <c r="A1361" s="227"/>
      <c r="B1361" s="234">
        <v>1100</v>
      </c>
      <c r="C1361" s="235" t="s">
        <v>200</v>
      </c>
      <c r="D1361" s="236"/>
    </row>
    <row r="1362" spans="1:4" ht="12" hidden="1" customHeight="1" outlineLevel="1" x14ac:dyDescent="0.3">
      <c r="A1362" s="227"/>
      <c r="B1362" s="234">
        <v>1200</v>
      </c>
      <c r="C1362" s="237" t="s">
        <v>201</v>
      </c>
      <c r="D1362" s="236"/>
    </row>
    <row r="1363" spans="1:4" ht="12" hidden="1" customHeight="1" outlineLevel="1" x14ac:dyDescent="0.3">
      <c r="A1363" s="238"/>
      <c r="B1363" s="239">
        <v>2000</v>
      </c>
      <c r="C1363" s="240" t="s">
        <v>202</v>
      </c>
      <c r="D1363" s="260">
        <f>SUM(D1364:D1368)</f>
        <v>0</v>
      </c>
    </row>
    <row r="1364" spans="1:4" ht="12" hidden="1" customHeight="1" outlineLevel="1" x14ac:dyDescent="0.3">
      <c r="A1364" s="238"/>
      <c r="B1364" s="242">
        <v>2100</v>
      </c>
      <c r="C1364" s="243" t="s">
        <v>203</v>
      </c>
      <c r="D1364" s="244"/>
    </row>
    <row r="1365" spans="1:4" ht="12" hidden="1" customHeight="1" outlineLevel="1" x14ac:dyDescent="0.3">
      <c r="A1365" s="238"/>
      <c r="B1365" s="242">
        <v>2200</v>
      </c>
      <c r="C1365" s="243" t="s">
        <v>204</v>
      </c>
      <c r="D1365" s="244"/>
    </row>
    <row r="1366" spans="1:4" ht="12" hidden="1" customHeight="1" outlineLevel="1" x14ac:dyDescent="0.3">
      <c r="A1366" s="238"/>
      <c r="B1366" s="242">
        <v>2300</v>
      </c>
      <c r="C1366" s="243" t="s">
        <v>205</v>
      </c>
      <c r="D1366" s="244"/>
    </row>
    <row r="1367" spans="1:4" ht="12" hidden="1" customHeight="1" outlineLevel="1" x14ac:dyDescent="0.3">
      <c r="A1367" s="238"/>
      <c r="B1367" s="242">
        <v>2400</v>
      </c>
      <c r="C1367" s="243" t="s">
        <v>206</v>
      </c>
      <c r="D1367" s="244"/>
    </row>
    <row r="1368" spans="1:4" ht="12" hidden="1" customHeight="1" outlineLevel="1" x14ac:dyDescent="0.3">
      <c r="A1368" s="238"/>
      <c r="B1368" s="242">
        <v>2500</v>
      </c>
      <c r="C1368" s="243" t="s">
        <v>207</v>
      </c>
      <c r="D1368" s="244"/>
    </row>
    <row r="1369" spans="1:4" ht="12" hidden="1" customHeight="1" outlineLevel="1" x14ac:dyDescent="0.3">
      <c r="A1369" s="238"/>
      <c r="B1369" s="199">
        <v>3000</v>
      </c>
      <c r="C1369" s="245" t="s">
        <v>208</v>
      </c>
      <c r="D1369" s="260">
        <f>SUM(D1370:D1371)</f>
        <v>0</v>
      </c>
    </row>
    <row r="1370" spans="1:4" ht="12" hidden="1" customHeight="1" outlineLevel="1" x14ac:dyDescent="0.3">
      <c r="A1370" s="238"/>
      <c r="B1370" s="242">
        <v>3200</v>
      </c>
      <c r="C1370" s="243" t="s">
        <v>209</v>
      </c>
      <c r="D1370" s="244"/>
    </row>
    <row r="1371" spans="1:4" ht="12" hidden="1" customHeight="1" outlineLevel="1" x14ac:dyDescent="0.3">
      <c r="A1371" s="238"/>
      <c r="B1371" s="242">
        <v>3300</v>
      </c>
      <c r="C1371" s="243" t="s">
        <v>210</v>
      </c>
      <c r="D1371" s="244"/>
    </row>
    <row r="1372" spans="1:4" ht="12" hidden="1" customHeight="1" outlineLevel="1" x14ac:dyDescent="0.3">
      <c r="A1372" s="238"/>
      <c r="B1372" s="199">
        <v>4000</v>
      </c>
      <c r="C1372" s="246" t="s">
        <v>211</v>
      </c>
      <c r="D1372" s="260">
        <f>SUM(D1373:D1374)</f>
        <v>0</v>
      </c>
    </row>
    <row r="1373" spans="1:4" ht="12" hidden="1" customHeight="1" outlineLevel="1" x14ac:dyDescent="0.3">
      <c r="A1373" s="238"/>
      <c r="B1373" s="242">
        <v>4200</v>
      </c>
      <c r="C1373" s="247" t="s">
        <v>212</v>
      </c>
      <c r="D1373" s="244"/>
    </row>
    <row r="1374" spans="1:4" ht="12" hidden="1" customHeight="1" outlineLevel="1" x14ac:dyDescent="0.3">
      <c r="A1374" s="238"/>
      <c r="B1374" s="242">
        <v>4300</v>
      </c>
      <c r="C1374" s="247" t="s">
        <v>213</v>
      </c>
      <c r="D1374" s="244"/>
    </row>
    <row r="1375" spans="1:4" ht="12" hidden="1" customHeight="1" outlineLevel="1" x14ac:dyDescent="0.3">
      <c r="A1375" s="238"/>
      <c r="B1375" s="199">
        <v>5000</v>
      </c>
      <c r="C1375" s="200" t="s">
        <v>214</v>
      </c>
      <c r="D1375" s="260">
        <f>SUM(D1376:D1378)</f>
        <v>0</v>
      </c>
    </row>
    <row r="1376" spans="1:4" ht="12" hidden="1" customHeight="1" outlineLevel="1" x14ac:dyDescent="0.3">
      <c r="A1376" s="238"/>
      <c r="B1376" s="242">
        <v>5100</v>
      </c>
      <c r="C1376" s="248" t="s">
        <v>215</v>
      </c>
      <c r="D1376" s="260"/>
    </row>
    <row r="1377" spans="1:4" ht="12" hidden="1" customHeight="1" outlineLevel="1" x14ac:dyDescent="0.3">
      <c r="A1377" s="238"/>
      <c r="B1377" s="242">
        <v>5200</v>
      </c>
      <c r="C1377" s="248" t="s">
        <v>216</v>
      </c>
      <c r="D1377" s="260"/>
    </row>
    <row r="1378" spans="1:4" ht="12" hidden="1" customHeight="1" outlineLevel="1" x14ac:dyDescent="0.3">
      <c r="A1378" s="238"/>
      <c r="B1378" s="242">
        <v>5300</v>
      </c>
      <c r="C1378" s="249" t="s">
        <v>217</v>
      </c>
      <c r="D1378" s="260"/>
    </row>
    <row r="1379" spans="1:4" ht="12" hidden="1" customHeight="1" outlineLevel="1" x14ac:dyDescent="0.3">
      <c r="A1379" s="238"/>
      <c r="B1379" s="199">
        <v>6000</v>
      </c>
      <c r="C1379" s="200" t="s">
        <v>218</v>
      </c>
      <c r="D1379" s="260">
        <f>SUM(D1380:D1383)</f>
        <v>0</v>
      </c>
    </row>
    <row r="1380" spans="1:4" ht="12" hidden="1" customHeight="1" outlineLevel="1" x14ac:dyDescent="0.3">
      <c r="A1380" s="238"/>
      <c r="B1380" s="242">
        <v>6200</v>
      </c>
      <c r="C1380" s="248" t="s">
        <v>219</v>
      </c>
      <c r="D1380" s="244"/>
    </row>
    <row r="1381" spans="1:4" ht="12" hidden="1" customHeight="1" outlineLevel="1" x14ac:dyDescent="0.3">
      <c r="A1381" s="238"/>
      <c r="B1381" s="242">
        <v>6300</v>
      </c>
      <c r="C1381" s="248" t="s">
        <v>220</v>
      </c>
      <c r="D1381" s="244"/>
    </row>
    <row r="1382" spans="1:4" ht="12" hidden="1" customHeight="1" outlineLevel="1" x14ac:dyDescent="0.3">
      <c r="A1382" s="238"/>
      <c r="B1382" s="242">
        <v>6400</v>
      </c>
      <c r="C1382" s="248" t="s">
        <v>221</v>
      </c>
      <c r="D1382" s="244"/>
    </row>
    <row r="1383" spans="1:4" ht="12" hidden="1" customHeight="1" outlineLevel="1" x14ac:dyDescent="0.3">
      <c r="A1383" s="238"/>
      <c r="B1383" s="242">
        <v>6500</v>
      </c>
      <c r="C1383" s="249" t="s">
        <v>222</v>
      </c>
      <c r="D1383" s="244"/>
    </row>
    <row r="1384" spans="1:4" ht="12" hidden="1" customHeight="1" outlineLevel="1" x14ac:dyDescent="0.3">
      <c r="A1384" s="238"/>
      <c r="B1384" s="199">
        <v>7000</v>
      </c>
      <c r="C1384" s="200" t="s">
        <v>223</v>
      </c>
      <c r="D1384" s="260">
        <f>SUM(D1385:D1387)</f>
        <v>0</v>
      </c>
    </row>
    <row r="1385" spans="1:4" ht="12" hidden="1" customHeight="1" outlineLevel="1" x14ac:dyDescent="0.3">
      <c r="A1385" s="238"/>
      <c r="B1385" s="250">
        <v>7200</v>
      </c>
      <c r="C1385" s="251" t="s">
        <v>224</v>
      </c>
      <c r="D1385" s="244"/>
    </row>
    <row r="1386" spans="1:4" ht="12" hidden="1" customHeight="1" outlineLevel="1" x14ac:dyDescent="0.3">
      <c r="A1386" s="238"/>
      <c r="B1386" s="250">
        <v>7500</v>
      </c>
      <c r="C1386" s="251" t="s">
        <v>225</v>
      </c>
      <c r="D1386" s="244"/>
    </row>
    <row r="1387" spans="1:4" ht="12" hidden="1" customHeight="1" outlineLevel="1" x14ac:dyDescent="0.3">
      <c r="A1387" s="238"/>
      <c r="B1387" s="250">
        <v>7700</v>
      </c>
      <c r="C1387" s="251" t="s">
        <v>226</v>
      </c>
      <c r="D1387" s="244"/>
    </row>
    <row r="1388" spans="1:4" ht="12" hidden="1" customHeight="1" outlineLevel="1" x14ac:dyDescent="0.3">
      <c r="A1388" s="238"/>
      <c r="B1388" s="252">
        <v>8000</v>
      </c>
      <c r="C1388" s="253" t="s">
        <v>227</v>
      </c>
      <c r="D1388" s="260">
        <f>SUM(D1389:D1391)</f>
        <v>0</v>
      </c>
    </row>
    <row r="1389" spans="1:4" ht="12" hidden="1" customHeight="1" outlineLevel="1" x14ac:dyDescent="0.3">
      <c r="A1389" s="238"/>
      <c r="B1389" s="254">
        <v>8100</v>
      </c>
      <c r="C1389" s="255" t="s">
        <v>228</v>
      </c>
      <c r="D1389" s="260"/>
    </row>
    <row r="1390" spans="1:4" ht="12" hidden="1" customHeight="1" outlineLevel="1" x14ac:dyDescent="0.3">
      <c r="A1390" s="238"/>
      <c r="B1390" s="254">
        <v>8600</v>
      </c>
      <c r="C1390" s="255" t="s">
        <v>229</v>
      </c>
      <c r="D1390" s="260"/>
    </row>
    <row r="1391" spans="1:4" ht="12" hidden="1" customHeight="1" outlineLevel="1" x14ac:dyDescent="0.3">
      <c r="A1391" s="238"/>
      <c r="B1391" s="254">
        <v>8900</v>
      </c>
      <c r="C1391" s="255" t="s">
        <v>230</v>
      </c>
      <c r="D1391" s="260"/>
    </row>
    <row r="1392" spans="1:4" ht="12" hidden="1" customHeight="1" outlineLevel="1" x14ac:dyDescent="0.3">
      <c r="A1392" s="256" t="s">
        <v>310</v>
      </c>
      <c r="B1392" s="257"/>
      <c r="C1392" s="258" t="s">
        <v>311</v>
      </c>
      <c r="D1392" s="259">
        <f t="shared" ref="D1392" si="125">D1393+D1409+D1422</f>
        <v>0</v>
      </c>
    </row>
    <row r="1393" spans="1:4" ht="12" hidden="1" customHeight="1" outlineLevel="1" x14ac:dyDescent="0.3">
      <c r="A1393" s="227"/>
      <c r="B1393" s="228"/>
      <c r="C1393" s="229" t="s">
        <v>198</v>
      </c>
      <c r="D1393" s="230">
        <f t="shared" ref="D1393" si="126">D1394+D1397+D1403+D1406+D1413+D1418</f>
        <v>0</v>
      </c>
    </row>
    <row r="1394" spans="1:4" ht="12" hidden="1" customHeight="1" outlineLevel="1" x14ac:dyDescent="0.3">
      <c r="A1394" s="227"/>
      <c r="B1394" s="231">
        <v>1000</v>
      </c>
      <c r="C1394" s="232" t="s">
        <v>199</v>
      </c>
      <c r="D1394" s="230">
        <f>SUM(D1395:D1396)</f>
        <v>0</v>
      </c>
    </row>
    <row r="1395" spans="1:4" ht="12" hidden="1" customHeight="1" outlineLevel="1" x14ac:dyDescent="0.3">
      <c r="A1395" s="227"/>
      <c r="B1395" s="234">
        <v>1100</v>
      </c>
      <c r="C1395" s="235" t="s">
        <v>200</v>
      </c>
      <c r="D1395" s="236"/>
    </row>
    <row r="1396" spans="1:4" ht="12" hidden="1" customHeight="1" outlineLevel="1" x14ac:dyDescent="0.3">
      <c r="A1396" s="227"/>
      <c r="B1396" s="234">
        <v>1200</v>
      </c>
      <c r="C1396" s="237" t="s">
        <v>201</v>
      </c>
      <c r="D1396" s="236"/>
    </row>
    <row r="1397" spans="1:4" ht="12" hidden="1" customHeight="1" outlineLevel="1" x14ac:dyDescent="0.3">
      <c r="A1397" s="238"/>
      <c r="B1397" s="239">
        <v>2000</v>
      </c>
      <c r="C1397" s="240" t="s">
        <v>202</v>
      </c>
      <c r="D1397" s="260">
        <f>SUM(D1398:D1402)</f>
        <v>0</v>
      </c>
    </row>
    <row r="1398" spans="1:4" ht="12" hidden="1" customHeight="1" outlineLevel="1" x14ac:dyDescent="0.3">
      <c r="A1398" s="238"/>
      <c r="B1398" s="242">
        <v>2100</v>
      </c>
      <c r="C1398" s="243" t="s">
        <v>203</v>
      </c>
      <c r="D1398" s="244"/>
    </row>
    <row r="1399" spans="1:4" ht="12" hidden="1" customHeight="1" outlineLevel="1" x14ac:dyDescent="0.3">
      <c r="A1399" s="238"/>
      <c r="B1399" s="242">
        <v>2200</v>
      </c>
      <c r="C1399" s="243" t="s">
        <v>204</v>
      </c>
      <c r="D1399" s="244"/>
    </row>
    <row r="1400" spans="1:4" ht="12" hidden="1" customHeight="1" outlineLevel="1" x14ac:dyDescent="0.3">
      <c r="A1400" s="238"/>
      <c r="B1400" s="242">
        <v>2300</v>
      </c>
      <c r="C1400" s="243" t="s">
        <v>205</v>
      </c>
      <c r="D1400" s="244"/>
    </row>
    <row r="1401" spans="1:4" ht="12" hidden="1" customHeight="1" outlineLevel="1" x14ac:dyDescent="0.3">
      <c r="A1401" s="238"/>
      <c r="B1401" s="242">
        <v>2400</v>
      </c>
      <c r="C1401" s="243" t="s">
        <v>206</v>
      </c>
      <c r="D1401" s="244"/>
    </row>
    <row r="1402" spans="1:4" ht="12" hidden="1" customHeight="1" outlineLevel="1" x14ac:dyDescent="0.3">
      <c r="A1402" s="238"/>
      <c r="B1402" s="242">
        <v>2500</v>
      </c>
      <c r="C1402" s="243" t="s">
        <v>207</v>
      </c>
      <c r="D1402" s="244"/>
    </row>
    <row r="1403" spans="1:4" ht="12" hidden="1" customHeight="1" outlineLevel="1" x14ac:dyDescent="0.3">
      <c r="A1403" s="238"/>
      <c r="B1403" s="199">
        <v>3000</v>
      </c>
      <c r="C1403" s="245" t="s">
        <v>208</v>
      </c>
      <c r="D1403" s="260">
        <f>SUM(D1404:D1405)</f>
        <v>0</v>
      </c>
    </row>
    <row r="1404" spans="1:4" ht="12" hidden="1" customHeight="1" outlineLevel="1" x14ac:dyDescent="0.3">
      <c r="A1404" s="238"/>
      <c r="B1404" s="242">
        <v>3200</v>
      </c>
      <c r="C1404" s="243" t="s">
        <v>209</v>
      </c>
      <c r="D1404" s="244"/>
    </row>
    <row r="1405" spans="1:4" ht="12" hidden="1" customHeight="1" outlineLevel="1" x14ac:dyDescent="0.3">
      <c r="A1405" s="238"/>
      <c r="B1405" s="242">
        <v>3300</v>
      </c>
      <c r="C1405" s="243" t="s">
        <v>210</v>
      </c>
      <c r="D1405" s="244"/>
    </row>
    <row r="1406" spans="1:4" ht="12" hidden="1" customHeight="1" outlineLevel="1" x14ac:dyDescent="0.3">
      <c r="A1406" s="238"/>
      <c r="B1406" s="199">
        <v>4000</v>
      </c>
      <c r="C1406" s="246" t="s">
        <v>211</v>
      </c>
      <c r="D1406" s="260">
        <f>SUM(D1407:D1408)</f>
        <v>0</v>
      </c>
    </row>
    <row r="1407" spans="1:4" ht="12" hidden="1" customHeight="1" outlineLevel="1" x14ac:dyDescent="0.3">
      <c r="A1407" s="238"/>
      <c r="B1407" s="242">
        <v>4200</v>
      </c>
      <c r="C1407" s="247" t="s">
        <v>212</v>
      </c>
      <c r="D1407" s="244"/>
    </row>
    <row r="1408" spans="1:4" ht="12" hidden="1" customHeight="1" outlineLevel="1" x14ac:dyDescent="0.3">
      <c r="A1408" s="238"/>
      <c r="B1408" s="242">
        <v>4300</v>
      </c>
      <c r="C1408" s="247" t="s">
        <v>213</v>
      </c>
      <c r="D1408" s="244"/>
    </row>
    <row r="1409" spans="1:4" ht="12" hidden="1" customHeight="1" outlineLevel="1" x14ac:dyDescent="0.3">
      <c r="A1409" s="238"/>
      <c r="B1409" s="199">
        <v>5000</v>
      </c>
      <c r="C1409" s="200" t="s">
        <v>214</v>
      </c>
      <c r="D1409" s="260">
        <f>SUM(D1410:D1412)</f>
        <v>0</v>
      </c>
    </row>
    <row r="1410" spans="1:4" ht="12" hidden="1" customHeight="1" outlineLevel="1" x14ac:dyDescent="0.3">
      <c r="A1410" s="238"/>
      <c r="B1410" s="242">
        <v>5100</v>
      </c>
      <c r="C1410" s="248" t="s">
        <v>215</v>
      </c>
      <c r="D1410" s="260"/>
    </row>
    <row r="1411" spans="1:4" ht="12" hidden="1" customHeight="1" outlineLevel="1" x14ac:dyDescent="0.3">
      <c r="A1411" s="238"/>
      <c r="B1411" s="242">
        <v>5200</v>
      </c>
      <c r="C1411" s="248" t="s">
        <v>216</v>
      </c>
      <c r="D1411" s="260"/>
    </row>
    <row r="1412" spans="1:4" ht="12" hidden="1" customHeight="1" outlineLevel="1" x14ac:dyDescent="0.3">
      <c r="A1412" s="238"/>
      <c r="B1412" s="242">
        <v>5300</v>
      </c>
      <c r="C1412" s="249" t="s">
        <v>217</v>
      </c>
      <c r="D1412" s="260"/>
    </row>
    <row r="1413" spans="1:4" ht="12" hidden="1" customHeight="1" outlineLevel="1" x14ac:dyDescent="0.3">
      <c r="A1413" s="238"/>
      <c r="B1413" s="199">
        <v>6000</v>
      </c>
      <c r="C1413" s="200" t="s">
        <v>218</v>
      </c>
      <c r="D1413" s="260">
        <f>SUM(D1414:D1417)</f>
        <v>0</v>
      </c>
    </row>
    <row r="1414" spans="1:4" ht="12" hidden="1" customHeight="1" outlineLevel="1" x14ac:dyDescent="0.3">
      <c r="A1414" s="238"/>
      <c r="B1414" s="242">
        <v>6200</v>
      </c>
      <c r="C1414" s="248" t="s">
        <v>219</v>
      </c>
      <c r="D1414" s="244"/>
    </row>
    <row r="1415" spans="1:4" ht="12" hidden="1" customHeight="1" outlineLevel="1" x14ac:dyDescent="0.3">
      <c r="A1415" s="238"/>
      <c r="B1415" s="242">
        <v>6300</v>
      </c>
      <c r="C1415" s="248" t="s">
        <v>220</v>
      </c>
      <c r="D1415" s="244"/>
    </row>
    <row r="1416" spans="1:4" ht="12" hidden="1" customHeight="1" outlineLevel="1" x14ac:dyDescent="0.3">
      <c r="A1416" s="238"/>
      <c r="B1416" s="242">
        <v>6400</v>
      </c>
      <c r="C1416" s="248" t="s">
        <v>221</v>
      </c>
      <c r="D1416" s="244"/>
    </row>
    <row r="1417" spans="1:4" ht="12" hidden="1" customHeight="1" outlineLevel="1" x14ac:dyDescent="0.3">
      <c r="A1417" s="238"/>
      <c r="B1417" s="242">
        <v>6500</v>
      </c>
      <c r="C1417" s="249" t="s">
        <v>222</v>
      </c>
      <c r="D1417" s="244"/>
    </row>
    <row r="1418" spans="1:4" ht="12" hidden="1" customHeight="1" outlineLevel="1" x14ac:dyDescent="0.3">
      <c r="A1418" s="238"/>
      <c r="B1418" s="199">
        <v>7000</v>
      </c>
      <c r="C1418" s="200" t="s">
        <v>223</v>
      </c>
      <c r="D1418" s="260">
        <f>SUM(D1419:D1421)</f>
        <v>0</v>
      </c>
    </row>
    <row r="1419" spans="1:4" ht="12" hidden="1" customHeight="1" outlineLevel="1" x14ac:dyDescent="0.3">
      <c r="A1419" s="238"/>
      <c r="B1419" s="250">
        <v>7200</v>
      </c>
      <c r="C1419" s="251" t="s">
        <v>224</v>
      </c>
      <c r="D1419" s="244"/>
    </row>
    <row r="1420" spans="1:4" ht="12" hidden="1" customHeight="1" outlineLevel="1" x14ac:dyDescent="0.3">
      <c r="A1420" s="238"/>
      <c r="B1420" s="250">
        <v>7500</v>
      </c>
      <c r="C1420" s="251" t="s">
        <v>225</v>
      </c>
      <c r="D1420" s="244"/>
    </row>
    <row r="1421" spans="1:4" ht="12" hidden="1" customHeight="1" outlineLevel="1" x14ac:dyDescent="0.3">
      <c r="A1421" s="238"/>
      <c r="B1421" s="250">
        <v>7700</v>
      </c>
      <c r="C1421" s="251" t="s">
        <v>226</v>
      </c>
      <c r="D1421" s="244"/>
    </row>
    <row r="1422" spans="1:4" ht="12" hidden="1" customHeight="1" outlineLevel="1" x14ac:dyDescent="0.3">
      <c r="A1422" s="238"/>
      <c r="B1422" s="252">
        <v>8000</v>
      </c>
      <c r="C1422" s="253" t="s">
        <v>227</v>
      </c>
      <c r="D1422" s="260">
        <f>SUM(D1423:D1425)</f>
        <v>0</v>
      </c>
    </row>
    <row r="1423" spans="1:4" ht="12" hidden="1" customHeight="1" outlineLevel="1" x14ac:dyDescent="0.3">
      <c r="A1423" s="238"/>
      <c r="B1423" s="254">
        <v>8100</v>
      </c>
      <c r="C1423" s="255" t="s">
        <v>228</v>
      </c>
      <c r="D1423" s="260"/>
    </row>
    <row r="1424" spans="1:4" ht="12" hidden="1" customHeight="1" outlineLevel="1" x14ac:dyDescent="0.3">
      <c r="A1424" s="238"/>
      <c r="B1424" s="254">
        <v>8600</v>
      </c>
      <c r="C1424" s="255" t="s">
        <v>229</v>
      </c>
      <c r="D1424" s="260"/>
    </row>
    <row r="1425" spans="1:4" ht="12" hidden="1" customHeight="1" outlineLevel="1" x14ac:dyDescent="0.3">
      <c r="A1425" s="238"/>
      <c r="B1425" s="254">
        <v>8900</v>
      </c>
      <c r="C1425" s="255" t="s">
        <v>230</v>
      </c>
      <c r="D1425" s="260"/>
    </row>
    <row r="1426" spans="1:4" ht="12" hidden="1" customHeight="1" outlineLevel="1" x14ac:dyDescent="0.3">
      <c r="A1426" s="256" t="s">
        <v>312</v>
      </c>
      <c r="B1426" s="257"/>
      <c r="C1426" s="258" t="s">
        <v>313</v>
      </c>
      <c r="D1426" s="259">
        <f t="shared" ref="D1426" si="127">D1427+D1443+D1456</f>
        <v>0</v>
      </c>
    </row>
    <row r="1427" spans="1:4" ht="12" hidden="1" customHeight="1" outlineLevel="1" x14ac:dyDescent="0.3">
      <c r="A1427" s="227"/>
      <c r="B1427" s="228"/>
      <c r="C1427" s="229" t="s">
        <v>198</v>
      </c>
      <c r="D1427" s="230">
        <f t="shared" ref="D1427" si="128">D1428+D1431+D1437+D1440+D1447+D1452</f>
        <v>0</v>
      </c>
    </row>
    <row r="1428" spans="1:4" ht="12" hidden="1" customHeight="1" outlineLevel="1" x14ac:dyDescent="0.3">
      <c r="A1428" s="227"/>
      <c r="B1428" s="231">
        <v>1000</v>
      </c>
      <c r="C1428" s="232" t="s">
        <v>199</v>
      </c>
      <c r="D1428" s="230">
        <f>SUM(D1429:D1430)</f>
        <v>0</v>
      </c>
    </row>
    <row r="1429" spans="1:4" ht="12" hidden="1" customHeight="1" outlineLevel="1" x14ac:dyDescent="0.3">
      <c r="A1429" s="227"/>
      <c r="B1429" s="234">
        <v>1100</v>
      </c>
      <c r="C1429" s="235" t="s">
        <v>200</v>
      </c>
      <c r="D1429" s="236"/>
    </row>
    <row r="1430" spans="1:4" ht="12" hidden="1" customHeight="1" outlineLevel="1" x14ac:dyDescent="0.3">
      <c r="A1430" s="227"/>
      <c r="B1430" s="234">
        <v>1200</v>
      </c>
      <c r="C1430" s="237" t="s">
        <v>201</v>
      </c>
      <c r="D1430" s="236"/>
    </row>
    <row r="1431" spans="1:4" ht="12" hidden="1" customHeight="1" outlineLevel="1" x14ac:dyDescent="0.3">
      <c r="A1431" s="238"/>
      <c r="B1431" s="239">
        <v>2000</v>
      </c>
      <c r="C1431" s="240" t="s">
        <v>202</v>
      </c>
      <c r="D1431" s="260">
        <f>SUM(D1432:D1436)</f>
        <v>0</v>
      </c>
    </row>
    <row r="1432" spans="1:4" ht="12" hidden="1" customHeight="1" outlineLevel="1" x14ac:dyDescent="0.3">
      <c r="A1432" s="238"/>
      <c r="B1432" s="242">
        <v>2100</v>
      </c>
      <c r="C1432" s="243" t="s">
        <v>203</v>
      </c>
      <c r="D1432" s="244"/>
    </row>
    <row r="1433" spans="1:4" ht="12" hidden="1" customHeight="1" outlineLevel="1" x14ac:dyDescent="0.3">
      <c r="A1433" s="238"/>
      <c r="B1433" s="242">
        <v>2200</v>
      </c>
      <c r="C1433" s="243" t="s">
        <v>204</v>
      </c>
      <c r="D1433" s="244"/>
    </row>
    <row r="1434" spans="1:4" ht="12" hidden="1" customHeight="1" outlineLevel="1" x14ac:dyDescent="0.3">
      <c r="A1434" s="238"/>
      <c r="B1434" s="242">
        <v>2300</v>
      </c>
      <c r="C1434" s="243" t="s">
        <v>205</v>
      </c>
      <c r="D1434" s="244"/>
    </row>
    <row r="1435" spans="1:4" ht="12" hidden="1" customHeight="1" outlineLevel="1" x14ac:dyDescent="0.3">
      <c r="A1435" s="238"/>
      <c r="B1435" s="242">
        <v>2400</v>
      </c>
      <c r="C1435" s="243" t="s">
        <v>206</v>
      </c>
      <c r="D1435" s="244"/>
    </row>
    <row r="1436" spans="1:4" ht="12" hidden="1" customHeight="1" outlineLevel="1" x14ac:dyDescent="0.3">
      <c r="A1436" s="238"/>
      <c r="B1436" s="242">
        <v>2500</v>
      </c>
      <c r="C1436" s="243" t="s">
        <v>207</v>
      </c>
      <c r="D1436" s="244"/>
    </row>
    <row r="1437" spans="1:4" ht="12" hidden="1" customHeight="1" outlineLevel="1" x14ac:dyDescent="0.3">
      <c r="A1437" s="238"/>
      <c r="B1437" s="199">
        <v>3000</v>
      </c>
      <c r="C1437" s="245" t="s">
        <v>208</v>
      </c>
      <c r="D1437" s="260">
        <f>SUM(D1438:D1439)</f>
        <v>0</v>
      </c>
    </row>
    <row r="1438" spans="1:4" ht="12" hidden="1" customHeight="1" outlineLevel="1" x14ac:dyDescent="0.3">
      <c r="A1438" s="238"/>
      <c r="B1438" s="242">
        <v>3200</v>
      </c>
      <c r="C1438" s="243" t="s">
        <v>209</v>
      </c>
      <c r="D1438" s="244"/>
    </row>
    <row r="1439" spans="1:4" ht="12" hidden="1" customHeight="1" outlineLevel="1" x14ac:dyDescent="0.3">
      <c r="A1439" s="238"/>
      <c r="B1439" s="242">
        <v>3300</v>
      </c>
      <c r="C1439" s="243" t="s">
        <v>210</v>
      </c>
      <c r="D1439" s="244"/>
    </row>
    <row r="1440" spans="1:4" ht="12" hidden="1" customHeight="1" outlineLevel="1" x14ac:dyDescent="0.3">
      <c r="A1440" s="238"/>
      <c r="B1440" s="199">
        <v>4000</v>
      </c>
      <c r="C1440" s="246" t="s">
        <v>211</v>
      </c>
      <c r="D1440" s="260">
        <f>SUM(D1441:D1442)</f>
        <v>0</v>
      </c>
    </row>
    <row r="1441" spans="1:4" ht="12" hidden="1" customHeight="1" outlineLevel="1" x14ac:dyDescent="0.3">
      <c r="A1441" s="238"/>
      <c r="B1441" s="242">
        <v>4200</v>
      </c>
      <c r="C1441" s="247" t="s">
        <v>212</v>
      </c>
      <c r="D1441" s="244"/>
    </row>
    <row r="1442" spans="1:4" ht="12" hidden="1" customHeight="1" outlineLevel="1" x14ac:dyDescent="0.3">
      <c r="A1442" s="238"/>
      <c r="B1442" s="242">
        <v>4300</v>
      </c>
      <c r="C1442" s="247" t="s">
        <v>213</v>
      </c>
      <c r="D1442" s="244"/>
    </row>
    <row r="1443" spans="1:4" ht="12" hidden="1" customHeight="1" outlineLevel="1" x14ac:dyDescent="0.3">
      <c r="A1443" s="238"/>
      <c r="B1443" s="199">
        <v>5000</v>
      </c>
      <c r="C1443" s="200" t="s">
        <v>214</v>
      </c>
      <c r="D1443" s="260">
        <f>SUM(D1444:D1446)</f>
        <v>0</v>
      </c>
    </row>
    <row r="1444" spans="1:4" ht="12" hidden="1" customHeight="1" outlineLevel="1" x14ac:dyDescent="0.3">
      <c r="A1444" s="238"/>
      <c r="B1444" s="242">
        <v>5100</v>
      </c>
      <c r="C1444" s="248" t="s">
        <v>215</v>
      </c>
      <c r="D1444" s="260"/>
    </row>
    <row r="1445" spans="1:4" ht="12" hidden="1" customHeight="1" outlineLevel="1" x14ac:dyDescent="0.3">
      <c r="A1445" s="238"/>
      <c r="B1445" s="242">
        <v>5200</v>
      </c>
      <c r="C1445" s="248" t="s">
        <v>216</v>
      </c>
      <c r="D1445" s="260"/>
    </row>
    <row r="1446" spans="1:4" ht="12" hidden="1" customHeight="1" outlineLevel="1" x14ac:dyDescent="0.3">
      <c r="A1446" s="238"/>
      <c r="B1446" s="242">
        <v>5300</v>
      </c>
      <c r="C1446" s="249" t="s">
        <v>217</v>
      </c>
      <c r="D1446" s="260"/>
    </row>
    <row r="1447" spans="1:4" ht="12" hidden="1" customHeight="1" outlineLevel="1" x14ac:dyDescent="0.3">
      <c r="A1447" s="238"/>
      <c r="B1447" s="199">
        <v>6000</v>
      </c>
      <c r="C1447" s="200" t="s">
        <v>218</v>
      </c>
      <c r="D1447" s="260">
        <f>SUM(D1448:D1451)</f>
        <v>0</v>
      </c>
    </row>
    <row r="1448" spans="1:4" ht="12" hidden="1" customHeight="1" outlineLevel="1" x14ac:dyDescent="0.3">
      <c r="A1448" s="238"/>
      <c r="B1448" s="242">
        <v>6200</v>
      </c>
      <c r="C1448" s="248" t="s">
        <v>219</v>
      </c>
      <c r="D1448" s="244"/>
    </row>
    <row r="1449" spans="1:4" ht="12" hidden="1" customHeight="1" outlineLevel="1" x14ac:dyDescent="0.3">
      <c r="A1449" s="238"/>
      <c r="B1449" s="242">
        <v>6300</v>
      </c>
      <c r="C1449" s="248" t="s">
        <v>220</v>
      </c>
      <c r="D1449" s="244"/>
    </row>
    <row r="1450" spans="1:4" ht="12" hidden="1" customHeight="1" outlineLevel="1" x14ac:dyDescent="0.3">
      <c r="A1450" s="238"/>
      <c r="B1450" s="242">
        <v>6400</v>
      </c>
      <c r="C1450" s="248" t="s">
        <v>221</v>
      </c>
      <c r="D1450" s="244"/>
    </row>
    <row r="1451" spans="1:4" ht="12" hidden="1" customHeight="1" outlineLevel="1" x14ac:dyDescent="0.3">
      <c r="A1451" s="238"/>
      <c r="B1451" s="242">
        <v>6500</v>
      </c>
      <c r="C1451" s="249" t="s">
        <v>222</v>
      </c>
      <c r="D1451" s="244"/>
    </row>
    <row r="1452" spans="1:4" ht="12" hidden="1" customHeight="1" outlineLevel="1" x14ac:dyDescent="0.3">
      <c r="A1452" s="238"/>
      <c r="B1452" s="199">
        <v>7000</v>
      </c>
      <c r="C1452" s="200" t="s">
        <v>223</v>
      </c>
      <c r="D1452" s="260">
        <f>SUM(D1453:D1455)</f>
        <v>0</v>
      </c>
    </row>
    <row r="1453" spans="1:4" ht="12" hidden="1" customHeight="1" outlineLevel="1" x14ac:dyDescent="0.3">
      <c r="A1453" s="238"/>
      <c r="B1453" s="250">
        <v>7200</v>
      </c>
      <c r="C1453" s="251" t="s">
        <v>224</v>
      </c>
      <c r="D1453" s="244"/>
    </row>
    <row r="1454" spans="1:4" ht="12" hidden="1" customHeight="1" outlineLevel="1" x14ac:dyDescent="0.3">
      <c r="A1454" s="238"/>
      <c r="B1454" s="250">
        <v>7500</v>
      </c>
      <c r="C1454" s="251" t="s">
        <v>225</v>
      </c>
      <c r="D1454" s="244"/>
    </row>
    <row r="1455" spans="1:4" ht="12" hidden="1" customHeight="1" outlineLevel="1" x14ac:dyDescent="0.3">
      <c r="A1455" s="238"/>
      <c r="B1455" s="250">
        <v>7700</v>
      </c>
      <c r="C1455" s="251" t="s">
        <v>226</v>
      </c>
      <c r="D1455" s="244"/>
    </row>
    <row r="1456" spans="1:4" ht="12" hidden="1" customHeight="1" outlineLevel="1" x14ac:dyDescent="0.3">
      <c r="A1456" s="238"/>
      <c r="B1456" s="252">
        <v>8000</v>
      </c>
      <c r="C1456" s="253" t="s">
        <v>227</v>
      </c>
      <c r="D1456" s="260">
        <f>SUM(D1457:D1459)</f>
        <v>0</v>
      </c>
    </row>
    <row r="1457" spans="1:4" ht="12" hidden="1" customHeight="1" outlineLevel="1" x14ac:dyDescent="0.3">
      <c r="A1457" s="238"/>
      <c r="B1457" s="254">
        <v>8100</v>
      </c>
      <c r="C1457" s="255" t="s">
        <v>228</v>
      </c>
      <c r="D1457" s="260"/>
    </row>
    <row r="1458" spans="1:4" ht="12" hidden="1" customHeight="1" outlineLevel="1" x14ac:dyDescent="0.3">
      <c r="A1458" s="238"/>
      <c r="B1458" s="254">
        <v>8600</v>
      </c>
      <c r="C1458" s="255" t="s">
        <v>229</v>
      </c>
      <c r="D1458" s="260"/>
    </row>
    <row r="1459" spans="1:4" ht="12" hidden="1" customHeight="1" outlineLevel="1" x14ac:dyDescent="0.3">
      <c r="A1459" s="238"/>
      <c r="B1459" s="254">
        <v>8900</v>
      </c>
      <c r="C1459" s="255" t="s">
        <v>230</v>
      </c>
      <c r="D1459" s="260"/>
    </row>
    <row r="1460" spans="1:4" ht="17.100000000000001" hidden="1" customHeight="1" outlineLevel="1" x14ac:dyDescent="0.3">
      <c r="A1460" s="278" t="s">
        <v>314</v>
      </c>
      <c r="B1460" s="279"/>
      <c r="C1460" s="280" t="s">
        <v>315</v>
      </c>
      <c r="D1460" s="226">
        <f>D1461+D1477+D1490</f>
        <v>0</v>
      </c>
    </row>
    <row r="1461" spans="1:4" ht="12" hidden="1" customHeight="1" outlineLevel="1" x14ac:dyDescent="0.3">
      <c r="A1461" s="227"/>
      <c r="B1461" s="228"/>
      <c r="C1461" s="229" t="s">
        <v>198</v>
      </c>
      <c r="D1461" s="233">
        <f>D1462+D1465+D1471+D1474+D1481+D1486</f>
        <v>0</v>
      </c>
    </row>
    <row r="1462" spans="1:4" ht="12" hidden="1" customHeight="1" outlineLevel="1" x14ac:dyDescent="0.3">
      <c r="A1462" s="227"/>
      <c r="B1462" s="231">
        <v>1000</v>
      </c>
      <c r="C1462" s="232" t="s">
        <v>199</v>
      </c>
      <c r="D1462" s="233">
        <f>D1496+D1530+D1734+D1768</f>
        <v>0</v>
      </c>
    </row>
    <row r="1463" spans="1:4" ht="12" hidden="1" customHeight="1" outlineLevel="1" x14ac:dyDescent="0.3">
      <c r="A1463" s="227"/>
      <c r="B1463" s="234">
        <v>1100</v>
      </c>
      <c r="C1463" s="235" t="s">
        <v>200</v>
      </c>
      <c r="D1463" s="236">
        <f t="shared" ref="D1463:D1464" si="129">D1497+D1531+D1735+D1769</f>
        <v>0</v>
      </c>
    </row>
    <row r="1464" spans="1:4" ht="12" hidden="1" customHeight="1" outlineLevel="1" x14ac:dyDescent="0.3">
      <c r="A1464" s="227"/>
      <c r="B1464" s="234">
        <v>1200</v>
      </c>
      <c r="C1464" s="237" t="s">
        <v>201</v>
      </c>
      <c r="D1464" s="236">
        <f t="shared" si="129"/>
        <v>0</v>
      </c>
    </row>
    <row r="1465" spans="1:4" ht="12" hidden="1" customHeight="1" outlineLevel="1" x14ac:dyDescent="0.3">
      <c r="A1465" s="238"/>
      <c r="B1465" s="239">
        <v>2000</v>
      </c>
      <c r="C1465" s="240" t="s">
        <v>202</v>
      </c>
      <c r="D1465" s="241">
        <f>D1499+D1533+D1737+D1771</f>
        <v>0</v>
      </c>
    </row>
    <row r="1466" spans="1:4" ht="12" hidden="1" customHeight="1" outlineLevel="1" x14ac:dyDescent="0.3">
      <c r="A1466" s="238"/>
      <c r="B1466" s="242">
        <v>2100</v>
      </c>
      <c r="C1466" s="243" t="s">
        <v>203</v>
      </c>
      <c r="D1466" s="244">
        <f t="shared" ref="D1466:D1470" si="130">D1500+D1534+D1738+D1772</f>
        <v>0</v>
      </c>
    </row>
    <row r="1467" spans="1:4" ht="12" hidden="1" customHeight="1" outlineLevel="1" x14ac:dyDescent="0.3">
      <c r="A1467" s="238"/>
      <c r="B1467" s="242">
        <v>2200</v>
      </c>
      <c r="C1467" s="243" t="s">
        <v>204</v>
      </c>
      <c r="D1467" s="244">
        <f t="shared" si="130"/>
        <v>0</v>
      </c>
    </row>
    <row r="1468" spans="1:4" ht="12" hidden="1" customHeight="1" outlineLevel="1" x14ac:dyDescent="0.3">
      <c r="A1468" s="238"/>
      <c r="B1468" s="242">
        <v>2300</v>
      </c>
      <c r="C1468" s="243" t="s">
        <v>205</v>
      </c>
      <c r="D1468" s="244">
        <f t="shared" si="130"/>
        <v>0</v>
      </c>
    </row>
    <row r="1469" spans="1:4" ht="12" hidden="1" customHeight="1" outlineLevel="1" x14ac:dyDescent="0.3">
      <c r="A1469" s="238"/>
      <c r="B1469" s="242">
        <v>2400</v>
      </c>
      <c r="C1469" s="243" t="s">
        <v>206</v>
      </c>
      <c r="D1469" s="244">
        <f t="shared" si="130"/>
        <v>0</v>
      </c>
    </row>
    <row r="1470" spans="1:4" ht="12" hidden="1" customHeight="1" outlineLevel="1" x14ac:dyDescent="0.3">
      <c r="A1470" s="238"/>
      <c r="B1470" s="242">
        <v>2500</v>
      </c>
      <c r="C1470" s="243" t="s">
        <v>207</v>
      </c>
      <c r="D1470" s="244">
        <f t="shared" si="130"/>
        <v>0</v>
      </c>
    </row>
    <row r="1471" spans="1:4" ht="12" hidden="1" customHeight="1" outlineLevel="1" x14ac:dyDescent="0.3">
      <c r="A1471" s="238"/>
      <c r="B1471" s="199">
        <v>3000</v>
      </c>
      <c r="C1471" s="245" t="s">
        <v>208</v>
      </c>
      <c r="D1471" s="241">
        <f>D1505+D1539+D1743+D1777</f>
        <v>0</v>
      </c>
    </row>
    <row r="1472" spans="1:4" ht="12" hidden="1" customHeight="1" outlineLevel="1" x14ac:dyDescent="0.3">
      <c r="A1472" s="238"/>
      <c r="B1472" s="242">
        <v>3200</v>
      </c>
      <c r="C1472" s="243" t="s">
        <v>209</v>
      </c>
      <c r="D1472" s="244">
        <f t="shared" ref="D1472:D1473" si="131">D1506+D1540+D1744+D1778</f>
        <v>0</v>
      </c>
    </row>
    <row r="1473" spans="1:4" ht="12" hidden="1" customHeight="1" outlineLevel="1" x14ac:dyDescent="0.3">
      <c r="A1473" s="238"/>
      <c r="B1473" s="242">
        <v>3300</v>
      </c>
      <c r="C1473" s="243" t="s">
        <v>210</v>
      </c>
      <c r="D1473" s="244">
        <f t="shared" si="131"/>
        <v>0</v>
      </c>
    </row>
    <row r="1474" spans="1:4" ht="12" hidden="1" customHeight="1" outlineLevel="1" x14ac:dyDescent="0.3">
      <c r="A1474" s="238"/>
      <c r="B1474" s="199">
        <v>4000</v>
      </c>
      <c r="C1474" s="246" t="s">
        <v>211</v>
      </c>
      <c r="D1474" s="241">
        <f>D1508+D1542+D1746+D1780</f>
        <v>0</v>
      </c>
    </row>
    <row r="1475" spans="1:4" ht="12" hidden="1" customHeight="1" outlineLevel="1" x14ac:dyDescent="0.3">
      <c r="A1475" s="238"/>
      <c r="B1475" s="242">
        <v>4200</v>
      </c>
      <c r="C1475" s="247" t="s">
        <v>212</v>
      </c>
      <c r="D1475" s="244">
        <f t="shared" ref="D1475:D1476" si="132">D1509+D1543+D1747+D1781</f>
        <v>0</v>
      </c>
    </row>
    <row r="1476" spans="1:4" ht="12" hidden="1" customHeight="1" outlineLevel="1" x14ac:dyDescent="0.3">
      <c r="A1476" s="238"/>
      <c r="B1476" s="242">
        <v>4300</v>
      </c>
      <c r="C1476" s="247" t="s">
        <v>213</v>
      </c>
      <c r="D1476" s="244">
        <f t="shared" si="132"/>
        <v>0</v>
      </c>
    </row>
    <row r="1477" spans="1:4" ht="12" hidden="1" customHeight="1" outlineLevel="1" collapsed="1" x14ac:dyDescent="0.3">
      <c r="A1477" s="238"/>
      <c r="B1477" s="199">
        <v>5000</v>
      </c>
      <c r="C1477" s="200" t="s">
        <v>214</v>
      </c>
      <c r="D1477" s="241">
        <f>D1511+D1545+D1749+D1783</f>
        <v>0</v>
      </c>
    </row>
    <row r="1478" spans="1:4" ht="12" hidden="1" customHeight="1" outlineLevel="1" x14ac:dyDescent="0.3">
      <c r="A1478" s="238"/>
      <c r="B1478" s="242">
        <v>5100</v>
      </c>
      <c r="C1478" s="248" t="s">
        <v>215</v>
      </c>
      <c r="D1478" s="244">
        <f t="shared" ref="D1478:D1480" si="133">D1512+D1546+D1750+D1784</f>
        <v>0</v>
      </c>
    </row>
    <row r="1479" spans="1:4" ht="12" hidden="1" customHeight="1" outlineLevel="1" collapsed="1" x14ac:dyDescent="0.3">
      <c r="A1479" s="238"/>
      <c r="B1479" s="242">
        <v>5200</v>
      </c>
      <c r="C1479" s="248" t="s">
        <v>216</v>
      </c>
      <c r="D1479" s="244">
        <f t="shared" si="133"/>
        <v>0</v>
      </c>
    </row>
    <row r="1480" spans="1:4" ht="12" hidden="1" customHeight="1" outlineLevel="1" x14ac:dyDescent="0.3">
      <c r="A1480" s="238"/>
      <c r="B1480" s="242">
        <v>5300</v>
      </c>
      <c r="C1480" s="249" t="s">
        <v>217</v>
      </c>
      <c r="D1480" s="244">
        <f t="shared" si="133"/>
        <v>0</v>
      </c>
    </row>
    <row r="1481" spans="1:4" ht="12" hidden="1" customHeight="1" outlineLevel="1" x14ac:dyDescent="0.3">
      <c r="A1481" s="238"/>
      <c r="B1481" s="199">
        <v>6000</v>
      </c>
      <c r="C1481" s="200" t="s">
        <v>218</v>
      </c>
      <c r="D1481" s="241">
        <f>D1515+D1549+D1753+D1787</f>
        <v>0</v>
      </c>
    </row>
    <row r="1482" spans="1:4" ht="12" hidden="1" customHeight="1" outlineLevel="1" x14ac:dyDescent="0.3">
      <c r="A1482" s="238"/>
      <c r="B1482" s="242">
        <v>6200</v>
      </c>
      <c r="C1482" s="248" t="s">
        <v>219</v>
      </c>
      <c r="D1482" s="244">
        <f t="shared" ref="D1482:D1485" si="134">D1516+D1550+D1754+D1788</f>
        <v>0</v>
      </c>
    </row>
    <row r="1483" spans="1:4" ht="12" hidden="1" customHeight="1" outlineLevel="1" x14ac:dyDescent="0.3">
      <c r="A1483" s="238"/>
      <c r="B1483" s="242">
        <v>6300</v>
      </c>
      <c r="C1483" s="248" t="s">
        <v>220</v>
      </c>
      <c r="D1483" s="244">
        <f t="shared" si="134"/>
        <v>0</v>
      </c>
    </row>
    <row r="1484" spans="1:4" ht="12" hidden="1" customHeight="1" outlineLevel="1" x14ac:dyDescent="0.3">
      <c r="A1484" s="238"/>
      <c r="B1484" s="242">
        <v>6400</v>
      </c>
      <c r="C1484" s="248" t="s">
        <v>221</v>
      </c>
      <c r="D1484" s="244">
        <f t="shared" si="134"/>
        <v>0</v>
      </c>
    </row>
    <row r="1485" spans="1:4" ht="12" hidden="1" customHeight="1" outlineLevel="1" x14ac:dyDescent="0.3">
      <c r="A1485" s="238"/>
      <c r="B1485" s="242">
        <v>6500</v>
      </c>
      <c r="C1485" s="249" t="s">
        <v>222</v>
      </c>
      <c r="D1485" s="244">
        <f t="shared" si="134"/>
        <v>0</v>
      </c>
    </row>
    <row r="1486" spans="1:4" ht="12" hidden="1" customHeight="1" outlineLevel="1" x14ac:dyDescent="0.3">
      <c r="A1486" s="238"/>
      <c r="B1486" s="199">
        <v>7000</v>
      </c>
      <c r="C1486" s="200" t="s">
        <v>223</v>
      </c>
      <c r="D1486" s="241">
        <f>D1520+D1554+D1758+D1792</f>
        <v>0</v>
      </c>
    </row>
    <row r="1487" spans="1:4" ht="12" hidden="1" customHeight="1" outlineLevel="1" x14ac:dyDescent="0.3">
      <c r="A1487" s="238"/>
      <c r="B1487" s="250">
        <v>7200</v>
      </c>
      <c r="C1487" s="251" t="s">
        <v>224</v>
      </c>
      <c r="D1487" s="244">
        <f t="shared" ref="D1487:D1489" si="135">D1521+D1555+D1759+D1793</f>
        <v>0</v>
      </c>
    </row>
    <row r="1488" spans="1:4" ht="12" hidden="1" customHeight="1" outlineLevel="1" x14ac:dyDescent="0.3">
      <c r="A1488" s="238"/>
      <c r="B1488" s="250">
        <v>7500</v>
      </c>
      <c r="C1488" s="251" t="s">
        <v>225</v>
      </c>
      <c r="D1488" s="244">
        <f t="shared" si="135"/>
        <v>0</v>
      </c>
    </row>
    <row r="1489" spans="1:4" ht="12" hidden="1" customHeight="1" outlineLevel="1" x14ac:dyDescent="0.3">
      <c r="A1489" s="238"/>
      <c r="B1489" s="250">
        <v>7700</v>
      </c>
      <c r="C1489" s="251" t="s">
        <v>226</v>
      </c>
      <c r="D1489" s="244">
        <f t="shared" si="135"/>
        <v>0</v>
      </c>
    </row>
    <row r="1490" spans="1:4" ht="12" hidden="1" customHeight="1" outlineLevel="1" x14ac:dyDescent="0.3">
      <c r="A1490" s="238"/>
      <c r="B1490" s="252">
        <v>8000</v>
      </c>
      <c r="C1490" s="253" t="s">
        <v>227</v>
      </c>
      <c r="D1490" s="241">
        <f>D1524+D1558+D1762+D1796</f>
        <v>0</v>
      </c>
    </row>
    <row r="1491" spans="1:4" ht="12" hidden="1" customHeight="1" outlineLevel="1" x14ac:dyDescent="0.3">
      <c r="A1491" s="238"/>
      <c r="B1491" s="254">
        <v>8100</v>
      </c>
      <c r="C1491" s="255" t="s">
        <v>228</v>
      </c>
      <c r="D1491" s="244">
        <f t="shared" ref="D1491:D1493" si="136">D1525+D1559+D1763+D1797</f>
        <v>0</v>
      </c>
    </row>
    <row r="1492" spans="1:4" ht="12" hidden="1" customHeight="1" outlineLevel="1" x14ac:dyDescent="0.3">
      <c r="A1492" s="238"/>
      <c r="B1492" s="254">
        <v>8600</v>
      </c>
      <c r="C1492" s="255" t="s">
        <v>229</v>
      </c>
      <c r="D1492" s="244">
        <f t="shared" si="136"/>
        <v>0</v>
      </c>
    </row>
    <row r="1493" spans="1:4" ht="12" hidden="1" customHeight="1" outlineLevel="1" x14ac:dyDescent="0.3">
      <c r="A1493" s="238"/>
      <c r="B1493" s="254">
        <v>8900</v>
      </c>
      <c r="C1493" s="255" t="s">
        <v>230</v>
      </c>
      <c r="D1493" s="244">
        <f t="shared" si="136"/>
        <v>0</v>
      </c>
    </row>
    <row r="1494" spans="1:4" ht="12" hidden="1" customHeight="1" outlineLevel="1" collapsed="1" x14ac:dyDescent="0.3">
      <c r="A1494" s="256" t="s">
        <v>156</v>
      </c>
      <c r="B1494" s="257"/>
      <c r="C1494" s="258" t="s">
        <v>316</v>
      </c>
      <c r="D1494" s="259">
        <f t="shared" ref="D1494" si="137">D1495+D1511+D1524</f>
        <v>0</v>
      </c>
    </row>
    <row r="1495" spans="1:4" ht="12" hidden="1" customHeight="1" outlineLevel="1" x14ac:dyDescent="0.3">
      <c r="A1495" s="227"/>
      <c r="B1495" s="228"/>
      <c r="C1495" s="229" t="s">
        <v>198</v>
      </c>
      <c r="D1495" s="230">
        <f t="shared" ref="D1495" si="138">D1496+D1499+D1505+D1508+D1515+D1520</f>
        <v>0</v>
      </c>
    </row>
    <row r="1496" spans="1:4" ht="12" hidden="1" customHeight="1" outlineLevel="1" x14ac:dyDescent="0.3">
      <c r="A1496" s="227"/>
      <c r="B1496" s="231">
        <v>1000</v>
      </c>
      <c r="C1496" s="232" t="s">
        <v>199</v>
      </c>
      <c r="D1496" s="230">
        <f>SUM(D1497:D1498)</f>
        <v>0</v>
      </c>
    </row>
    <row r="1497" spans="1:4" ht="12" hidden="1" customHeight="1" outlineLevel="1" x14ac:dyDescent="0.3">
      <c r="A1497" s="227"/>
      <c r="B1497" s="234">
        <v>1100</v>
      </c>
      <c r="C1497" s="235" t="s">
        <v>200</v>
      </c>
      <c r="D1497" s="236"/>
    </row>
    <row r="1498" spans="1:4" ht="12" hidden="1" customHeight="1" outlineLevel="1" x14ac:dyDescent="0.3">
      <c r="A1498" s="227"/>
      <c r="B1498" s="234">
        <v>1200</v>
      </c>
      <c r="C1498" s="237" t="s">
        <v>201</v>
      </c>
      <c r="D1498" s="236"/>
    </row>
    <row r="1499" spans="1:4" ht="12" hidden="1" customHeight="1" outlineLevel="1" x14ac:dyDescent="0.3">
      <c r="A1499" s="238"/>
      <c r="B1499" s="239">
        <v>2000</v>
      </c>
      <c r="C1499" s="240" t="s">
        <v>202</v>
      </c>
      <c r="D1499" s="260">
        <f>SUM(D1500:D1504)</f>
        <v>0</v>
      </c>
    </row>
    <row r="1500" spans="1:4" ht="12" hidden="1" customHeight="1" outlineLevel="1" x14ac:dyDescent="0.3">
      <c r="A1500" s="238"/>
      <c r="B1500" s="242">
        <v>2100</v>
      </c>
      <c r="C1500" s="243" t="s">
        <v>203</v>
      </c>
      <c r="D1500" s="244"/>
    </row>
    <row r="1501" spans="1:4" ht="12" hidden="1" customHeight="1" outlineLevel="1" x14ac:dyDescent="0.3">
      <c r="A1501" s="238"/>
      <c r="B1501" s="242">
        <v>2200</v>
      </c>
      <c r="C1501" s="243" t="s">
        <v>204</v>
      </c>
      <c r="D1501" s="244"/>
    </row>
    <row r="1502" spans="1:4" ht="12" hidden="1" customHeight="1" outlineLevel="1" x14ac:dyDescent="0.3">
      <c r="A1502" s="238"/>
      <c r="B1502" s="242">
        <v>2300</v>
      </c>
      <c r="C1502" s="243" t="s">
        <v>205</v>
      </c>
      <c r="D1502" s="244"/>
    </row>
    <row r="1503" spans="1:4" ht="14.25" hidden="1" customHeight="1" outlineLevel="1" x14ac:dyDescent="0.3">
      <c r="A1503" s="238"/>
      <c r="B1503" s="242">
        <v>2400</v>
      </c>
      <c r="C1503" s="243" t="s">
        <v>206</v>
      </c>
      <c r="D1503" s="244"/>
    </row>
    <row r="1504" spans="1:4" ht="12" hidden="1" customHeight="1" outlineLevel="1" x14ac:dyDescent="0.3">
      <c r="A1504" s="238"/>
      <c r="B1504" s="242">
        <v>2500</v>
      </c>
      <c r="C1504" s="243" t="s">
        <v>207</v>
      </c>
      <c r="D1504" s="244"/>
    </row>
    <row r="1505" spans="1:4" ht="12" hidden="1" customHeight="1" outlineLevel="1" x14ac:dyDescent="0.3">
      <c r="A1505" s="238"/>
      <c r="B1505" s="199">
        <v>3000</v>
      </c>
      <c r="C1505" s="245" t="s">
        <v>208</v>
      </c>
      <c r="D1505" s="260">
        <f>SUM(D1506:D1507)</f>
        <v>0</v>
      </c>
    </row>
    <row r="1506" spans="1:4" ht="12" hidden="1" customHeight="1" outlineLevel="1" x14ac:dyDescent="0.3">
      <c r="A1506" s="238"/>
      <c r="B1506" s="242">
        <v>3200</v>
      </c>
      <c r="C1506" s="243" t="s">
        <v>209</v>
      </c>
      <c r="D1506" s="244"/>
    </row>
    <row r="1507" spans="1:4" ht="12" hidden="1" customHeight="1" outlineLevel="1" x14ac:dyDescent="0.3">
      <c r="A1507" s="238"/>
      <c r="B1507" s="242">
        <v>3300</v>
      </c>
      <c r="C1507" s="243" t="s">
        <v>210</v>
      </c>
      <c r="D1507" s="244"/>
    </row>
    <row r="1508" spans="1:4" ht="12" hidden="1" customHeight="1" outlineLevel="1" x14ac:dyDescent="0.3">
      <c r="A1508" s="238"/>
      <c r="B1508" s="199">
        <v>4000</v>
      </c>
      <c r="C1508" s="246" t="s">
        <v>211</v>
      </c>
      <c r="D1508" s="260">
        <f>SUM(D1509:D1510)</f>
        <v>0</v>
      </c>
    </row>
    <row r="1509" spans="1:4" ht="12" hidden="1" customHeight="1" outlineLevel="1" x14ac:dyDescent="0.3">
      <c r="A1509" s="238"/>
      <c r="B1509" s="242">
        <v>4200</v>
      </c>
      <c r="C1509" s="247" t="s">
        <v>212</v>
      </c>
      <c r="D1509" s="244"/>
    </row>
    <row r="1510" spans="1:4" ht="12" hidden="1" customHeight="1" outlineLevel="1" x14ac:dyDescent="0.3">
      <c r="A1510" s="238"/>
      <c r="B1510" s="242">
        <v>4300</v>
      </c>
      <c r="C1510" s="247" t="s">
        <v>213</v>
      </c>
      <c r="D1510" s="244"/>
    </row>
    <row r="1511" spans="1:4" ht="12" hidden="1" customHeight="1" outlineLevel="1" x14ac:dyDescent="0.3">
      <c r="A1511" s="238"/>
      <c r="B1511" s="199">
        <v>5000</v>
      </c>
      <c r="C1511" s="200" t="s">
        <v>214</v>
      </c>
      <c r="D1511" s="260">
        <f>SUM(D1512:D1514)</f>
        <v>0</v>
      </c>
    </row>
    <row r="1512" spans="1:4" ht="12" hidden="1" customHeight="1" outlineLevel="1" x14ac:dyDescent="0.3">
      <c r="A1512" s="238"/>
      <c r="B1512" s="242">
        <v>5100</v>
      </c>
      <c r="C1512" s="248" t="s">
        <v>215</v>
      </c>
      <c r="D1512" s="260"/>
    </row>
    <row r="1513" spans="1:4" ht="12" hidden="1" customHeight="1" outlineLevel="1" x14ac:dyDescent="0.3">
      <c r="A1513" s="238"/>
      <c r="B1513" s="242">
        <v>5200</v>
      </c>
      <c r="C1513" s="248" t="s">
        <v>216</v>
      </c>
      <c r="D1513" s="260"/>
    </row>
    <row r="1514" spans="1:4" ht="12" hidden="1" customHeight="1" outlineLevel="1" x14ac:dyDescent="0.3">
      <c r="A1514" s="238"/>
      <c r="B1514" s="242">
        <v>5300</v>
      </c>
      <c r="C1514" s="249" t="s">
        <v>217</v>
      </c>
      <c r="D1514" s="260"/>
    </row>
    <row r="1515" spans="1:4" ht="12" hidden="1" customHeight="1" outlineLevel="1" x14ac:dyDescent="0.3">
      <c r="A1515" s="238"/>
      <c r="B1515" s="199">
        <v>6000</v>
      </c>
      <c r="C1515" s="200" t="s">
        <v>218</v>
      </c>
      <c r="D1515" s="260">
        <f>SUM(D1516:D1519)</f>
        <v>0</v>
      </c>
    </row>
    <row r="1516" spans="1:4" ht="12" hidden="1" customHeight="1" outlineLevel="1" x14ac:dyDescent="0.3">
      <c r="A1516" s="238"/>
      <c r="B1516" s="242">
        <v>6200</v>
      </c>
      <c r="C1516" s="248" t="s">
        <v>219</v>
      </c>
      <c r="D1516" s="244"/>
    </row>
    <row r="1517" spans="1:4" ht="12" hidden="1" customHeight="1" outlineLevel="1" x14ac:dyDescent="0.3">
      <c r="A1517" s="238"/>
      <c r="B1517" s="242">
        <v>6300</v>
      </c>
      <c r="C1517" s="248" t="s">
        <v>220</v>
      </c>
      <c r="D1517" s="244"/>
    </row>
    <row r="1518" spans="1:4" ht="12" hidden="1" customHeight="1" outlineLevel="1" x14ac:dyDescent="0.3">
      <c r="A1518" s="238"/>
      <c r="B1518" s="242">
        <v>6400</v>
      </c>
      <c r="C1518" s="248" t="s">
        <v>221</v>
      </c>
      <c r="D1518" s="244"/>
    </row>
    <row r="1519" spans="1:4" ht="12" hidden="1" customHeight="1" outlineLevel="1" x14ac:dyDescent="0.3">
      <c r="A1519" s="238"/>
      <c r="B1519" s="242">
        <v>6500</v>
      </c>
      <c r="C1519" s="249" t="s">
        <v>222</v>
      </c>
      <c r="D1519" s="244"/>
    </row>
    <row r="1520" spans="1:4" ht="12" hidden="1" customHeight="1" outlineLevel="1" x14ac:dyDescent="0.3">
      <c r="A1520" s="238"/>
      <c r="B1520" s="199">
        <v>7000</v>
      </c>
      <c r="C1520" s="200" t="s">
        <v>223</v>
      </c>
      <c r="D1520" s="260">
        <f>SUM(D1521:D1523)</f>
        <v>0</v>
      </c>
    </row>
    <row r="1521" spans="1:4" ht="12" hidden="1" customHeight="1" outlineLevel="1" x14ac:dyDescent="0.3">
      <c r="A1521" s="238"/>
      <c r="B1521" s="250">
        <v>7200</v>
      </c>
      <c r="C1521" s="251" t="s">
        <v>224</v>
      </c>
      <c r="D1521" s="244"/>
    </row>
    <row r="1522" spans="1:4" ht="12" hidden="1" customHeight="1" outlineLevel="1" x14ac:dyDescent="0.3">
      <c r="A1522" s="238"/>
      <c r="B1522" s="250">
        <v>7500</v>
      </c>
      <c r="C1522" s="251" t="s">
        <v>225</v>
      </c>
      <c r="D1522" s="244"/>
    </row>
    <row r="1523" spans="1:4" ht="12" hidden="1" customHeight="1" outlineLevel="1" x14ac:dyDescent="0.3">
      <c r="A1523" s="238"/>
      <c r="B1523" s="250">
        <v>7700</v>
      </c>
      <c r="C1523" s="251" t="s">
        <v>226</v>
      </c>
      <c r="D1523" s="244"/>
    </row>
    <row r="1524" spans="1:4" ht="12" hidden="1" customHeight="1" outlineLevel="1" x14ac:dyDescent="0.3">
      <c r="A1524" s="238"/>
      <c r="B1524" s="252">
        <v>8000</v>
      </c>
      <c r="C1524" s="253" t="s">
        <v>227</v>
      </c>
      <c r="D1524" s="260">
        <f>SUM(D1525:D1527)</f>
        <v>0</v>
      </c>
    </row>
    <row r="1525" spans="1:4" ht="12" hidden="1" customHeight="1" outlineLevel="1" x14ac:dyDescent="0.3">
      <c r="A1525" s="238"/>
      <c r="B1525" s="254">
        <v>8100</v>
      </c>
      <c r="C1525" s="255" t="s">
        <v>228</v>
      </c>
      <c r="D1525" s="260"/>
    </row>
    <row r="1526" spans="1:4" ht="12" hidden="1" customHeight="1" outlineLevel="1" x14ac:dyDescent="0.3">
      <c r="A1526" s="238"/>
      <c r="B1526" s="254">
        <v>8600</v>
      </c>
      <c r="C1526" s="255" t="s">
        <v>229</v>
      </c>
      <c r="D1526" s="260"/>
    </row>
    <row r="1527" spans="1:4" ht="12" hidden="1" customHeight="1" outlineLevel="1" x14ac:dyDescent="0.3">
      <c r="A1527" s="238"/>
      <c r="B1527" s="254">
        <v>8900</v>
      </c>
      <c r="C1527" s="255" t="s">
        <v>230</v>
      </c>
      <c r="D1527" s="260"/>
    </row>
    <row r="1528" spans="1:4" ht="12" hidden="1" customHeight="1" outlineLevel="1" x14ac:dyDescent="0.3">
      <c r="A1528" s="256" t="s">
        <v>317</v>
      </c>
      <c r="B1528" s="257"/>
      <c r="C1528" s="258" t="s">
        <v>318</v>
      </c>
      <c r="D1528" s="259">
        <f t="shared" ref="D1528" si="139">D1529+D1545+D1558</f>
        <v>0</v>
      </c>
    </row>
    <row r="1529" spans="1:4" ht="12" hidden="1" customHeight="1" outlineLevel="1" x14ac:dyDescent="0.3">
      <c r="A1529" s="238"/>
      <c r="B1529" s="228"/>
      <c r="C1529" s="229" t="s">
        <v>198</v>
      </c>
      <c r="D1529" s="230">
        <f t="shared" ref="D1529" si="140">D1530+D1533+D1539+D1542+D1549+D1554</f>
        <v>0</v>
      </c>
    </row>
    <row r="1530" spans="1:4" ht="12" hidden="1" customHeight="1" outlineLevel="1" x14ac:dyDescent="0.3">
      <c r="A1530" s="238"/>
      <c r="B1530" s="231">
        <v>1000</v>
      </c>
      <c r="C1530" s="232" t="s">
        <v>199</v>
      </c>
      <c r="D1530" s="233">
        <f>D1564+D1598+D1632+D1666+D1700</f>
        <v>0</v>
      </c>
    </row>
    <row r="1531" spans="1:4" ht="12" hidden="1" customHeight="1" outlineLevel="1" x14ac:dyDescent="0.3">
      <c r="A1531" s="238"/>
      <c r="B1531" s="234">
        <v>1100</v>
      </c>
      <c r="C1531" s="235" t="s">
        <v>200</v>
      </c>
      <c r="D1531" s="236">
        <f t="shared" ref="D1531:D1532" si="141">D1565+D1599+D1633+D1667+D1701</f>
        <v>0</v>
      </c>
    </row>
    <row r="1532" spans="1:4" ht="12" hidden="1" customHeight="1" outlineLevel="1" x14ac:dyDescent="0.3">
      <c r="A1532" s="238"/>
      <c r="B1532" s="234">
        <v>1200</v>
      </c>
      <c r="C1532" s="237" t="s">
        <v>201</v>
      </c>
      <c r="D1532" s="236">
        <f t="shared" si="141"/>
        <v>0</v>
      </c>
    </row>
    <row r="1533" spans="1:4" ht="12" hidden="1" customHeight="1" outlineLevel="1" x14ac:dyDescent="0.3">
      <c r="A1533" s="238"/>
      <c r="B1533" s="239">
        <v>2000</v>
      </c>
      <c r="C1533" s="240" t="s">
        <v>202</v>
      </c>
      <c r="D1533" s="241">
        <f>D1567+D1601+D1635+D1669+D1703</f>
        <v>0</v>
      </c>
    </row>
    <row r="1534" spans="1:4" ht="12" hidden="1" customHeight="1" outlineLevel="1" x14ac:dyDescent="0.3">
      <c r="A1534" s="238"/>
      <c r="B1534" s="242">
        <v>2100</v>
      </c>
      <c r="C1534" s="243" t="s">
        <v>203</v>
      </c>
      <c r="D1534" s="244">
        <f t="shared" ref="D1534:D1538" si="142">D1568+D1602+D1636+D1670+D1704</f>
        <v>0</v>
      </c>
    </row>
    <row r="1535" spans="1:4" ht="12" hidden="1" customHeight="1" outlineLevel="1" x14ac:dyDescent="0.3">
      <c r="A1535" s="238"/>
      <c r="B1535" s="242">
        <v>2200</v>
      </c>
      <c r="C1535" s="243" t="s">
        <v>204</v>
      </c>
      <c r="D1535" s="244">
        <f t="shared" si="142"/>
        <v>0</v>
      </c>
    </row>
    <row r="1536" spans="1:4" ht="12" hidden="1" customHeight="1" outlineLevel="1" x14ac:dyDescent="0.3">
      <c r="A1536" s="238"/>
      <c r="B1536" s="242">
        <v>2300</v>
      </c>
      <c r="C1536" s="243" t="s">
        <v>205</v>
      </c>
      <c r="D1536" s="244">
        <f t="shared" si="142"/>
        <v>0</v>
      </c>
    </row>
    <row r="1537" spans="1:4" ht="12" hidden="1" customHeight="1" outlineLevel="1" x14ac:dyDescent="0.3">
      <c r="A1537" s="238"/>
      <c r="B1537" s="242">
        <v>2400</v>
      </c>
      <c r="C1537" s="243" t="s">
        <v>206</v>
      </c>
      <c r="D1537" s="244">
        <f t="shared" si="142"/>
        <v>0</v>
      </c>
    </row>
    <row r="1538" spans="1:4" ht="12" hidden="1" customHeight="1" outlineLevel="1" x14ac:dyDescent="0.3">
      <c r="A1538" s="238"/>
      <c r="B1538" s="242">
        <v>2500</v>
      </c>
      <c r="C1538" s="243" t="s">
        <v>207</v>
      </c>
      <c r="D1538" s="244">
        <f t="shared" si="142"/>
        <v>0</v>
      </c>
    </row>
    <row r="1539" spans="1:4" ht="12" hidden="1" customHeight="1" outlineLevel="1" x14ac:dyDescent="0.3">
      <c r="A1539" s="238"/>
      <c r="B1539" s="199">
        <v>3000</v>
      </c>
      <c r="C1539" s="245" t="s">
        <v>208</v>
      </c>
      <c r="D1539" s="241">
        <f>D1573+D1607+D1641+D1675+D1709</f>
        <v>0</v>
      </c>
    </row>
    <row r="1540" spans="1:4" ht="12" hidden="1" customHeight="1" outlineLevel="1" x14ac:dyDescent="0.3">
      <c r="A1540" s="238"/>
      <c r="B1540" s="242">
        <v>3200</v>
      </c>
      <c r="C1540" s="243" t="s">
        <v>209</v>
      </c>
      <c r="D1540" s="244">
        <f t="shared" ref="D1540:D1541" si="143">D1574+D1608+D1642+D1676+D1710</f>
        <v>0</v>
      </c>
    </row>
    <row r="1541" spans="1:4" ht="12" hidden="1" customHeight="1" outlineLevel="1" x14ac:dyDescent="0.3">
      <c r="A1541" s="238"/>
      <c r="B1541" s="242">
        <v>3300</v>
      </c>
      <c r="C1541" s="243" t="s">
        <v>210</v>
      </c>
      <c r="D1541" s="244">
        <f t="shared" si="143"/>
        <v>0</v>
      </c>
    </row>
    <row r="1542" spans="1:4" ht="12" hidden="1" customHeight="1" outlineLevel="1" x14ac:dyDescent="0.3">
      <c r="A1542" s="238"/>
      <c r="B1542" s="199">
        <v>4000</v>
      </c>
      <c r="C1542" s="246" t="s">
        <v>211</v>
      </c>
      <c r="D1542" s="241">
        <f>D1576+D1610+D1644+D1678+D1712</f>
        <v>0</v>
      </c>
    </row>
    <row r="1543" spans="1:4" ht="12" hidden="1" customHeight="1" outlineLevel="1" x14ac:dyDescent="0.3">
      <c r="A1543" s="238"/>
      <c r="B1543" s="242">
        <v>4200</v>
      </c>
      <c r="C1543" s="247" t="s">
        <v>212</v>
      </c>
      <c r="D1543" s="244">
        <f t="shared" ref="D1543:D1544" si="144">D1577+D1611+D1645+D1679+D1713</f>
        <v>0</v>
      </c>
    </row>
    <row r="1544" spans="1:4" ht="12" hidden="1" customHeight="1" outlineLevel="1" x14ac:dyDescent="0.3">
      <c r="A1544" s="238"/>
      <c r="B1544" s="242">
        <v>4300</v>
      </c>
      <c r="C1544" s="247" t="s">
        <v>213</v>
      </c>
      <c r="D1544" s="244">
        <f t="shared" si="144"/>
        <v>0</v>
      </c>
    </row>
    <row r="1545" spans="1:4" ht="12" hidden="1" customHeight="1" outlineLevel="1" x14ac:dyDescent="0.3">
      <c r="A1545" s="238"/>
      <c r="B1545" s="199">
        <v>5000</v>
      </c>
      <c r="C1545" s="200" t="s">
        <v>214</v>
      </c>
      <c r="D1545" s="241">
        <f>D1579+D1613+D1647+D1681+D1715</f>
        <v>0</v>
      </c>
    </row>
    <row r="1546" spans="1:4" ht="12" hidden="1" customHeight="1" outlineLevel="1" x14ac:dyDescent="0.3">
      <c r="A1546" s="238"/>
      <c r="B1546" s="242">
        <v>5100</v>
      </c>
      <c r="C1546" s="248" t="s">
        <v>215</v>
      </c>
      <c r="D1546" s="244">
        <f t="shared" ref="D1546:D1548" si="145">D1580+D1614+D1648+D1682+D1716</f>
        <v>0</v>
      </c>
    </row>
    <row r="1547" spans="1:4" ht="12" hidden="1" customHeight="1" outlineLevel="1" x14ac:dyDescent="0.3">
      <c r="A1547" s="238"/>
      <c r="B1547" s="242">
        <v>5200</v>
      </c>
      <c r="C1547" s="248" t="s">
        <v>216</v>
      </c>
      <c r="D1547" s="244">
        <f t="shared" si="145"/>
        <v>0</v>
      </c>
    </row>
    <row r="1548" spans="1:4" ht="12" hidden="1" customHeight="1" outlineLevel="1" x14ac:dyDescent="0.3">
      <c r="A1548" s="238"/>
      <c r="B1548" s="242">
        <v>5300</v>
      </c>
      <c r="C1548" s="249" t="s">
        <v>217</v>
      </c>
      <c r="D1548" s="244">
        <f t="shared" si="145"/>
        <v>0</v>
      </c>
    </row>
    <row r="1549" spans="1:4" ht="12" hidden="1" customHeight="1" outlineLevel="1" x14ac:dyDescent="0.3">
      <c r="A1549" s="238"/>
      <c r="B1549" s="199">
        <v>6000</v>
      </c>
      <c r="C1549" s="200" t="s">
        <v>218</v>
      </c>
      <c r="D1549" s="241">
        <f>D1583+D1617+D1651+D1685+D1719</f>
        <v>0</v>
      </c>
    </row>
    <row r="1550" spans="1:4" ht="12" hidden="1" customHeight="1" outlineLevel="1" x14ac:dyDescent="0.3">
      <c r="A1550" s="238"/>
      <c r="B1550" s="242">
        <v>6200</v>
      </c>
      <c r="C1550" s="248" t="s">
        <v>219</v>
      </c>
      <c r="D1550" s="244">
        <f t="shared" ref="D1550:D1553" si="146">D1584+D1618+D1652+D1686+D1720</f>
        <v>0</v>
      </c>
    </row>
    <row r="1551" spans="1:4" ht="12" hidden="1" customHeight="1" outlineLevel="1" x14ac:dyDescent="0.3">
      <c r="A1551" s="238"/>
      <c r="B1551" s="242">
        <v>6300</v>
      </c>
      <c r="C1551" s="248" t="s">
        <v>220</v>
      </c>
      <c r="D1551" s="244">
        <f t="shared" si="146"/>
        <v>0</v>
      </c>
    </row>
    <row r="1552" spans="1:4" ht="12" hidden="1" customHeight="1" outlineLevel="1" x14ac:dyDescent="0.3">
      <c r="A1552" s="238"/>
      <c r="B1552" s="242">
        <v>6400</v>
      </c>
      <c r="C1552" s="248" t="s">
        <v>221</v>
      </c>
      <c r="D1552" s="244">
        <f t="shared" si="146"/>
        <v>0</v>
      </c>
    </row>
    <row r="1553" spans="1:4" ht="12" hidden="1" customHeight="1" outlineLevel="1" x14ac:dyDescent="0.3">
      <c r="A1553" s="238"/>
      <c r="B1553" s="242">
        <v>6500</v>
      </c>
      <c r="C1553" s="249" t="s">
        <v>222</v>
      </c>
      <c r="D1553" s="244">
        <f t="shared" si="146"/>
        <v>0</v>
      </c>
    </row>
    <row r="1554" spans="1:4" ht="12" hidden="1" customHeight="1" outlineLevel="1" x14ac:dyDescent="0.3">
      <c r="A1554" s="238"/>
      <c r="B1554" s="199">
        <v>7000</v>
      </c>
      <c r="C1554" s="200" t="s">
        <v>223</v>
      </c>
      <c r="D1554" s="241">
        <f>D1588+D1622+D1656+D1690+D1724</f>
        <v>0</v>
      </c>
    </row>
    <row r="1555" spans="1:4" ht="12" hidden="1" customHeight="1" outlineLevel="1" x14ac:dyDescent="0.3">
      <c r="A1555" s="238"/>
      <c r="B1555" s="250">
        <v>7200</v>
      </c>
      <c r="C1555" s="251" t="s">
        <v>224</v>
      </c>
      <c r="D1555" s="244">
        <f t="shared" ref="D1555:D1557" si="147">D1589+D1623+D1657+D1691+D1725</f>
        <v>0</v>
      </c>
    </row>
    <row r="1556" spans="1:4" ht="12" hidden="1" customHeight="1" outlineLevel="1" x14ac:dyDescent="0.3">
      <c r="A1556" s="238"/>
      <c r="B1556" s="250">
        <v>7500</v>
      </c>
      <c r="C1556" s="251" t="s">
        <v>225</v>
      </c>
      <c r="D1556" s="244">
        <f t="shared" si="147"/>
        <v>0</v>
      </c>
    </row>
    <row r="1557" spans="1:4" ht="12" hidden="1" customHeight="1" outlineLevel="1" x14ac:dyDescent="0.3">
      <c r="A1557" s="238"/>
      <c r="B1557" s="250">
        <v>7700</v>
      </c>
      <c r="C1557" s="251" t="s">
        <v>226</v>
      </c>
      <c r="D1557" s="244">
        <f t="shared" si="147"/>
        <v>0</v>
      </c>
    </row>
    <row r="1558" spans="1:4" ht="12" hidden="1" customHeight="1" outlineLevel="1" x14ac:dyDescent="0.3">
      <c r="A1558" s="238"/>
      <c r="B1558" s="252">
        <v>8000</v>
      </c>
      <c r="C1558" s="253" t="s">
        <v>227</v>
      </c>
      <c r="D1558" s="241">
        <f>D1592+D1626+D1660+D1694+D1728</f>
        <v>0</v>
      </c>
    </row>
    <row r="1559" spans="1:4" ht="12" hidden="1" customHeight="1" outlineLevel="1" x14ac:dyDescent="0.3">
      <c r="A1559" s="238"/>
      <c r="B1559" s="254">
        <v>8100</v>
      </c>
      <c r="C1559" s="255" t="s">
        <v>228</v>
      </c>
      <c r="D1559" s="244">
        <f t="shared" ref="D1559:D1561" si="148">D1593+D1627+D1661+D1695+D1729</f>
        <v>0</v>
      </c>
    </row>
    <row r="1560" spans="1:4" ht="12" hidden="1" customHeight="1" outlineLevel="1" x14ac:dyDescent="0.3">
      <c r="A1560" s="238"/>
      <c r="B1560" s="254">
        <v>8600</v>
      </c>
      <c r="C1560" s="255" t="s">
        <v>229</v>
      </c>
      <c r="D1560" s="244">
        <f t="shared" si="148"/>
        <v>0</v>
      </c>
    </row>
    <row r="1561" spans="1:4" ht="12" hidden="1" customHeight="1" outlineLevel="1" x14ac:dyDescent="0.3">
      <c r="A1561" s="238"/>
      <c r="B1561" s="254">
        <v>8900</v>
      </c>
      <c r="C1561" s="255" t="s">
        <v>230</v>
      </c>
      <c r="D1561" s="244">
        <f t="shared" si="148"/>
        <v>0</v>
      </c>
    </row>
    <row r="1562" spans="1:4" ht="12" hidden="1" customHeight="1" outlineLevel="1" x14ac:dyDescent="0.3">
      <c r="A1562" s="272" t="s">
        <v>319</v>
      </c>
      <c r="B1562" s="273"/>
      <c r="C1562" s="274" t="s">
        <v>320</v>
      </c>
      <c r="D1562" s="275">
        <f t="shared" ref="D1562" si="149">D1563+D1579+D1592</f>
        <v>0</v>
      </c>
    </row>
    <row r="1563" spans="1:4" ht="12" hidden="1" customHeight="1" outlineLevel="1" x14ac:dyDescent="0.3">
      <c r="A1563" s="227"/>
      <c r="B1563" s="228"/>
      <c r="C1563" s="229" t="s">
        <v>198</v>
      </c>
      <c r="D1563" s="230">
        <f t="shared" ref="D1563" si="150">D1564+D1567+D1573+D1576+D1583+D1588</f>
        <v>0</v>
      </c>
    </row>
    <row r="1564" spans="1:4" ht="12" hidden="1" customHeight="1" outlineLevel="1" x14ac:dyDescent="0.3">
      <c r="A1564" s="227"/>
      <c r="B1564" s="231">
        <v>1000</v>
      </c>
      <c r="C1564" s="232" t="s">
        <v>199</v>
      </c>
      <c r="D1564" s="230">
        <f>SUM(D1565:D1566)</f>
        <v>0</v>
      </c>
    </row>
    <row r="1565" spans="1:4" ht="12" hidden="1" customHeight="1" outlineLevel="1" x14ac:dyDescent="0.3">
      <c r="A1565" s="227"/>
      <c r="B1565" s="234">
        <v>1100</v>
      </c>
      <c r="C1565" s="235" t="s">
        <v>200</v>
      </c>
      <c r="D1565" s="236"/>
    </row>
    <row r="1566" spans="1:4" ht="12" hidden="1" customHeight="1" outlineLevel="1" x14ac:dyDescent="0.3">
      <c r="A1566" s="227"/>
      <c r="B1566" s="234">
        <v>1200</v>
      </c>
      <c r="C1566" s="237" t="s">
        <v>201</v>
      </c>
      <c r="D1566" s="236"/>
    </row>
    <row r="1567" spans="1:4" ht="12" hidden="1" customHeight="1" outlineLevel="1" x14ac:dyDescent="0.3">
      <c r="A1567" s="238"/>
      <c r="B1567" s="239">
        <v>2000</v>
      </c>
      <c r="C1567" s="240" t="s">
        <v>202</v>
      </c>
      <c r="D1567" s="260">
        <f>SUM(D1568:D1572)</f>
        <v>0</v>
      </c>
    </row>
    <row r="1568" spans="1:4" ht="12" hidden="1" customHeight="1" outlineLevel="1" x14ac:dyDescent="0.3">
      <c r="A1568" s="238"/>
      <c r="B1568" s="242">
        <v>2100</v>
      </c>
      <c r="C1568" s="243" t="s">
        <v>203</v>
      </c>
      <c r="D1568" s="244"/>
    </row>
    <row r="1569" spans="1:4" ht="12" hidden="1" customHeight="1" outlineLevel="1" x14ac:dyDescent="0.3">
      <c r="A1569" s="238"/>
      <c r="B1569" s="242">
        <v>2200</v>
      </c>
      <c r="C1569" s="243" t="s">
        <v>204</v>
      </c>
      <c r="D1569" s="244"/>
    </row>
    <row r="1570" spans="1:4" ht="12" hidden="1" customHeight="1" outlineLevel="1" x14ac:dyDescent="0.3">
      <c r="A1570" s="238"/>
      <c r="B1570" s="242">
        <v>2300</v>
      </c>
      <c r="C1570" s="243" t="s">
        <v>205</v>
      </c>
      <c r="D1570" s="244"/>
    </row>
    <row r="1571" spans="1:4" ht="12" hidden="1" customHeight="1" outlineLevel="1" x14ac:dyDescent="0.3">
      <c r="A1571" s="238"/>
      <c r="B1571" s="242">
        <v>2400</v>
      </c>
      <c r="C1571" s="243" t="s">
        <v>206</v>
      </c>
      <c r="D1571" s="244"/>
    </row>
    <row r="1572" spans="1:4" ht="12" hidden="1" customHeight="1" outlineLevel="1" x14ac:dyDescent="0.3">
      <c r="A1572" s="238"/>
      <c r="B1572" s="242">
        <v>2500</v>
      </c>
      <c r="C1572" s="243" t="s">
        <v>207</v>
      </c>
      <c r="D1572" s="244"/>
    </row>
    <row r="1573" spans="1:4" ht="12" hidden="1" customHeight="1" outlineLevel="1" x14ac:dyDescent="0.3">
      <c r="A1573" s="238"/>
      <c r="B1573" s="199">
        <v>3000</v>
      </c>
      <c r="C1573" s="245" t="s">
        <v>208</v>
      </c>
      <c r="D1573" s="260">
        <f>SUM(D1574:D1575)</f>
        <v>0</v>
      </c>
    </row>
    <row r="1574" spans="1:4" ht="12" hidden="1" customHeight="1" outlineLevel="1" x14ac:dyDescent="0.3">
      <c r="A1574" s="238"/>
      <c r="B1574" s="242">
        <v>3200</v>
      </c>
      <c r="C1574" s="243" t="s">
        <v>209</v>
      </c>
      <c r="D1574" s="244"/>
    </row>
    <row r="1575" spans="1:4" ht="12" hidden="1" customHeight="1" outlineLevel="1" x14ac:dyDescent="0.3">
      <c r="A1575" s="238"/>
      <c r="B1575" s="242">
        <v>3300</v>
      </c>
      <c r="C1575" s="243" t="s">
        <v>210</v>
      </c>
      <c r="D1575" s="244"/>
    </row>
    <row r="1576" spans="1:4" ht="12" hidden="1" customHeight="1" outlineLevel="1" x14ac:dyDescent="0.3">
      <c r="A1576" s="238"/>
      <c r="B1576" s="199">
        <v>4000</v>
      </c>
      <c r="C1576" s="246" t="s">
        <v>211</v>
      </c>
      <c r="D1576" s="260">
        <f>SUM(D1577:D1578)</f>
        <v>0</v>
      </c>
    </row>
    <row r="1577" spans="1:4" ht="12" hidden="1" customHeight="1" outlineLevel="1" x14ac:dyDescent="0.3">
      <c r="A1577" s="238"/>
      <c r="B1577" s="242">
        <v>4200</v>
      </c>
      <c r="C1577" s="247" t="s">
        <v>212</v>
      </c>
      <c r="D1577" s="244"/>
    </row>
    <row r="1578" spans="1:4" ht="12" hidden="1" customHeight="1" outlineLevel="1" x14ac:dyDescent="0.3">
      <c r="A1578" s="238"/>
      <c r="B1578" s="242">
        <v>4300</v>
      </c>
      <c r="C1578" s="247" t="s">
        <v>213</v>
      </c>
      <c r="D1578" s="244"/>
    </row>
    <row r="1579" spans="1:4" ht="12" hidden="1" customHeight="1" outlineLevel="1" x14ac:dyDescent="0.3">
      <c r="A1579" s="238"/>
      <c r="B1579" s="199">
        <v>5000</v>
      </c>
      <c r="C1579" s="200" t="s">
        <v>214</v>
      </c>
      <c r="D1579" s="260">
        <f>SUM(D1580:D1582)</f>
        <v>0</v>
      </c>
    </row>
    <row r="1580" spans="1:4" ht="12" hidden="1" customHeight="1" outlineLevel="1" x14ac:dyDescent="0.3">
      <c r="A1580" s="238"/>
      <c r="B1580" s="242">
        <v>5100</v>
      </c>
      <c r="C1580" s="248" t="s">
        <v>215</v>
      </c>
      <c r="D1580" s="260"/>
    </row>
    <row r="1581" spans="1:4" ht="12" hidden="1" customHeight="1" outlineLevel="1" x14ac:dyDescent="0.3">
      <c r="A1581" s="238"/>
      <c r="B1581" s="242">
        <v>5200</v>
      </c>
      <c r="C1581" s="248" t="s">
        <v>216</v>
      </c>
      <c r="D1581" s="260"/>
    </row>
    <row r="1582" spans="1:4" ht="12" hidden="1" customHeight="1" outlineLevel="1" x14ac:dyDescent="0.3">
      <c r="A1582" s="238"/>
      <c r="B1582" s="242">
        <v>5300</v>
      </c>
      <c r="C1582" s="249" t="s">
        <v>217</v>
      </c>
      <c r="D1582" s="260"/>
    </row>
    <row r="1583" spans="1:4" ht="12" hidden="1" customHeight="1" outlineLevel="1" x14ac:dyDescent="0.3">
      <c r="A1583" s="238"/>
      <c r="B1583" s="199">
        <v>6000</v>
      </c>
      <c r="C1583" s="200" t="s">
        <v>218</v>
      </c>
      <c r="D1583" s="260">
        <f>SUM(D1584:D1587)</f>
        <v>0</v>
      </c>
    </row>
    <row r="1584" spans="1:4" ht="12" hidden="1" customHeight="1" outlineLevel="1" x14ac:dyDescent="0.3">
      <c r="A1584" s="238"/>
      <c r="B1584" s="242">
        <v>6200</v>
      </c>
      <c r="C1584" s="248" t="s">
        <v>219</v>
      </c>
      <c r="D1584" s="244"/>
    </row>
    <row r="1585" spans="1:4" ht="12" hidden="1" customHeight="1" outlineLevel="1" x14ac:dyDescent="0.3">
      <c r="A1585" s="238"/>
      <c r="B1585" s="242">
        <v>6300</v>
      </c>
      <c r="C1585" s="248" t="s">
        <v>220</v>
      </c>
      <c r="D1585" s="244"/>
    </row>
    <row r="1586" spans="1:4" ht="12" hidden="1" customHeight="1" outlineLevel="1" x14ac:dyDescent="0.3">
      <c r="A1586" s="238"/>
      <c r="B1586" s="242">
        <v>6400</v>
      </c>
      <c r="C1586" s="248" t="s">
        <v>221</v>
      </c>
      <c r="D1586" s="244"/>
    </row>
    <row r="1587" spans="1:4" ht="12" hidden="1" customHeight="1" outlineLevel="1" x14ac:dyDescent="0.3">
      <c r="A1587" s="238"/>
      <c r="B1587" s="242">
        <v>6500</v>
      </c>
      <c r="C1587" s="249" t="s">
        <v>222</v>
      </c>
      <c r="D1587" s="244"/>
    </row>
    <row r="1588" spans="1:4" ht="12" hidden="1" customHeight="1" outlineLevel="1" x14ac:dyDescent="0.3">
      <c r="A1588" s="238"/>
      <c r="B1588" s="199">
        <v>7000</v>
      </c>
      <c r="C1588" s="200" t="s">
        <v>223</v>
      </c>
      <c r="D1588" s="260">
        <f>SUM(D1589:D1591)</f>
        <v>0</v>
      </c>
    </row>
    <row r="1589" spans="1:4" ht="12" hidden="1" customHeight="1" outlineLevel="1" x14ac:dyDescent="0.3">
      <c r="A1589" s="238"/>
      <c r="B1589" s="250">
        <v>7200</v>
      </c>
      <c r="C1589" s="251" t="s">
        <v>224</v>
      </c>
      <c r="D1589" s="244"/>
    </row>
    <row r="1590" spans="1:4" ht="12" hidden="1" customHeight="1" outlineLevel="1" x14ac:dyDescent="0.3">
      <c r="A1590" s="238"/>
      <c r="B1590" s="250">
        <v>7500</v>
      </c>
      <c r="C1590" s="251" t="s">
        <v>225</v>
      </c>
      <c r="D1590" s="244"/>
    </row>
    <row r="1591" spans="1:4" ht="12" hidden="1" customHeight="1" outlineLevel="1" x14ac:dyDescent="0.3">
      <c r="A1591" s="238"/>
      <c r="B1591" s="250">
        <v>7700</v>
      </c>
      <c r="C1591" s="251" t="s">
        <v>226</v>
      </c>
      <c r="D1591" s="244"/>
    </row>
    <row r="1592" spans="1:4" ht="12" hidden="1" customHeight="1" outlineLevel="1" x14ac:dyDescent="0.3">
      <c r="A1592" s="238"/>
      <c r="B1592" s="252">
        <v>8000</v>
      </c>
      <c r="C1592" s="253" t="s">
        <v>227</v>
      </c>
      <c r="D1592" s="260">
        <f>SUM(D1593:D1595)</f>
        <v>0</v>
      </c>
    </row>
    <row r="1593" spans="1:4" ht="12" hidden="1" customHeight="1" outlineLevel="1" x14ac:dyDescent="0.3">
      <c r="A1593" s="238"/>
      <c r="B1593" s="254">
        <v>8100</v>
      </c>
      <c r="C1593" s="255" t="s">
        <v>228</v>
      </c>
      <c r="D1593" s="260"/>
    </row>
    <row r="1594" spans="1:4" ht="12" hidden="1" customHeight="1" outlineLevel="1" x14ac:dyDescent="0.3">
      <c r="A1594" s="238"/>
      <c r="B1594" s="254">
        <v>8600</v>
      </c>
      <c r="C1594" s="255" t="s">
        <v>229</v>
      </c>
      <c r="D1594" s="260"/>
    </row>
    <row r="1595" spans="1:4" ht="12" hidden="1" customHeight="1" outlineLevel="1" x14ac:dyDescent="0.3">
      <c r="A1595" s="238"/>
      <c r="B1595" s="254">
        <v>8900</v>
      </c>
      <c r="C1595" s="255" t="s">
        <v>230</v>
      </c>
      <c r="D1595" s="260"/>
    </row>
    <row r="1596" spans="1:4" ht="12" hidden="1" customHeight="1" outlineLevel="1" x14ac:dyDescent="0.3">
      <c r="A1596" s="272" t="s">
        <v>321</v>
      </c>
      <c r="B1596" s="273"/>
      <c r="C1596" s="274" t="s">
        <v>322</v>
      </c>
      <c r="D1596" s="275">
        <f t="shared" ref="D1596" si="151">D1597+D1613+D1626</f>
        <v>0</v>
      </c>
    </row>
    <row r="1597" spans="1:4" ht="12" hidden="1" customHeight="1" outlineLevel="1" x14ac:dyDescent="0.3">
      <c r="A1597" s="227"/>
      <c r="B1597" s="228"/>
      <c r="C1597" s="229" t="s">
        <v>198</v>
      </c>
      <c r="D1597" s="230">
        <f t="shared" ref="D1597" si="152">D1598+D1601+D1607+D1610+D1617+D1622</f>
        <v>0</v>
      </c>
    </row>
    <row r="1598" spans="1:4" ht="12" hidden="1" customHeight="1" outlineLevel="1" x14ac:dyDescent="0.3">
      <c r="A1598" s="227"/>
      <c r="B1598" s="231">
        <v>1000</v>
      </c>
      <c r="C1598" s="232" t="s">
        <v>199</v>
      </c>
      <c r="D1598" s="230">
        <f>SUM(D1599:D1600)</f>
        <v>0</v>
      </c>
    </row>
    <row r="1599" spans="1:4" ht="12" hidden="1" customHeight="1" outlineLevel="1" x14ac:dyDescent="0.3">
      <c r="A1599" s="227"/>
      <c r="B1599" s="234">
        <v>1100</v>
      </c>
      <c r="C1599" s="235" t="s">
        <v>200</v>
      </c>
      <c r="D1599" s="236"/>
    </row>
    <row r="1600" spans="1:4" ht="12" hidden="1" customHeight="1" outlineLevel="1" x14ac:dyDescent="0.3">
      <c r="A1600" s="227"/>
      <c r="B1600" s="234">
        <v>1200</v>
      </c>
      <c r="C1600" s="237" t="s">
        <v>201</v>
      </c>
      <c r="D1600" s="236"/>
    </row>
    <row r="1601" spans="1:4" ht="12" hidden="1" customHeight="1" outlineLevel="1" x14ac:dyDescent="0.3">
      <c r="A1601" s="238"/>
      <c r="B1601" s="239">
        <v>2000</v>
      </c>
      <c r="C1601" s="240" t="s">
        <v>202</v>
      </c>
      <c r="D1601" s="260">
        <f>SUM(D1602:D1606)</f>
        <v>0</v>
      </c>
    </row>
    <row r="1602" spans="1:4" ht="12" hidden="1" customHeight="1" outlineLevel="1" x14ac:dyDescent="0.3">
      <c r="A1602" s="238"/>
      <c r="B1602" s="242">
        <v>2100</v>
      </c>
      <c r="C1602" s="243" t="s">
        <v>203</v>
      </c>
      <c r="D1602" s="244"/>
    </row>
    <row r="1603" spans="1:4" ht="12" hidden="1" customHeight="1" outlineLevel="1" x14ac:dyDescent="0.3">
      <c r="A1603" s="238"/>
      <c r="B1603" s="242">
        <v>2200</v>
      </c>
      <c r="C1603" s="243" t="s">
        <v>204</v>
      </c>
      <c r="D1603" s="244"/>
    </row>
    <row r="1604" spans="1:4" ht="12" hidden="1" customHeight="1" outlineLevel="1" x14ac:dyDescent="0.3">
      <c r="A1604" s="238"/>
      <c r="B1604" s="242">
        <v>2300</v>
      </c>
      <c r="C1604" s="243" t="s">
        <v>205</v>
      </c>
      <c r="D1604" s="244"/>
    </row>
    <row r="1605" spans="1:4" ht="12" hidden="1" customHeight="1" outlineLevel="1" x14ac:dyDescent="0.3">
      <c r="A1605" s="238"/>
      <c r="B1605" s="242">
        <v>2400</v>
      </c>
      <c r="C1605" s="243" t="s">
        <v>206</v>
      </c>
      <c r="D1605" s="244"/>
    </row>
    <row r="1606" spans="1:4" ht="12" hidden="1" customHeight="1" outlineLevel="1" x14ac:dyDescent="0.3">
      <c r="A1606" s="238"/>
      <c r="B1606" s="242">
        <v>2500</v>
      </c>
      <c r="C1606" s="243" t="s">
        <v>207</v>
      </c>
      <c r="D1606" s="244"/>
    </row>
    <row r="1607" spans="1:4" ht="12" hidden="1" customHeight="1" outlineLevel="1" x14ac:dyDescent="0.3">
      <c r="A1607" s="238"/>
      <c r="B1607" s="199">
        <v>3000</v>
      </c>
      <c r="C1607" s="245" t="s">
        <v>208</v>
      </c>
      <c r="D1607" s="260">
        <f>SUM(D1608:D1609)</f>
        <v>0</v>
      </c>
    </row>
    <row r="1608" spans="1:4" ht="12" hidden="1" customHeight="1" outlineLevel="1" x14ac:dyDescent="0.3">
      <c r="A1608" s="238"/>
      <c r="B1608" s="242">
        <v>3200</v>
      </c>
      <c r="C1608" s="243" t="s">
        <v>209</v>
      </c>
      <c r="D1608" s="244"/>
    </row>
    <row r="1609" spans="1:4" ht="12" hidden="1" customHeight="1" outlineLevel="1" x14ac:dyDescent="0.3">
      <c r="A1609" s="238"/>
      <c r="B1609" s="242">
        <v>3300</v>
      </c>
      <c r="C1609" s="243" t="s">
        <v>210</v>
      </c>
      <c r="D1609" s="244"/>
    </row>
    <row r="1610" spans="1:4" ht="12" hidden="1" customHeight="1" outlineLevel="1" x14ac:dyDescent="0.3">
      <c r="A1610" s="238"/>
      <c r="B1610" s="199">
        <v>4000</v>
      </c>
      <c r="C1610" s="246" t="s">
        <v>211</v>
      </c>
      <c r="D1610" s="260">
        <f>SUM(D1611:D1612)</f>
        <v>0</v>
      </c>
    </row>
    <row r="1611" spans="1:4" ht="12" hidden="1" customHeight="1" outlineLevel="1" x14ac:dyDescent="0.3">
      <c r="A1611" s="238"/>
      <c r="B1611" s="242">
        <v>4200</v>
      </c>
      <c r="C1611" s="247" t="s">
        <v>212</v>
      </c>
      <c r="D1611" s="244"/>
    </row>
    <row r="1612" spans="1:4" ht="12" hidden="1" customHeight="1" outlineLevel="1" x14ac:dyDescent="0.3">
      <c r="A1612" s="238"/>
      <c r="B1612" s="242">
        <v>4300</v>
      </c>
      <c r="C1612" s="247" t="s">
        <v>213</v>
      </c>
      <c r="D1612" s="244"/>
    </row>
    <row r="1613" spans="1:4" ht="12" hidden="1" customHeight="1" outlineLevel="1" x14ac:dyDescent="0.3">
      <c r="A1613" s="238"/>
      <c r="B1613" s="199">
        <v>5000</v>
      </c>
      <c r="C1613" s="200" t="s">
        <v>214</v>
      </c>
      <c r="D1613" s="260">
        <f>SUM(D1614:D1616)</f>
        <v>0</v>
      </c>
    </row>
    <row r="1614" spans="1:4" ht="12" hidden="1" customHeight="1" outlineLevel="1" x14ac:dyDescent="0.3">
      <c r="A1614" s="238"/>
      <c r="B1614" s="242">
        <v>5100</v>
      </c>
      <c r="C1614" s="248" t="s">
        <v>215</v>
      </c>
      <c r="D1614" s="260"/>
    </row>
    <row r="1615" spans="1:4" ht="12" hidden="1" customHeight="1" outlineLevel="1" x14ac:dyDescent="0.3">
      <c r="A1615" s="238"/>
      <c r="B1615" s="242">
        <v>5200</v>
      </c>
      <c r="C1615" s="248" t="s">
        <v>216</v>
      </c>
      <c r="D1615" s="260"/>
    </row>
    <row r="1616" spans="1:4" ht="12" hidden="1" customHeight="1" outlineLevel="1" x14ac:dyDescent="0.3">
      <c r="A1616" s="238"/>
      <c r="B1616" s="242">
        <v>5300</v>
      </c>
      <c r="C1616" s="249" t="s">
        <v>217</v>
      </c>
      <c r="D1616" s="260"/>
    </row>
    <row r="1617" spans="1:4" ht="12" hidden="1" customHeight="1" outlineLevel="1" x14ac:dyDescent="0.3">
      <c r="A1617" s="238"/>
      <c r="B1617" s="199">
        <v>6000</v>
      </c>
      <c r="C1617" s="200" t="s">
        <v>218</v>
      </c>
      <c r="D1617" s="260">
        <f>SUM(D1618:D1621)</f>
        <v>0</v>
      </c>
    </row>
    <row r="1618" spans="1:4" ht="12" hidden="1" customHeight="1" outlineLevel="1" x14ac:dyDescent="0.3">
      <c r="A1618" s="238"/>
      <c r="B1618" s="242">
        <v>6200</v>
      </c>
      <c r="C1618" s="248" t="s">
        <v>219</v>
      </c>
      <c r="D1618" s="244"/>
    </row>
    <row r="1619" spans="1:4" ht="12" hidden="1" customHeight="1" outlineLevel="1" x14ac:dyDescent="0.3">
      <c r="A1619" s="238"/>
      <c r="B1619" s="242">
        <v>6300</v>
      </c>
      <c r="C1619" s="248" t="s">
        <v>220</v>
      </c>
      <c r="D1619" s="244"/>
    </row>
    <row r="1620" spans="1:4" ht="12" hidden="1" customHeight="1" outlineLevel="1" x14ac:dyDescent="0.3">
      <c r="A1620" s="238"/>
      <c r="B1620" s="242">
        <v>6400</v>
      </c>
      <c r="C1620" s="248" t="s">
        <v>221</v>
      </c>
      <c r="D1620" s="244"/>
    </row>
    <row r="1621" spans="1:4" ht="12" hidden="1" customHeight="1" outlineLevel="1" x14ac:dyDescent="0.3">
      <c r="A1621" s="238"/>
      <c r="B1621" s="242">
        <v>6500</v>
      </c>
      <c r="C1621" s="249" t="s">
        <v>222</v>
      </c>
      <c r="D1621" s="244"/>
    </row>
    <row r="1622" spans="1:4" ht="12" hidden="1" customHeight="1" outlineLevel="1" x14ac:dyDescent="0.3">
      <c r="A1622" s="238"/>
      <c r="B1622" s="199">
        <v>7000</v>
      </c>
      <c r="C1622" s="200" t="s">
        <v>223</v>
      </c>
      <c r="D1622" s="260">
        <f>SUM(D1623:D1625)</f>
        <v>0</v>
      </c>
    </row>
    <row r="1623" spans="1:4" ht="12" hidden="1" customHeight="1" outlineLevel="1" x14ac:dyDescent="0.3">
      <c r="A1623" s="238"/>
      <c r="B1623" s="250">
        <v>7200</v>
      </c>
      <c r="C1623" s="251" t="s">
        <v>224</v>
      </c>
      <c r="D1623" s="244"/>
    </row>
    <row r="1624" spans="1:4" ht="12" hidden="1" customHeight="1" outlineLevel="1" x14ac:dyDescent="0.3">
      <c r="A1624" s="238"/>
      <c r="B1624" s="250">
        <v>7500</v>
      </c>
      <c r="C1624" s="251" t="s">
        <v>225</v>
      </c>
      <c r="D1624" s="244"/>
    </row>
    <row r="1625" spans="1:4" ht="12" hidden="1" customHeight="1" outlineLevel="1" x14ac:dyDescent="0.3">
      <c r="A1625" s="238"/>
      <c r="B1625" s="250">
        <v>7700</v>
      </c>
      <c r="C1625" s="251" t="s">
        <v>226</v>
      </c>
      <c r="D1625" s="244"/>
    </row>
    <row r="1626" spans="1:4" ht="12" hidden="1" customHeight="1" outlineLevel="1" x14ac:dyDescent="0.3">
      <c r="A1626" s="238"/>
      <c r="B1626" s="252">
        <v>8000</v>
      </c>
      <c r="C1626" s="253" t="s">
        <v>227</v>
      </c>
      <c r="D1626" s="260">
        <f>SUM(D1627:D1629)</f>
        <v>0</v>
      </c>
    </row>
    <row r="1627" spans="1:4" ht="12" hidden="1" customHeight="1" outlineLevel="1" x14ac:dyDescent="0.3">
      <c r="A1627" s="238"/>
      <c r="B1627" s="254">
        <v>8100</v>
      </c>
      <c r="C1627" s="255" t="s">
        <v>228</v>
      </c>
      <c r="D1627" s="260"/>
    </row>
    <row r="1628" spans="1:4" ht="12" hidden="1" customHeight="1" outlineLevel="1" x14ac:dyDescent="0.3">
      <c r="A1628" s="238"/>
      <c r="B1628" s="254">
        <v>8600</v>
      </c>
      <c r="C1628" s="255" t="s">
        <v>229</v>
      </c>
      <c r="D1628" s="260"/>
    </row>
    <row r="1629" spans="1:4" ht="12" hidden="1" customHeight="1" outlineLevel="1" x14ac:dyDescent="0.3">
      <c r="A1629" s="238"/>
      <c r="B1629" s="254">
        <v>8900</v>
      </c>
      <c r="C1629" s="255" t="s">
        <v>230</v>
      </c>
      <c r="D1629" s="260"/>
    </row>
    <row r="1630" spans="1:4" ht="12" hidden="1" customHeight="1" outlineLevel="1" x14ac:dyDescent="0.3">
      <c r="A1630" s="272" t="s">
        <v>323</v>
      </c>
      <c r="B1630" s="273"/>
      <c r="C1630" s="274" t="s">
        <v>324</v>
      </c>
      <c r="D1630" s="275">
        <f t="shared" ref="D1630" si="153">D1631+D1647+D1660</f>
        <v>0</v>
      </c>
    </row>
    <row r="1631" spans="1:4" ht="12" hidden="1" customHeight="1" outlineLevel="1" x14ac:dyDescent="0.3">
      <c r="A1631" s="227"/>
      <c r="B1631" s="228"/>
      <c r="C1631" s="229" t="s">
        <v>198</v>
      </c>
      <c r="D1631" s="230">
        <f t="shared" ref="D1631" si="154">D1632+D1635+D1641+D1644+D1651+D1656</f>
        <v>0</v>
      </c>
    </row>
    <row r="1632" spans="1:4" ht="12" hidden="1" customHeight="1" outlineLevel="1" x14ac:dyDescent="0.3">
      <c r="A1632" s="227"/>
      <c r="B1632" s="231">
        <v>1000</v>
      </c>
      <c r="C1632" s="232" t="s">
        <v>199</v>
      </c>
      <c r="D1632" s="230">
        <f>SUM(D1633:D1634)</f>
        <v>0</v>
      </c>
    </row>
    <row r="1633" spans="1:4" ht="12" hidden="1" customHeight="1" outlineLevel="1" x14ac:dyDescent="0.3">
      <c r="A1633" s="227"/>
      <c r="B1633" s="234">
        <v>1100</v>
      </c>
      <c r="C1633" s="235" t="s">
        <v>200</v>
      </c>
      <c r="D1633" s="236"/>
    </row>
    <row r="1634" spans="1:4" ht="12" hidden="1" customHeight="1" outlineLevel="1" x14ac:dyDescent="0.3">
      <c r="A1634" s="227"/>
      <c r="B1634" s="234">
        <v>1200</v>
      </c>
      <c r="C1634" s="237" t="s">
        <v>201</v>
      </c>
      <c r="D1634" s="236"/>
    </row>
    <row r="1635" spans="1:4" ht="12" hidden="1" customHeight="1" outlineLevel="1" x14ac:dyDescent="0.3">
      <c r="A1635" s="238"/>
      <c r="B1635" s="239">
        <v>2000</v>
      </c>
      <c r="C1635" s="240" t="s">
        <v>202</v>
      </c>
      <c r="D1635" s="260">
        <f>SUM(D1636:D1640)</f>
        <v>0</v>
      </c>
    </row>
    <row r="1636" spans="1:4" ht="12" hidden="1" customHeight="1" outlineLevel="1" x14ac:dyDescent="0.3">
      <c r="A1636" s="238"/>
      <c r="B1636" s="242">
        <v>2100</v>
      </c>
      <c r="C1636" s="243" t="s">
        <v>203</v>
      </c>
      <c r="D1636" s="244"/>
    </row>
    <row r="1637" spans="1:4" ht="12" hidden="1" customHeight="1" outlineLevel="1" x14ac:dyDescent="0.3">
      <c r="A1637" s="238"/>
      <c r="B1637" s="242">
        <v>2200</v>
      </c>
      <c r="C1637" s="243" t="s">
        <v>204</v>
      </c>
      <c r="D1637" s="244"/>
    </row>
    <row r="1638" spans="1:4" ht="12" hidden="1" customHeight="1" outlineLevel="1" x14ac:dyDescent="0.3">
      <c r="A1638" s="238"/>
      <c r="B1638" s="242">
        <v>2300</v>
      </c>
      <c r="C1638" s="243" t="s">
        <v>205</v>
      </c>
      <c r="D1638" s="244"/>
    </row>
    <row r="1639" spans="1:4" ht="12" hidden="1" customHeight="1" outlineLevel="1" x14ac:dyDescent="0.3">
      <c r="A1639" s="238"/>
      <c r="B1639" s="242">
        <v>2400</v>
      </c>
      <c r="C1639" s="243" t="s">
        <v>206</v>
      </c>
      <c r="D1639" s="244"/>
    </row>
    <row r="1640" spans="1:4" ht="12" hidden="1" customHeight="1" outlineLevel="1" x14ac:dyDescent="0.3">
      <c r="A1640" s="238"/>
      <c r="B1640" s="242">
        <v>2500</v>
      </c>
      <c r="C1640" s="243" t="s">
        <v>207</v>
      </c>
      <c r="D1640" s="244"/>
    </row>
    <row r="1641" spans="1:4" ht="12" hidden="1" customHeight="1" outlineLevel="1" x14ac:dyDescent="0.3">
      <c r="A1641" s="238"/>
      <c r="B1641" s="199">
        <v>3000</v>
      </c>
      <c r="C1641" s="245" t="s">
        <v>208</v>
      </c>
      <c r="D1641" s="260">
        <f>SUM(D1642:D1643)</f>
        <v>0</v>
      </c>
    </row>
    <row r="1642" spans="1:4" ht="12" hidden="1" customHeight="1" outlineLevel="1" x14ac:dyDescent="0.3">
      <c r="A1642" s="238"/>
      <c r="B1642" s="242">
        <v>3200</v>
      </c>
      <c r="C1642" s="243" t="s">
        <v>209</v>
      </c>
      <c r="D1642" s="244"/>
    </row>
    <row r="1643" spans="1:4" ht="12" hidden="1" customHeight="1" outlineLevel="1" x14ac:dyDescent="0.3">
      <c r="A1643" s="238"/>
      <c r="B1643" s="242">
        <v>3300</v>
      </c>
      <c r="C1643" s="243" t="s">
        <v>210</v>
      </c>
      <c r="D1643" s="244"/>
    </row>
    <row r="1644" spans="1:4" ht="12" hidden="1" customHeight="1" outlineLevel="1" x14ac:dyDescent="0.3">
      <c r="A1644" s="238"/>
      <c r="B1644" s="199">
        <v>4000</v>
      </c>
      <c r="C1644" s="246" t="s">
        <v>211</v>
      </c>
      <c r="D1644" s="260">
        <f>SUM(D1645:D1646)</f>
        <v>0</v>
      </c>
    </row>
    <row r="1645" spans="1:4" ht="12" hidden="1" customHeight="1" outlineLevel="1" x14ac:dyDescent="0.3">
      <c r="A1645" s="238"/>
      <c r="B1645" s="242">
        <v>4200</v>
      </c>
      <c r="C1645" s="247" t="s">
        <v>212</v>
      </c>
      <c r="D1645" s="244"/>
    </row>
    <row r="1646" spans="1:4" ht="12" hidden="1" customHeight="1" outlineLevel="1" x14ac:dyDescent="0.3">
      <c r="A1646" s="238"/>
      <c r="B1646" s="242">
        <v>4300</v>
      </c>
      <c r="C1646" s="247" t="s">
        <v>213</v>
      </c>
      <c r="D1646" s="244"/>
    </row>
    <row r="1647" spans="1:4" ht="12" hidden="1" customHeight="1" outlineLevel="1" x14ac:dyDescent="0.3">
      <c r="A1647" s="238"/>
      <c r="B1647" s="199">
        <v>5000</v>
      </c>
      <c r="C1647" s="200" t="s">
        <v>214</v>
      </c>
      <c r="D1647" s="260">
        <f>SUM(D1648:D1650)</f>
        <v>0</v>
      </c>
    </row>
    <row r="1648" spans="1:4" ht="12" hidden="1" customHeight="1" outlineLevel="1" x14ac:dyDescent="0.3">
      <c r="A1648" s="238"/>
      <c r="B1648" s="242">
        <v>5100</v>
      </c>
      <c r="C1648" s="248" t="s">
        <v>215</v>
      </c>
      <c r="D1648" s="260"/>
    </row>
    <row r="1649" spans="1:4" ht="12" hidden="1" customHeight="1" outlineLevel="1" x14ac:dyDescent="0.3">
      <c r="A1649" s="238"/>
      <c r="B1649" s="242">
        <v>5200</v>
      </c>
      <c r="C1649" s="248" t="s">
        <v>216</v>
      </c>
      <c r="D1649" s="260"/>
    </row>
    <row r="1650" spans="1:4" ht="12" hidden="1" customHeight="1" outlineLevel="1" x14ac:dyDescent="0.3">
      <c r="A1650" s="238"/>
      <c r="B1650" s="242">
        <v>5300</v>
      </c>
      <c r="C1650" s="249" t="s">
        <v>217</v>
      </c>
      <c r="D1650" s="260"/>
    </row>
    <row r="1651" spans="1:4" ht="12" hidden="1" customHeight="1" outlineLevel="1" x14ac:dyDescent="0.3">
      <c r="A1651" s="238"/>
      <c r="B1651" s="199">
        <v>6000</v>
      </c>
      <c r="C1651" s="200" t="s">
        <v>218</v>
      </c>
      <c r="D1651" s="260">
        <f>SUM(D1652:D1655)</f>
        <v>0</v>
      </c>
    </row>
    <row r="1652" spans="1:4" ht="12" hidden="1" customHeight="1" outlineLevel="1" x14ac:dyDescent="0.3">
      <c r="A1652" s="238"/>
      <c r="B1652" s="242">
        <v>6200</v>
      </c>
      <c r="C1652" s="248" t="s">
        <v>219</v>
      </c>
      <c r="D1652" s="244"/>
    </row>
    <row r="1653" spans="1:4" ht="12" hidden="1" customHeight="1" outlineLevel="1" x14ac:dyDescent="0.3">
      <c r="A1653" s="238"/>
      <c r="B1653" s="242">
        <v>6300</v>
      </c>
      <c r="C1653" s="248" t="s">
        <v>220</v>
      </c>
      <c r="D1653" s="244"/>
    </row>
    <row r="1654" spans="1:4" ht="12" hidden="1" customHeight="1" outlineLevel="1" x14ac:dyDescent="0.3">
      <c r="A1654" s="238"/>
      <c r="B1654" s="242">
        <v>6400</v>
      </c>
      <c r="C1654" s="248" t="s">
        <v>221</v>
      </c>
      <c r="D1654" s="244"/>
    </row>
    <row r="1655" spans="1:4" ht="12" hidden="1" customHeight="1" outlineLevel="1" x14ac:dyDescent="0.3">
      <c r="A1655" s="238"/>
      <c r="B1655" s="242">
        <v>6500</v>
      </c>
      <c r="C1655" s="249" t="s">
        <v>222</v>
      </c>
      <c r="D1655" s="244"/>
    </row>
    <row r="1656" spans="1:4" ht="12" hidden="1" customHeight="1" outlineLevel="1" x14ac:dyDescent="0.3">
      <c r="A1656" s="238"/>
      <c r="B1656" s="199">
        <v>7000</v>
      </c>
      <c r="C1656" s="200" t="s">
        <v>223</v>
      </c>
      <c r="D1656" s="260">
        <f>SUM(D1657:D1659)</f>
        <v>0</v>
      </c>
    </row>
    <row r="1657" spans="1:4" ht="12" hidden="1" customHeight="1" outlineLevel="1" x14ac:dyDescent="0.3">
      <c r="A1657" s="238"/>
      <c r="B1657" s="250">
        <v>7200</v>
      </c>
      <c r="C1657" s="251" t="s">
        <v>224</v>
      </c>
      <c r="D1657" s="244"/>
    </row>
    <row r="1658" spans="1:4" ht="12" hidden="1" customHeight="1" outlineLevel="1" x14ac:dyDescent="0.3">
      <c r="A1658" s="238"/>
      <c r="B1658" s="250">
        <v>7500</v>
      </c>
      <c r="C1658" s="251" t="s">
        <v>225</v>
      </c>
      <c r="D1658" s="244"/>
    </row>
    <row r="1659" spans="1:4" ht="12" hidden="1" customHeight="1" outlineLevel="1" x14ac:dyDescent="0.3">
      <c r="A1659" s="238"/>
      <c r="B1659" s="250">
        <v>7700</v>
      </c>
      <c r="C1659" s="251" t="s">
        <v>226</v>
      </c>
      <c r="D1659" s="244"/>
    </row>
    <row r="1660" spans="1:4" ht="12" hidden="1" customHeight="1" outlineLevel="1" x14ac:dyDescent="0.3">
      <c r="A1660" s="238"/>
      <c r="B1660" s="252">
        <v>8000</v>
      </c>
      <c r="C1660" s="253" t="s">
        <v>227</v>
      </c>
      <c r="D1660" s="260">
        <f>SUM(D1661:D1663)</f>
        <v>0</v>
      </c>
    </row>
    <row r="1661" spans="1:4" ht="12" hidden="1" customHeight="1" outlineLevel="1" x14ac:dyDescent="0.3">
      <c r="A1661" s="238"/>
      <c r="B1661" s="254">
        <v>8100</v>
      </c>
      <c r="C1661" s="255" t="s">
        <v>228</v>
      </c>
      <c r="D1661" s="260"/>
    </row>
    <row r="1662" spans="1:4" ht="12" hidden="1" customHeight="1" outlineLevel="1" x14ac:dyDescent="0.3">
      <c r="A1662" s="238"/>
      <c r="B1662" s="254">
        <v>8600</v>
      </c>
      <c r="C1662" s="255" t="s">
        <v>229</v>
      </c>
      <c r="D1662" s="260"/>
    </row>
    <row r="1663" spans="1:4" ht="12" hidden="1" customHeight="1" outlineLevel="1" x14ac:dyDescent="0.3">
      <c r="A1663" s="238"/>
      <c r="B1663" s="254">
        <v>8900</v>
      </c>
      <c r="C1663" s="255" t="s">
        <v>230</v>
      </c>
      <c r="D1663" s="260"/>
    </row>
    <row r="1664" spans="1:4" ht="12" hidden="1" customHeight="1" outlineLevel="1" x14ac:dyDescent="0.3">
      <c r="A1664" s="272" t="s">
        <v>325</v>
      </c>
      <c r="B1664" s="273"/>
      <c r="C1664" s="274" t="s">
        <v>326</v>
      </c>
      <c r="D1664" s="275">
        <f t="shared" ref="D1664" si="155">D1665+D1681+D1694</f>
        <v>0</v>
      </c>
    </row>
    <row r="1665" spans="1:4" ht="10.5" hidden="1" customHeight="1" outlineLevel="1" x14ac:dyDescent="0.3">
      <c r="A1665" s="227"/>
      <c r="B1665" s="228"/>
      <c r="C1665" s="229" t="s">
        <v>198</v>
      </c>
      <c r="D1665" s="230">
        <f t="shared" ref="D1665" si="156">D1666+D1669+D1675+D1678+D1685+D1690</f>
        <v>0</v>
      </c>
    </row>
    <row r="1666" spans="1:4" ht="12" hidden="1" customHeight="1" outlineLevel="1" x14ac:dyDescent="0.3">
      <c r="A1666" s="227"/>
      <c r="B1666" s="231">
        <v>1000</v>
      </c>
      <c r="C1666" s="232" t="s">
        <v>199</v>
      </c>
      <c r="D1666" s="230">
        <f>SUM(D1667:D1668)</f>
        <v>0</v>
      </c>
    </row>
    <row r="1667" spans="1:4" ht="12" hidden="1" customHeight="1" outlineLevel="1" x14ac:dyDescent="0.3">
      <c r="A1667" s="227"/>
      <c r="B1667" s="234">
        <v>1100</v>
      </c>
      <c r="C1667" s="235" t="s">
        <v>200</v>
      </c>
      <c r="D1667" s="236"/>
    </row>
    <row r="1668" spans="1:4" ht="12" hidden="1" customHeight="1" outlineLevel="1" x14ac:dyDescent="0.3">
      <c r="A1668" s="227"/>
      <c r="B1668" s="234">
        <v>1200</v>
      </c>
      <c r="C1668" s="237" t="s">
        <v>201</v>
      </c>
      <c r="D1668" s="236"/>
    </row>
    <row r="1669" spans="1:4" ht="12" hidden="1" customHeight="1" outlineLevel="1" x14ac:dyDescent="0.3">
      <c r="A1669" s="238"/>
      <c r="B1669" s="239">
        <v>2000</v>
      </c>
      <c r="C1669" s="240" t="s">
        <v>202</v>
      </c>
      <c r="D1669" s="260">
        <f>SUM(D1670:D1674)</f>
        <v>0</v>
      </c>
    </row>
    <row r="1670" spans="1:4" ht="12" hidden="1" customHeight="1" outlineLevel="1" x14ac:dyDescent="0.3">
      <c r="A1670" s="238"/>
      <c r="B1670" s="242">
        <v>2100</v>
      </c>
      <c r="C1670" s="243" t="s">
        <v>203</v>
      </c>
      <c r="D1670" s="244"/>
    </row>
    <row r="1671" spans="1:4" ht="12" hidden="1" customHeight="1" outlineLevel="1" x14ac:dyDescent="0.3">
      <c r="A1671" s="238"/>
      <c r="B1671" s="242">
        <v>2200</v>
      </c>
      <c r="C1671" s="243" t="s">
        <v>204</v>
      </c>
      <c r="D1671" s="244"/>
    </row>
    <row r="1672" spans="1:4" ht="12" hidden="1" customHeight="1" outlineLevel="1" x14ac:dyDescent="0.3">
      <c r="A1672" s="238"/>
      <c r="B1672" s="242">
        <v>2300</v>
      </c>
      <c r="C1672" s="243" t="s">
        <v>205</v>
      </c>
      <c r="D1672" s="244"/>
    </row>
    <row r="1673" spans="1:4" ht="12" hidden="1" customHeight="1" outlineLevel="1" x14ac:dyDescent="0.3">
      <c r="A1673" s="238"/>
      <c r="B1673" s="242">
        <v>2400</v>
      </c>
      <c r="C1673" s="243" t="s">
        <v>206</v>
      </c>
      <c r="D1673" s="244"/>
    </row>
    <row r="1674" spans="1:4" ht="12" hidden="1" customHeight="1" outlineLevel="1" x14ac:dyDescent="0.3">
      <c r="A1674" s="238"/>
      <c r="B1674" s="242">
        <v>2500</v>
      </c>
      <c r="C1674" s="243" t="s">
        <v>207</v>
      </c>
      <c r="D1674" s="244"/>
    </row>
    <row r="1675" spans="1:4" ht="12" hidden="1" customHeight="1" outlineLevel="1" x14ac:dyDescent="0.3">
      <c r="A1675" s="238"/>
      <c r="B1675" s="199">
        <v>3000</v>
      </c>
      <c r="C1675" s="245" t="s">
        <v>208</v>
      </c>
      <c r="D1675" s="260">
        <f>SUM(D1676:D1677)</f>
        <v>0</v>
      </c>
    </row>
    <row r="1676" spans="1:4" ht="12" hidden="1" customHeight="1" outlineLevel="1" x14ac:dyDescent="0.3">
      <c r="A1676" s="238"/>
      <c r="B1676" s="242">
        <v>3200</v>
      </c>
      <c r="C1676" s="243" t="s">
        <v>209</v>
      </c>
      <c r="D1676" s="244"/>
    </row>
    <row r="1677" spans="1:4" ht="12" hidden="1" customHeight="1" outlineLevel="1" x14ac:dyDescent="0.3">
      <c r="A1677" s="238"/>
      <c r="B1677" s="242">
        <v>3300</v>
      </c>
      <c r="C1677" s="243" t="s">
        <v>210</v>
      </c>
      <c r="D1677" s="244"/>
    </row>
    <row r="1678" spans="1:4" ht="12" hidden="1" customHeight="1" outlineLevel="1" x14ac:dyDescent="0.3">
      <c r="A1678" s="238"/>
      <c r="B1678" s="199">
        <v>4000</v>
      </c>
      <c r="C1678" s="246" t="s">
        <v>211</v>
      </c>
      <c r="D1678" s="260">
        <f>SUM(D1679:D1680)</f>
        <v>0</v>
      </c>
    </row>
    <row r="1679" spans="1:4" ht="12" hidden="1" customHeight="1" outlineLevel="1" x14ac:dyDescent="0.3">
      <c r="A1679" s="238"/>
      <c r="B1679" s="242">
        <v>4200</v>
      </c>
      <c r="C1679" s="247" t="s">
        <v>212</v>
      </c>
      <c r="D1679" s="244"/>
    </row>
    <row r="1680" spans="1:4" ht="12" hidden="1" customHeight="1" outlineLevel="1" x14ac:dyDescent="0.3">
      <c r="A1680" s="238"/>
      <c r="B1680" s="242">
        <v>4300</v>
      </c>
      <c r="C1680" s="247" t="s">
        <v>213</v>
      </c>
      <c r="D1680" s="244"/>
    </row>
    <row r="1681" spans="1:4" ht="12" hidden="1" customHeight="1" outlineLevel="1" x14ac:dyDescent="0.3">
      <c r="A1681" s="238"/>
      <c r="B1681" s="199">
        <v>5000</v>
      </c>
      <c r="C1681" s="200" t="s">
        <v>214</v>
      </c>
      <c r="D1681" s="260">
        <f>SUM(D1682:D1684)</f>
        <v>0</v>
      </c>
    </row>
    <row r="1682" spans="1:4" ht="12" hidden="1" customHeight="1" outlineLevel="1" x14ac:dyDescent="0.3">
      <c r="A1682" s="238"/>
      <c r="B1682" s="242">
        <v>5100</v>
      </c>
      <c r="C1682" s="248" t="s">
        <v>215</v>
      </c>
      <c r="D1682" s="260"/>
    </row>
    <row r="1683" spans="1:4" ht="12" hidden="1" customHeight="1" outlineLevel="1" x14ac:dyDescent="0.3">
      <c r="A1683" s="238"/>
      <c r="B1683" s="242">
        <v>5200</v>
      </c>
      <c r="C1683" s="248" t="s">
        <v>216</v>
      </c>
      <c r="D1683" s="260"/>
    </row>
    <row r="1684" spans="1:4" ht="12" hidden="1" customHeight="1" outlineLevel="1" x14ac:dyDescent="0.3">
      <c r="A1684" s="238"/>
      <c r="B1684" s="242">
        <v>5300</v>
      </c>
      <c r="C1684" s="249" t="s">
        <v>217</v>
      </c>
      <c r="D1684" s="260"/>
    </row>
    <row r="1685" spans="1:4" ht="12" hidden="1" customHeight="1" outlineLevel="1" x14ac:dyDescent="0.3">
      <c r="A1685" s="238"/>
      <c r="B1685" s="199">
        <v>6000</v>
      </c>
      <c r="C1685" s="200" t="s">
        <v>218</v>
      </c>
      <c r="D1685" s="260">
        <f>SUM(D1686:D1689)</f>
        <v>0</v>
      </c>
    </row>
    <row r="1686" spans="1:4" ht="12" hidden="1" customHeight="1" outlineLevel="1" x14ac:dyDescent="0.3">
      <c r="A1686" s="238"/>
      <c r="B1686" s="242">
        <v>6200</v>
      </c>
      <c r="C1686" s="248" t="s">
        <v>219</v>
      </c>
      <c r="D1686" s="244"/>
    </row>
    <row r="1687" spans="1:4" ht="12" hidden="1" customHeight="1" outlineLevel="1" x14ac:dyDescent="0.3">
      <c r="A1687" s="238"/>
      <c r="B1687" s="242">
        <v>6300</v>
      </c>
      <c r="C1687" s="248" t="s">
        <v>220</v>
      </c>
      <c r="D1687" s="244"/>
    </row>
    <row r="1688" spans="1:4" ht="12" hidden="1" customHeight="1" outlineLevel="1" x14ac:dyDescent="0.3">
      <c r="A1688" s="238"/>
      <c r="B1688" s="242">
        <v>6400</v>
      </c>
      <c r="C1688" s="248" t="s">
        <v>221</v>
      </c>
      <c r="D1688" s="244"/>
    </row>
    <row r="1689" spans="1:4" ht="12" hidden="1" customHeight="1" outlineLevel="1" x14ac:dyDescent="0.3">
      <c r="A1689" s="238"/>
      <c r="B1689" s="242">
        <v>6500</v>
      </c>
      <c r="C1689" s="249" t="s">
        <v>222</v>
      </c>
      <c r="D1689" s="244"/>
    </row>
    <row r="1690" spans="1:4" ht="12" hidden="1" customHeight="1" outlineLevel="1" x14ac:dyDescent="0.3">
      <c r="A1690" s="238"/>
      <c r="B1690" s="199">
        <v>7000</v>
      </c>
      <c r="C1690" s="200" t="s">
        <v>223</v>
      </c>
      <c r="D1690" s="260">
        <f>SUM(D1691:D1693)</f>
        <v>0</v>
      </c>
    </row>
    <row r="1691" spans="1:4" ht="12" hidden="1" customHeight="1" outlineLevel="1" x14ac:dyDescent="0.3">
      <c r="A1691" s="238"/>
      <c r="B1691" s="250">
        <v>7200</v>
      </c>
      <c r="C1691" s="251" t="s">
        <v>224</v>
      </c>
      <c r="D1691" s="244"/>
    </row>
    <row r="1692" spans="1:4" ht="12" hidden="1" customHeight="1" outlineLevel="1" x14ac:dyDescent="0.3">
      <c r="A1692" s="238"/>
      <c r="B1692" s="250">
        <v>7500</v>
      </c>
      <c r="C1692" s="251" t="s">
        <v>225</v>
      </c>
      <c r="D1692" s="244"/>
    </row>
    <row r="1693" spans="1:4" ht="12" hidden="1" customHeight="1" outlineLevel="1" x14ac:dyDescent="0.3">
      <c r="A1693" s="238"/>
      <c r="B1693" s="250">
        <v>7700</v>
      </c>
      <c r="C1693" s="251" t="s">
        <v>226</v>
      </c>
      <c r="D1693" s="244"/>
    </row>
    <row r="1694" spans="1:4" ht="12" hidden="1" customHeight="1" outlineLevel="1" x14ac:dyDescent="0.3">
      <c r="A1694" s="238"/>
      <c r="B1694" s="252">
        <v>8000</v>
      </c>
      <c r="C1694" s="253" t="s">
        <v>227</v>
      </c>
      <c r="D1694" s="260">
        <f>SUM(D1695:D1697)</f>
        <v>0</v>
      </c>
    </row>
    <row r="1695" spans="1:4" ht="12" hidden="1" customHeight="1" outlineLevel="1" x14ac:dyDescent="0.3">
      <c r="A1695" s="238"/>
      <c r="B1695" s="254">
        <v>8100</v>
      </c>
      <c r="C1695" s="255" t="s">
        <v>228</v>
      </c>
      <c r="D1695" s="260"/>
    </row>
    <row r="1696" spans="1:4" ht="12" hidden="1" customHeight="1" outlineLevel="1" x14ac:dyDescent="0.3">
      <c r="A1696" s="238"/>
      <c r="B1696" s="254">
        <v>8600</v>
      </c>
      <c r="C1696" s="255" t="s">
        <v>229</v>
      </c>
      <c r="D1696" s="260"/>
    </row>
    <row r="1697" spans="1:4" ht="12" hidden="1" customHeight="1" outlineLevel="1" x14ac:dyDescent="0.3">
      <c r="A1697" s="238"/>
      <c r="B1697" s="254">
        <v>8900</v>
      </c>
      <c r="C1697" s="255" t="s">
        <v>230</v>
      </c>
      <c r="D1697" s="260"/>
    </row>
    <row r="1698" spans="1:4" ht="12" hidden="1" customHeight="1" outlineLevel="1" x14ac:dyDescent="0.3">
      <c r="A1698" s="272" t="s">
        <v>327</v>
      </c>
      <c r="B1698" s="273"/>
      <c r="C1698" s="274" t="s">
        <v>328</v>
      </c>
      <c r="D1698" s="275">
        <f t="shared" ref="D1698" si="157">D1699+D1715+D1728</f>
        <v>0</v>
      </c>
    </row>
    <row r="1699" spans="1:4" ht="12" hidden="1" customHeight="1" outlineLevel="1" x14ac:dyDescent="0.3">
      <c r="A1699" s="227"/>
      <c r="B1699" s="228"/>
      <c r="C1699" s="229" t="s">
        <v>198</v>
      </c>
      <c r="D1699" s="230">
        <f t="shared" ref="D1699" si="158">D1700+D1703+D1709+D1712+D1719+D1724</f>
        <v>0</v>
      </c>
    </row>
    <row r="1700" spans="1:4" ht="12.75" hidden="1" customHeight="1" outlineLevel="1" x14ac:dyDescent="0.3">
      <c r="A1700" s="227"/>
      <c r="B1700" s="231">
        <v>1000</v>
      </c>
      <c r="C1700" s="232" t="s">
        <v>199</v>
      </c>
      <c r="D1700" s="230">
        <f>SUM(D1701:D1702)</f>
        <v>0</v>
      </c>
    </row>
    <row r="1701" spans="1:4" ht="12.75" hidden="1" customHeight="1" outlineLevel="1" x14ac:dyDescent="0.3">
      <c r="A1701" s="227"/>
      <c r="B1701" s="234">
        <v>1100</v>
      </c>
      <c r="C1701" s="235" t="s">
        <v>200</v>
      </c>
      <c r="D1701" s="236"/>
    </row>
    <row r="1702" spans="1:4" ht="12.75" hidden="1" customHeight="1" outlineLevel="1" x14ac:dyDescent="0.3">
      <c r="A1702" s="227"/>
      <c r="B1702" s="234">
        <v>1200</v>
      </c>
      <c r="C1702" s="237" t="s">
        <v>201</v>
      </c>
      <c r="D1702" s="236"/>
    </row>
    <row r="1703" spans="1:4" ht="12" hidden="1" customHeight="1" outlineLevel="1" x14ac:dyDescent="0.3">
      <c r="A1703" s="238"/>
      <c r="B1703" s="239">
        <v>2000</v>
      </c>
      <c r="C1703" s="240" t="s">
        <v>202</v>
      </c>
      <c r="D1703" s="260">
        <f>SUM(D1704:D1708)</f>
        <v>0</v>
      </c>
    </row>
    <row r="1704" spans="1:4" ht="12" hidden="1" customHeight="1" outlineLevel="1" x14ac:dyDescent="0.3">
      <c r="A1704" s="238"/>
      <c r="B1704" s="242">
        <v>2100</v>
      </c>
      <c r="C1704" s="243" t="s">
        <v>203</v>
      </c>
      <c r="D1704" s="244"/>
    </row>
    <row r="1705" spans="1:4" ht="12" hidden="1" customHeight="1" outlineLevel="1" x14ac:dyDescent="0.3">
      <c r="A1705" s="238"/>
      <c r="B1705" s="242">
        <v>2200</v>
      </c>
      <c r="C1705" s="243" t="s">
        <v>204</v>
      </c>
      <c r="D1705" s="244"/>
    </row>
    <row r="1706" spans="1:4" ht="12" hidden="1" customHeight="1" outlineLevel="1" x14ac:dyDescent="0.3">
      <c r="A1706" s="238"/>
      <c r="B1706" s="242">
        <v>2300</v>
      </c>
      <c r="C1706" s="243" t="s">
        <v>205</v>
      </c>
      <c r="D1706" s="244"/>
    </row>
    <row r="1707" spans="1:4" ht="12" hidden="1" customHeight="1" outlineLevel="1" x14ac:dyDescent="0.3">
      <c r="A1707" s="238"/>
      <c r="B1707" s="242">
        <v>2400</v>
      </c>
      <c r="C1707" s="243" t="s">
        <v>206</v>
      </c>
      <c r="D1707" s="244"/>
    </row>
    <row r="1708" spans="1:4" ht="12" hidden="1" customHeight="1" outlineLevel="1" x14ac:dyDescent="0.3">
      <c r="A1708" s="238"/>
      <c r="B1708" s="242">
        <v>2500</v>
      </c>
      <c r="C1708" s="243" t="s">
        <v>207</v>
      </c>
      <c r="D1708" s="244"/>
    </row>
    <row r="1709" spans="1:4" ht="12" hidden="1" customHeight="1" outlineLevel="1" x14ac:dyDescent="0.3">
      <c r="A1709" s="238"/>
      <c r="B1709" s="199">
        <v>3000</v>
      </c>
      <c r="C1709" s="245" t="s">
        <v>208</v>
      </c>
      <c r="D1709" s="260">
        <f>SUM(D1710:D1711)</f>
        <v>0</v>
      </c>
    </row>
    <row r="1710" spans="1:4" ht="12" hidden="1" customHeight="1" outlineLevel="1" x14ac:dyDescent="0.3">
      <c r="A1710" s="238"/>
      <c r="B1710" s="242">
        <v>3200</v>
      </c>
      <c r="C1710" s="243" t="s">
        <v>209</v>
      </c>
      <c r="D1710" s="244"/>
    </row>
    <row r="1711" spans="1:4" ht="12" hidden="1" customHeight="1" outlineLevel="1" x14ac:dyDescent="0.3">
      <c r="A1711" s="238"/>
      <c r="B1711" s="242">
        <v>3300</v>
      </c>
      <c r="C1711" s="243" t="s">
        <v>210</v>
      </c>
      <c r="D1711" s="244"/>
    </row>
    <row r="1712" spans="1:4" ht="12" hidden="1" customHeight="1" outlineLevel="1" x14ac:dyDescent="0.3">
      <c r="A1712" s="238"/>
      <c r="B1712" s="199">
        <v>4000</v>
      </c>
      <c r="C1712" s="246" t="s">
        <v>211</v>
      </c>
      <c r="D1712" s="260">
        <f>SUM(D1713:D1714)</f>
        <v>0</v>
      </c>
    </row>
    <row r="1713" spans="1:4" ht="12" hidden="1" customHeight="1" outlineLevel="1" x14ac:dyDescent="0.3">
      <c r="A1713" s="238"/>
      <c r="B1713" s="242">
        <v>4200</v>
      </c>
      <c r="C1713" s="247" t="s">
        <v>212</v>
      </c>
      <c r="D1713" s="244"/>
    </row>
    <row r="1714" spans="1:4" ht="12" hidden="1" customHeight="1" outlineLevel="1" x14ac:dyDescent="0.3">
      <c r="A1714" s="238"/>
      <c r="B1714" s="242">
        <v>4300</v>
      </c>
      <c r="C1714" s="247" t="s">
        <v>213</v>
      </c>
      <c r="D1714" s="244"/>
    </row>
    <row r="1715" spans="1:4" ht="12" hidden="1" customHeight="1" outlineLevel="1" x14ac:dyDescent="0.3">
      <c r="A1715" s="238"/>
      <c r="B1715" s="199">
        <v>5000</v>
      </c>
      <c r="C1715" s="200" t="s">
        <v>214</v>
      </c>
      <c r="D1715" s="260">
        <f>SUM(D1716:D1718)</f>
        <v>0</v>
      </c>
    </row>
    <row r="1716" spans="1:4" ht="12" hidden="1" customHeight="1" outlineLevel="1" x14ac:dyDescent="0.3">
      <c r="A1716" s="238"/>
      <c r="B1716" s="242">
        <v>5100</v>
      </c>
      <c r="C1716" s="248" t="s">
        <v>215</v>
      </c>
      <c r="D1716" s="260"/>
    </row>
    <row r="1717" spans="1:4" ht="12" hidden="1" customHeight="1" outlineLevel="1" x14ac:dyDescent="0.3">
      <c r="A1717" s="238"/>
      <c r="B1717" s="242">
        <v>5200</v>
      </c>
      <c r="C1717" s="248" t="s">
        <v>216</v>
      </c>
      <c r="D1717" s="260"/>
    </row>
    <row r="1718" spans="1:4" ht="12" hidden="1" customHeight="1" outlineLevel="1" x14ac:dyDescent="0.3">
      <c r="A1718" s="238"/>
      <c r="B1718" s="242">
        <v>5300</v>
      </c>
      <c r="C1718" s="249" t="s">
        <v>217</v>
      </c>
      <c r="D1718" s="260"/>
    </row>
    <row r="1719" spans="1:4" ht="12" hidden="1" customHeight="1" outlineLevel="1" x14ac:dyDescent="0.3">
      <c r="A1719" s="238"/>
      <c r="B1719" s="199">
        <v>6000</v>
      </c>
      <c r="C1719" s="200" t="s">
        <v>218</v>
      </c>
      <c r="D1719" s="260">
        <f>SUM(D1720:D1723)</f>
        <v>0</v>
      </c>
    </row>
    <row r="1720" spans="1:4" ht="12" hidden="1" customHeight="1" outlineLevel="1" x14ac:dyDescent="0.3">
      <c r="A1720" s="238"/>
      <c r="B1720" s="242">
        <v>6200</v>
      </c>
      <c r="C1720" s="248" t="s">
        <v>219</v>
      </c>
      <c r="D1720" s="244"/>
    </row>
    <row r="1721" spans="1:4" ht="12" hidden="1" customHeight="1" outlineLevel="1" x14ac:dyDescent="0.3">
      <c r="A1721" s="238"/>
      <c r="B1721" s="242">
        <v>6300</v>
      </c>
      <c r="C1721" s="248" t="s">
        <v>220</v>
      </c>
      <c r="D1721" s="244"/>
    </row>
    <row r="1722" spans="1:4" ht="12" hidden="1" customHeight="1" outlineLevel="1" x14ac:dyDescent="0.3">
      <c r="A1722" s="238"/>
      <c r="B1722" s="242">
        <v>6400</v>
      </c>
      <c r="C1722" s="248" t="s">
        <v>221</v>
      </c>
      <c r="D1722" s="244"/>
    </row>
    <row r="1723" spans="1:4" ht="12" hidden="1" customHeight="1" outlineLevel="1" x14ac:dyDescent="0.3">
      <c r="A1723" s="238"/>
      <c r="B1723" s="242">
        <v>6500</v>
      </c>
      <c r="C1723" s="249" t="s">
        <v>222</v>
      </c>
      <c r="D1723" s="244"/>
    </row>
    <row r="1724" spans="1:4" ht="12" hidden="1" customHeight="1" outlineLevel="1" x14ac:dyDescent="0.3">
      <c r="A1724" s="238"/>
      <c r="B1724" s="199">
        <v>7000</v>
      </c>
      <c r="C1724" s="200" t="s">
        <v>223</v>
      </c>
      <c r="D1724" s="260">
        <f>SUM(D1725:D1727)</f>
        <v>0</v>
      </c>
    </row>
    <row r="1725" spans="1:4" ht="12" hidden="1" customHeight="1" outlineLevel="1" x14ac:dyDescent="0.3">
      <c r="A1725" s="238"/>
      <c r="B1725" s="250">
        <v>7200</v>
      </c>
      <c r="C1725" s="251" t="s">
        <v>224</v>
      </c>
      <c r="D1725" s="244"/>
    </row>
    <row r="1726" spans="1:4" ht="12" hidden="1" customHeight="1" outlineLevel="1" x14ac:dyDescent="0.3">
      <c r="A1726" s="238"/>
      <c r="B1726" s="250">
        <v>7500</v>
      </c>
      <c r="C1726" s="251" t="s">
        <v>225</v>
      </c>
      <c r="D1726" s="244"/>
    </row>
    <row r="1727" spans="1:4" ht="12" hidden="1" customHeight="1" outlineLevel="1" x14ac:dyDescent="0.3">
      <c r="A1727" s="238"/>
      <c r="B1727" s="250">
        <v>7700</v>
      </c>
      <c r="C1727" s="251" t="s">
        <v>226</v>
      </c>
      <c r="D1727" s="244"/>
    </row>
    <row r="1728" spans="1:4" ht="12" hidden="1" customHeight="1" outlineLevel="1" x14ac:dyDescent="0.3">
      <c r="A1728" s="238"/>
      <c r="B1728" s="252">
        <v>8000</v>
      </c>
      <c r="C1728" s="253" t="s">
        <v>227</v>
      </c>
      <c r="D1728" s="260">
        <f>SUM(D1729:D1731)</f>
        <v>0</v>
      </c>
    </row>
    <row r="1729" spans="1:4" ht="12" hidden="1" customHeight="1" outlineLevel="1" x14ac:dyDescent="0.3">
      <c r="A1729" s="238"/>
      <c r="B1729" s="254">
        <v>8100</v>
      </c>
      <c r="C1729" s="255" t="s">
        <v>228</v>
      </c>
      <c r="D1729" s="260"/>
    </row>
    <row r="1730" spans="1:4" ht="12" hidden="1" customHeight="1" outlineLevel="1" x14ac:dyDescent="0.3">
      <c r="A1730" s="238"/>
      <c r="B1730" s="254">
        <v>8600</v>
      </c>
      <c r="C1730" s="255" t="s">
        <v>229</v>
      </c>
      <c r="D1730" s="260"/>
    </row>
    <row r="1731" spans="1:4" ht="12" hidden="1" customHeight="1" outlineLevel="1" x14ac:dyDescent="0.3">
      <c r="A1731" s="238"/>
      <c r="B1731" s="254">
        <v>8900</v>
      </c>
      <c r="C1731" s="255" t="s">
        <v>230</v>
      </c>
      <c r="D1731" s="260"/>
    </row>
    <row r="1732" spans="1:4" ht="28.5" hidden="1" customHeight="1" outlineLevel="1" x14ac:dyDescent="0.3">
      <c r="A1732" s="256" t="s">
        <v>160</v>
      </c>
      <c r="B1732" s="257"/>
      <c r="C1732" s="281" t="s">
        <v>329</v>
      </c>
      <c r="D1732" s="259">
        <f>D1733+D1749+D1762</f>
        <v>0</v>
      </c>
    </row>
    <row r="1733" spans="1:4" ht="12" hidden="1" customHeight="1" outlineLevel="1" x14ac:dyDescent="0.3">
      <c r="A1733" s="227"/>
      <c r="B1733" s="228"/>
      <c r="C1733" s="229" t="s">
        <v>198</v>
      </c>
      <c r="D1733" s="230">
        <f t="shared" ref="D1733" si="159">D1734+D1737+D1743+D1746+D1753+D1758</f>
        <v>0</v>
      </c>
    </row>
    <row r="1734" spans="1:4" ht="12" hidden="1" customHeight="1" outlineLevel="1" x14ac:dyDescent="0.3">
      <c r="A1734" s="227"/>
      <c r="B1734" s="231">
        <v>1000</v>
      </c>
      <c r="C1734" s="232" t="s">
        <v>199</v>
      </c>
      <c r="D1734" s="230">
        <f>SUM(D1735:D1736)</f>
        <v>0</v>
      </c>
    </row>
    <row r="1735" spans="1:4" ht="12" hidden="1" customHeight="1" outlineLevel="1" x14ac:dyDescent="0.3">
      <c r="A1735" s="227"/>
      <c r="B1735" s="234">
        <v>1100</v>
      </c>
      <c r="C1735" s="235" t="s">
        <v>200</v>
      </c>
      <c r="D1735" s="236"/>
    </row>
    <row r="1736" spans="1:4" ht="12" hidden="1" customHeight="1" outlineLevel="1" x14ac:dyDescent="0.3">
      <c r="A1736" s="227"/>
      <c r="B1736" s="234">
        <v>1200</v>
      </c>
      <c r="C1736" s="237" t="s">
        <v>201</v>
      </c>
      <c r="D1736" s="236"/>
    </row>
    <row r="1737" spans="1:4" ht="12" hidden="1" customHeight="1" outlineLevel="1" x14ac:dyDescent="0.3">
      <c r="A1737" s="238"/>
      <c r="B1737" s="239">
        <v>2000</v>
      </c>
      <c r="C1737" s="240" t="s">
        <v>202</v>
      </c>
      <c r="D1737" s="260">
        <f>SUM(D1738:D1742)</f>
        <v>0</v>
      </c>
    </row>
    <row r="1738" spans="1:4" ht="12" hidden="1" customHeight="1" outlineLevel="1" x14ac:dyDescent="0.3">
      <c r="A1738" s="238"/>
      <c r="B1738" s="242">
        <v>2100</v>
      </c>
      <c r="C1738" s="243" t="s">
        <v>203</v>
      </c>
      <c r="D1738" s="244"/>
    </row>
    <row r="1739" spans="1:4" ht="12" hidden="1" customHeight="1" outlineLevel="1" x14ac:dyDescent="0.3">
      <c r="A1739" s="238"/>
      <c r="B1739" s="242">
        <v>2200</v>
      </c>
      <c r="C1739" s="243" t="s">
        <v>204</v>
      </c>
      <c r="D1739" s="244"/>
    </row>
    <row r="1740" spans="1:4" ht="12" hidden="1" customHeight="1" outlineLevel="1" x14ac:dyDescent="0.3">
      <c r="A1740" s="238"/>
      <c r="B1740" s="242">
        <v>2300</v>
      </c>
      <c r="C1740" s="243" t="s">
        <v>205</v>
      </c>
      <c r="D1740" s="244"/>
    </row>
    <row r="1741" spans="1:4" ht="12" hidden="1" customHeight="1" outlineLevel="1" x14ac:dyDescent="0.3">
      <c r="A1741" s="238"/>
      <c r="B1741" s="242">
        <v>2400</v>
      </c>
      <c r="C1741" s="243" t="s">
        <v>206</v>
      </c>
      <c r="D1741" s="244"/>
    </row>
    <row r="1742" spans="1:4" ht="12" hidden="1" customHeight="1" outlineLevel="1" x14ac:dyDescent="0.3">
      <c r="A1742" s="238"/>
      <c r="B1742" s="242">
        <v>2500</v>
      </c>
      <c r="C1742" s="243" t="s">
        <v>207</v>
      </c>
      <c r="D1742" s="244"/>
    </row>
    <row r="1743" spans="1:4" ht="12" hidden="1" customHeight="1" outlineLevel="1" x14ac:dyDescent="0.3">
      <c r="A1743" s="238"/>
      <c r="B1743" s="199">
        <v>3000</v>
      </c>
      <c r="C1743" s="245" t="s">
        <v>208</v>
      </c>
      <c r="D1743" s="260">
        <f>SUM(D1744:D1745)</f>
        <v>0</v>
      </c>
    </row>
    <row r="1744" spans="1:4" ht="12" hidden="1" customHeight="1" outlineLevel="1" x14ac:dyDescent="0.3">
      <c r="A1744" s="238"/>
      <c r="B1744" s="242">
        <v>3200</v>
      </c>
      <c r="C1744" s="243" t="s">
        <v>209</v>
      </c>
      <c r="D1744" s="244"/>
    </row>
    <row r="1745" spans="1:4" ht="12" hidden="1" customHeight="1" outlineLevel="1" x14ac:dyDescent="0.3">
      <c r="A1745" s="238"/>
      <c r="B1745" s="242">
        <v>3300</v>
      </c>
      <c r="C1745" s="243" t="s">
        <v>210</v>
      </c>
      <c r="D1745" s="244"/>
    </row>
    <row r="1746" spans="1:4" ht="12" hidden="1" customHeight="1" outlineLevel="1" x14ac:dyDescent="0.3">
      <c r="A1746" s="238"/>
      <c r="B1746" s="199">
        <v>4000</v>
      </c>
      <c r="C1746" s="246" t="s">
        <v>211</v>
      </c>
      <c r="D1746" s="260">
        <f>SUM(D1747:D1748)</f>
        <v>0</v>
      </c>
    </row>
    <row r="1747" spans="1:4" ht="12" hidden="1" customHeight="1" outlineLevel="1" x14ac:dyDescent="0.3">
      <c r="A1747" s="238"/>
      <c r="B1747" s="242">
        <v>4200</v>
      </c>
      <c r="C1747" s="247" t="s">
        <v>212</v>
      </c>
      <c r="D1747" s="244"/>
    </row>
    <row r="1748" spans="1:4" ht="12" hidden="1" customHeight="1" outlineLevel="1" x14ac:dyDescent="0.3">
      <c r="A1748" s="238"/>
      <c r="B1748" s="242">
        <v>4300</v>
      </c>
      <c r="C1748" s="247" t="s">
        <v>213</v>
      </c>
      <c r="D1748" s="244"/>
    </row>
    <row r="1749" spans="1:4" ht="12" hidden="1" customHeight="1" outlineLevel="1" x14ac:dyDescent="0.3">
      <c r="A1749" s="238"/>
      <c r="B1749" s="199">
        <v>5000</v>
      </c>
      <c r="C1749" s="200" t="s">
        <v>214</v>
      </c>
      <c r="D1749" s="260">
        <f>SUM(D1750:D1752)</f>
        <v>0</v>
      </c>
    </row>
    <row r="1750" spans="1:4" ht="12" hidden="1" customHeight="1" outlineLevel="1" x14ac:dyDescent="0.3">
      <c r="A1750" s="238"/>
      <c r="B1750" s="242">
        <v>5100</v>
      </c>
      <c r="C1750" s="248" t="s">
        <v>215</v>
      </c>
      <c r="D1750" s="260"/>
    </row>
    <row r="1751" spans="1:4" ht="12" hidden="1" customHeight="1" outlineLevel="1" x14ac:dyDescent="0.3">
      <c r="A1751" s="238"/>
      <c r="B1751" s="242">
        <v>5200</v>
      </c>
      <c r="C1751" s="248" t="s">
        <v>216</v>
      </c>
      <c r="D1751" s="260"/>
    </row>
    <row r="1752" spans="1:4" ht="12" hidden="1" customHeight="1" outlineLevel="1" x14ac:dyDescent="0.3">
      <c r="A1752" s="238"/>
      <c r="B1752" s="242">
        <v>5300</v>
      </c>
      <c r="C1752" s="249" t="s">
        <v>217</v>
      </c>
      <c r="D1752" s="260"/>
    </row>
    <row r="1753" spans="1:4" ht="12" hidden="1" customHeight="1" outlineLevel="1" x14ac:dyDescent="0.3">
      <c r="A1753" s="238"/>
      <c r="B1753" s="199">
        <v>6000</v>
      </c>
      <c r="C1753" s="200" t="s">
        <v>218</v>
      </c>
      <c r="D1753" s="260">
        <f>SUM(D1754:D1757)</f>
        <v>0</v>
      </c>
    </row>
    <row r="1754" spans="1:4" ht="12" hidden="1" customHeight="1" outlineLevel="1" x14ac:dyDescent="0.3">
      <c r="A1754" s="238"/>
      <c r="B1754" s="242">
        <v>6200</v>
      </c>
      <c r="C1754" s="248" t="s">
        <v>219</v>
      </c>
      <c r="D1754" s="244"/>
    </row>
    <row r="1755" spans="1:4" ht="12" hidden="1" customHeight="1" outlineLevel="1" x14ac:dyDescent="0.3">
      <c r="A1755" s="238"/>
      <c r="B1755" s="242">
        <v>6300</v>
      </c>
      <c r="C1755" s="248" t="s">
        <v>220</v>
      </c>
      <c r="D1755" s="244"/>
    </row>
    <row r="1756" spans="1:4" ht="12" hidden="1" customHeight="1" outlineLevel="1" x14ac:dyDescent="0.3">
      <c r="A1756" s="238"/>
      <c r="B1756" s="242">
        <v>6400</v>
      </c>
      <c r="C1756" s="248" t="s">
        <v>221</v>
      </c>
      <c r="D1756" s="244"/>
    </row>
    <row r="1757" spans="1:4" ht="12" hidden="1" customHeight="1" outlineLevel="1" x14ac:dyDescent="0.3">
      <c r="A1757" s="238"/>
      <c r="B1757" s="242">
        <v>6500</v>
      </c>
      <c r="C1757" s="249" t="s">
        <v>222</v>
      </c>
      <c r="D1757" s="244"/>
    </row>
    <row r="1758" spans="1:4" ht="12" hidden="1" customHeight="1" outlineLevel="1" x14ac:dyDescent="0.3">
      <c r="A1758" s="238"/>
      <c r="B1758" s="199">
        <v>7000</v>
      </c>
      <c r="C1758" s="200" t="s">
        <v>223</v>
      </c>
      <c r="D1758" s="260">
        <f>SUM(D1759:D1761)</f>
        <v>0</v>
      </c>
    </row>
    <row r="1759" spans="1:4" ht="12" hidden="1" customHeight="1" outlineLevel="1" x14ac:dyDescent="0.3">
      <c r="A1759" s="238"/>
      <c r="B1759" s="250">
        <v>7200</v>
      </c>
      <c r="C1759" s="251" t="s">
        <v>224</v>
      </c>
      <c r="D1759" s="244"/>
    </row>
    <row r="1760" spans="1:4" ht="12" hidden="1" customHeight="1" outlineLevel="1" x14ac:dyDescent="0.3">
      <c r="A1760" s="238"/>
      <c r="B1760" s="250">
        <v>7500</v>
      </c>
      <c r="C1760" s="251" t="s">
        <v>225</v>
      </c>
      <c r="D1760" s="244"/>
    </row>
    <row r="1761" spans="1:4" ht="12" hidden="1" customHeight="1" outlineLevel="1" x14ac:dyDescent="0.3">
      <c r="A1761" s="238"/>
      <c r="B1761" s="250">
        <v>7700</v>
      </c>
      <c r="C1761" s="251" t="s">
        <v>226</v>
      </c>
      <c r="D1761" s="244"/>
    </row>
    <row r="1762" spans="1:4" ht="12" hidden="1" customHeight="1" outlineLevel="1" x14ac:dyDescent="0.3">
      <c r="A1762" s="238"/>
      <c r="B1762" s="252">
        <v>8000</v>
      </c>
      <c r="C1762" s="253" t="s">
        <v>227</v>
      </c>
      <c r="D1762" s="260">
        <f>SUM(D1763:D1765)</f>
        <v>0</v>
      </c>
    </row>
    <row r="1763" spans="1:4" ht="12" hidden="1" customHeight="1" outlineLevel="1" x14ac:dyDescent="0.3">
      <c r="A1763" s="238"/>
      <c r="B1763" s="254">
        <v>8100</v>
      </c>
      <c r="C1763" s="255" t="s">
        <v>228</v>
      </c>
      <c r="D1763" s="260"/>
    </row>
    <row r="1764" spans="1:4" ht="12" hidden="1" customHeight="1" outlineLevel="1" x14ac:dyDescent="0.3">
      <c r="A1764" s="238"/>
      <c r="B1764" s="254">
        <v>8600</v>
      </c>
      <c r="C1764" s="255" t="s">
        <v>229</v>
      </c>
      <c r="D1764" s="260"/>
    </row>
    <row r="1765" spans="1:4" ht="12" hidden="1" customHeight="1" outlineLevel="1" x14ac:dyDescent="0.3">
      <c r="A1765" s="238"/>
      <c r="B1765" s="254">
        <v>8900</v>
      </c>
      <c r="C1765" s="255" t="s">
        <v>230</v>
      </c>
      <c r="D1765" s="260"/>
    </row>
    <row r="1766" spans="1:4" ht="12" hidden="1" customHeight="1" outlineLevel="1" x14ac:dyDescent="0.3">
      <c r="A1766" s="256" t="s">
        <v>162</v>
      </c>
      <c r="B1766" s="257"/>
      <c r="C1766" s="258" t="s">
        <v>330</v>
      </c>
      <c r="D1766" s="259">
        <f t="shared" ref="D1766" si="160">D1767+D1783+D1796</f>
        <v>0</v>
      </c>
    </row>
    <row r="1767" spans="1:4" ht="12" hidden="1" customHeight="1" outlineLevel="1" x14ac:dyDescent="0.3">
      <c r="A1767" s="227"/>
      <c r="B1767" s="228"/>
      <c r="C1767" s="229" t="s">
        <v>198</v>
      </c>
      <c r="D1767" s="230">
        <f t="shared" ref="D1767" si="161">D1768+D1771+D1777+D1780+D1787+D1792</f>
        <v>0</v>
      </c>
    </row>
    <row r="1768" spans="1:4" ht="12" hidden="1" customHeight="1" outlineLevel="1" x14ac:dyDescent="0.3">
      <c r="A1768" s="227"/>
      <c r="B1768" s="231">
        <v>1000</v>
      </c>
      <c r="C1768" s="232" t="s">
        <v>199</v>
      </c>
      <c r="D1768" s="230">
        <f>SUM(D1769:D1770)</f>
        <v>0</v>
      </c>
    </row>
    <row r="1769" spans="1:4" ht="12" hidden="1" customHeight="1" outlineLevel="1" x14ac:dyDescent="0.3">
      <c r="A1769" s="227"/>
      <c r="B1769" s="234">
        <v>1100</v>
      </c>
      <c r="C1769" s="235" t="s">
        <v>200</v>
      </c>
      <c r="D1769" s="236"/>
    </row>
    <row r="1770" spans="1:4" ht="12" hidden="1" customHeight="1" outlineLevel="1" x14ac:dyDescent="0.3">
      <c r="A1770" s="227"/>
      <c r="B1770" s="234">
        <v>1200</v>
      </c>
      <c r="C1770" s="237" t="s">
        <v>201</v>
      </c>
      <c r="D1770" s="236"/>
    </row>
    <row r="1771" spans="1:4" ht="12" hidden="1" customHeight="1" outlineLevel="1" x14ac:dyDescent="0.3">
      <c r="A1771" s="238"/>
      <c r="B1771" s="239">
        <v>2000</v>
      </c>
      <c r="C1771" s="240" t="s">
        <v>202</v>
      </c>
      <c r="D1771" s="260">
        <f>SUM(D1772:D1776)</f>
        <v>0</v>
      </c>
    </row>
    <row r="1772" spans="1:4" ht="12" hidden="1" customHeight="1" outlineLevel="1" x14ac:dyDescent="0.3">
      <c r="A1772" s="238"/>
      <c r="B1772" s="242">
        <v>2100</v>
      </c>
      <c r="C1772" s="243" t="s">
        <v>203</v>
      </c>
      <c r="D1772" s="244"/>
    </row>
    <row r="1773" spans="1:4" ht="12" hidden="1" customHeight="1" outlineLevel="1" x14ac:dyDescent="0.3">
      <c r="A1773" s="238"/>
      <c r="B1773" s="242">
        <v>2200</v>
      </c>
      <c r="C1773" s="243" t="s">
        <v>204</v>
      </c>
      <c r="D1773" s="244"/>
    </row>
    <row r="1774" spans="1:4" ht="12" hidden="1" customHeight="1" outlineLevel="1" x14ac:dyDescent="0.3">
      <c r="A1774" s="238"/>
      <c r="B1774" s="242">
        <v>2300</v>
      </c>
      <c r="C1774" s="243" t="s">
        <v>205</v>
      </c>
      <c r="D1774" s="244"/>
    </row>
    <row r="1775" spans="1:4" ht="12" hidden="1" customHeight="1" outlineLevel="1" x14ac:dyDescent="0.3">
      <c r="A1775" s="238"/>
      <c r="B1775" s="242">
        <v>2400</v>
      </c>
      <c r="C1775" s="243" t="s">
        <v>206</v>
      </c>
      <c r="D1775" s="244"/>
    </row>
    <row r="1776" spans="1:4" ht="12" hidden="1" customHeight="1" outlineLevel="1" x14ac:dyDescent="0.3">
      <c r="A1776" s="238"/>
      <c r="B1776" s="242">
        <v>2500</v>
      </c>
      <c r="C1776" s="243" t="s">
        <v>207</v>
      </c>
      <c r="D1776" s="244"/>
    </row>
    <row r="1777" spans="1:4" ht="12" hidden="1" customHeight="1" outlineLevel="1" x14ac:dyDescent="0.3">
      <c r="A1777" s="238"/>
      <c r="B1777" s="199">
        <v>3000</v>
      </c>
      <c r="C1777" s="245" t="s">
        <v>208</v>
      </c>
      <c r="D1777" s="260">
        <f>SUM(D1778:D1779)</f>
        <v>0</v>
      </c>
    </row>
    <row r="1778" spans="1:4" ht="12" hidden="1" customHeight="1" outlineLevel="1" x14ac:dyDescent="0.3">
      <c r="A1778" s="238"/>
      <c r="B1778" s="242">
        <v>3200</v>
      </c>
      <c r="C1778" s="243" t="s">
        <v>209</v>
      </c>
      <c r="D1778" s="244"/>
    </row>
    <row r="1779" spans="1:4" ht="12" hidden="1" customHeight="1" outlineLevel="1" x14ac:dyDescent="0.3">
      <c r="A1779" s="238"/>
      <c r="B1779" s="242">
        <v>3300</v>
      </c>
      <c r="C1779" s="243" t="s">
        <v>210</v>
      </c>
      <c r="D1779" s="244"/>
    </row>
    <row r="1780" spans="1:4" ht="12" hidden="1" customHeight="1" outlineLevel="1" x14ac:dyDescent="0.3">
      <c r="A1780" s="238"/>
      <c r="B1780" s="199">
        <v>4000</v>
      </c>
      <c r="C1780" s="246" t="s">
        <v>211</v>
      </c>
      <c r="D1780" s="260">
        <f>SUM(D1781:D1782)</f>
        <v>0</v>
      </c>
    </row>
    <row r="1781" spans="1:4" ht="12" hidden="1" customHeight="1" outlineLevel="1" x14ac:dyDescent="0.3">
      <c r="A1781" s="238"/>
      <c r="B1781" s="242">
        <v>4200</v>
      </c>
      <c r="C1781" s="247" t="s">
        <v>212</v>
      </c>
      <c r="D1781" s="244"/>
    </row>
    <row r="1782" spans="1:4" ht="12" hidden="1" customHeight="1" outlineLevel="1" x14ac:dyDescent="0.3">
      <c r="A1782" s="238"/>
      <c r="B1782" s="242">
        <v>4300</v>
      </c>
      <c r="C1782" s="247" t="s">
        <v>213</v>
      </c>
      <c r="D1782" s="244"/>
    </row>
    <row r="1783" spans="1:4" ht="12" hidden="1" customHeight="1" outlineLevel="1" x14ac:dyDescent="0.3">
      <c r="A1783" s="238"/>
      <c r="B1783" s="199">
        <v>5000</v>
      </c>
      <c r="C1783" s="200" t="s">
        <v>214</v>
      </c>
      <c r="D1783" s="260">
        <f>SUM(D1784:D1786)</f>
        <v>0</v>
      </c>
    </row>
    <row r="1784" spans="1:4" ht="12" hidden="1" customHeight="1" outlineLevel="1" x14ac:dyDescent="0.3">
      <c r="A1784" s="238"/>
      <c r="B1784" s="242">
        <v>5100</v>
      </c>
      <c r="C1784" s="248" t="s">
        <v>215</v>
      </c>
      <c r="D1784" s="260"/>
    </row>
    <row r="1785" spans="1:4" ht="12" hidden="1" customHeight="1" outlineLevel="1" x14ac:dyDescent="0.3">
      <c r="A1785" s="238"/>
      <c r="B1785" s="242">
        <v>5200</v>
      </c>
      <c r="C1785" s="248" t="s">
        <v>216</v>
      </c>
      <c r="D1785" s="260"/>
    </row>
    <row r="1786" spans="1:4" ht="12" hidden="1" customHeight="1" outlineLevel="1" x14ac:dyDescent="0.3">
      <c r="A1786" s="238"/>
      <c r="B1786" s="242">
        <v>5300</v>
      </c>
      <c r="C1786" s="249" t="s">
        <v>217</v>
      </c>
      <c r="D1786" s="260"/>
    </row>
    <row r="1787" spans="1:4" ht="12" hidden="1" customHeight="1" outlineLevel="1" x14ac:dyDescent="0.3">
      <c r="A1787" s="238"/>
      <c r="B1787" s="199">
        <v>6000</v>
      </c>
      <c r="C1787" s="200" t="s">
        <v>218</v>
      </c>
      <c r="D1787" s="260">
        <f>SUM(D1788:D1791)</f>
        <v>0</v>
      </c>
    </row>
    <row r="1788" spans="1:4" ht="12" hidden="1" customHeight="1" outlineLevel="1" x14ac:dyDescent="0.3">
      <c r="A1788" s="238"/>
      <c r="B1788" s="242">
        <v>6200</v>
      </c>
      <c r="C1788" s="248" t="s">
        <v>219</v>
      </c>
      <c r="D1788" s="244"/>
    </row>
    <row r="1789" spans="1:4" ht="12" hidden="1" customHeight="1" outlineLevel="1" x14ac:dyDescent="0.3">
      <c r="A1789" s="238"/>
      <c r="B1789" s="242">
        <v>6300</v>
      </c>
      <c r="C1789" s="248" t="s">
        <v>220</v>
      </c>
      <c r="D1789" s="244"/>
    </row>
    <row r="1790" spans="1:4" ht="12" hidden="1" customHeight="1" outlineLevel="1" x14ac:dyDescent="0.3">
      <c r="A1790" s="238"/>
      <c r="B1790" s="242">
        <v>6400</v>
      </c>
      <c r="C1790" s="248" t="s">
        <v>221</v>
      </c>
      <c r="D1790" s="244"/>
    </row>
    <row r="1791" spans="1:4" ht="12" hidden="1" customHeight="1" outlineLevel="1" x14ac:dyDescent="0.3">
      <c r="A1791" s="238"/>
      <c r="B1791" s="242">
        <v>6500</v>
      </c>
      <c r="C1791" s="249" t="s">
        <v>222</v>
      </c>
      <c r="D1791" s="244"/>
    </row>
    <row r="1792" spans="1:4" ht="12" hidden="1" customHeight="1" outlineLevel="1" x14ac:dyDescent="0.3">
      <c r="A1792" s="238"/>
      <c r="B1792" s="199">
        <v>7000</v>
      </c>
      <c r="C1792" s="200" t="s">
        <v>223</v>
      </c>
      <c r="D1792" s="260">
        <f>SUM(D1793:D1795)</f>
        <v>0</v>
      </c>
    </row>
    <row r="1793" spans="1:4" ht="12" hidden="1" customHeight="1" outlineLevel="1" x14ac:dyDescent="0.3">
      <c r="A1793" s="238"/>
      <c r="B1793" s="250">
        <v>7200</v>
      </c>
      <c r="C1793" s="251" t="s">
        <v>224</v>
      </c>
      <c r="D1793" s="244"/>
    </row>
    <row r="1794" spans="1:4" ht="12" hidden="1" customHeight="1" outlineLevel="1" x14ac:dyDescent="0.3">
      <c r="A1794" s="238"/>
      <c r="B1794" s="250">
        <v>7500</v>
      </c>
      <c r="C1794" s="251" t="s">
        <v>225</v>
      </c>
      <c r="D1794" s="244"/>
    </row>
    <row r="1795" spans="1:4" ht="12" hidden="1" customHeight="1" outlineLevel="1" x14ac:dyDescent="0.3">
      <c r="A1795" s="238"/>
      <c r="B1795" s="250">
        <v>7700</v>
      </c>
      <c r="C1795" s="251" t="s">
        <v>226</v>
      </c>
      <c r="D1795" s="244"/>
    </row>
    <row r="1796" spans="1:4" ht="12" hidden="1" customHeight="1" outlineLevel="1" x14ac:dyDescent="0.3">
      <c r="A1796" s="238"/>
      <c r="B1796" s="252">
        <v>8000</v>
      </c>
      <c r="C1796" s="253" t="s">
        <v>227</v>
      </c>
      <c r="D1796" s="260">
        <f>SUM(D1797:D1799)</f>
        <v>0</v>
      </c>
    </row>
    <row r="1797" spans="1:4" ht="12" hidden="1" customHeight="1" outlineLevel="1" x14ac:dyDescent="0.3">
      <c r="A1797" s="238"/>
      <c r="B1797" s="254">
        <v>8100</v>
      </c>
      <c r="C1797" s="255" t="s">
        <v>228</v>
      </c>
      <c r="D1797" s="260"/>
    </row>
    <row r="1798" spans="1:4" ht="12" hidden="1" customHeight="1" outlineLevel="1" x14ac:dyDescent="0.3">
      <c r="A1798" s="238"/>
      <c r="B1798" s="254">
        <v>8600</v>
      </c>
      <c r="C1798" s="255" t="s">
        <v>229</v>
      </c>
      <c r="D1798" s="260"/>
    </row>
    <row r="1799" spans="1:4" ht="12" hidden="1" customHeight="1" outlineLevel="1" x14ac:dyDescent="0.3">
      <c r="A1799" s="238"/>
      <c r="B1799" s="254">
        <v>8900</v>
      </c>
      <c r="C1799" s="255" t="s">
        <v>230</v>
      </c>
      <c r="D1799" s="260"/>
    </row>
    <row r="1800" spans="1:4" ht="17.100000000000001" hidden="1" customHeight="1" outlineLevel="1" x14ac:dyDescent="0.3">
      <c r="A1800" s="278" t="s">
        <v>331</v>
      </c>
      <c r="B1800" s="279"/>
      <c r="C1800" s="280" t="s">
        <v>332</v>
      </c>
      <c r="D1800" s="226">
        <f>D1801+D1817+D1830</f>
        <v>0</v>
      </c>
    </row>
    <row r="1801" spans="1:4" ht="12" hidden="1" customHeight="1" outlineLevel="1" x14ac:dyDescent="0.3">
      <c r="A1801" s="227"/>
      <c r="B1801" s="228"/>
      <c r="C1801" s="229" t="s">
        <v>198</v>
      </c>
      <c r="D1801" s="230">
        <f t="shared" ref="D1801" si="162">D1802+D1805+D1811+D1814+D1821+D1826</f>
        <v>0</v>
      </c>
    </row>
    <row r="1802" spans="1:4" ht="12" hidden="1" customHeight="1" outlineLevel="1" x14ac:dyDescent="0.3">
      <c r="A1802" s="227"/>
      <c r="B1802" s="231">
        <v>1000</v>
      </c>
      <c r="C1802" s="232" t="s">
        <v>199</v>
      </c>
      <c r="D1802" s="233">
        <f>D1836+D1870+D2006+D2040+D2244+D2074+D1972</f>
        <v>0</v>
      </c>
    </row>
    <row r="1803" spans="1:4" ht="12" hidden="1" customHeight="1" outlineLevel="1" x14ac:dyDescent="0.3">
      <c r="A1803" s="227"/>
      <c r="B1803" s="234">
        <v>1100</v>
      </c>
      <c r="C1803" s="235" t="s">
        <v>200</v>
      </c>
      <c r="D1803" s="236">
        <f t="shared" ref="D1803:D1804" si="163">D1837+D1871+D2007+D2041+D2245+D2075+D1973</f>
        <v>0</v>
      </c>
    </row>
    <row r="1804" spans="1:4" ht="12" hidden="1" customHeight="1" outlineLevel="1" x14ac:dyDescent="0.3">
      <c r="A1804" s="227"/>
      <c r="B1804" s="234">
        <v>1200</v>
      </c>
      <c r="C1804" s="237" t="s">
        <v>201</v>
      </c>
      <c r="D1804" s="236">
        <f t="shared" si="163"/>
        <v>0</v>
      </c>
    </row>
    <row r="1805" spans="1:4" ht="12" hidden="1" customHeight="1" outlineLevel="1" x14ac:dyDescent="0.3">
      <c r="A1805" s="238"/>
      <c r="B1805" s="239">
        <v>2000</v>
      </c>
      <c r="C1805" s="240" t="s">
        <v>202</v>
      </c>
      <c r="D1805" s="241">
        <f>D1839+D1873+D2009+D2043+D2247+D2077+D1975</f>
        <v>0</v>
      </c>
    </row>
    <row r="1806" spans="1:4" ht="12" hidden="1" customHeight="1" outlineLevel="1" x14ac:dyDescent="0.3">
      <c r="A1806" s="238"/>
      <c r="B1806" s="242">
        <v>2100</v>
      </c>
      <c r="C1806" s="243" t="s">
        <v>203</v>
      </c>
      <c r="D1806" s="244">
        <f t="shared" ref="D1806:D1810" si="164">D1840+D1874+D2010+D2044+D2248+D2078+D1976</f>
        <v>0</v>
      </c>
    </row>
    <row r="1807" spans="1:4" ht="12" hidden="1" customHeight="1" outlineLevel="1" x14ac:dyDescent="0.3">
      <c r="A1807" s="238"/>
      <c r="B1807" s="242">
        <v>2200</v>
      </c>
      <c r="C1807" s="243" t="s">
        <v>204</v>
      </c>
      <c r="D1807" s="244">
        <f t="shared" si="164"/>
        <v>0</v>
      </c>
    </row>
    <row r="1808" spans="1:4" ht="12" hidden="1" customHeight="1" outlineLevel="1" x14ac:dyDescent="0.3">
      <c r="A1808" s="238"/>
      <c r="B1808" s="242">
        <v>2300</v>
      </c>
      <c r="C1808" s="243" t="s">
        <v>205</v>
      </c>
      <c r="D1808" s="244">
        <f t="shared" si="164"/>
        <v>0</v>
      </c>
    </row>
    <row r="1809" spans="1:4" ht="12" hidden="1" customHeight="1" outlineLevel="1" x14ac:dyDescent="0.3">
      <c r="A1809" s="238"/>
      <c r="B1809" s="242">
        <v>2400</v>
      </c>
      <c r="C1809" s="243" t="s">
        <v>206</v>
      </c>
      <c r="D1809" s="244">
        <f t="shared" si="164"/>
        <v>0</v>
      </c>
    </row>
    <row r="1810" spans="1:4" ht="12" hidden="1" customHeight="1" outlineLevel="1" x14ac:dyDescent="0.3">
      <c r="A1810" s="238"/>
      <c r="B1810" s="242">
        <v>2500</v>
      </c>
      <c r="C1810" s="243" t="s">
        <v>207</v>
      </c>
      <c r="D1810" s="244">
        <f t="shared" si="164"/>
        <v>0</v>
      </c>
    </row>
    <row r="1811" spans="1:4" ht="12" hidden="1" customHeight="1" outlineLevel="1" x14ac:dyDescent="0.3">
      <c r="A1811" s="238"/>
      <c r="B1811" s="199">
        <v>3000</v>
      </c>
      <c r="C1811" s="245" t="s">
        <v>208</v>
      </c>
      <c r="D1811" s="241">
        <f>D1845+D1879+D2015+D2049+D2253+D2083+D1981</f>
        <v>0</v>
      </c>
    </row>
    <row r="1812" spans="1:4" ht="12" hidden="1" customHeight="1" outlineLevel="1" x14ac:dyDescent="0.3">
      <c r="A1812" s="238"/>
      <c r="B1812" s="242">
        <v>3200</v>
      </c>
      <c r="C1812" s="243" t="s">
        <v>209</v>
      </c>
      <c r="D1812" s="244">
        <f t="shared" ref="D1812:D1813" si="165">D1846+D1880+D2016+D2050+D2254+D2084+D1982</f>
        <v>0</v>
      </c>
    </row>
    <row r="1813" spans="1:4" ht="12" hidden="1" customHeight="1" outlineLevel="1" x14ac:dyDescent="0.3">
      <c r="A1813" s="238"/>
      <c r="B1813" s="242">
        <v>3300</v>
      </c>
      <c r="C1813" s="243" t="s">
        <v>210</v>
      </c>
      <c r="D1813" s="244">
        <f t="shared" si="165"/>
        <v>0</v>
      </c>
    </row>
    <row r="1814" spans="1:4" ht="12" hidden="1" customHeight="1" outlineLevel="1" x14ac:dyDescent="0.3">
      <c r="A1814" s="238"/>
      <c r="B1814" s="199">
        <v>4000</v>
      </c>
      <c r="C1814" s="246" t="s">
        <v>211</v>
      </c>
      <c r="D1814" s="241">
        <f>D1848+D1882+D2018+D2052+D2256+D2086+D1984</f>
        <v>0</v>
      </c>
    </row>
    <row r="1815" spans="1:4" ht="12" hidden="1" customHeight="1" outlineLevel="1" x14ac:dyDescent="0.3">
      <c r="A1815" s="238"/>
      <c r="B1815" s="242">
        <v>4200</v>
      </c>
      <c r="C1815" s="247" t="s">
        <v>212</v>
      </c>
      <c r="D1815" s="244">
        <f t="shared" ref="D1815:D1816" si="166">D1849+D1883+D2019+D2053+D2257+D2087+D1985</f>
        <v>0</v>
      </c>
    </row>
    <row r="1816" spans="1:4" ht="12" hidden="1" customHeight="1" outlineLevel="1" x14ac:dyDescent="0.3">
      <c r="A1816" s="238"/>
      <c r="B1816" s="242">
        <v>4300</v>
      </c>
      <c r="C1816" s="247" t="s">
        <v>213</v>
      </c>
      <c r="D1816" s="244">
        <f t="shared" si="166"/>
        <v>0</v>
      </c>
    </row>
    <row r="1817" spans="1:4" ht="12" hidden="1" customHeight="1" outlineLevel="1" collapsed="1" x14ac:dyDescent="0.3">
      <c r="A1817" s="238"/>
      <c r="B1817" s="199">
        <v>5000</v>
      </c>
      <c r="C1817" s="200" t="s">
        <v>214</v>
      </c>
      <c r="D1817" s="241">
        <f>D1851+D1885+D2021+D2055+D2259+D2089+D1987</f>
        <v>0</v>
      </c>
    </row>
    <row r="1818" spans="1:4" ht="12" hidden="1" customHeight="1" outlineLevel="1" x14ac:dyDescent="0.3">
      <c r="A1818" s="238"/>
      <c r="B1818" s="242">
        <v>5100</v>
      </c>
      <c r="C1818" s="248" t="s">
        <v>215</v>
      </c>
      <c r="D1818" s="244">
        <f t="shared" ref="D1818:D1820" si="167">D1852+D1886+D2022+D2056+D2260+D2090+D1988</f>
        <v>0</v>
      </c>
    </row>
    <row r="1819" spans="1:4" ht="12" hidden="1" customHeight="1" outlineLevel="1" x14ac:dyDescent="0.3">
      <c r="A1819" s="238"/>
      <c r="B1819" s="242">
        <v>5200</v>
      </c>
      <c r="C1819" s="248" t="s">
        <v>216</v>
      </c>
      <c r="D1819" s="244">
        <f t="shared" si="167"/>
        <v>0</v>
      </c>
    </row>
    <row r="1820" spans="1:4" ht="12" hidden="1" customHeight="1" outlineLevel="1" x14ac:dyDescent="0.3">
      <c r="A1820" s="238"/>
      <c r="B1820" s="242">
        <v>5300</v>
      </c>
      <c r="C1820" s="249" t="s">
        <v>217</v>
      </c>
      <c r="D1820" s="244">
        <f t="shared" si="167"/>
        <v>0</v>
      </c>
    </row>
    <row r="1821" spans="1:4" ht="12" hidden="1" customHeight="1" outlineLevel="1" collapsed="1" x14ac:dyDescent="0.3">
      <c r="A1821" s="238"/>
      <c r="B1821" s="199">
        <v>6000</v>
      </c>
      <c r="C1821" s="200" t="s">
        <v>218</v>
      </c>
      <c r="D1821" s="241">
        <f>D1855+D1889+D2025+D2059+D2263+D2093+D1991</f>
        <v>0</v>
      </c>
    </row>
    <row r="1822" spans="1:4" ht="12" hidden="1" customHeight="1" outlineLevel="1" x14ac:dyDescent="0.3">
      <c r="A1822" s="238"/>
      <c r="B1822" s="242">
        <v>6200</v>
      </c>
      <c r="C1822" s="248" t="s">
        <v>219</v>
      </c>
      <c r="D1822" s="244">
        <f t="shared" ref="D1822:D1825" si="168">D1856+D1890+D2026+D2060+D2264+D2094+D1992</f>
        <v>0</v>
      </c>
    </row>
    <row r="1823" spans="1:4" ht="12" hidden="1" customHeight="1" outlineLevel="1" x14ac:dyDescent="0.3">
      <c r="A1823" s="238"/>
      <c r="B1823" s="242">
        <v>6300</v>
      </c>
      <c r="C1823" s="248" t="s">
        <v>220</v>
      </c>
      <c r="D1823" s="244">
        <f t="shared" si="168"/>
        <v>0</v>
      </c>
    </row>
    <row r="1824" spans="1:4" ht="12" hidden="1" customHeight="1" outlineLevel="1" x14ac:dyDescent="0.3">
      <c r="A1824" s="238"/>
      <c r="B1824" s="242">
        <v>6400</v>
      </c>
      <c r="C1824" s="248" t="s">
        <v>221</v>
      </c>
      <c r="D1824" s="244">
        <f t="shared" si="168"/>
        <v>0</v>
      </c>
    </row>
    <row r="1825" spans="1:4" ht="12" hidden="1" customHeight="1" outlineLevel="1" x14ac:dyDescent="0.3">
      <c r="A1825" s="238"/>
      <c r="B1825" s="242">
        <v>6500</v>
      </c>
      <c r="C1825" s="249" t="s">
        <v>222</v>
      </c>
      <c r="D1825" s="244">
        <f t="shared" si="168"/>
        <v>0</v>
      </c>
    </row>
    <row r="1826" spans="1:4" ht="24" hidden="1" customHeight="1" outlineLevel="1" x14ac:dyDescent="0.3">
      <c r="A1826" s="238"/>
      <c r="B1826" s="199">
        <v>7000</v>
      </c>
      <c r="C1826" s="200" t="s">
        <v>223</v>
      </c>
      <c r="D1826" s="241">
        <f>D1860+D1894+D2030+D2064+D2268+D2098+D1996</f>
        <v>0</v>
      </c>
    </row>
    <row r="1827" spans="1:4" ht="14.25" hidden="1" customHeight="1" outlineLevel="1" x14ac:dyDescent="0.3">
      <c r="A1827" s="238"/>
      <c r="B1827" s="250">
        <v>7200</v>
      </c>
      <c r="C1827" s="251" t="s">
        <v>224</v>
      </c>
      <c r="D1827" s="244">
        <f t="shared" ref="D1827:D1829" si="169">D1861+D1895+D2031+D2065+D2269+D2099+D1997</f>
        <v>0</v>
      </c>
    </row>
    <row r="1828" spans="1:4" ht="14.25" hidden="1" customHeight="1" outlineLevel="1" x14ac:dyDescent="0.3">
      <c r="A1828" s="238"/>
      <c r="B1828" s="250">
        <v>7500</v>
      </c>
      <c r="C1828" s="251" t="s">
        <v>225</v>
      </c>
      <c r="D1828" s="244">
        <f t="shared" si="169"/>
        <v>0</v>
      </c>
    </row>
    <row r="1829" spans="1:4" ht="14.25" hidden="1" customHeight="1" outlineLevel="1" collapsed="1" x14ac:dyDescent="0.3">
      <c r="A1829" s="238"/>
      <c r="B1829" s="250">
        <v>7700</v>
      </c>
      <c r="C1829" s="251" t="s">
        <v>226</v>
      </c>
      <c r="D1829" s="244">
        <f t="shared" si="169"/>
        <v>0</v>
      </c>
    </row>
    <row r="1830" spans="1:4" ht="12" hidden="1" customHeight="1" outlineLevel="1" x14ac:dyDescent="0.3">
      <c r="A1830" s="238"/>
      <c r="B1830" s="252">
        <v>8000</v>
      </c>
      <c r="C1830" s="253" t="s">
        <v>227</v>
      </c>
      <c r="D1830" s="241">
        <f>D1864+D1898+D2034+D2068+D2272+D2102+D2000</f>
        <v>0</v>
      </c>
    </row>
    <row r="1831" spans="1:4" ht="12" hidden="1" customHeight="1" outlineLevel="1" x14ac:dyDescent="0.3">
      <c r="A1831" s="238"/>
      <c r="B1831" s="254">
        <v>8100</v>
      </c>
      <c r="C1831" s="255" t="s">
        <v>228</v>
      </c>
      <c r="D1831" s="244">
        <f t="shared" ref="D1831:D1832" si="170">D1865+D1899+D2035+D2069+D2273+D2103+D2001</f>
        <v>0</v>
      </c>
    </row>
    <row r="1832" spans="1:4" ht="12" hidden="1" customHeight="1" outlineLevel="1" x14ac:dyDescent="0.3">
      <c r="A1832" s="238"/>
      <c r="B1832" s="254">
        <v>8600</v>
      </c>
      <c r="C1832" s="255" t="s">
        <v>229</v>
      </c>
      <c r="D1832" s="244">
        <f t="shared" si="170"/>
        <v>0</v>
      </c>
    </row>
    <row r="1833" spans="1:4" ht="12" hidden="1" customHeight="1" outlineLevel="1" x14ac:dyDescent="0.3">
      <c r="A1833" s="238"/>
      <c r="B1833" s="254">
        <v>8900</v>
      </c>
      <c r="C1833" s="255" t="s">
        <v>230</v>
      </c>
      <c r="D1833" s="244">
        <f>D1867+D1901+D2037+D2071+D2275+D2105+D2003</f>
        <v>0</v>
      </c>
    </row>
    <row r="1834" spans="1:4" ht="12" hidden="1" customHeight="1" outlineLevel="1" x14ac:dyDescent="0.3">
      <c r="A1834" s="256" t="s">
        <v>166</v>
      </c>
      <c r="B1834" s="257"/>
      <c r="C1834" s="258" t="s">
        <v>333</v>
      </c>
      <c r="D1834" s="259">
        <f t="shared" ref="D1834" si="171">D1835+D1851+D1864</f>
        <v>0</v>
      </c>
    </row>
    <row r="1835" spans="1:4" ht="12" hidden="1" customHeight="1" outlineLevel="1" x14ac:dyDescent="0.3">
      <c r="A1835" s="227"/>
      <c r="B1835" s="228"/>
      <c r="C1835" s="229" t="s">
        <v>198</v>
      </c>
      <c r="D1835" s="230">
        <f t="shared" ref="D1835" si="172">D1836+D1839+D1845+D1848+D1855+D1860</f>
        <v>0</v>
      </c>
    </row>
    <row r="1836" spans="1:4" ht="12" hidden="1" customHeight="1" outlineLevel="1" x14ac:dyDescent="0.3">
      <c r="A1836" s="227"/>
      <c r="B1836" s="231">
        <v>1000</v>
      </c>
      <c r="C1836" s="232" t="s">
        <v>199</v>
      </c>
      <c r="D1836" s="230">
        <f>SUM(D1837:D1838)</f>
        <v>0</v>
      </c>
    </row>
    <row r="1837" spans="1:4" ht="12" hidden="1" customHeight="1" outlineLevel="1" x14ac:dyDescent="0.3">
      <c r="A1837" s="227"/>
      <c r="B1837" s="234">
        <v>1100</v>
      </c>
      <c r="C1837" s="235" t="s">
        <v>200</v>
      </c>
      <c r="D1837" s="236"/>
    </row>
    <row r="1838" spans="1:4" ht="12" hidden="1" customHeight="1" outlineLevel="1" x14ac:dyDescent="0.3">
      <c r="A1838" s="227"/>
      <c r="B1838" s="234">
        <v>1200</v>
      </c>
      <c r="C1838" s="237" t="s">
        <v>201</v>
      </c>
      <c r="D1838" s="236"/>
    </row>
    <row r="1839" spans="1:4" ht="12" hidden="1" customHeight="1" outlineLevel="1" x14ac:dyDescent="0.3">
      <c r="A1839" s="238"/>
      <c r="B1839" s="239">
        <v>2000</v>
      </c>
      <c r="C1839" s="240" t="s">
        <v>202</v>
      </c>
      <c r="D1839" s="260">
        <f>SUM(D1840:D1844)</f>
        <v>0</v>
      </c>
    </row>
    <row r="1840" spans="1:4" ht="12" hidden="1" customHeight="1" outlineLevel="1" x14ac:dyDescent="0.3">
      <c r="A1840" s="238"/>
      <c r="B1840" s="242">
        <v>2100</v>
      </c>
      <c r="C1840" s="243" t="s">
        <v>203</v>
      </c>
      <c r="D1840" s="244"/>
    </row>
    <row r="1841" spans="1:4" ht="12" hidden="1" customHeight="1" outlineLevel="1" x14ac:dyDescent="0.3">
      <c r="A1841" s="238"/>
      <c r="B1841" s="242">
        <v>2200</v>
      </c>
      <c r="C1841" s="243" t="s">
        <v>204</v>
      </c>
      <c r="D1841" s="244"/>
    </row>
    <row r="1842" spans="1:4" ht="12" hidden="1" customHeight="1" outlineLevel="1" x14ac:dyDescent="0.3">
      <c r="A1842" s="238"/>
      <c r="B1842" s="242">
        <v>2300</v>
      </c>
      <c r="C1842" s="243" t="s">
        <v>205</v>
      </c>
      <c r="D1842" s="244"/>
    </row>
    <row r="1843" spans="1:4" ht="12" hidden="1" customHeight="1" outlineLevel="1" x14ac:dyDescent="0.3">
      <c r="A1843" s="238"/>
      <c r="B1843" s="242">
        <v>2400</v>
      </c>
      <c r="C1843" s="243" t="s">
        <v>206</v>
      </c>
      <c r="D1843" s="244"/>
    </row>
    <row r="1844" spans="1:4" ht="12" hidden="1" customHeight="1" outlineLevel="1" x14ac:dyDescent="0.3">
      <c r="A1844" s="238"/>
      <c r="B1844" s="242">
        <v>2500</v>
      </c>
      <c r="C1844" s="243" t="s">
        <v>207</v>
      </c>
      <c r="D1844" s="244"/>
    </row>
    <row r="1845" spans="1:4" ht="12" hidden="1" customHeight="1" outlineLevel="1" x14ac:dyDescent="0.3">
      <c r="A1845" s="238"/>
      <c r="B1845" s="199">
        <v>3000</v>
      </c>
      <c r="C1845" s="245" t="s">
        <v>208</v>
      </c>
      <c r="D1845" s="260">
        <f>SUM(D1846:D1847)</f>
        <v>0</v>
      </c>
    </row>
    <row r="1846" spans="1:4" ht="12" hidden="1" customHeight="1" outlineLevel="1" x14ac:dyDescent="0.3">
      <c r="A1846" s="238"/>
      <c r="B1846" s="242">
        <v>3200</v>
      </c>
      <c r="C1846" s="243" t="s">
        <v>209</v>
      </c>
      <c r="D1846" s="244"/>
    </row>
    <row r="1847" spans="1:4" ht="12" hidden="1" customHeight="1" outlineLevel="1" x14ac:dyDescent="0.3">
      <c r="A1847" s="238"/>
      <c r="B1847" s="242">
        <v>3300</v>
      </c>
      <c r="C1847" s="243" t="s">
        <v>210</v>
      </c>
      <c r="D1847" s="244"/>
    </row>
    <row r="1848" spans="1:4" ht="12" hidden="1" customHeight="1" outlineLevel="1" x14ac:dyDescent="0.3">
      <c r="A1848" s="238"/>
      <c r="B1848" s="199">
        <v>4000</v>
      </c>
      <c r="C1848" s="246" t="s">
        <v>211</v>
      </c>
      <c r="D1848" s="260">
        <f>SUM(D1849:D1850)</f>
        <v>0</v>
      </c>
    </row>
    <row r="1849" spans="1:4" ht="12" hidden="1" customHeight="1" outlineLevel="1" x14ac:dyDescent="0.3">
      <c r="A1849" s="238"/>
      <c r="B1849" s="242">
        <v>4200</v>
      </c>
      <c r="C1849" s="247" t="s">
        <v>212</v>
      </c>
      <c r="D1849" s="244"/>
    </row>
    <row r="1850" spans="1:4" ht="12" hidden="1" customHeight="1" outlineLevel="1" x14ac:dyDescent="0.3">
      <c r="A1850" s="238"/>
      <c r="B1850" s="242">
        <v>4300</v>
      </c>
      <c r="C1850" s="247" t="s">
        <v>213</v>
      </c>
      <c r="D1850" s="244"/>
    </row>
    <row r="1851" spans="1:4" ht="12" hidden="1" customHeight="1" outlineLevel="1" x14ac:dyDescent="0.3">
      <c r="A1851" s="238"/>
      <c r="B1851" s="199">
        <v>5000</v>
      </c>
      <c r="C1851" s="200" t="s">
        <v>214</v>
      </c>
      <c r="D1851" s="260">
        <f>SUM(D1852:D1854)</f>
        <v>0</v>
      </c>
    </row>
    <row r="1852" spans="1:4" ht="12" hidden="1" customHeight="1" outlineLevel="1" x14ac:dyDescent="0.3">
      <c r="A1852" s="238"/>
      <c r="B1852" s="242">
        <v>5100</v>
      </c>
      <c r="C1852" s="248" t="s">
        <v>215</v>
      </c>
      <c r="D1852" s="260"/>
    </row>
    <row r="1853" spans="1:4" ht="12" hidden="1" customHeight="1" outlineLevel="1" x14ac:dyDescent="0.3">
      <c r="A1853" s="238"/>
      <c r="B1853" s="242">
        <v>5200</v>
      </c>
      <c r="C1853" s="248" t="s">
        <v>216</v>
      </c>
      <c r="D1853" s="260"/>
    </row>
    <row r="1854" spans="1:4" ht="12" hidden="1" customHeight="1" outlineLevel="1" x14ac:dyDescent="0.3">
      <c r="A1854" s="238"/>
      <c r="B1854" s="242">
        <v>5300</v>
      </c>
      <c r="C1854" s="249" t="s">
        <v>217</v>
      </c>
      <c r="D1854" s="260"/>
    </row>
    <row r="1855" spans="1:4" ht="12" hidden="1" customHeight="1" outlineLevel="1" x14ac:dyDescent="0.3">
      <c r="A1855" s="238"/>
      <c r="B1855" s="199">
        <v>6000</v>
      </c>
      <c r="C1855" s="200" t="s">
        <v>218</v>
      </c>
      <c r="D1855" s="260">
        <f>SUM(D1856:D1859)</f>
        <v>0</v>
      </c>
    </row>
    <row r="1856" spans="1:4" ht="12" hidden="1" customHeight="1" outlineLevel="1" x14ac:dyDescent="0.3">
      <c r="A1856" s="238"/>
      <c r="B1856" s="242">
        <v>6200</v>
      </c>
      <c r="C1856" s="248" t="s">
        <v>219</v>
      </c>
      <c r="D1856" s="244"/>
    </row>
    <row r="1857" spans="1:4" ht="12" hidden="1" customHeight="1" outlineLevel="1" x14ac:dyDescent="0.3">
      <c r="A1857" s="238"/>
      <c r="B1857" s="242">
        <v>6300</v>
      </c>
      <c r="C1857" s="248" t="s">
        <v>220</v>
      </c>
      <c r="D1857" s="244"/>
    </row>
    <row r="1858" spans="1:4" ht="12" hidden="1" customHeight="1" outlineLevel="1" x14ac:dyDescent="0.3">
      <c r="A1858" s="238"/>
      <c r="B1858" s="242">
        <v>6400</v>
      </c>
      <c r="C1858" s="248" t="s">
        <v>221</v>
      </c>
      <c r="D1858" s="244"/>
    </row>
    <row r="1859" spans="1:4" ht="12" hidden="1" customHeight="1" outlineLevel="1" x14ac:dyDescent="0.3">
      <c r="A1859" s="238"/>
      <c r="B1859" s="242">
        <v>6500</v>
      </c>
      <c r="C1859" s="249" t="s">
        <v>222</v>
      </c>
      <c r="D1859" s="244"/>
    </row>
    <row r="1860" spans="1:4" ht="16.5" hidden="1" customHeight="1" outlineLevel="1" x14ac:dyDescent="0.3">
      <c r="A1860" s="238"/>
      <c r="B1860" s="199">
        <v>7000</v>
      </c>
      <c r="C1860" s="200" t="s">
        <v>223</v>
      </c>
      <c r="D1860" s="260">
        <f>SUM(D1861:D1863)</f>
        <v>0</v>
      </c>
    </row>
    <row r="1861" spans="1:4" ht="16.5" hidden="1" customHeight="1" outlineLevel="1" x14ac:dyDescent="0.3">
      <c r="A1861" s="238"/>
      <c r="B1861" s="250">
        <v>7200</v>
      </c>
      <c r="C1861" s="251" t="s">
        <v>224</v>
      </c>
      <c r="D1861" s="244"/>
    </row>
    <row r="1862" spans="1:4" ht="16.5" hidden="1" customHeight="1" outlineLevel="1" x14ac:dyDescent="0.3">
      <c r="A1862" s="238"/>
      <c r="B1862" s="250">
        <v>7500</v>
      </c>
      <c r="C1862" s="251" t="s">
        <v>225</v>
      </c>
      <c r="D1862" s="244"/>
    </row>
    <row r="1863" spans="1:4" ht="16.5" hidden="1" customHeight="1" outlineLevel="1" x14ac:dyDescent="0.3">
      <c r="A1863" s="238"/>
      <c r="B1863" s="250">
        <v>7700</v>
      </c>
      <c r="C1863" s="251" t="s">
        <v>226</v>
      </c>
      <c r="D1863" s="244"/>
    </row>
    <row r="1864" spans="1:4" ht="12" hidden="1" customHeight="1" outlineLevel="1" x14ac:dyDescent="0.3">
      <c r="A1864" s="238"/>
      <c r="B1864" s="252">
        <v>8000</v>
      </c>
      <c r="C1864" s="253" t="s">
        <v>227</v>
      </c>
      <c r="D1864" s="260">
        <f>SUM(D1865:D1867)</f>
        <v>0</v>
      </c>
    </row>
    <row r="1865" spans="1:4" ht="12" hidden="1" customHeight="1" outlineLevel="1" x14ac:dyDescent="0.3">
      <c r="A1865" s="238"/>
      <c r="B1865" s="254">
        <v>8100</v>
      </c>
      <c r="C1865" s="255" t="s">
        <v>228</v>
      </c>
      <c r="D1865" s="260"/>
    </row>
    <row r="1866" spans="1:4" ht="12" hidden="1" customHeight="1" outlineLevel="1" x14ac:dyDescent="0.3">
      <c r="A1866" s="238"/>
      <c r="B1866" s="254">
        <v>8600</v>
      </c>
      <c r="C1866" s="255" t="s">
        <v>229</v>
      </c>
      <c r="D1866" s="260"/>
    </row>
    <row r="1867" spans="1:4" ht="12" hidden="1" customHeight="1" outlineLevel="1" x14ac:dyDescent="0.3">
      <c r="A1867" s="238"/>
      <c r="B1867" s="254">
        <v>8900</v>
      </c>
      <c r="C1867" s="255" t="s">
        <v>230</v>
      </c>
      <c r="D1867" s="260"/>
    </row>
    <row r="1868" spans="1:4" ht="12" hidden="1" customHeight="1" outlineLevel="1" x14ac:dyDescent="0.3">
      <c r="A1868" s="256" t="s">
        <v>334</v>
      </c>
      <c r="B1868" s="257"/>
      <c r="C1868" s="258" t="s">
        <v>335</v>
      </c>
      <c r="D1868" s="259">
        <f t="shared" ref="D1868" si="173">D1869+D1885+D1898</f>
        <v>0</v>
      </c>
    </row>
    <row r="1869" spans="1:4" ht="12" hidden="1" customHeight="1" outlineLevel="1" x14ac:dyDescent="0.3">
      <c r="A1869" s="227"/>
      <c r="B1869" s="228"/>
      <c r="C1869" s="229" t="s">
        <v>198</v>
      </c>
      <c r="D1869" s="230">
        <f t="shared" ref="D1869" si="174">D1870+D1873+D1879+D1882+D1889+D1894</f>
        <v>0</v>
      </c>
    </row>
    <row r="1870" spans="1:4" ht="12" hidden="1" customHeight="1" outlineLevel="1" x14ac:dyDescent="0.3">
      <c r="A1870" s="227"/>
      <c r="B1870" s="231">
        <v>1000</v>
      </c>
      <c r="C1870" s="232" t="s">
        <v>199</v>
      </c>
      <c r="D1870" s="233">
        <f>D1904+D1938</f>
        <v>0</v>
      </c>
    </row>
    <row r="1871" spans="1:4" ht="12" hidden="1" customHeight="1" outlineLevel="1" x14ac:dyDescent="0.3">
      <c r="A1871" s="227"/>
      <c r="B1871" s="234">
        <v>1100</v>
      </c>
      <c r="C1871" s="235" t="s">
        <v>200</v>
      </c>
      <c r="D1871" s="236">
        <f t="shared" ref="D1871:D1872" si="175">D1905+D1939</f>
        <v>0</v>
      </c>
    </row>
    <row r="1872" spans="1:4" ht="12" hidden="1" customHeight="1" outlineLevel="1" x14ac:dyDescent="0.3">
      <c r="A1872" s="227"/>
      <c r="B1872" s="234">
        <v>1200</v>
      </c>
      <c r="C1872" s="237" t="s">
        <v>201</v>
      </c>
      <c r="D1872" s="236">
        <f t="shared" si="175"/>
        <v>0</v>
      </c>
    </row>
    <row r="1873" spans="1:4" ht="12" hidden="1" customHeight="1" outlineLevel="1" x14ac:dyDescent="0.3">
      <c r="A1873" s="238"/>
      <c r="B1873" s="239">
        <v>2000</v>
      </c>
      <c r="C1873" s="240" t="s">
        <v>202</v>
      </c>
      <c r="D1873" s="241">
        <f>D1907+D1941</f>
        <v>0</v>
      </c>
    </row>
    <row r="1874" spans="1:4" ht="12" hidden="1" customHeight="1" outlineLevel="1" x14ac:dyDescent="0.3">
      <c r="A1874" s="238"/>
      <c r="B1874" s="242">
        <v>2100</v>
      </c>
      <c r="C1874" s="243" t="s">
        <v>203</v>
      </c>
      <c r="D1874" s="244">
        <f t="shared" ref="D1874:D1878" si="176">D1908+D1942</f>
        <v>0</v>
      </c>
    </row>
    <row r="1875" spans="1:4" ht="12" hidden="1" customHeight="1" outlineLevel="1" x14ac:dyDescent="0.3">
      <c r="A1875" s="238"/>
      <c r="B1875" s="242">
        <v>2200</v>
      </c>
      <c r="C1875" s="243" t="s">
        <v>204</v>
      </c>
      <c r="D1875" s="244">
        <f t="shared" si="176"/>
        <v>0</v>
      </c>
    </row>
    <row r="1876" spans="1:4" ht="12" hidden="1" customHeight="1" outlineLevel="1" x14ac:dyDescent="0.3">
      <c r="A1876" s="238"/>
      <c r="B1876" s="242">
        <v>2300</v>
      </c>
      <c r="C1876" s="243" t="s">
        <v>205</v>
      </c>
      <c r="D1876" s="244">
        <f t="shared" si="176"/>
        <v>0</v>
      </c>
    </row>
    <row r="1877" spans="1:4" ht="12" hidden="1" customHeight="1" outlineLevel="1" x14ac:dyDescent="0.3">
      <c r="A1877" s="238"/>
      <c r="B1877" s="242">
        <v>2400</v>
      </c>
      <c r="C1877" s="243" t="s">
        <v>206</v>
      </c>
      <c r="D1877" s="244">
        <f t="shared" si="176"/>
        <v>0</v>
      </c>
    </row>
    <row r="1878" spans="1:4" ht="12" hidden="1" customHeight="1" outlineLevel="1" x14ac:dyDescent="0.3">
      <c r="A1878" s="238"/>
      <c r="B1878" s="242">
        <v>2500</v>
      </c>
      <c r="C1878" s="243" t="s">
        <v>207</v>
      </c>
      <c r="D1878" s="244">
        <f t="shared" si="176"/>
        <v>0</v>
      </c>
    </row>
    <row r="1879" spans="1:4" ht="12" hidden="1" customHeight="1" outlineLevel="1" x14ac:dyDescent="0.3">
      <c r="A1879" s="238"/>
      <c r="B1879" s="199">
        <v>3000</v>
      </c>
      <c r="C1879" s="245" t="s">
        <v>208</v>
      </c>
      <c r="D1879" s="241">
        <f>D1913+D1947</f>
        <v>0</v>
      </c>
    </row>
    <row r="1880" spans="1:4" ht="12" hidden="1" customHeight="1" outlineLevel="1" x14ac:dyDescent="0.3">
      <c r="A1880" s="238"/>
      <c r="B1880" s="242">
        <v>3200</v>
      </c>
      <c r="C1880" s="243" t="s">
        <v>209</v>
      </c>
      <c r="D1880" s="244">
        <f t="shared" ref="D1880:D1881" si="177">D1914+D1948</f>
        <v>0</v>
      </c>
    </row>
    <row r="1881" spans="1:4" ht="12" hidden="1" customHeight="1" outlineLevel="1" x14ac:dyDescent="0.3">
      <c r="A1881" s="238"/>
      <c r="B1881" s="242">
        <v>3300</v>
      </c>
      <c r="C1881" s="243" t="s">
        <v>210</v>
      </c>
      <c r="D1881" s="244">
        <f t="shared" si="177"/>
        <v>0</v>
      </c>
    </row>
    <row r="1882" spans="1:4" ht="12" hidden="1" customHeight="1" outlineLevel="1" x14ac:dyDescent="0.3">
      <c r="A1882" s="238"/>
      <c r="B1882" s="199">
        <v>4000</v>
      </c>
      <c r="C1882" s="246" t="s">
        <v>211</v>
      </c>
      <c r="D1882" s="241">
        <f>D1916+D1950</f>
        <v>0</v>
      </c>
    </row>
    <row r="1883" spans="1:4" ht="12" hidden="1" customHeight="1" outlineLevel="1" x14ac:dyDescent="0.3">
      <c r="A1883" s="238"/>
      <c r="B1883" s="242">
        <v>4200</v>
      </c>
      <c r="C1883" s="247" t="s">
        <v>212</v>
      </c>
      <c r="D1883" s="244">
        <f t="shared" ref="D1883:D1884" si="178">D1917+D1951</f>
        <v>0</v>
      </c>
    </row>
    <row r="1884" spans="1:4" ht="12" hidden="1" customHeight="1" outlineLevel="1" x14ac:dyDescent="0.3">
      <c r="A1884" s="238"/>
      <c r="B1884" s="242">
        <v>4300</v>
      </c>
      <c r="C1884" s="247" t="s">
        <v>213</v>
      </c>
      <c r="D1884" s="244">
        <f t="shared" si="178"/>
        <v>0</v>
      </c>
    </row>
    <row r="1885" spans="1:4" ht="12" hidden="1" customHeight="1" outlineLevel="1" collapsed="1" x14ac:dyDescent="0.3">
      <c r="A1885" s="238"/>
      <c r="B1885" s="199">
        <v>5000</v>
      </c>
      <c r="C1885" s="200" t="s">
        <v>214</v>
      </c>
      <c r="D1885" s="241">
        <f>D1919+D1953</f>
        <v>0</v>
      </c>
    </row>
    <row r="1886" spans="1:4" ht="12" hidden="1" customHeight="1" outlineLevel="1" x14ac:dyDescent="0.3">
      <c r="A1886" s="238"/>
      <c r="B1886" s="242">
        <v>5100</v>
      </c>
      <c r="C1886" s="248" t="s">
        <v>215</v>
      </c>
      <c r="D1886" s="244">
        <f t="shared" ref="D1886:D1888" si="179">D1920+D1954</f>
        <v>0</v>
      </c>
    </row>
    <row r="1887" spans="1:4" ht="12" hidden="1" customHeight="1" outlineLevel="1" x14ac:dyDescent="0.3">
      <c r="A1887" s="238"/>
      <c r="B1887" s="242">
        <v>5200</v>
      </c>
      <c r="C1887" s="248" t="s">
        <v>216</v>
      </c>
      <c r="D1887" s="244">
        <f t="shared" si="179"/>
        <v>0</v>
      </c>
    </row>
    <row r="1888" spans="1:4" ht="12" hidden="1" customHeight="1" outlineLevel="1" x14ac:dyDescent="0.3">
      <c r="A1888" s="238"/>
      <c r="B1888" s="242">
        <v>5300</v>
      </c>
      <c r="C1888" s="249" t="s">
        <v>217</v>
      </c>
      <c r="D1888" s="244">
        <f t="shared" si="179"/>
        <v>0</v>
      </c>
    </row>
    <row r="1889" spans="1:4" ht="12" hidden="1" customHeight="1" outlineLevel="1" x14ac:dyDescent="0.3">
      <c r="A1889" s="238"/>
      <c r="B1889" s="199">
        <v>6000</v>
      </c>
      <c r="C1889" s="200" t="s">
        <v>218</v>
      </c>
      <c r="D1889" s="241">
        <f>D1924+D1957</f>
        <v>0</v>
      </c>
    </row>
    <row r="1890" spans="1:4" ht="12" hidden="1" customHeight="1" outlineLevel="1" x14ac:dyDescent="0.3">
      <c r="A1890" s="238"/>
      <c r="B1890" s="242">
        <v>6200</v>
      </c>
      <c r="C1890" s="248" t="s">
        <v>219</v>
      </c>
      <c r="D1890" s="244">
        <f t="shared" ref="D1890:D1893" si="180">D1925+D1958</f>
        <v>0</v>
      </c>
    </row>
    <row r="1891" spans="1:4" ht="12" hidden="1" customHeight="1" outlineLevel="1" x14ac:dyDescent="0.3">
      <c r="A1891" s="238"/>
      <c r="B1891" s="242">
        <v>6300</v>
      </c>
      <c r="C1891" s="248" t="s">
        <v>220</v>
      </c>
      <c r="D1891" s="244">
        <f t="shared" si="180"/>
        <v>0</v>
      </c>
    </row>
    <row r="1892" spans="1:4" ht="12" hidden="1" customHeight="1" outlineLevel="1" x14ac:dyDescent="0.3">
      <c r="A1892" s="238"/>
      <c r="B1892" s="242">
        <v>6400</v>
      </c>
      <c r="C1892" s="248" t="s">
        <v>221</v>
      </c>
      <c r="D1892" s="244">
        <f t="shared" si="180"/>
        <v>0</v>
      </c>
    </row>
    <row r="1893" spans="1:4" ht="12" hidden="1" customHeight="1" outlineLevel="1" x14ac:dyDescent="0.3">
      <c r="A1893" s="238"/>
      <c r="B1893" s="242">
        <v>6500</v>
      </c>
      <c r="C1893" s="249" t="s">
        <v>222</v>
      </c>
      <c r="D1893" s="244">
        <f t="shared" si="180"/>
        <v>0</v>
      </c>
    </row>
    <row r="1894" spans="1:4" ht="12" hidden="1" customHeight="1" outlineLevel="1" x14ac:dyDescent="0.3">
      <c r="A1894" s="238"/>
      <c r="B1894" s="199">
        <v>7000</v>
      </c>
      <c r="C1894" s="200" t="s">
        <v>223</v>
      </c>
      <c r="D1894" s="241">
        <f>D1929+D1962</f>
        <v>0</v>
      </c>
    </row>
    <row r="1895" spans="1:4" ht="12" hidden="1" customHeight="1" outlineLevel="1" x14ac:dyDescent="0.3">
      <c r="A1895" s="238"/>
      <c r="B1895" s="250">
        <v>7200</v>
      </c>
      <c r="C1895" s="251" t="s">
        <v>224</v>
      </c>
      <c r="D1895" s="244">
        <f t="shared" ref="D1895:D1897" si="181">D1930+D1963</f>
        <v>0</v>
      </c>
    </row>
    <row r="1896" spans="1:4" ht="12" hidden="1" customHeight="1" outlineLevel="1" x14ac:dyDescent="0.3">
      <c r="A1896" s="238"/>
      <c r="B1896" s="250">
        <v>7500</v>
      </c>
      <c r="C1896" s="251" t="s">
        <v>225</v>
      </c>
      <c r="D1896" s="244">
        <f t="shared" si="181"/>
        <v>0</v>
      </c>
    </row>
    <row r="1897" spans="1:4" ht="12" hidden="1" customHeight="1" outlineLevel="1" x14ac:dyDescent="0.3">
      <c r="A1897" s="238"/>
      <c r="B1897" s="250">
        <v>7700</v>
      </c>
      <c r="C1897" s="251" t="s">
        <v>226</v>
      </c>
      <c r="D1897" s="244">
        <f t="shared" si="181"/>
        <v>0</v>
      </c>
    </row>
    <row r="1898" spans="1:4" ht="12" hidden="1" customHeight="1" outlineLevel="1" x14ac:dyDescent="0.3">
      <c r="A1898" s="238"/>
      <c r="B1898" s="252">
        <v>8000</v>
      </c>
      <c r="C1898" s="253" t="s">
        <v>227</v>
      </c>
      <c r="D1898" s="241">
        <f>D1933+D1966</f>
        <v>0</v>
      </c>
    </row>
    <row r="1899" spans="1:4" ht="12" hidden="1" customHeight="1" outlineLevel="1" x14ac:dyDescent="0.3">
      <c r="A1899" s="238"/>
      <c r="B1899" s="254">
        <v>8100</v>
      </c>
      <c r="C1899" s="255" t="s">
        <v>228</v>
      </c>
      <c r="D1899" s="244">
        <f t="shared" ref="D1899:D1900" si="182">D1934+D1967</f>
        <v>0</v>
      </c>
    </row>
    <row r="1900" spans="1:4" ht="12" hidden="1" customHeight="1" outlineLevel="1" x14ac:dyDescent="0.3">
      <c r="A1900" s="238"/>
      <c r="B1900" s="254">
        <v>8600</v>
      </c>
      <c r="C1900" s="255" t="s">
        <v>229</v>
      </c>
      <c r="D1900" s="244">
        <f t="shared" si="182"/>
        <v>0</v>
      </c>
    </row>
    <row r="1901" spans="1:4" ht="12" hidden="1" customHeight="1" outlineLevel="1" x14ac:dyDescent="0.3">
      <c r="A1901" s="238"/>
      <c r="B1901" s="254">
        <v>8900</v>
      </c>
      <c r="C1901" s="255" t="s">
        <v>230</v>
      </c>
      <c r="D1901" s="244">
        <f>D1935+D1969</f>
        <v>0</v>
      </c>
    </row>
    <row r="1902" spans="1:4" ht="12" hidden="1" customHeight="1" outlineLevel="1" x14ac:dyDescent="0.3">
      <c r="A1902" s="272" t="s">
        <v>336</v>
      </c>
      <c r="B1902" s="273"/>
      <c r="C1902" s="274" t="s">
        <v>337</v>
      </c>
      <c r="D1902" s="275">
        <f>D1903+D1919+D1933</f>
        <v>0</v>
      </c>
    </row>
    <row r="1903" spans="1:4" ht="12" hidden="1" customHeight="1" outlineLevel="1" x14ac:dyDescent="0.3">
      <c r="A1903" s="238"/>
      <c r="B1903" s="228"/>
      <c r="C1903" s="229" t="s">
        <v>198</v>
      </c>
      <c r="D1903" s="230">
        <f t="shared" ref="D1903" si="183">D1904+D1907+D1913+D1916+D1924+D1929</f>
        <v>0</v>
      </c>
    </row>
    <row r="1904" spans="1:4" ht="12" hidden="1" customHeight="1" outlineLevel="1" x14ac:dyDescent="0.3">
      <c r="A1904" s="238"/>
      <c r="B1904" s="231">
        <v>1000</v>
      </c>
      <c r="C1904" s="232" t="s">
        <v>199</v>
      </c>
      <c r="D1904" s="230">
        <f>SUM(D1905:D1906)</f>
        <v>0</v>
      </c>
    </row>
    <row r="1905" spans="1:4" ht="12" hidden="1" customHeight="1" outlineLevel="1" x14ac:dyDescent="0.3">
      <c r="A1905" s="238"/>
      <c r="B1905" s="234">
        <v>1100</v>
      </c>
      <c r="C1905" s="235" t="s">
        <v>200</v>
      </c>
      <c r="D1905" s="236"/>
    </row>
    <row r="1906" spans="1:4" ht="12" hidden="1" customHeight="1" outlineLevel="1" x14ac:dyDescent="0.3">
      <c r="A1906" s="238"/>
      <c r="B1906" s="234">
        <v>1200</v>
      </c>
      <c r="C1906" s="237" t="s">
        <v>201</v>
      </c>
      <c r="D1906" s="236"/>
    </row>
    <row r="1907" spans="1:4" ht="12" hidden="1" customHeight="1" outlineLevel="1" x14ac:dyDescent="0.3">
      <c r="A1907" s="238"/>
      <c r="B1907" s="239">
        <v>2000</v>
      </c>
      <c r="C1907" s="240" t="s">
        <v>202</v>
      </c>
      <c r="D1907" s="260">
        <f>SUM(D1908:D1912)</f>
        <v>0</v>
      </c>
    </row>
    <row r="1908" spans="1:4" ht="12" hidden="1" customHeight="1" outlineLevel="1" x14ac:dyDescent="0.3">
      <c r="A1908" s="238"/>
      <c r="B1908" s="242">
        <v>2100</v>
      </c>
      <c r="C1908" s="243" t="s">
        <v>203</v>
      </c>
      <c r="D1908" s="244"/>
    </row>
    <row r="1909" spans="1:4" ht="12" hidden="1" customHeight="1" outlineLevel="1" x14ac:dyDescent="0.3">
      <c r="A1909" s="238"/>
      <c r="B1909" s="242">
        <v>2200</v>
      </c>
      <c r="C1909" s="243" t="s">
        <v>204</v>
      </c>
      <c r="D1909" s="244"/>
    </row>
    <row r="1910" spans="1:4" ht="12" hidden="1" customHeight="1" outlineLevel="1" x14ac:dyDescent="0.3">
      <c r="A1910" s="238"/>
      <c r="B1910" s="242">
        <v>2300</v>
      </c>
      <c r="C1910" s="243" t="s">
        <v>205</v>
      </c>
      <c r="D1910" s="244"/>
    </row>
    <row r="1911" spans="1:4" ht="12" hidden="1" customHeight="1" outlineLevel="1" x14ac:dyDescent="0.3">
      <c r="A1911" s="238"/>
      <c r="B1911" s="242">
        <v>2400</v>
      </c>
      <c r="C1911" s="243" t="s">
        <v>206</v>
      </c>
      <c r="D1911" s="244"/>
    </row>
    <row r="1912" spans="1:4" ht="12" hidden="1" customHeight="1" outlineLevel="1" x14ac:dyDescent="0.3">
      <c r="A1912" s="238"/>
      <c r="B1912" s="242">
        <v>2500</v>
      </c>
      <c r="C1912" s="243" t="s">
        <v>207</v>
      </c>
      <c r="D1912" s="244"/>
    </row>
    <row r="1913" spans="1:4" ht="12" hidden="1" customHeight="1" outlineLevel="1" x14ac:dyDescent="0.3">
      <c r="A1913" s="238"/>
      <c r="B1913" s="199">
        <v>3000</v>
      </c>
      <c r="C1913" s="245" t="s">
        <v>208</v>
      </c>
      <c r="D1913" s="260">
        <f>SUM(D1914:D1915)</f>
        <v>0</v>
      </c>
    </row>
    <row r="1914" spans="1:4" ht="12" hidden="1" customHeight="1" outlineLevel="1" x14ac:dyDescent="0.3">
      <c r="A1914" s="238"/>
      <c r="B1914" s="242">
        <v>3200</v>
      </c>
      <c r="C1914" s="243" t="s">
        <v>209</v>
      </c>
      <c r="D1914" s="244"/>
    </row>
    <row r="1915" spans="1:4" ht="12" hidden="1" customHeight="1" outlineLevel="1" x14ac:dyDescent="0.3">
      <c r="A1915" s="238"/>
      <c r="B1915" s="242">
        <v>3300</v>
      </c>
      <c r="C1915" s="243" t="s">
        <v>210</v>
      </c>
      <c r="D1915" s="244"/>
    </row>
    <row r="1916" spans="1:4" ht="12" hidden="1" customHeight="1" outlineLevel="1" x14ac:dyDescent="0.3">
      <c r="A1916" s="238"/>
      <c r="B1916" s="199">
        <v>4000</v>
      </c>
      <c r="C1916" s="246" t="s">
        <v>211</v>
      </c>
      <c r="D1916" s="260">
        <f>SUM(D1917:D1918)</f>
        <v>0</v>
      </c>
    </row>
    <row r="1917" spans="1:4" ht="12" hidden="1" customHeight="1" outlineLevel="1" x14ac:dyDescent="0.3">
      <c r="A1917" s="238"/>
      <c r="B1917" s="242">
        <v>4200</v>
      </c>
      <c r="C1917" s="247" t="s">
        <v>212</v>
      </c>
      <c r="D1917" s="244"/>
    </row>
    <row r="1918" spans="1:4" ht="12" hidden="1" customHeight="1" outlineLevel="1" x14ac:dyDescent="0.3">
      <c r="A1918" s="238"/>
      <c r="B1918" s="242">
        <v>4300</v>
      </c>
      <c r="C1918" s="247" t="s">
        <v>213</v>
      </c>
      <c r="D1918" s="244"/>
    </row>
    <row r="1919" spans="1:4" ht="12" hidden="1" customHeight="1" outlineLevel="1" x14ac:dyDescent="0.3">
      <c r="A1919" s="238"/>
      <c r="B1919" s="199">
        <v>5000</v>
      </c>
      <c r="C1919" s="200" t="s">
        <v>214</v>
      </c>
      <c r="D1919" s="260">
        <f>SUM(D1920:D1922)</f>
        <v>0</v>
      </c>
    </row>
    <row r="1920" spans="1:4" ht="12" hidden="1" customHeight="1" outlineLevel="1" x14ac:dyDescent="0.3">
      <c r="A1920" s="238"/>
      <c r="B1920" s="242">
        <v>5100</v>
      </c>
      <c r="C1920" s="248" t="s">
        <v>215</v>
      </c>
      <c r="D1920" s="260"/>
    </row>
    <row r="1921" spans="1:4" ht="12" hidden="1" customHeight="1" outlineLevel="1" x14ac:dyDescent="0.3">
      <c r="A1921" s="238"/>
      <c r="B1921" s="242">
        <v>5200</v>
      </c>
      <c r="C1921" s="248" t="s">
        <v>216</v>
      </c>
      <c r="D1921" s="260"/>
    </row>
    <row r="1922" spans="1:4" ht="12" hidden="1" customHeight="1" outlineLevel="1" x14ac:dyDescent="0.3">
      <c r="A1922" s="238"/>
      <c r="B1922" s="242">
        <v>5300</v>
      </c>
      <c r="C1922" s="249" t="s">
        <v>217</v>
      </c>
      <c r="D1922" s="260"/>
    </row>
    <row r="1923" spans="1:4" ht="12" hidden="1" customHeight="1" outlineLevel="1" x14ac:dyDescent="0.3">
      <c r="A1923" s="238"/>
      <c r="B1923" s="199">
        <v>6000</v>
      </c>
      <c r="C1923" s="200" t="s">
        <v>218</v>
      </c>
      <c r="D1923" s="260">
        <f>SUM(D1924:D1927)</f>
        <v>0</v>
      </c>
    </row>
    <row r="1924" spans="1:4" ht="12" hidden="1" customHeight="1" outlineLevel="1" x14ac:dyDescent="0.3">
      <c r="A1924" s="238"/>
      <c r="B1924" s="242">
        <v>6200</v>
      </c>
      <c r="C1924" s="248" t="s">
        <v>219</v>
      </c>
      <c r="D1924" s="244"/>
    </row>
    <row r="1925" spans="1:4" ht="12" hidden="1" customHeight="1" outlineLevel="1" x14ac:dyDescent="0.3">
      <c r="A1925" s="238"/>
      <c r="B1925" s="242">
        <v>6300</v>
      </c>
      <c r="C1925" s="248" t="s">
        <v>220</v>
      </c>
      <c r="D1925" s="244"/>
    </row>
    <row r="1926" spans="1:4" ht="12" hidden="1" customHeight="1" outlineLevel="1" x14ac:dyDescent="0.3">
      <c r="A1926" s="238"/>
      <c r="B1926" s="242">
        <v>6400</v>
      </c>
      <c r="C1926" s="248" t="s">
        <v>221</v>
      </c>
      <c r="D1926" s="244"/>
    </row>
    <row r="1927" spans="1:4" ht="12" hidden="1" customHeight="1" outlineLevel="1" x14ac:dyDescent="0.3">
      <c r="A1927" s="238"/>
      <c r="B1927" s="242">
        <v>6500</v>
      </c>
      <c r="C1927" s="249" t="s">
        <v>222</v>
      </c>
      <c r="D1927" s="244"/>
    </row>
    <row r="1928" spans="1:4" ht="12" hidden="1" customHeight="1" outlineLevel="1" x14ac:dyDescent="0.3">
      <c r="A1928" s="238"/>
      <c r="B1928" s="199">
        <v>7000</v>
      </c>
      <c r="C1928" s="200" t="s">
        <v>223</v>
      </c>
      <c r="D1928" s="260">
        <f>SUM(D1929:D1931)</f>
        <v>0</v>
      </c>
    </row>
    <row r="1929" spans="1:4" ht="12" hidden="1" customHeight="1" outlineLevel="1" x14ac:dyDescent="0.3">
      <c r="A1929" s="238"/>
      <c r="B1929" s="250">
        <v>7200</v>
      </c>
      <c r="C1929" s="251" t="s">
        <v>224</v>
      </c>
      <c r="D1929" s="244"/>
    </row>
    <row r="1930" spans="1:4" ht="12" hidden="1" customHeight="1" outlineLevel="1" x14ac:dyDescent="0.3">
      <c r="A1930" s="238"/>
      <c r="B1930" s="250">
        <v>7500</v>
      </c>
      <c r="C1930" s="251" t="s">
        <v>225</v>
      </c>
      <c r="D1930" s="244"/>
    </row>
    <row r="1931" spans="1:4" ht="12" hidden="1" customHeight="1" outlineLevel="1" x14ac:dyDescent="0.3">
      <c r="A1931" s="238"/>
      <c r="B1931" s="250">
        <v>7700</v>
      </c>
      <c r="C1931" s="251" t="s">
        <v>226</v>
      </c>
      <c r="D1931" s="244"/>
    </row>
    <row r="1932" spans="1:4" ht="12" hidden="1" customHeight="1" outlineLevel="1" x14ac:dyDescent="0.3">
      <c r="A1932" s="238"/>
      <c r="B1932" s="252">
        <v>8000</v>
      </c>
      <c r="C1932" s="253" t="s">
        <v>227</v>
      </c>
      <c r="D1932" s="260">
        <f>SUM(D1933:D1935)</f>
        <v>0</v>
      </c>
    </row>
    <row r="1933" spans="1:4" ht="12" hidden="1" customHeight="1" outlineLevel="1" x14ac:dyDescent="0.3">
      <c r="A1933" s="238"/>
      <c r="B1933" s="254">
        <v>8100</v>
      </c>
      <c r="C1933" s="255" t="s">
        <v>228</v>
      </c>
      <c r="D1933" s="260"/>
    </row>
    <row r="1934" spans="1:4" ht="12" hidden="1" customHeight="1" outlineLevel="1" x14ac:dyDescent="0.3">
      <c r="A1934" s="238"/>
      <c r="B1934" s="254">
        <v>8600</v>
      </c>
      <c r="C1934" s="255" t="s">
        <v>229</v>
      </c>
      <c r="D1934" s="260"/>
    </row>
    <row r="1935" spans="1:4" ht="12" hidden="1" customHeight="1" outlineLevel="1" x14ac:dyDescent="0.3">
      <c r="A1935" s="238"/>
      <c r="B1935" s="254">
        <v>8900</v>
      </c>
      <c r="C1935" s="255" t="s">
        <v>230</v>
      </c>
      <c r="D1935" s="260"/>
    </row>
    <row r="1936" spans="1:4" ht="25.5" hidden="1" customHeight="1" outlineLevel="1" x14ac:dyDescent="0.3">
      <c r="A1936" s="272" t="s">
        <v>338</v>
      </c>
      <c r="B1936" s="273"/>
      <c r="C1936" s="282" t="s">
        <v>339</v>
      </c>
      <c r="D1936" s="275">
        <f t="shared" ref="D1936" si="184">D1937+D1953+D1966</f>
        <v>0</v>
      </c>
    </row>
    <row r="1937" spans="1:4" ht="12" hidden="1" customHeight="1" outlineLevel="1" x14ac:dyDescent="0.3">
      <c r="A1937" s="227"/>
      <c r="B1937" s="228"/>
      <c r="C1937" s="229" t="s">
        <v>198</v>
      </c>
      <c r="D1937" s="230">
        <f t="shared" ref="D1937" si="185">D1938+D1941+D1947+D1950+D1957+D1962</f>
        <v>0</v>
      </c>
    </row>
    <row r="1938" spans="1:4" ht="12" hidden="1" customHeight="1" outlineLevel="1" x14ac:dyDescent="0.3">
      <c r="A1938" s="227"/>
      <c r="B1938" s="231">
        <v>1000</v>
      </c>
      <c r="C1938" s="232" t="s">
        <v>199</v>
      </c>
      <c r="D1938" s="230">
        <f>SUM(D1939:D1940)</f>
        <v>0</v>
      </c>
    </row>
    <row r="1939" spans="1:4" ht="12" hidden="1" customHeight="1" outlineLevel="1" x14ac:dyDescent="0.3">
      <c r="A1939" s="227"/>
      <c r="B1939" s="234">
        <v>1100</v>
      </c>
      <c r="C1939" s="235" t="s">
        <v>200</v>
      </c>
      <c r="D1939" s="236"/>
    </row>
    <row r="1940" spans="1:4" ht="12" hidden="1" customHeight="1" outlineLevel="1" x14ac:dyDescent="0.3">
      <c r="A1940" s="227"/>
      <c r="B1940" s="234">
        <v>1200</v>
      </c>
      <c r="C1940" s="237" t="s">
        <v>201</v>
      </c>
      <c r="D1940" s="236"/>
    </row>
    <row r="1941" spans="1:4" ht="12" hidden="1" customHeight="1" outlineLevel="1" x14ac:dyDescent="0.3">
      <c r="A1941" s="238"/>
      <c r="B1941" s="239">
        <v>2000</v>
      </c>
      <c r="C1941" s="240" t="s">
        <v>202</v>
      </c>
      <c r="D1941" s="260">
        <f>SUM(D1942:D1946)</f>
        <v>0</v>
      </c>
    </row>
    <row r="1942" spans="1:4" ht="12" hidden="1" customHeight="1" outlineLevel="1" x14ac:dyDescent="0.3">
      <c r="A1942" s="238"/>
      <c r="B1942" s="242">
        <v>2100</v>
      </c>
      <c r="C1942" s="243" t="s">
        <v>203</v>
      </c>
      <c r="D1942" s="244"/>
    </row>
    <row r="1943" spans="1:4" ht="12" hidden="1" customHeight="1" outlineLevel="1" x14ac:dyDescent="0.3">
      <c r="A1943" s="238"/>
      <c r="B1943" s="242">
        <v>2200</v>
      </c>
      <c r="C1943" s="243" t="s">
        <v>204</v>
      </c>
      <c r="D1943" s="244"/>
    </row>
    <row r="1944" spans="1:4" ht="12" hidden="1" customHeight="1" outlineLevel="1" x14ac:dyDescent="0.3">
      <c r="A1944" s="238"/>
      <c r="B1944" s="242">
        <v>2300</v>
      </c>
      <c r="C1944" s="243" t="s">
        <v>205</v>
      </c>
      <c r="D1944" s="244"/>
    </row>
    <row r="1945" spans="1:4" ht="12" hidden="1" customHeight="1" outlineLevel="1" x14ac:dyDescent="0.3">
      <c r="A1945" s="238"/>
      <c r="B1945" s="242">
        <v>2400</v>
      </c>
      <c r="C1945" s="243" t="s">
        <v>206</v>
      </c>
      <c r="D1945" s="244"/>
    </row>
    <row r="1946" spans="1:4" ht="12" hidden="1" customHeight="1" outlineLevel="1" x14ac:dyDescent="0.3">
      <c r="A1946" s="238"/>
      <c r="B1946" s="242">
        <v>2500</v>
      </c>
      <c r="C1946" s="243" t="s">
        <v>207</v>
      </c>
      <c r="D1946" s="244"/>
    </row>
    <row r="1947" spans="1:4" ht="12" hidden="1" customHeight="1" outlineLevel="1" x14ac:dyDescent="0.3">
      <c r="A1947" s="238"/>
      <c r="B1947" s="199">
        <v>3000</v>
      </c>
      <c r="C1947" s="245" t="s">
        <v>208</v>
      </c>
      <c r="D1947" s="260">
        <f>SUM(D1948:D1949)</f>
        <v>0</v>
      </c>
    </row>
    <row r="1948" spans="1:4" ht="12" hidden="1" customHeight="1" outlineLevel="1" x14ac:dyDescent="0.3">
      <c r="A1948" s="238"/>
      <c r="B1948" s="242">
        <v>3200</v>
      </c>
      <c r="C1948" s="243" t="s">
        <v>209</v>
      </c>
      <c r="D1948" s="244"/>
    </row>
    <row r="1949" spans="1:4" ht="12" hidden="1" customHeight="1" outlineLevel="1" x14ac:dyDescent="0.3">
      <c r="A1949" s="238"/>
      <c r="B1949" s="242">
        <v>3300</v>
      </c>
      <c r="C1949" s="243" t="s">
        <v>210</v>
      </c>
      <c r="D1949" s="244"/>
    </row>
    <row r="1950" spans="1:4" ht="12" hidden="1" customHeight="1" outlineLevel="1" x14ac:dyDescent="0.3">
      <c r="A1950" s="238"/>
      <c r="B1950" s="199">
        <v>4000</v>
      </c>
      <c r="C1950" s="246" t="s">
        <v>211</v>
      </c>
      <c r="D1950" s="260">
        <f>SUM(D1951:D1952)</f>
        <v>0</v>
      </c>
    </row>
    <row r="1951" spans="1:4" ht="12" hidden="1" customHeight="1" outlineLevel="1" x14ac:dyDescent="0.3">
      <c r="A1951" s="238"/>
      <c r="B1951" s="242">
        <v>4200</v>
      </c>
      <c r="C1951" s="247" t="s">
        <v>212</v>
      </c>
      <c r="D1951" s="244"/>
    </row>
    <row r="1952" spans="1:4" ht="12" hidden="1" customHeight="1" outlineLevel="1" x14ac:dyDescent="0.3">
      <c r="A1952" s="238"/>
      <c r="B1952" s="242">
        <v>4300</v>
      </c>
      <c r="C1952" s="247" t="s">
        <v>213</v>
      </c>
      <c r="D1952" s="244"/>
    </row>
    <row r="1953" spans="1:4" ht="12" hidden="1" customHeight="1" outlineLevel="1" collapsed="1" x14ac:dyDescent="0.3">
      <c r="A1953" s="238"/>
      <c r="B1953" s="199">
        <v>5000</v>
      </c>
      <c r="C1953" s="200" t="s">
        <v>214</v>
      </c>
      <c r="D1953" s="260">
        <f>SUM(D1954:D1956)</f>
        <v>0</v>
      </c>
    </row>
    <row r="1954" spans="1:4" ht="12" hidden="1" customHeight="1" outlineLevel="1" x14ac:dyDescent="0.3">
      <c r="A1954" s="238"/>
      <c r="B1954" s="242">
        <v>5100</v>
      </c>
      <c r="C1954" s="248" t="s">
        <v>215</v>
      </c>
      <c r="D1954" s="260"/>
    </row>
    <row r="1955" spans="1:4" ht="12" hidden="1" customHeight="1" outlineLevel="1" x14ac:dyDescent="0.3">
      <c r="A1955" s="238"/>
      <c r="B1955" s="242">
        <v>5200</v>
      </c>
      <c r="C1955" s="248" t="s">
        <v>216</v>
      </c>
      <c r="D1955" s="260"/>
    </row>
    <row r="1956" spans="1:4" ht="12" hidden="1" customHeight="1" outlineLevel="1" x14ac:dyDescent="0.3">
      <c r="A1956" s="238"/>
      <c r="B1956" s="242">
        <v>5300</v>
      </c>
      <c r="C1956" s="249" t="s">
        <v>217</v>
      </c>
      <c r="D1956" s="260"/>
    </row>
    <row r="1957" spans="1:4" ht="12" hidden="1" customHeight="1" outlineLevel="1" x14ac:dyDescent="0.3">
      <c r="A1957" s="238"/>
      <c r="B1957" s="199">
        <v>6000</v>
      </c>
      <c r="C1957" s="200" t="s">
        <v>218</v>
      </c>
      <c r="D1957" s="260">
        <f>SUM(D1958:D1961)</f>
        <v>0</v>
      </c>
    </row>
    <row r="1958" spans="1:4" ht="12" hidden="1" customHeight="1" outlineLevel="1" x14ac:dyDescent="0.3">
      <c r="A1958" s="238"/>
      <c r="B1958" s="242">
        <v>6200</v>
      </c>
      <c r="C1958" s="248" t="s">
        <v>219</v>
      </c>
      <c r="D1958" s="244"/>
    </row>
    <row r="1959" spans="1:4" ht="12" hidden="1" customHeight="1" outlineLevel="1" x14ac:dyDescent="0.3">
      <c r="A1959" s="238"/>
      <c r="B1959" s="242">
        <v>6300</v>
      </c>
      <c r="C1959" s="248" t="s">
        <v>220</v>
      </c>
      <c r="D1959" s="244"/>
    </row>
    <row r="1960" spans="1:4" ht="12" hidden="1" customHeight="1" outlineLevel="1" x14ac:dyDescent="0.3">
      <c r="A1960" s="238"/>
      <c r="B1960" s="242">
        <v>6400</v>
      </c>
      <c r="C1960" s="248" t="s">
        <v>221</v>
      </c>
      <c r="D1960" s="244"/>
    </row>
    <row r="1961" spans="1:4" ht="12" hidden="1" customHeight="1" outlineLevel="1" x14ac:dyDescent="0.3">
      <c r="A1961" s="238"/>
      <c r="B1961" s="242">
        <v>6500</v>
      </c>
      <c r="C1961" s="249" t="s">
        <v>222</v>
      </c>
      <c r="D1961" s="244"/>
    </row>
    <row r="1962" spans="1:4" ht="12" hidden="1" customHeight="1" outlineLevel="1" x14ac:dyDescent="0.3">
      <c r="A1962" s="238"/>
      <c r="B1962" s="199">
        <v>7000</v>
      </c>
      <c r="C1962" s="200" t="s">
        <v>223</v>
      </c>
      <c r="D1962" s="260">
        <f>SUM(D1963:D1965)</f>
        <v>0</v>
      </c>
    </row>
    <row r="1963" spans="1:4" ht="12" hidden="1" customHeight="1" outlineLevel="1" x14ac:dyDescent="0.3">
      <c r="A1963" s="238"/>
      <c r="B1963" s="250">
        <v>7200</v>
      </c>
      <c r="C1963" s="251" t="s">
        <v>224</v>
      </c>
      <c r="D1963" s="244"/>
    </row>
    <row r="1964" spans="1:4" ht="12" hidden="1" customHeight="1" outlineLevel="1" x14ac:dyDescent="0.3">
      <c r="A1964" s="238"/>
      <c r="B1964" s="250">
        <v>7500</v>
      </c>
      <c r="C1964" s="251" t="s">
        <v>225</v>
      </c>
      <c r="D1964" s="244"/>
    </row>
    <row r="1965" spans="1:4" ht="12" hidden="1" customHeight="1" outlineLevel="1" x14ac:dyDescent="0.3">
      <c r="A1965" s="238"/>
      <c r="B1965" s="250">
        <v>7700</v>
      </c>
      <c r="C1965" s="251" t="s">
        <v>226</v>
      </c>
      <c r="D1965" s="244"/>
    </row>
    <row r="1966" spans="1:4" ht="12" hidden="1" customHeight="1" outlineLevel="1" x14ac:dyDescent="0.3">
      <c r="A1966" s="238"/>
      <c r="B1966" s="252">
        <v>8000</v>
      </c>
      <c r="C1966" s="253" t="s">
        <v>227</v>
      </c>
      <c r="D1966" s="260">
        <f>SUM(D1967:D1969)</f>
        <v>0</v>
      </c>
    </row>
    <row r="1967" spans="1:4" ht="12" hidden="1" customHeight="1" outlineLevel="1" x14ac:dyDescent="0.3">
      <c r="A1967" s="238"/>
      <c r="B1967" s="254">
        <v>8100</v>
      </c>
      <c r="C1967" s="255" t="s">
        <v>228</v>
      </c>
      <c r="D1967" s="260"/>
    </row>
    <row r="1968" spans="1:4" ht="12" hidden="1" customHeight="1" outlineLevel="1" x14ac:dyDescent="0.3">
      <c r="A1968" s="238"/>
      <c r="B1968" s="254">
        <v>8600</v>
      </c>
      <c r="C1968" s="255" t="s">
        <v>229</v>
      </c>
      <c r="D1968" s="260"/>
    </row>
    <row r="1969" spans="1:4" ht="12" hidden="1" customHeight="1" outlineLevel="1" x14ac:dyDescent="0.3">
      <c r="A1969" s="238"/>
      <c r="B1969" s="254">
        <v>8900</v>
      </c>
      <c r="C1969" s="255" t="s">
        <v>230</v>
      </c>
      <c r="D1969" s="260"/>
    </row>
    <row r="1970" spans="1:4" ht="14.25" hidden="1" customHeight="1" outlineLevel="1" x14ac:dyDescent="0.3">
      <c r="A1970" s="256" t="s">
        <v>340</v>
      </c>
      <c r="B1970" s="257"/>
      <c r="C1970" s="258" t="s">
        <v>341</v>
      </c>
      <c r="D1970" s="259">
        <f t="shared" ref="D1970" si="186">D1971+D1987+D2000</f>
        <v>0</v>
      </c>
    </row>
    <row r="1971" spans="1:4" ht="12" hidden="1" customHeight="1" outlineLevel="1" x14ac:dyDescent="0.3">
      <c r="A1971" s="227"/>
      <c r="B1971" s="228"/>
      <c r="C1971" s="229" t="s">
        <v>198</v>
      </c>
      <c r="D1971" s="230">
        <f t="shared" ref="D1971" si="187">D1972+D1975+D1981+D1984+D1991+D1996</f>
        <v>0</v>
      </c>
    </row>
    <row r="1972" spans="1:4" ht="12" hidden="1" customHeight="1" outlineLevel="1" x14ac:dyDescent="0.3">
      <c r="A1972" s="227"/>
      <c r="B1972" s="231">
        <v>1000</v>
      </c>
      <c r="C1972" s="232" t="s">
        <v>199</v>
      </c>
      <c r="D1972" s="230">
        <f>SUM(D1973:D1974)</f>
        <v>0</v>
      </c>
    </row>
    <row r="1973" spans="1:4" ht="12" hidden="1" customHeight="1" outlineLevel="1" x14ac:dyDescent="0.3">
      <c r="A1973" s="227"/>
      <c r="B1973" s="234">
        <v>1100</v>
      </c>
      <c r="C1973" s="235" t="s">
        <v>200</v>
      </c>
      <c r="D1973" s="236"/>
    </row>
    <row r="1974" spans="1:4" ht="12" hidden="1" customHeight="1" outlineLevel="1" x14ac:dyDescent="0.3">
      <c r="A1974" s="227"/>
      <c r="B1974" s="234">
        <v>1200</v>
      </c>
      <c r="C1974" s="237" t="s">
        <v>201</v>
      </c>
      <c r="D1974" s="236"/>
    </row>
    <row r="1975" spans="1:4" ht="12" hidden="1" customHeight="1" outlineLevel="1" x14ac:dyDescent="0.3">
      <c r="A1975" s="238"/>
      <c r="B1975" s="239">
        <v>2000</v>
      </c>
      <c r="C1975" s="240" t="s">
        <v>202</v>
      </c>
      <c r="D1975" s="260">
        <f>SUM(D1976:D1980)</f>
        <v>0</v>
      </c>
    </row>
    <row r="1976" spans="1:4" ht="12" hidden="1" customHeight="1" outlineLevel="1" x14ac:dyDescent="0.3">
      <c r="A1976" s="238"/>
      <c r="B1976" s="242">
        <v>2100</v>
      </c>
      <c r="C1976" s="243" t="s">
        <v>203</v>
      </c>
      <c r="D1976" s="244"/>
    </row>
    <row r="1977" spans="1:4" ht="12" hidden="1" customHeight="1" outlineLevel="1" x14ac:dyDescent="0.3">
      <c r="A1977" s="238"/>
      <c r="B1977" s="242">
        <v>2200</v>
      </c>
      <c r="C1977" s="243" t="s">
        <v>204</v>
      </c>
      <c r="D1977" s="244"/>
    </row>
    <row r="1978" spans="1:4" ht="12" hidden="1" customHeight="1" outlineLevel="1" x14ac:dyDescent="0.3">
      <c r="A1978" s="238"/>
      <c r="B1978" s="242">
        <v>2300</v>
      </c>
      <c r="C1978" s="243" t="s">
        <v>205</v>
      </c>
      <c r="D1978" s="244"/>
    </row>
    <row r="1979" spans="1:4" ht="12" hidden="1" customHeight="1" outlineLevel="1" x14ac:dyDescent="0.3">
      <c r="A1979" s="238"/>
      <c r="B1979" s="242">
        <v>2400</v>
      </c>
      <c r="C1979" s="243" t="s">
        <v>206</v>
      </c>
      <c r="D1979" s="244"/>
    </row>
    <row r="1980" spans="1:4" ht="12" hidden="1" customHeight="1" outlineLevel="1" x14ac:dyDescent="0.3">
      <c r="A1980" s="238"/>
      <c r="B1980" s="242">
        <v>2500</v>
      </c>
      <c r="C1980" s="243" t="s">
        <v>207</v>
      </c>
      <c r="D1980" s="244"/>
    </row>
    <row r="1981" spans="1:4" ht="12" hidden="1" customHeight="1" outlineLevel="1" x14ac:dyDescent="0.3">
      <c r="A1981" s="238"/>
      <c r="B1981" s="199">
        <v>3000</v>
      </c>
      <c r="C1981" s="245" t="s">
        <v>208</v>
      </c>
      <c r="D1981" s="260">
        <f>SUM(D1982:D1983)</f>
        <v>0</v>
      </c>
    </row>
    <row r="1982" spans="1:4" ht="12" hidden="1" customHeight="1" outlineLevel="1" x14ac:dyDescent="0.3">
      <c r="A1982" s="238"/>
      <c r="B1982" s="242">
        <v>3200</v>
      </c>
      <c r="C1982" s="243" t="s">
        <v>209</v>
      </c>
      <c r="D1982" s="244"/>
    </row>
    <row r="1983" spans="1:4" ht="12" hidden="1" customHeight="1" outlineLevel="1" x14ac:dyDescent="0.3">
      <c r="A1983" s="238"/>
      <c r="B1983" s="242">
        <v>3300</v>
      </c>
      <c r="C1983" s="243" t="s">
        <v>210</v>
      </c>
      <c r="D1983" s="244"/>
    </row>
    <row r="1984" spans="1:4" ht="12" hidden="1" customHeight="1" outlineLevel="1" x14ac:dyDescent="0.3">
      <c r="A1984" s="238"/>
      <c r="B1984" s="199">
        <v>4000</v>
      </c>
      <c r="C1984" s="246" t="s">
        <v>211</v>
      </c>
      <c r="D1984" s="260">
        <f>SUM(D1985:D1986)</f>
        <v>0</v>
      </c>
    </row>
    <row r="1985" spans="1:4" ht="12" hidden="1" customHeight="1" outlineLevel="1" x14ac:dyDescent="0.3">
      <c r="A1985" s="238"/>
      <c r="B1985" s="242">
        <v>4200</v>
      </c>
      <c r="C1985" s="247" t="s">
        <v>212</v>
      </c>
      <c r="D1985" s="244"/>
    </row>
    <row r="1986" spans="1:4" ht="12" hidden="1" customHeight="1" outlineLevel="1" x14ac:dyDescent="0.3">
      <c r="A1986" s="238"/>
      <c r="B1986" s="242">
        <v>4300</v>
      </c>
      <c r="C1986" s="247" t="s">
        <v>213</v>
      </c>
      <c r="D1986" s="244"/>
    </row>
    <row r="1987" spans="1:4" ht="12" hidden="1" customHeight="1" outlineLevel="1" x14ac:dyDescent="0.3">
      <c r="A1987" s="238"/>
      <c r="B1987" s="199">
        <v>5000</v>
      </c>
      <c r="C1987" s="200" t="s">
        <v>214</v>
      </c>
      <c r="D1987" s="260">
        <f>SUM(D1988:D1990)</f>
        <v>0</v>
      </c>
    </row>
    <row r="1988" spans="1:4" ht="12" hidden="1" customHeight="1" outlineLevel="1" x14ac:dyDescent="0.3">
      <c r="A1988" s="238"/>
      <c r="B1988" s="242">
        <v>5100</v>
      </c>
      <c r="C1988" s="248" t="s">
        <v>215</v>
      </c>
      <c r="D1988" s="260"/>
    </row>
    <row r="1989" spans="1:4" ht="12" hidden="1" customHeight="1" outlineLevel="1" x14ac:dyDescent="0.3">
      <c r="A1989" s="238"/>
      <c r="B1989" s="242">
        <v>5200</v>
      </c>
      <c r="C1989" s="248" t="s">
        <v>216</v>
      </c>
      <c r="D1989" s="260"/>
    </row>
    <row r="1990" spans="1:4" ht="12" hidden="1" customHeight="1" outlineLevel="1" x14ac:dyDescent="0.3">
      <c r="A1990" s="238"/>
      <c r="B1990" s="242">
        <v>5300</v>
      </c>
      <c r="C1990" s="249" t="s">
        <v>217</v>
      </c>
      <c r="D1990" s="260"/>
    </row>
    <row r="1991" spans="1:4" ht="12" hidden="1" customHeight="1" outlineLevel="1" x14ac:dyDescent="0.3">
      <c r="A1991" s="238"/>
      <c r="B1991" s="199">
        <v>6000</v>
      </c>
      <c r="C1991" s="200" t="s">
        <v>218</v>
      </c>
      <c r="D1991" s="260">
        <f>SUM(D1992:D1995)</f>
        <v>0</v>
      </c>
    </row>
    <row r="1992" spans="1:4" ht="12" hidden="1" customHeight="1" outlineLevel="1" x14ac:dyDescent="0.3">
      <c r="A1992" s="238"/>
      <c r="B1992" s="242">
        <v>6200</v>
      </c>
      <c r="C1992" s="248" t="s">
        <v>219</v>
      </c>
      <c r="D1992" s="244"/>
    </row>
    <row r="1993" spans="1:4" ht="12" hidden="1" customHeight="1" outlineLevel="1" x14ac:dyDescent="0.3">
      <c r="A1993" s="238"/>
      <c r="B1993" s="242">
        <v>6300</v>
      </c>
      <c r="C1993" s="248" t="s">
        <v>220</v>
      </c>
      <c r="D1993" s="244"/>
    </row>
    <row r="1994" spans="1:4" ht="12" hidden="1" customHeight="1" outlineLevel="1" x14ac:dyDescent="0.3">
      <c r="A1994" s="238"/>
      <c r="B1994" s="242">
        <v>6400</v>
      </c>
      <c r="C1994" s="248" t="s">
        <v>221</v>
      </c>
      <c r="D1994" s="244"/>
    </row>
    <row r="1995" spans="1:4" ht="12" hidden="1" customHeight="1" outlineLevel="1" x14ac:dyDescent="0.3">
      <c r="A1995" s="238"/>
      <c r="B1995" s="242">
        <v>6500</v>
      </c>
      <c r="C1995" s="249" t="s">
        <v>222</v>
      </c>
      <c r="D1995" s="244"/>
    </row>
    <row r="1996" spans="1:4" ht="12" hidden="1" customHeight="1" outlineLevel="1" x14ac:dyDescent="0.3">
      <c r="A1996" s="238"/>
      <c r="B1996" s="199">
        <v>7000</v>
      </c>
      <c r="C1996" s="200" t="s">
        <v>223</v>
      </c>
      <c r="D1996" s="260">
        <f>SUM(D1997:D1999)</f>
        <v>0</v>
      </c>
    </row>
    <row r="1997" spans="1:4" ht="12" hidden="1" customHeight="1" outlineLevel="1" x14ac:dyDescent="0.3">
      <c r="A1997" s="238"/>
      <c r="B1997" s="250">
        <v>7200</v>
      </c>
      <c r="C1997" s="251" t="s">
        <v>224</v>
      </c>
      <c r="D1997" s="244"/>
    </row>
    <row r="1998" spans="1:4" ht="12" hidden="1" customHeight="1" outlineLevel="1" x14ac:dyDescent="0.3">
      <c r="A1998" s="238"/>
      <c r="B1998" s="250">
        <v>7500</v>
      </c>
      <c r="C1998" s="251" t="s">
        <v>225</v>
      </c>
      <c r="D1998" s="244"/>
    </row>
    <row r="1999" spans="1:4" ht="12" hidden="1" customHeight="1" outlineLevel="1" x14ac:dyDescent="0.3">
      <c r="A1999" s="238"/>
      <c r="B1999" s="250">
        <v>7700</v>
      </c>
      <c r="C1999" s="251" t="s">
        <v>226</v>
      </c>
      <c r="D1999" s="244"/>
    </row>
    <row r="2000" spans="1:4" ht="12" hidden="1" customHeight="1" outlineLevel="1" x14ac:dyDescent="0.3">
      <c r="A2000" s="238"/>
      <c r="B2000" s="252">
        <v>8000</v>
      </c>
      <c r="C2000" s="253" t="s">
        <v>227</v>
      </c>
      <c r="D2000" s="260">
        <f>SUM(D2001:D2003)</f>
        <v>0</v>
      </c>
    </row>
    <row r="2001" spans="1:4" ht="12" hidden="1" customHeight="1" outlineLevel="1" x14ac:dyDescent="0.3">
      <c r="A2001" s="238"/>
      <c r="B2001" s="254">
        <v>8100</v>
      </c>
      <c r="C2001" s="255" t="s">
        <v>228</v>
      </c>
      <c r="D2001" s="260"/>
    </row>
    <row r="2002" spans="1:4" ht="12" hidden="1" customHeight="1" outlineLevel="1" x14ac:dyDescent="0.3">
      <c r="A2002" s="238"/>
      <c r="B2002" s="254">
        <v>8600</v>
      </c>
      <c r="C2002" s="255" t="s">
        <v>229</v>
      </c>
      <c r="D2002" s="260"/>
    </row>
    <row r="2003" spans="1:4" ht="12" hidden="1" customHeight="1" outlineLevel="1" x14ac:dyDescent="0.3">
      <c r="A2003" s="238"/>
      <c r="B2003" s="254">
        <v>8900</v>
      </c>
      <c r="C2003" s="255" t="s">
        <v>230</v>
      </c>
      <c r="D2003" s="260"/>
    </row>
    <row r="2004" spans="1:4" ht="14.25" hidden="1" customHeight="1" outlineLevel="1" x14ac:dyDescent="0.3">
      <c r="A2004" s="256" t="s">
        <v>342</v>
      </c>
      <c r="B2004" s="257"/>
      <c r="C2004" s="258" t="s">
        <v>343</v>
      </c>
      <c r="D2004" s="259">
        <f t="shared" ref="D2004" si="188">D2005+D2021+D2034</f>
        <v>0</v>
      </c>
    </row>
    <row r="2005" spans="1:4" ht="12" hidden="1" customHeight="1" outlineLevel="1" x14ac:dyDescent="0.3">
      <c r="A2005" s="227"/>
      <c r="B2005" s="228"/>
      <c r="C2005" s="229" t="s">
        <v>198</v>
      </c>
      <c r="D2005" s="230">
        <f t="shared" ref="D2005" si="189">D2006+D2009+D2015+D2018+D2025+D2030</f>
        <v>0</v>
      </c>
    </row>
    <row r="2006" spans="1:4" ht="12" hidden="1" customHeight="1" outlineLevel="1" x14ac:dyDescent="0.3">
      <c r="A2006" s="227"/>
      <c r="B2006" s="231">
        <v>1000</v>
      </c>
      <c r="C2006" s="232" t="s">
        <v>199</v>
      </c>
      <c r="D2006" s="230">
        <f>SUM(D2007:D2008)</f>
        <v>0</v>
      </c>
    </row>
    <row r="2007" spans="1:4" ht="12" hidden="1" customHeight="1" outlineLevel="1" x14ac:dyDescent="0.3">
      <c r="A2007" s="227"/>
      <c r="B2007" s="234">
        <v>1100</v>
      </c>
      <c r="C2007" s="235" t="s">
        <v>200</v>
      </c>
      <c r="D2007" s="236"/>
    </row>
    <row r="2008" spans="1:4" ht="12" hidden="1" customHeight="1" outlineLevel="1" x14ac:dyDescent="0.3">
      <c r="A2008" s="227"/>
      <c r="B2008" s="234">
        <v>1200</v>
      </c>
      <c r="C2008" s="237" t="s">
        <v>201</v>
      </c>
      <c r="D2008" s="236"/>
    </row>
    <row r="2009" spans="1:4" ht="12" hidden="1" customHeight="1" outlineLevel="1" x14ac:dyDescent="0.3">
      <c r="A2009" s="238"/>
      <c r="B2009" s="239">
        <v>2000</v>
      </c>
      <c r="C2009" s="240" t="s">
        <v>202</v>
      </c>
      <c r="D2009" s="260">
        <f>SUM(D2010:D2014)</f>
        <v>0</v>
      </c>
    </row>
    <row r="2010" spans="1:4" ht="12" hidden="1" customHeight="1" outlineLevel="1" x14ac:dyDescent="0.3">
      <c r="A2010" s="238"/>
      <c r="B2010" s="242">
        <v>2100</v>
      </c>
      <c r="C2010" s="243" t="s">
        <v>203</v>
      </c>
      <c r="D2010" s="244"/>
    </row>
    <row r="2011" spans="1:4" ht="12" hidden="1" customHeight="1" outlineLevel="1" x14ac:dyDescent="0.3">
      <c r="A2011" s="238"/>
      <c r="B2011" s="242">
        <v>2200</v>
      </c>
      <c r="C2011" s="243" t="s">
        <v>204</v>
      </c>
      <c r="D2011" s="244"/>
    </row>
    <row r="2012" spans="1:4" ht="12" hidden="1" customHeight="1" outlineLevel="1" x14ac:dyDescent="0.3">
      <c r="A2012" s="238"/>
      <c r="B2012" s="242">
        <v>2300</v>
      </c>
      <c r="C2012" s="243" t="s">
        <v>205</v>
      </c>
      <c r="D2012" s="244"/>
    </row>
    <row r="2013" spans="1:4" ht="12" hidden="1" customHeight="1" outlineLevel="1" x14ac:dyDescent="0.3">
      <c r="A2013" s="238"/>
      <c r="B2013" s="242">
        <v>2400</v>
      </c>
      <c r="C2013" s="243" t="s">
        <v>206</v>
      </c>
      <c r="D2013" s="244"/>
    </row>
    <row r="2014" spans="1:4" ht="12" hidden="1" customHeight="1" outlineLevel="1" x14ac:dyDescent="0.3">
      <c r="A2014" s="238"/>
      <c r="B2014" s="242">
        <v>2500</v>
      </c>
      <c r="C2014" s="243" t="s">
        <v>207</v>
      </c>
      <c r="D2014" s="244"/>
    </row>
    <row r="2015" spans="1:4" ht="12" hidden="1" customHeight="1" outlineLevel="1" x14ac:dyDescent="0.3">
      <c r="A2015" s="238"/>
      <c r="B2015" s="199">
        <v>3000</v>
      </c>
      <c r="C2015" s="245" t="s">
        <v>208</v>
      </c>
      <c r="D2015" s="260">
        <f>SUM(D2016:D2017)</f>
        <v>0</v>
      </c>
    </row>
    <row r="2016" spans="1:4" ht="12" hidden="1" customHeight="1" outlineLevel="1" x14ac:dyDescent="0.3">
      <c r="A2016" s="238"/>
      <c r="B2016" s="242">
        <v>3200</v>
      </c>
      <c r="C2016" s="243" t="s">
        <v>209</v>
      </c>
      <c r="D2016" s="244"/>
    </row>
    <row r="2017" spans="1:4" ht="12" hidden="1" customHeight="1" outlineLevel="1" x14ac:dyDescent="0.3">
      <c r="A2017" s="238"/>
      <c r="B2017" s="242">
        <v>3300</v>
      </c>
      <c r="C2017" s="243" t="s">
        <v>210</v>
      </c>
      <c r="D2017" s="244"/>
    </row>
    <row r="2018" spans="1:4" ht="12" hidden="1" customHeight="1" outlineLevel="1" x14ac:dyDescent="0.3">
      <c r="A2018" s="238"/>
      <c r="B2018" s="199">
        <v>4000</v>
      </c>
      <c r="C2018" s="246" t="s">
        <v>211</v>
      </c>
      <c r="D2018" s="260">
        <f>SUM(D2019:D2020)</f>
        <v>0</v>
      </c>
    </row>
    <row r="2019" spans="1:4" ht="12" hidden="1" customHeight="1" outlineLevel="1" x14ac:dyDescent="0.3">
      <c r="A2019" s="238"/>
      <c r="B2019" s="242">
        <v>4200</v>
      </c>
      <c r="C2019" s="247" t="s">
        <v>212</v>
      </c>
      <c r="D2019" s="244"/>
    </row>
    <row r="2020" spans="1:4" ht="12" hidden="1" customHeight="1" outlineLevel="1" x14ac:dyDescent="0.3">
      <c r="A2020" s="238"/>
      <c r="B2020" s="242">
        <v>4300</v>
      </c>
      <c r="C2020" s="247" t="s">
        <v>213</v>
      </c>
      <c r="D2020" s="244"/>
    </row>
    <row r="2021" spans="1:4" ht="12" hidden="1" customHeight="1" outlineLevel="1" x14ac:dyDescent="0.3">
      <c r="A2021" s="238"/>
      <c r="B2021" s="199">
        <v>5000</v>
      </c>
      <c r="C2021" s="200" t="s">
        <v>214</v>
      </c>
      <c r="D2021" s="260">
        <f>SUM(D2022:D2024)</f>
        <v>0</v>
      </c>
    </row>
    <row r="2022" spans="1:4" ht="12" hidden="1" customHeight="1" outlineLevel="1" x14ac:dyDescent="0.3">
      <c r="A2022" s="238"/>
      <c r="B2022" s="242">
        <v>5100</v>
      </c>
      <c r="C2022" s="248" t="s">
        <v>215</v>
      </c>
      <c r="D2022" s="260"/>
    </row>
    <row r="2023" spans="1:4" ht="12" hidden="1" customHeight="1" outlineLevel="1" x14ac:dyDescent="0.3">
      <c r="A2023" s="238"/>
      <c r="B2023" s="242">
        <v>5200</v>
      </c>
      <c r="C2023" s="248" t="s">
        <v>216</v>
      </c>
      <c r="D2023" s="260"/>
    </row>
    <row r="2024" spans="1:4" ht="12" hidden="1" customHeight="1" outlineLevel="1" x14ac:dyDescent="0.3">
      <c r="A2024" s="238"/>
      <c r="B2024" s="242">
        <v>5300</v>
      </c>
      <c r="C2024" s="249" t="s">
        <v>217</v>
      </c>
      <c r="D2024" s="260"/>
    </row>
    <row r="2025" spans="1:4" ht="12" hidden="1" customHeight="1" outlineLevel="1" x14ac:dyDescent="0.3">
      <c r="A2025" s="238"/>
      <c r="B2025" s="199">
        <v>6000</v>
      </c>
      <c r="C2025" s="200" t="s">
        <v>218</v>
      </c>
      <c r="D2025" s="260">
        <f>SUM(D2026:D2029)</f>
        <v>0</v>
      </c>
    </row>
    <row r="2026" spans="1:4" ht="12" hidden="1" customHeight="1" outlineLevel="1" x14ac:dyDescent="0.3">
      <c r="A2026" s="238"/>
      <c r="B2026" s="242">
        <v>6200</v>
      </c>
      <c r="C2026" s="248" t="s">
        <v>219</v>
      </c>
      <c r="D2026" s="244"/>
    </row>
    <row r="2027" spans="1:4" ht="12" hidden="1" customHeight="1" outlineLevel="1" x14ac:dyDescent="0.3">
      <c r="A2027" s="238"/>
      <c r="B2027" s="242">
        <v>6300</v>
      </c>
      <c r="C2027" s="248" t="s">
        <v>220</v>
      </c>
      <c r="D2027" s="244"/>
    </row>
    <row r="2028" spans="1:4" ht="12" hidden="1" customHeight="1" outlineLevel="1" x14ac:dyDescent="0.3">
      <c r="A2028" s="238"/>
      <c r="B2028" s="242">
        <v>6400</v>
      </c>
      <c r="C2028" s="248" t="s">
        <v>221</v>
      </c>
      <c r="D2028" s="244"/>
    </row>
    <row r="2029" spans="1:4" ht="12" hidden="1" customHeight="1" outlineLevel="1" x14ac:dyDescent="0.3">
      <c r="A2029" s="238"/>
      <c r="B2029" s="242">
        <v>6500</v>
      </c>
      <c r="C2029" s="249" t="s">
        <v>222</v>
      </c>
      <c r="D2029" s="244"/>
    </row>
    <row r="2030" spans="1:4" ht="12" hidden="1" customHeight="1" outlineLevel="1" x14ac:dyDescent="0.3">
      <c r="A2030" s="238"/>
      <c r="B2030" s="199">
        <v>7000</v>
      </c>
      <c r="C2030" s="200" t="s">
        <v>223</v>
      </c>
      <c r="D2030" s="260">
        <f>SUM(D2031:D2033)</f>
        <v>0</v>
      </c>
    </row>
    <row r="2031" spans="1:4" ht="12" hidden="1" customHeight="1" outlineLevel="1" x14ac:dyDescent="0.3">
      <c r="A2031" s="238"/>
      <c r="B2031" s="250">
        <v>7200</v>
      </c>
      <c r="C2031" s="251" t="s">
        <v>224</v>
      </c>
      <c r="D2031" s="244"/>
    </row>
    <row r="2032" spans="1:4" ht="12" hidden="1" customHeight="1" outlineLevel="1" x14ac:dyDescent="0.3">
      <c r="A2032" s="238"/>
      <c r="B2032" s="250">
        <v>7500</v>
      </c>
      <c r="C2032" s="251" t="s">
        <v>225</v>
      </c>
      <c r="D2032" s="244"/>
    </row>
    <row r="2033" spans="1:4" ht="12" hidden="1" customHeight="1" outlineLevel="1" x14ac:dyDescent="0.3">
      <c r="A2033" s="238"/>
      <c r="B2033" s="250">
        <v>7700</v>
      </c>
      <c r="C2033" s="251" t="s">
        <v>226</v>
      </c>
      <c r="D2033" s="244"/>
    </row>
    <row r="2034" spans="1:4" ht="12" hidden="1" customHeight="1" outlineLevel="1" x14ac:dyDescent="0.3">
      <c r="A2034" s="238"/>
      <c r="B2034" s="252">
        <v>8000</v>
      </c>
      <c r="C2034" s="253" t="s">
        <v>227</v>
      </c>
      <c r="D2034" s="260">
        <f>SUM(D2035:D2037)</f>
        <v>0</v>
      </c>
    </row>
    <row r="2035" spans="1:4" ht="12" hidden="1" customHeight="1" outlineLevel="1" x14ac:dyDescent="0.3">
      <c r="A2035" s="238"/>
      <c r="B2035" s="254">
        <v>8100</v>
      </c>
      <c r="C2035" s="255" t="s">
        <v>228</v>
      </c>
      <c r="D2035" s="260"/>
    </row>
    <row r="2036" spans="1:4" ht="12" hidden="1" customHeight="1" outlineLevel="1" x14ac:dyDescent="0.3">
      <c r="A2036" s="238"/>
      <c r="B2036" s="254">
        <v>8600</v>
      </c>
      <c r="C2036" s="255" t="s">
        <v>229</v>
      </c>
      <c r="D2036" s="260"/>
    </row>
    <row r="2037" spans="1:4" ht="12" hidden="1" customHeight="1" outlineLevel="1" x14ac:dyDescent="0.3">
      <c r="A2037" s="238"/>
      <c r="B2037" s="254">
        <v>8900</v>
      </c>
      <c r="C2037" s="255" t="s">
        <v>230</v>
      </c>
      <c r="D2037" s="260"/>
    </row>
    <row r="2038" spans="1:4" ht="12" hidden="1" customHeight="1" outlineLevel="1" x14ac:dyDescent="0.3">
      <c r="A2038" s="256" t="s">
        <v>344</v>
      </c>
      <c r="B2038" s="257"/>
      <c r="C2038" s="258" t="s">
        <v>345</v>
      </c>
      <c r="D2038" s="259">
        <f t="shared" ref="D2038" si="190">D2039+D2055+D2068</f>
        <v>0</v>
      </c>
    </row>
    <row r="2039" spans="1:4" ht="12" hidden="1" customHeight="1" outlineLevel="1" x14ac:dyDescent="0.3">
      <c r="A2039" s="227"/>
      <c r="B2039" s="228"/>
      <c r="C2039" s="229" t="s">
        <v>198</v>
      </c>
      <c r="D2039" s="230">
        <f t="shared" ref="D2039" si="191">D2040+D2043+D2049+D2052+D2059+D2064</f>
        <v>0</v>
      </c>
    </row>
    <row r="2040" spans="1:4" ht="12" hidden="1" customHeight="1" outlineLevel="1" x14ac:dyDescent="0.3">
      <c r="A2040" s="227"/>
      <c r="B2040" s="231">
        <v>1000</v>
      </c>
      <c r="C2040" s="232" t="s">
        <v>199</v>
      </c>
      <c r="D2040" s="230">
        <f>SUM(D2041:D2042)</f>
        <v>0</v>
      </c>
    </row>
    <row r="2041" spans="1:4" ht="12" hidden="1" customHeight="1" outlineLevel="1" x14ac:dyDescent="0.3">
      <c r="A2041" s="227"/>
      <c r="B2041" s="234">
        <v>1100</v>
      </c>
      <c r="C2041" s="235" t="s">
        <v>200</v>
      </c>
      <c r="D2041" s="236"/>
    </row>
    <row r="2042" spans="1:4" ht="12" hidden="1" customHeight="1" outlineLevel="1" x14ac:dyDescent="0.3">
      <c r="A2042" s="227"/>
      <c r="B2042" s="234">
        <v>1200</v>
      </c>
      <c r="C2042" s="237" t="s">
        <v>201</v>
      </c>
      <c r="D2042" s="236"/>
    </row>
    <row r="2043" spans="1:4" ht="12" hidden="1" customHeight="1" outlineLevel="1" x14ac:dyDescent="0.3">
      <c r="A2043" s="238"/>
      <c r="B2043" s="239">
        <v>2000</v>
      </c>
      <c r="C2043" s="240" t="s">
        <v>202</v>
      </c>
      <c r="D2043" s="260">
        <f>SUM(D2044:D2048)</f>
        <v>0</v>
      </c>
    </row>
    <row r="2044" spans="1:4" ht="12" hidden="1" customHeight="1" outlineLevel="1" x14ac:dyDescent="0.3">
      <c r="A2044" s="238"/>
      <c r="B2044" s="242">
        <v>2100</v>
      </c>
      <c r="C2044" s="243" t="s">
        <v>203</v>
      </c>
      <c r="D2044" s="244"/>
    </row>
    <row r="2045" spans="1:4" ht="12" hidden="1" customHeight="1" outlineLevel="1" x14ac:dyDescent="0.3">
      <c r="A2045" s="238"/>
      <c r="B2045" s="242">
        <v>2200</v>
      </c>
      <c r="C2045" s="243" t="s">
        <v>204</v>
      </c>
      <c r="D2045" s="244"/>
    </row>
    <row r="2046" spans="1:4" ht="12" hidden="1" customHeight="1" outlineLevel="1" x14ac:dyDescent="0.3">
      <c r="A2046" s="238"/>
      <c r="B2046" s="242">
        <v>2300</v>
      </c>
      <c r="C2046" s="243" t="s">
        <v>205</v>
      </c>
      <c r="D2046" s="244"/>
    </row>
    <row r="2047" spans="1:4" ht="12" hidden="1" customHeight="1" outlineLevel="1" x14ac:dyDescent="0.3">
      <c r="A2047" s="238"/>
      <c r="B2047" s="242">
        <v>2400</v>
      </c>
      <c r="C2047" s="243" t="s">
        <v>206</v>
      </c>
      <c r="D2047" s="244"/>
    </row>
    <row r="2048" spans="1:4" ht="12" hidden="1" customHeight="1" outlineLevel="1" x14ac:dyDescent="0.3">
      <c r="A2048" s="238"/>
      <c r="B2048" s="242">
        <v>2500</v>
      </c>
      <c r="C2048" s="243" t="s">
        <v>207</v>
      </c>
      <c r="D2048" s="244"/>
    </row>
    <row r="2049" spans="1:4" ht="12" hidden="1" customHeight="1" outlineLevel="1" x14ac:dyDescent="0.3">
      <c r="A2049" s="238"/>
      <c r="B2049" s="199">
        <v>3000</v>
      </c>
      <c r="C2049" s="245" t="s">
        <v>208</v>
      </c>
      <c r="D2049" s="260">
        <f>SUM(D2050:D2051)</f>
        <v>0</v>
      </c>
    </row>
    <row r="2050" spans="1:4" ht="12" hidden="1" customHeight="1" outlineLevel="1" x14ac:dyDescent="0.3">
      <c r="A2050" s="238"/>
      <c r="B2050" s="242">
        <v>3200</v>
      </c>
      <c r="C2050" s="243" t="s">
        <v>209</v>
      </c>
      <c r="D2050" s="244"/>
    </row>
    <row r="2051" spans="1:4" ht="12" hidden="1" customHeight="1" outlineLevel="1" x14ac:dyDescent="0.3">
      <c r="A2051" s="238"/>
      <c r="B2051" s="242">
        <v>3300</v>
      </c>
      <c r="C2051" s="243" t="s">
        <v>210</v>
      </c>
      <c r="D2051" s="244"/>
    </row>
    <row r="2052" spans="1:4" ht="12" hidden="1" customHeight="1" outlineLevel="1" x14ac:dyDescent="0.3">
      <c r="A2052" s="238"/>
      <c r="B2052" s="199">
        <v>4000</v>
      </c>
      <c r="C2052" s="246" t="s">
        <v>211</v>
      </c>
      <c r="D2052" s="260">
        <f>SUM(D2053:D2054)</f>
        <v>0</v>
      </c>
    </row>
    <row r="2053" spans="1:4" ht="12" hidden="1" customHeight="1" outlineLevel="1" x14ac:dyDescent="0.3">
      <c r="A2053" s="238"/>
      <c r="B2053" s="242">
        <v>4200</v>
      </c>
      <c r="C2053" s="247" t="s">
        <v>212</v>
      </c>
      <c r="D2053" s="244"/>
    </row>
    <row r="2054" spans="1:4" ht="12" hidden="1" customHeight="1" outlineLevel="1" x14ac:dyDescent="0.3">
      <c r="A2054" s="238"/>
      <c r="B2054" s="242">
        <v>4300</v>
      </c>
      <c r="C2054" s="247" t="s">
        <v>213</v>
      </c>
      <c r="D2054" s="244"/>
    </row>
    <row r="2055" spans="1:4" ht="12" hidden="1" customHeight="1" outlineLevel="1" x14ac:dyDescent="0.3">
      <c r="A2055" s="238"/>
      <c r="B2055" s="199">
        <v>5000</v>
      </c>
      <c r="C2055" s="200" t="s">
        <v>214</v>
      </c>
      <c r="D2055" s="260">
        <f>SUM(D2056:D2058)</f>
        <v>0</v>
      </c>
    </row>
    <row r="2056" spans="1:4" ht="12" hidden="1" customHeight="1" outlineLevel="1" x14ac:dyDescent="0.3">
      <c r="A2056" s="238"/>
      <c r="B2056" s="242">
        <v>5100</v>
      </c>
      <c r="C2056" s="248" t="s">
        <v>215</v>
      </c>
      <c r="D2056" s="260"/>
    </row>
    <row r="2057" spans="1:4" ht="12" hidden="1" customHeight="1" outlineLevel="1" x14ac:dyDescent="0.3">
      <c r="A2057" s="238"/>
      <c r="B2057" s="242">
        <v>5200</v>
      </c>
      <c r="C2057" s="248" t="s">
        <v>216</v>
      </c>
      <c r="D2057" s="260"/>
    </row>
    <row r="2058" spans="1:4" ht="12" hidden="1" customHeight="1" outlineLevel="1" x14ac:dyDescent="0.3">
      <c r="A2058" s="238"/>
      <c r="B2058" s="242">
        <v>5300</v>
      </c>
      <c r="C2058" s="249" t="s">
        <v>217</v>
      </c>
      <c r="D2058" s="260"/>
    </row>
    <row r="2059" spans="1:4" ht="12" hidden="1" customHeight="1" outlineLevel="1" x14ac:dyDescent="0.3">
      <c r="A2059" s="238"/>
      <c r="B2059" s="199">
        <v>6000</v>
      </c>
      <c r="C2059" s="200" t="s">
        <v>218</v>
      </c>
      <c r="D2059" s="260">
        <f>SUM(D2060:D2063)</f>
        <v>0</v>
      </c>
    </row>
    <row r="2060" spans="1:4" ht="12" hidden="1" customHeight="1" outlineLevel="1" x14ac:dyDescent="0.3">
      <c r="A2060" s="238"/>
      <c r="B2060" s="242">
        <v>6200</v>
      </c>
      <c r="C2060" s="248" t="s">
        <v>219</v>
      </c>
      <c r="D2060" s="244"/>
    </row>
    <row r="2061" spans="1:4" ht="12" hidden="1" customHeight="1" outlineLevel="1" x14ac:dyDescent="0.3">
      <c r="A2061" s="238"/>
      <c r="B2061" s="242">
        <v>6300</v>
      </c>
      <c r="C2061" s="248" t="s">
        <v>220</v>
      </c>
      <c r="D2061" s="244"/>
    </row>
    <row r="2062" spans="1:4" ht="12" hidden="1" customHeight="1" outlineLevel="1" x14ac:dyDescent="0.3">
      <c r="A2062" s="238"/>
      <c r="B2062" s="242">
        <v>6400</v>
      </c>
      <c r="C2062" s="248" t="s">
        <v>221</v>
      </c>
      <c r="D2062" s="244"/>
    </row>
    <row r="2063" spans="1:4" ht="12" hidden="1" customHeight="1" outlineLevel="1" x14ac:dyDescent="0.3">
      <c r="A2063" s="238"/>
      <c r="B2063" s="242">
        <v>6500</v>
      </c>
      <c r="C2063" s="249" t="s">
        <v>222</v>
      </c>
      <c r="D2063" s="244"/>
    </row>
    <row r="2064" spans="1:4" ht="12" hidden="1" customHeight="1" outlineLevel="1" x14ac:dyDescent="0.3">
      <c r="A2064" s="238"/>
      <c r="B2064" s="199">
        <v>7000</v>
      </c>
      <c r="C2064" s="200" t="s">
        <v>223</v>
      </c>
      <c r="D2064" s="260">
        <f>SUM(D2065:D2067)</f>
        <v>0</v>
      </c>
    </row>
    <row r="2065" spans="1:4" ht="12" hidden="1" customHeight="1" outlineLevel="1" x14ac:dyDescent="0.3">
      <c r="A2065" s="238"/>
      <c r="B2065" s="250">
        <v>7200</v>
      </c>
      <c r="C2065" s="251" t="s">
        <v>224</v>
      </c>
      <c r="D2065" s="244"/>
    </row>
    <row r="2066" spans="1:4" ht="12" hidden="1" customHeight="1" outlineLevel="1" x14ac:dyDescent="0.3">
      <c r="A2066" s="238"/>
      <c r="B2066" s="250">
        <v>7500</v>
      </c>
      <c r="C2066" s="251" t="s">
        <v>225</v>
      </c>
      <c r="D2066" s="244"/>
    </row>
    <row r="2067" spans="1:4" ht="12" hidden="1" customHeight="1" outlineLevel="1" x14ac:dyDescent="0.3">
      <c r="A2067" s="238"/>
      <c r="B2067" s="250">
        <v>7700</v>
      </c>
      <c r="C2067" s="251" t="s">
        <v>226</v>
      </c>
      <c r="D2067" s="244"/>
    </row>
    <row r="2068" spans="1:4" ht="12" hidden="1" customHeight="1" outlineLevel="1" x14ac:dyDescent="0.3">
      <c r="A2068" s="238"/>
      <c r="B2068" s="252">
        <v>8000</v>
      </c>
      <c r="C2068" s="253" t="s">
        <v>227</v>
      </c>
      <c r="D2068" s="260">
        <f>SUM(D2069:D2071)</f>
        <v>0</v>
      </c>
    </row>
    <row r="2069" spans="1:4" ht="12" hidden="1" customHeight="1" outlineLevel="1" x14ac:dyDescent="0.3">
      <c r="A2069" s="238"/>
      <c r="B2069" s="254">
        <v>8100</v>
      </c>
      <c r="C2069" s="255" t="s">
        <v>228</v>
      </c>
      <c r="D2069" s="260"/>
    </row>
    <row r="2070" spans="1:4" ht="12" hidden="1" customHeight="1" outlineLevel="1" x14ac:dyDescent="0.3">
      <c r="A2070" s="238"/>
      <c r="B2070" s="254">
        <v>8600</v>
      </c>
      <c r="C2070" s="255" t="s">
        <v>229</v>
      </c>
      <c r="D2070" s="260"/>
    </row>
    <row r="2071" spans="1:4" ht="12" hidden="1" customHeight="1" outlineLevel="1" x14ac:dyDescent="0.3">
      <c r="A2071" s="238"/>
      <c r="B2071" s="254">
        <v>8900</v>
      </c>
      <c r="C2071" s="255" t="s">
        <v>230</v>
      </c>
      <c r="D2071" s="260"/>
    </row>
    <row r="2072" spans="1:4" ht="12" hidden="1" customHeight="1" outlineLevel="1" x14ac:dyDescent="0.3">
      <c r="A2072" s="256" t="s">
        <v>346</v>
      </c>
      <c r="B2072" s="257"/>
      <c r="C2072" s="258" t="s">
        <v>347</v>
      </c>
      <c r="D2072" s="259">
        <f t="shared" ref="D2072" si="192">D2073+D2089+D2102</f>
        <v>0</v>
      </c>
    </row>
    <row r="2073" spans="1:4" ht="12" hidden="1" customHeight="1" outlineLevel="1" x14ac:dyDescent="0.3">
      <c r="A2073" s="227"/>
      <c r="B2073" s="228"/>
      <c r="C2073" s="229" t="s">
        <v>198</v>
      </c>
      <c r="D2073" s="230">
        <f>D2107+D2141+D2175</f>
        <v>0</v>
      </c>
    </row>
    <row r="2074" spans="1:4" ht="12" hidden="1" customHeight="1" outlineLevel="1" x14ac:dyDescent="0.3">
      <c r="A2074" s="227"/>
      <c r="B2074" s="231">
        <v>1000</v>
      </c>
      <c r="C2074" s="232" t="s">
        <v>199</v>
      </c>
      <c r="D2074" s="233">
        <f>D2108+D2142+D2176+D2210</f>
        <v>0</v>
      </c>
    </row>
    <row r="2075" spans="1:4" ht="12" hidden="1" customHeight="1" outlineLevel="1" x14ac:dyDescent="0.3">
      <c r="A2075" s="227"/>
      <c r="B2075" s="234">
        <v>1100</v>
      </c>
      <c r="C2075" s="235" t="s">
        <v>200</v>
      </c>
      <c r="D2075" s="236">
        <f t="shared" ref="D2075:D2076" si="193">D2109+D2143+D2177+D2211</f>
        <v>0</v>
      </c>
    </row>
    <row r="2076" spans="1:4" ht="12" hidden="1" customHeight="1" outlineLevel="1" x14ac:dyDescent="0.3">
      <c r="A2076" s="227"/>
      <c r="B2076" s="234">
        <v>1200</v>
      </c>
      <c r="C2076" s="237" t="s">
        <v>201</v>
      </c>
      <c r="D2076" s="236">
        <f t="shared" si="193"/>
        <v>0</v>
      </c>
    </row>
    <row r="2077" spans="1:4" ht="12" hidden="1" customHeight="1" outlineLevel="1" x14ac:dyDescent="0.3">
      <c r="A2077" s="238"/>
      <c r="B2077" s="239">
        <v>2000</v>
      </c>
      <c r="C2077" s="240" t="s">
        <v>202</v>
      </c>
      <c r="D2077" s="233">
        <f>D2111+D2145+D2179+D2213</f>
        <v>0</v>
      </c>
    </row>
    <row r="2078" spans="1:4" ht="12" hidden="1" customHeight="1" outlineLevel="1" x14ac:dyDescent="0.3">
      <c r="A2078" s="238"/>
      <c r="B2078" s="242">
        <v>2100</v>
      </c>
      <c r="C2078" s="243" t="s">
        <v>203</v>
      </c>
      <c r="D2078" s="236">
        <f t="shared" ref="D2078:D2082" si="194">D2112+D2146+D2180+D2214</f>
        <v>0</v>
      </c>
    </row>
    <row r="2079" spans="1:4" ht="12" hidden="1" customHeight="1" outlineLevel="1" x14ac:dyDescent="0.3">
      <c r="A2079" s="238"/>
      <c r="B2079" s="242">
        <v>2200</v>
      </c>
      <c r="C2079" s="243" t="s">
        <v>204</v>
      </c>
      <c r="D2079" s="236">
        <f t="shared" si="194"/>
        <v>0</v>
      </c>
    </row>
    <row r="2080" spans="1:4" ht="12" hidden="1" customHeight="1" outlineLevel="1" x14ac:dyDescent="0.3">
      <c r="A2080" s="238"/>
      <c r="B2080" s="242">
        <v>2300</v>
      </c>
      <c r="C2080" s="243" t="s">
        <v>205</v>
      </c>
      <c r="D2080" s="236">
        <f t="shared" si="194"/>
        <v>0</v>
      </c>
    </row>
    <row r="2081" spans="1:4" ht="12" hidden="1" customHeight="1" outlineLevel="1" x14ac:dyDescent="0.3">
      <c r="A2081" s="238"/>
      <c r="B2081" s="242">
        <v>2400</v>
      </c>
      <c r="C2081" s="243" t="s">
        <v>206</v>
      </c>
      <c r="D2081" s="236">
        <f t="shared" si="194"/>
        <v>0</v>
      </c>
    </row>
    <row r="2082" spans="1:4" ht="12" hidden="1" customHeight="1" outlineLevel="1" x14ac:dyDescent="0.3">
      <c r="A2082" s="238"/>
      <c r="B2082" s="242">
        <v>2500</v>
      </c>
      <c r="C2082" s="243" t="s">
        <v>207</v>
      </c>
      <c r="D2082" s="236">
        <f t="shared" si="194"/>
        <v>0</v>
      </c>
    </row>
    <row r="2083" spans="1:4" ht="12" hidden="1" customHeight="1" outlineLevel="1" x14ac:dyDescent="0.3">
      <c r="A2083" s="238"/>
      <c r="B2083" s="199">
        <v>3000</v>
      </c>
      <c r="C2083" s="245" t="s">
        <v>208</v>
      </c>
      <c r="D2083" s="233">
        <f>D2117+D2151+D2185+D2219</f>
        <v>0</v>
      </c>
    </row>
    <row r="2084" spans="1:4" ht="12" hidden="1" customHeight="1" outlineLevel="1" x14ac:dyDescent="0.3">
      <c r="A2084" s="238"/>
      <c r="B2084" s="242">
        <v>3200</v>
      </c>
      <c r="C2084" s="243" t="s">
        <v>209</v>
      </c>
      <c r="D2084" s="236">
        <f t="shared" ref="D2084:D2085" si="195">D2118+D2152+D2186+D2220</f>
        <v>0</v>
      </c>
    </row>
    <row r="2085" spans="1:4" ht="12" hidden="1" customHeight="1" outlineLevel="1" x14ac:dyDescent="0.3">
      <c r="A2085" s="238"/>
      <c r="B2085" s="242">
        <v>3300</v>
      </c>
      <c r="C2085" s="243" t="s">
        <v>210</v>
      </c>
      <c r="D2085" s="236">
        <f t="shared" si="195"/>
        <v>0</v>
      </c>
    </row>
    <row r="2086" spans="1:4" ht="12" hidden="1" customHeight="1" outlineLevel="1" x14ac:dyDescent="0.3">
      <c r="A2086" s="238"/>
      <c r="B2086" s="199">
        <v>4000</v>
      </c>
      <c r="C2086" s="246" t="s">
        <v>211</v>
      </c>
      <c r="D2086" s="233">
        <f>D2120+D2154+D2188+D2222</f>
        <v>0</v>
      </c>
    </row>
    <row r="2087" spans="1:4" ht="12" hidden="1" customHeight="1" outlineLevel="1" x14ac:dyDescent="0.3">
      <c r="A2087" s="238"/>
      <c r="B2087" s="242">
        <v>4200</v>
      </c>
      <c r="C2087" s="247" t="s">
        <v>212</v>
      </c>
      <c r="D2087" s="236">
        <f t="shared" ref="D2087:D2088" si="196">D2121+D2155+D2189+D2223</f>
        <v>0</v>
      </c>
    </row>
    <row r="2088" spans="1:4" ht="12" hidden="1" customHeight="1" outlineLevel="1" x14ac:dyDescent="0.3">
      <c r="A2088" s="238"/>
      <c r="B2088" s="242">
        <v>4300</v>
      </c>
      <c r="C2088" s="247" t="s">
        <v>213</v>
      </c>
      <c r="D2088" s="236">
        <f t="shared" si="196"/>
        <v>0</v>
      </c>
    </row>
    <row r="2089" spans="1:4" ht="12" hidden="1" customHeight="1" outlineLevel="1" x14ac:dyDescent="0.3">
      <c r="A2089" s="238"/>
      <c r="B2089" s="199">
        <v>5000</v>
      </c>
      <c r="C2089" s="200" t="s">
        <v>214</v>
      </c>
      <c r="D2089" s="233">
        <f>D2123+D2157+D2191+D2225</f>
        <v>0</v>
      </c>
    </row>
    <row r="2090" spans="1:4" ht="12" hidden="1" customHeight="1" outlineLevel="1" x14ac:dyDescent="0.3">
      <c r="A2090" s="238"/>
      <c r="B2090" s="242">
        <v>5100</v>
      </c>
      <c r="C2090" s="248" t="s">
        <v>215</v>
      </c>
      <c r="D2090" s="236">
        <f t="shared" ref="D2090:D2092" si="197">D2124+D2158+D2192+D2226</f>
        <v>0</v>
      </c>
    </row>
    <row r="2091" spans="1:4" ht="12" hidden="1" customHeight="1" outlineLevel="1" x14ac:dyDescent="0.3">
      <c r="A2091" s="238"/>
      <c r="B2091" s="242">
        <v>5200</v>
      </c>
      <c r="C2091" s="248" t="s">
        <v>216</v>
      </c>
      <c r="D2091" s="236">
        <f t="shared" si="197"/>
        <v>0</v>
      </c>
    </row>
    <row r="2092" spans="1:4" ht="12" hidden="1" customHeight="1" outlineLevel="1" x14ac:dyDescent="0.3">
      <c r="A2092" s="238"/>
      <c r="B2092" s="242">
        <v>5300</v>
      </c>
      <c r="C2092" s="249" t="s">
        <v>217</v>
      </c>
      <c r="D2092" s="236">
        <f t="shared" si="197"/>
        <v>0</v>
      </c>
    </row>
    <row r="2093" spans="1:4" ht="12" hidden="1" customHeight="1" outlineLevel="1" x14ac:dyDescent="0.3">
      <c r="A2093" s="238"/>
      <c r="B2093" s="199">
        <v>6000</v>
      </c>
      <c r="C2093" s="200" t="s">
        <v>218</v>
      </c>
      <c r="D2093" s="233">
        <f>D2127+D2161+D2195+D2229</f>
        <v>0</v>
      </c>
    </row>
    <row r="2094" spans="1:4" ht="12" hidden="1" customHeight="1" outlineLevel="1" x14ac:dyDescent="0.3">
      <c r="A2094" s="238"/>
      <c r="B2094" s="242">
        <v>6200</v>
      </c>
      <c r="C2094" s="248" t="s">
        <v>219</v>
      </c>
      <c r="D2094" s="236">
        <f t="shared" ref="D2094:D2097" si="198">D2128+D2162+D2196+D2230</f>
        <v>0</v>
      </c>
    </row>
    <row r="2095" spans="1:4" ht="12" hidden="1" customHeight="1" outlineLevel="1" x14ac:dyDescent="0.3">
      <c r="A2095" s="238"/>
      <c r="B2095" s="242">
        <v>6300</v>
      </c>
      <c r="C2095" s="248" t="s">
        <v>220</v>
      </c>
      <c r="D2095" s="236">
        <f t="shared" si="198"/>
        <v>0</v>
      </c>
    </row>
    <row r="2096" spans="1:4" ht="12" hidden="1" customHeight="1" outlineLevel="1" x14ac:dyDescent="0.3">
      <c r="A2096" s="238"/>
      <c r="B2096" s="242">
        <v>6400</v>
      </c>
      <c r="C2096" s="248" t="s">
        <v>221</v>
      </c>
      <c r="D2096" s="236">
        <f t="shared" si="198"/>
        <v>0</v>
      </c>
    </row>
    <row r="2097" spans="1:4" ht="12" hidden="1" customHeight="1" outlineLevel="1" x14ac:dyDescent="0.3">
      <c r="A2097" s="238"/>
      <c r="B2097" s="242">
        <v>6500</v>
      </c>
      <c r="C2097" s="249" t="s">
        <v>222</v>
      </c>
      <c r="D2097" s="236">
        <f t="shared" si="198"/>
        <v>0</v>
      </c>
    </row>
    <row r="2098" spans="1:4" ht="12" hidden="1" customHeight="1" outlineLevel="1" x14ac:dyDescent="0.3">
      <c r="A2098" s="238"/>
      <c r="B2098" s="199">
        <v>7000</v>
      </c>
      <c r="C2098" s="200" t="s">
        <v>223</v>
      </c>
      <c r="D2098" s="233">
        <f>D2132+D2166+D2200+D2234</f>
        <v>0</v>
      </c>
    </row>
    <row r="2099" spans="1:4" ht="12" hidden="1" customHeight="1" outlineLevel="1" x14ac:dyDescent="0.3">
      <c r="A2099" s="238"/>
      <c r="B2099" s="250">
        <v>7200</v>
      </c>
      <c r="C2099" s="251" t="s">
        <v>224</v>
      </c>
      <c r="D2099" s="236">
        <f t="shared" ref="D2099:D2101" si="199">D2133+D2167+D2201+D2235</f>
        <v>0</v>
      </c>
    </row>
    <row r="2100" spans="1:4" ht="12" hidden="1" customHeight="1" outlineLevel="1" x14ac:dyDescent="0.3">
      <c r="A2100" s="238"/>
      <c r="B2100" s="250">
        <v>7500</v>
      </c>
      <c r="C2100" s="251" t="s">
        <v>225</v>
      </c>
      <c r="D2100" s="236">
        <f t="shared" si="199"/>
        <v>0</v>
      </c>
    </row>
    <row r="2101" spans="1:4" ht="12" hidden="1" customHeight="1" outlineLevel="1" x14ac:dyDescent="0.3">
      <c r="A2101" s="238"/>
      <c r="B2101" s="250">
        <v>7700</v>
      </c>
      <c r="C2101" s="251" t="s">
        <v>226</v>
      </c>
      <c r="D2101" s="236">
        <f t="shared" si="199"/>
        <v>0</v>
      </c>
    </row>
    <row r="2102" spans="1:4" ht="15.75" hidden="1" customHeight="1" outlineLevel="1" x14ac:dyDescent="0.3">
      <c r="A2102" s="238"/>
      <c r="B2102" s="252">
        <v>8000</v>
      </c>
      <c r="C2102" s="253" t="s">
        <v>227</v>
      </c>
      <c r="D2102" s="233">
        <f>D2136+D2170+D2204+D2238</f>
        <v>0</v>
      </c>
    </row>
    <row r="2103" spans="1:4" ht="15.75" hidden="1" customHeight="1" outlineLevel="1" x14ac:dyDescent="0.3">
      <c r="A2103" s="238"/>
      <c r="B2103" s="254">
        <v>8100</v>
      </c>
      <c r="C2103" s="255" t="s">
        <v>228</v>
      </c>
      <c r="D2103" s="236">
        <f t="shared" ref="D2103:D2105" si="200">D2137+D2171+D2205+D2239</f>
        <v>0</v>
      </c>
    </row>
    <row r="2104" spans="1:4" ht="15.75" hidden="1" customHeight="1" outlineLevel="1" x14ac:dyDescent="0.3">
      <c r="A2104" s="238"/>
      <c r="B2104" s="254">
        <v>8600</v>
      </c>
      <c r="C2104" s="255" t="s">
        <v>229</v>
      </c>
      <c r="D2104" s="236">
        <f t="shared" si="200"/>
        <v>0</v>
      </c>
    </row>
    <row r="2105" spans="1:4" ht="15.75" hidden="1" customHeight="1" outlineLevel="1" x14ac:dyDescent="0.3">
      <c r="A2105" s="238"/>
      <c r="B2105" s="254">
        <v>8900</v>
      </c>
      <c r="C2105" s="255" t="s">
        <v>230</v>
      </c>
      <c r="D2105" s="236">
        <f t="shared" si="200"/>
        <v>0</v>
      </c>
    </row>
    <row r="2106" spans="1:4" ht="15.75" hidden="1" customHeight="1" outlineLevel="1" x14ac:dyDescent="0.3">
      <c r="A2106" s="272" t="s">
        <v>348</v>
      </c>
      <c r="B2106" s="273"/>
      <c r="C2106" s="274" t="s">
        <v>349</v>
      </c>
      <c r="D2106" s="275">
        <f>D2107+D2123+D2136</f>
        <v>0</v>
      </c>
    </row>
    <row r="2107" spans="1:4" ht="12" hidden="1" customHeight="1" outlineLevel="1" x14ac:dyDescent="0.3">
      <c r="A2107" s="238"/>
      <c r="B2107" s="228"/>
      <c r="C2107" s="229" t="s">
        <v>198</v>
      </c>
      <c r="D2107" s="230">
        <f>D2108+D2111+D2117+D2120+D2127+D2132</f>
        <v>0</v>
      </c>
    </row>
    <row r="2108" spans="1:4" ht="12" hidden="1" customHeight="1" outlineLevel="1" x14ac:dyDescent="0.3">
      <c r="A2108" s="238"/>
      <c r="B2108" s="231">
        <v>1000</v>
      </c>
      <c r="C2108" s="232" t="s">
        <v>199</v>
      </c>
      <c r="D2108" s="230">
        <f>SUM(D2109:D2110)</f>
        <v>0</v>
      </c>
    </row>
    <row r="2109" spans="1:4" ht="12" hidden="1" customHeight="1" outlineLevel="1" x14ac:dyDescent="0.3">
      <c r="A2109" s="238"/>
      <c r="B2109" s="234">
        <v>1100</v>
      </c>
      <c r="C2109" s="235" t="s">
        <v>200</v>
      </c>
      <c r="D2109" s="236"/>
    </row>
    <row r="2110" spans="1:4" ht="12" hidden="1" customHeight="1" outlineLevel="1" x14ac:dyDescent="0.3">
      <c r="A2110" s="238"/>
      <c r="B2110" s="234">
        <v>1200</v>
      </c>
      <c r="C2110" s="237" t="s">
        <v>201</v>
      </c>
      <c r="D2110" s="236"/>
    </row>
    <row r="2111" spans="1:4" ht="12" hidden="1" customHeight="1" outlineLevel="1" x14ac:dyDescent="0.3">
      <c r="A2111" s="238"/>
      <c r="B2111" s="239">
        <v>2000</v>
      </c>
      <c r="C2111" s="240" t="s">
        <v>202</v>
      </c>
      <c r="D2111" s="260">
        <f>SUM(D2112:D2116)</f>
        <v>0</v>
      </c>
    </row>
    <row r="2112" spans="1:4" ht="12" hidden="1" customHeight="1" outlineLevel="1" x14ac:dyDescent="0.3">
      <c r="A2112" s="238"/>
      <c r="B2112" s="242">
        <v>2100</v>
      </c>
      <c r="C2112" s="243" t="s">
        <v>203</v>
      </c>
      <c r="D2112" s="244"/>
    </row>
    <row r="2113" spans="1:4" ht="12" hidden="1" customHeight="1" outlineLevel="1" x14ac:dyDescent="0.3">
      <c r="A2113" s="238"/>
      <c r="B2113" s="242">
        <v>2200</v>
      </c>
      <c r="C2113" s="243" t="s">
        <v>204</v>
      </c>
      <c r="D2113" s="244"/>
    </row>
    <row r="2114" spans="1:4" ht="12" hidden="1" customHeight="1" outlineLevel="1" x14ac:dyDescent="0.3">
      <c r="A2114" s="238"/>
      <c r="B2114" s="242">
        <v>2300</v>
      </c>
      <c r="C2114" s="243" t="s">
        <v>205</v>
      </c>
      <c r="D2114" s="244"/>
    </row>
    <row r="2115" spans="1:4" ht="12" hidden="1" customHeight="1" outlineLevel="1" x14ac:dyDescent="0.3">
      <c r="A2115" s="238"/>
      <c r="B2115" s="242">
        <v>2400</v>
      </c>
      <c r="C2115" s="243" t="s">
        <v>206</v>
      </c>
      <c r="D2115" s="244"/>
    </row>
    <row r="2116" spans="1:4" ht="12" hidden="1" customHeight="1" outlineLevel="1" x14ac:dyDescent="0.3">
      <c r="A2116" s="238"/>
      <c r="B2116" s="242">
        <v>2500</v>
      </c>
      <c r="C2116" s="243" t="s">
        <v>207</v>
      </c>
      <c r="D2116" s="244"/>
    </row>
    <row r="2117" spans="1:4" ht="12" hidden="1" customHeight="1" outlineLevel="1" x14ac:dyDescent="0.3">
      <c r="A2117" s="238"/>
      <c r="B2117" s="199">
        <v>3000</v>
      </c>
      <c r="C2117" s="245" t="s">
        <v>208</v>
      </c>
      <c r="D2117" s="260">
        <f>SUM(D2118:D2119)</f>
        <v>0</v>
      </c>
    </row>
    <row r="2118" spans="1:4" ht="12" hidden="1" customHeight="1" outlineLevel="1" x14ac:dyDescent="0.3">
      <c r="A2118" s="238"/>
      <c r="B2118" s="242">
        <v>3200</v>
      </c>
      <c r="C2118" s="243" t="s">
        <v>209</v>
      </c>
      <c r="D2118" s="244"/>
    </row>
    <row r="2119" spans="1:4" ht="12" hidden="1" customHeight="1" outlineLevel="1" x14ac:dyDescent="0.3">
      <c r="A2119" s="238"/>
      <c r="B2119" s="242">
        <v>3300</v>
      </c>
      <c r="C2119" s="243" t="s">
        <v>210</v>
      </c>
      <c r="D2119" s="244"/>
    </row>
    <row r="2120" spans="1:4" ht="12" hidden="1" customHeight="1" outlineLevel="1" x14ac:dyDescent="0.3">
      <c r="A2120" s="238"/>
      <c r="B2120" s="199">
        <v>4000</v>
      </c>
      <c r="C2120" s="246" t="s">
        <v>211</v>
      </c>
      <c r="D2120" s="260">
        <f>SUM(D2121:D2122)</f>
        <v>0</v>
      </c>
    </row>
    <row r="2121" spans="1:4" ht="12" hidden="1" customHeight="1" outlineLevel="1" x14ac:dyDescent="0.3">
      <c r="A2121" s="238"/>
      <c r="B2121" s="242">
        <v>4200</v>
      </c>
      <c r="C2121" s="247" t="s">
        <v>212</v>
      </c>
      <c r="D2121" s="244"/>
    </row>
    <row r="2122" spans="1:4" ht="12" hidden="1" customHeight="1" outlineLevel="1" x14ac:dyDescent="0.3">
      <c r="A2122" s="238"/>
      <c r="B2122" s="242">
        <v>4300</v>
      </c>
      <c r="C2122" s="247" t="s">
        <v>213</v>
      </c>
      <c r="D2122" s="244"/>
    </row>
    <row r="2123" spans="1:4" ht="12" hidden="1" customHeight="1" outlineLevel="1" x14ac:dyDescent="0.3">
      <c r="A2123" s="238"/>
      <c r="B2123" s="199">
        <v>5000</v>
      </c>
      <c r="C2123" s="200" t="s">
        <v>214</v>
      </c>
      <c r="D2123" s="260">
        <f>SUM(D2124:D2126)</f>
        <v>0</v>
      </c>
    </row>
    <row r="2124" spans="1:4" ht="12" hidden="1" customHeight="1" outlineLevel="1" x14ac:dyDescent="0.3">
      <c r="A2124" s="238"/>
      <c r="B2124" s="242">
        <v>5100</v>
      </c>
      <c r="C2124" s="248" t="s">
        <v>215</v>
      </c>
      <c r="D2124" s="260"/>
    </row>
    <row r="2125" spans="1:4" ht="12" hidden="1" customHeight="1" outlineLevel="1" x14ac:dyDescent="0.3">
      <c r="A2125" s="238"/>
      <c r="B2125" s="242">
        <v>5200</v>
      </c>
      <c r="C2125" s="248" t="s">
        <v>216</v>
      </c>
      <c r="D2125" s="260"/>
    </row>
    <row r="2126" spans="1:4" ht="12" hidden="1" customHeight="1" outlineLevel="1" x14ac:dyDescent="0.3">
      <c r="A2126" s="238"/>
      <c r="B2126" s="242">
        <v>5300</v>
      </c>
      <c r="C2126" s="249" t="s">
        <v>217</v>
      </c>
      <c r="D2126" s="260"/>
    </row>
    <row r="2127" spans="1:4" ht="12" hidden="1" customHeight="1" outlineLevel="1" x14ac:dyDescent="0.3">
      <c r="A2127" s="238"/>
      <c r="B2127" s="199">
        <v>6000</v>
      </c>
      <c r="C2127" s="200" t="s">
        <v>218</v>
      </c>
      <c r="D2127" s="260">
        <f>SUM(D2128:D2131)</f>
        <v>0</v>
      </c>
    </row>
    <row r="2128" spans="1:4" ht="12" hidden="1" customHeight="1" outlineLevel="1" x14ac:dyDescent="0.3">
      <c r="A2128" s="238"/>
      <c r="B2128" s="242">
        <v>6200</v>
      </c>
      <c r="C2128" s="248" t="s">
        <v>219</v>
      </c>
      <c r="D2128" s="244"/>
    </row>
    <row r="2129" spans="1:4" ht="12" hidden="1" customHeight="1" outlineLevel="1" x14ac:dyDescent="0.3">
      <c r="A2129" s="238"/>
      <c r="B2129" s="242">
        <v>6300</v>
      </c>
      <c r="C2129" s="248" t="s">
        <v>220</v>
      </c>
      <c r="D2129" s="244"/>
    </row>
    <row r="2130" spans="1:4" ht="12" hidden="1" customHeight="1" outlineLevel="1" x14ac:dyDescent="0.3">
      <c r="A2130" s="238"/>
      <c r="B2130" s="242">
        <v>6400</v>
      </c>
      <c r="C2130" s="248" t="s">
        <v>221</v>
      </c>
      <c r="D2130" s="244"/>
    </row>
    <row r="2131" spans="1:4" ht="12" hidden="1" customHeight="1" outlineLevel="1" x14ac:dyDescent="0.3">
      <c r="A2131" s="238"/>
      <c r="B2131" s="242">
        <v>6500</v>
      </c>
      <c r="C2131" s="249" t="s">
        <v>222</v>
      </c>
      <c r="D2131" s="244"/>
    </row>
    <row r="2132" spans="1:4" ht="12" hidden="1" customHeight="1" outlineLevel="1" x14ac:dyDescent="0.3">
      <c r="A2132" s="238"/>
      <c r="B2132" s="199">
        <v>7000</v>
      </c>
      <c r="C2132" s="200" t="s">
        <v>223</v>
      </c>
      <c r="D2132" s="260">
        <f>SUM(D2133:D2135)</f>
        <v>0</v>
      </c>
    </row>
    <row r="2133" spans="1:4" ht="12" hidden="1" customHeight="1" outlineLevel="1" x14ac:dyDescent="0.3">
      <c r="A2133" s="238"/>
      <c r="B2133" s="250">
        <v>7200</v>
      </c>
      <c r="C2133" s="251" t="s">
        <v>224</v>
      </c>
      <c r="D2133" s="244"/>
    </row>
    <row r="2134" spans="1:4" ht="12" hidden="1" customHeight="1" outlineLevel="1" x14ac:dyDescent="0.3">
      <c r="A2134" s="238"/>
      <c r="B2134" s="250">
        <v>7500</v>
      </c>
      <c r="C2134" s="251" t="s">
        <v>225</v>
      </c>
      <c r="D2134" s="244"/>
    </row>
    <row r="2135" spans="1:4" ht="12" hidden="1" customHeight="1" outlineLevel="1" x14ac:dyDescent="0.3">
      <c r="A2135" s="238"/>
      <c r="B2135" s="250">
        <v>7700</v>
      </c>
      <c r="C2135" s="251" t="s">
        <v>226</v>
      </c>
      <c r="D2135" s="244"/>
    </row>
    <row r="2136" spans="1:4" ht="12" hidden="1" customHeight="1" outlineLevel="1" x14ac:dyDescent="0.3">
      <c r="A2136" s="238"/>
      <c r="B2136" s="252">
        <v>8000</v>
      </c>
      <c r="C2136" s="253" t="s">
        <v>227</v>
      </c>
      <c r="D2136" s="260">
        <f>SUM(D2137:D2139)</f>
        <v>0</v>
      </c>
    </row>
    <row r="2137" spans="1:4" ht="12" hidden="1" customHeight="1" outlineLevel="1" x14ac:dyDescent="0.3">
      <c r="A2137" s="238"/>
      <c r="B2137" s="254">
        <v>8100</v>
      </c>
      <c r="C2137" s="255" t="s">
        <v>228</v>
      </c>
      <c r="D2137" s="260"/>
    </row>
    <row r="2138" spans="1:4" ht="12" hidden="1" customHeight="1" outlineLevel="1" x14ac:dyDescent="0.3">
      <c r="A2138" s="238"/>
      <c r="B2138" s="254">
        <v>8600</v>
      </c>
      <c r="C2138" s="255" t="s">
        <v>229</v>
      </c>
      <c r="D2138" s="260"/>
    </row>
    <row r="2139" spans="1:4" ht="12" hidden="1" customHeight="1" outlineLevel="1" x14ac:dyDescent="0.3">
      <c r="A2139" s="238"/>
      <c r="B2139" s="254">
        <v>8900</v>
      </c>
      <c r="C2139" s="255" t="s">
        <v>230</v>
      </c>
      <c r="D2139" s="260"/>
    </row>
    <row r="2140" spans="1:4" ht="12" hidden="1" customHeight="1" outlineLevel="1" x14ac:dyDescent="0.3">
      <c r="A2140" s="272" t="s">
        <v>350</v>
      </c>
      <c r="B2140" s="273"/>
      <c r="C2140" s="274" t="s">
        <v>351</v>
      </c>
      <c r="D2140" s="275">
        <f t="shared" ref="D2140" si="201">D2141+D2157+D2170</f>
        <v>0</v>
      </c>
    </row>
    <row r="2141" spans="1:4" ht="12" hidden="1" customHeight="1" outlineLevel="1" x14ac:dyDescent="0.3">
      <c r="A2141" s="238"/>
      <c r="B2141" s="228"/>
      <c r="C2141" s="229" t="s">
        <v>198</v>
      </c>
      <c r="D2141" s="230">
        <f t="shared" ref="D2141" si="202">D2142+D2145+D2151+D2154+D2161+D2166</f>
        <v>0</v>
      </c>
    </row>
    <row r="2142" spans="1:4" ht="12" hidden="1" customHeight="1" outlineLevel="1" x14ac:dyDescent="0.3">
      <c r="A2142" s="238"/>
      <c r="B2142" s="231">
        <v>1000</v>
      </c>
      <c r="C2142" s="232" t="s">
        <v>199</v>
      </c>
      <c r="D2142" s="230">
        <f>SUM(D2143:D2144)</f>
        <v>0</v>
      </c>
    </row>
    <row r="2143" spans="1:4" ht="12" hidden="1" customHeight="1" outlineLevel="1" x14ac:dyDescent="0.3">
      <c r="A2143" s="238"/>
      <c r="B2143" s="234">
        <v>1100</v>
      </c>
      <c r="C2143" s="235" t="s">
        <v>200</v>
      </c>
      <c r="D2143" s="236"/>
    </row>
    <row r="2144" spans="1:4" ht="12" hidden="1" customHeight="1" outlineLevel="1" x14ac:dyDescent="0.3">
      <c r="A2144" s="238"/>
      <c r="B2144" s="234">
        <v>1200</v>
      </c>
      <c r="C2144" s="237" t="s">
        <v>201</v>
      </c>
      <c r="D2144" s="236"/>
    </row>
    <row r="2145" spans="1:4" ht="12" hidden="1" customHeight="1" outlineLevel="1" x14ac:dyDescent="0.3">
      <c r="A2145" s="238"/>
      <c r="B2145" s="239">
        <v>2000</v>
      </c>
      <c r="C2145" s="240" t="s">
        <v>202</v>
      </c>
      <c r="D2145" s="260">
        <f>SUM(D2146:D2150)</f>
        <v>0</v>
      </c>
    </row>
    <row r="2146" spans="1:4" ht="12" hidden="1" customHeight="1" outlineLevel="1" x14ac:dyDescent="0.3">
      <c r="A2146" s="238"/>
      <c r="B2146" s="242">
        <v>2100</v>
      </c>
      <c r="C2146" s="243" t="s">
        <v>203</v>
      </c>
      <c r="D2146" s="244"/>
    </row>
    <row r="2147" spans="1:4" ht="12" hidden="1" customHeight="1" outlineLevel="1" x14ac:dyDescent="0.3">
      <c r="A2147" s="238"/>
      <c r="B2147" s="242">
        <v>2200</v>
      </c>
      <c r="C2147" s="243" t="s">
        <v>204</v>
      </c>
      <c r="D2147" s="244"/>
    </row>
    <row r="2148" spans="1:4" ht="12" hidden="1" customHeight="1" outlineLevel="1" x14ac:dyDescent="0.3">
      <c r="A2148" s="238"/>
      <c r="B2148" s="242">
        <v>2300</v>
      </c>
      <c r="C2148" s="243" t="s">
        <v>205</v>
      </c>
      <c r="D2148" s="244"/>
    </row>
    <row r="2149" spans="1:4" ht="12" hidden="1" customHeight="1" outlineLevel="1" x14ac:dyDescent="0.3">
      <c r="A2149" s="238"/>
      <c r="B2149" s="242">
        <v>2400</v>
      </c>
      <c r="C2149" s="243" t="s">
        <v>206</v>
      </c>
      <c r="D2149" s="244"/>
    </row>
    <row r="2150" spans="1:4" ht="12" hidden="1" customHeight="1" outlineLevel="1" x14ac:dyDescent="0.3">
      <c r="A2150" s="238"/>
      <c r="B2150" s="242">
        <v>2500</v>
      </c>
      <c r="C2150" s="243" t="s">
        <v>207</v>
      </c>
      <c r="D2150" s="244"/>
    </row>
    <row r="2151" spans="1:4" ht="12" hidden="1" customHeight="1" outlineLevel="1" x14ac:dyDescent="0.3">
      <c r="A2151" s="238"/>
      <c r="B2151" s="199">
        <v>3000</v>
      </c>
      <c r="C2151" s="245" t="s">
        <v>208</v>
      </c>
      <c r="D2151" s="260">
        <f>SUM(D2152:D2153)</f>
        <v>0</v>
      </c>
    </row>
    <row r="2152" spans="1:4" ht="12" hidden="1" customHeight="1" outlineLevel="1" x14ac:dyDescent="0.3">
      <c r="A2152" s="238"/>
      <c r="B2152" s="242">
        <v>3200</v>
      </c>
      <c r="C2152" s="243" t="s">
        <v>209</v>
      </c>
      <c r="D2152" s="244"/>
    </row>
    <row r="2153" spans="1:4" ht="12" hidden="1" customHeight="1" outlineLevel="1" x14ac:dyDescent="0.3">
      <c r="A2153" s="238"/>
      <c r="B2153" s="242">
        <v>3300</v>
      </c>
      <c r="C2153" s="243" t="s">
        <v>210</v>
      </c>
      <c r="D2153" s="244"/>
    </row>
    <row r="2154" spans="1:4" ht="12" hidden="1" customHeight="1" outlineLevel="1" x14ac:dyDescent="0.3">
      <c r="A2154" s="238"/>
      <c r="B2154" s="199">
        <v>4000</v>
      </c>
      <c r="C2154" s="246" t="s">
        <v>211</v>
      </c>
      <c r="D2154" s="260">
        <f>SUM(D2155:D2156)</f>
        <v>0</v>
      </c>
    </row>
    <row r="2155" spans="1:4" ht="12" hidden="1" customHeight="1" outlineLevel="1" x14ac:dyDescent="0.3">
      <c r="A2155" s="238"/>
      <c r="B2155" s="242">
        <v>4200</v>
      </c>
      <c r="C2155" s="247" t="s">
        <v>212</v>
      </c>
      <c r="D2155" s="244"/>
    </row>
    <row r="2156" spans="1:4" ht="12" hidden="1" customHeight="1" outlineLevel="1" x14ac:dyDescent="0.3">
      <c r="A2156" s="238"/>
      <c r="B2156" s="242">
        <v>4300</v>
      </c>
      <c r="C2156" s="247" t="s">
        <v>213</v>
      </c>
      <c r="D2156" s="244"/>
    </row>
    <row r="2157" spans="1:4" ht="12" hidden="1" customHeight="1" outlineLevel="1" x14ac:dyDescent="0.3">
      <c r="A2157" s="238"/>
      <c r="B2157" s="199">
        <v>5000</v>
      </c>
      <c r="C2157" s="200" t="s">
        <v>214</v>
      </c>
      <c r="D2157" s="260">
        <f>SUM(D2158:D2160)</f>
        <v>0</v>
      </c>
    </row>
    <row r="2158" spans="1:4" ht="12" hidden="1" customHeight="1" outlineLevel="1" x14ac:dyDescent="0.3">
      <c r="A2158" s="238"/>
      <c r="B2158" s="242">
        <v>5100</v>
      </c>
      <c r="C2158" s="248" t="s">
        <v>215</v>
      </c>
      <c r="D2158" s="260"/>
    </row>
    <row r="2159" spans="1:4" ht="12" hidden="1" customHeight="1" outlineLevel="1" x14ac:dyDescent="0.3">
      <c r="A2159" s="238"/>
      <c r="B2159" s="242">
        <v>5200</v>
      </c>
      <c r="C2159" s="248" t="s">
        <v>216</v>
      </c>
      <c r="D2159" s="260"/>
    </row>
    <row r="2160" spans="1:4" ht="12" hidden="1" customHeight="1" outlineLevel="1" x14ac:dyDescent="0.3">
      <c r="A2160" s="238"/>
      <c r="B2160" s="242">
        <v>5300</v>
      </c>
      <c r="C2160" s="249" t="s">
        <v>217</v>
      </c>
      <c r="D2160" s="260"/>
    </row>
    <row r="2161" spans="1:4" ht="12" hidden="1" customHeight="1" outlineLevel="1" x14ac:dyDescent="0.3">
      <c r="A2161" s="238"/>
      <c r="B2161" s="199">
        <v>6000</v>
      </c>
      <c r="C2161" s="200" t="s">
        <v>218</v>
      </c>
      <c r="D2161" s="260">
        <f>SUM(D2162:D2165)</f>
        <v>0</v>
      </c>
    </row>
    <row r="2162" spans="1:4" ht="12" hidden="1" customHeight="1" outlineLevel="1" x14ac:dyDescent="0.3">
      <c r="A2162" s="238"/>
      <c r="B2162" s="242">
        <v>6200</v>
      </c>
      <c r="C2162" s="248" t="s">
        <v>219</v>
      </c>
      <c r="D2162" s="244"/>
    </row>
    <row r="2163" spans="1:4" ht="12" hidden="1" customHeight="1" outlineLevel="1" x14ac:dyDescent="0.3">
      <c r="A2163" s="238"/>
      <c r="B2163" s="242">
        <v>6300</v>
      </c>
      <c r="C2163" s="248" t="s">
        <v>220</v>
      </c>
      <c r="D2163" s="244"/>
    </row>
    <row r="2164" spans="1:4" ht="12" hidden="1" customHeight="1" outlineLevel="1" x14ac:dyDescent="0.3">
      <c r="A2164" s="238"/>
      <c r="B2164" s="242">
        <v>6400</v>
      </c>
      <c r="C2164" s="248" t="s">
        <v>221</v>
      </c>
      <c r="D2164" s="244"/>
    </row>
    <row r="2165" spans="1:4" ht="12" hidden="1" customHeight="1" outlineLevel="1" x14ac:dyDescent="0.3">
      <c r="A2165" s="238"/>
      <c r="B2165" s="242">
        <v>6500</v>
      </c>
      <c r="C2165" s="249" t="s">
        <v>222</v>
      </c>
      <c r="D2165" s="244"/>
    </row>
    <row r="2166" spans="1:4" ht="12" hidden="1" customHeight="1" outlineLevel="1" x14ac:dyDescent="0.3">
      <c r="A2166" s="238"/>
      <c r="B2166" s="199">
        <v>7000</v>
      </c>
      <c r="C2166" s="200" t="s">
        <v>223</v>
      </c>
      <c r="D2166" s="260">
        <f>SUM(D2167:D2169)</f>
        <v>0</v>
      </c>
    </row>
    <row r="2167" spans="1:4" ht="12" hidden="1" customHeight="1" outlineLevel="1" x14ac:dyDescent="0.3">
      <c r="A2167" s="238"/>
      <c r="B2167" s="250">
        <v>7200</v>
      </c>
      <c r="C2167" s="251" t="s">
        <v>224</v>
      </c>
      <c r="D2167" s="244"/>
    </row>
    <row r="2168" spans="1:4" ht="12" hidden="1" customHeight="1" outlineLevel="1" x14ac:dyDescent="0.3">
      <c r="A2168" s="238"/>
      <c r="B2168" s="250">
        <v>7500</v>
      </c>
      <c r="C2168" s="251" t="s">
        <v>225</v>
      </c>
      <c r="D2168" s="244"/>
    </row>
    <row r="2169" spans="1:4" ht="12" hidden="1" customHeight="1" outlineLevel="1" x14ac:dyDescent="0.3">
      <c r="A2169" s="238"/>
      <c r="B2169" s="250">
        <v>7700</v>
      </c>
      <c r="C2169" s="251" t="s">
        <v>226</v>
      </c>
      <c r="D2169" s="244"/>
    </row>
    <row r="2170" spans="1:4" ht="12" hidden="1" customHeight="1" outlineLevel="1" x14ac:dyDescent="0.3">
      <c r="A2170" s="238"/>
      <c r="B2170" s="252">
        <v>8000</v>
      </c>
      <c r="C2170" s="253" t="s">
        <v>227</v>
      </c>
      <c r="D2170" s="260">
        <f>SUM(D2171:D2173)</f>
        <v>0</v>
      </c>
    </row>
    <row r="2171" spans="1:4" ht="12" hidden="1" customHeight="1" outlineLevel="1" x14ac:dyDescent="0.3">
      <c r="A2171" s="238"/>
      <c r="B2171" s="254">
        <v>8100</v>
      </c>
      <c r="C2171" s="255" t="s">
        <v>228</v>
      </c>
      <c r="D2171" s="260"/>
    </row>
    <row r="2172" spans="1:4" ht="12" hidden="1" customHeight="1" outlineLevel="1" x14ac:dyDescent="0.3">
      <c r="A2172" s="238"/>
      <c r="B2172" s="254">
        <v>8600</v>
      </c>
      <c r="C2172" s="255" t="s">
        <v>229</v>
      </c>
      <c r="D2172" s="260"/>
    </row>
    <row r="2173" spans="1:4" ht="12" hidden="1" customHeight="1" outlineLevel="1" x14ac:dyDescent="0.3">
      <c r="A2173" s="238"/>
      <c r="B2173" s="254">
        <v>8900</v>
      </c>
      <c r="C2173" s="255" t="s">
        <v>230</v>
      </c>
      <c r="D2173" s="260"/>
    </row>
    <row r="2174" spans="1:4" ht="12" hidden="1" customHeight="1" outlineLevel="1" x14ac:dyDescent="0.3">
      <c r="A2174" s="272" t="s">
        <v>352</v>
      </c>
      <c r="B2174" s="273"/>
      <c r="C2174" s="274" t="s">
        <v>353</v>
      </c>
      <c r="D2174" s="275">
        <f>D2175+D2191+D2204</f>
        <v>0</v>
      </c>
    </row>
    <row r="2175" spans="1:4" ht="12" hidden="1" customHeight="1" outlineLevel="1" x14ac:dyDescent="0.3">
      <c r="A2175" s="238"/>
      <c r="B2175" s="228"/>
      <c r="C2175" s="229" t="s">
        <v>198</v>
      </c>
      <c r="D2175" s="230">
        <f>D2176+D2179+D2185+D2188+D2195+D2200</f>
        <v>0</v>
      </c>
    </row>
    <row r="2176" spans="1:4" ht="12" hidden="1" customHeight="1" outlineLevel="1" x14ac:dyDescent="0.3">
      <c r="A2176" s="238"/>
      <c r="B2176" s="231">
        <v>1000</v>
      </c>
      <c r="C2176" s="232" t="s">
        <v>199</v>
      </c>
      <c r="D2176" s="230">
        <f>SUM(D2177:D2178)</f>
        <v>0</v>
      </c>
    </row>
    <row r="2177" spans="1:4" ht="12" hidden="1" customHeight="1" outlineLevel="1" x14ac:dyDescent="0.3">
      <c r="A2177" s="238"/>
      <c r="B2177" s="234">
        <v>1100</v>
      </c>
      <c r="C2177" s="235" t="s">
        <v>200</v>
      </c>
      <c r="D2177" s="236"/>
    </row>
    <row r="2178" spans="1:4" ht="12" hidden="1" customHeight="1" outlineLevel="1" x14ac:dyDescent="0.3">
      <c r="A2178" s="238"/>
      <c r="B2178" s="234">
        <v>1200</v>
      </c>
      <c r="C2178" s="237" t="s">
        <v>201</v>
      </c>
      <c r="D2178" s="236"/>
    </row>
    <row r="2179" spans="1:4" ht="12" hidden="1" customHeight="1" outlineLevel="1" x14ac:dyDescent="0.3">
      <c r="A2179" s="238"/>
      <c r="B2179" s="239">
        <v>2000</v>
      </c>
      <c r="C2179" s="240" t="s">
        <v>202</v>
      </c>
      <c r="D2179" s="260">
        <f>SUM(D2180:D2184)</f>
        <v>0</v>
      </c>
    </row>
    <row r="2180" spans="1:4" ht="12" hidden="1" customHeight="1" outlineLevel="1" x14ac:dyDescent="0.3">
      <c r="A2180" s="238"/>
      <c r="B2180" s="242">
        <v>2100</v>
      </c>
      <c r="C2180" s="243" t="s">
        <v>203</v>
      </c>
      <c r="D2180" s="244"/>
    </row>
    <row r="2181" spans="1:4" ht="12" hidden="1" customHeight="1" outlineLevel="1" x14ac:dyDescent="0.3">
      <c r="A2181" s="238"/>
      <c r="B2181" s="242">
        <v>2200</v>
      </c>
      <c r="C2181" s="243" t="s">
        <v>204</v>
      </c>
      <c r="D2181" s="244"/>
    </row>
    <row r="2182" spans="1:4" ht="12" hidden="1" customHeight="1" outlineLevel="1" x14ac:dyDescent="0.3">
      <c r="A2182" s="238"/>
      <c r="B2182" s="242">
        <v>2300</v>
      </c>
      <c r="C2182" s="243" t="s">
        <v>205</v>
      </c>
      <c r="D2182" s="244"/>
    </row>
    <row r="2183" spans="1:4" ht="12" hidden="1" customHeight="1" outlineLevel="1" x14ac:dyDescent="0.3">
      <c r="A2183" s="238"/>
      <c r="B2183" s="242">
        <v>2400</v>
      </c>
      <c r="C2183" s="243" t="s">
        <v>206</v>
      </c>
      <c r="D2183" s="244"/>
    </row>
    <row r="2184" spans="1:4" ht="12" hidden="1" customHeight="1" outlineLevel="1" x14ac:dyDescent="0.3">
      <c r="A2184" s="238"/>
      <c r="B2184" s="242">
        <v>2500</v>
      </c>
      <c r="C2184" s="243" t="s">
        <v>207</v>
      </c>
      <c r="D2184" s="244"/>
    </row>
    <row r="2185" spans="1:4" ht="12" hidden="1" customHeight="1" outlineLevel="1" x14ac:dyDescent="0.3">
      <c r="A2185" s="238"/>
      <c r="B2185" s="199">
        <v>3000</v>
      </c>
      <c r="C2185" s="245" t="s">
        <v>208</v>
      </c>
      <c r="D2185" s="260">
        <f>SUM(D2186:D2187)</f>
        <v>0</v>
      </c>
    </row>
    <row r="2186" spans="1:4" ht="12" hidden="1" customHeight="1" outlineLevel="1" x14ac:dyDescent="0.3">
      <c r="A2186" s="238"/>
      <c r="B2186" s="242">
        <v>3200</v>
      </c>
      <c r="C2186" s="243" t="s">
        <v>209</v>
      </c>
      <c r="D2186" s="244"/>
    </row>
    <row r="2187" spans="1:4" ht="12" hidden="1" customHeight="1" outlineLevel="1" x14ac:dyDescent="0.3">
      <c r="A2187" s="238"/>
      <c r="B2187" s="242">
        <v>3300</v>
      </c>
      <c r="C2187" s="243" t="s">
        <v>210</v>
      </c>
      <c r="D2187" s="244"/>
    </row>
    <row r="2188" spans="1:4" ht="12" hidden="1" customHeight="1" outlineLevel="1" x14ac:dyDescent="0.3">
      <c r="A2188" s="238"/>
      <c r="B2188" s="199">
        <v>4000</v>
      </c>
      <c r="C2188" s="246" t="s">
        <v>211</v>
      </c>
      <c r="D2188" s="260">
        <f>SUM(D2189:D2190)</f>
        <v>0</v>
      </c>
    </row>
    <row r="2189" spans="1:4" ht="12" hidden="1" customHeight="1" outlineLevel="1" x14ac:dyDescent="0.3">
      <c r="A2189" s="238"/>
      <c r="B2189" s="242">
        <v>4200</v>
      </c>
      <c r="C2189" s="247" t="s">
        <v>212</v>
      </c>
      <c r="D2189" s="244"/>
    </row>
    <row r="2190" spans="1:4" ht="12" hidden="1" customHeight="1" outlineLevel="1" x14ac:dyDescent="0.3">
      <c r="A2190" s="238"/>
      <c r="B2190" s="242">
        <v>4300</v>
      </c>
      <c r="C2190" s="247" t="s">
        <v>213</v>
      </c>
      <c r="D2190" s="244"/>
    </row>
    <row r="2191" spans="1:4" ht="12" hidden="1" customHeight="1" outlineLevel="1" x14ac:dyDescent="0.3">
      <c r="A2191" s="238"/>
      <c r="B2191" s="199">
        <v>5000</v>
      </c>
      <c r="C2191" s="200" t="s">
        <v>214</v>
      </c>
      <c r="D2191" s="260">
        <f>SUM(D2192:D2194)</f>
        <v>0</v>
      </c>
    </row>
    <row r="2192" spans="1:4" ht="12" hidden="1" customHeight="1" outlineLevel="1" x14ac:dyDescent="0.3">
      <c r="A2192" s="238"/>
      <c r="B2192" s="242">
        <v>5100</v>
      </c>
      <c r="C2192" s="248" t="s">
        <v>215</v>
      </c>
      <c r="D2192" s="260"/>
    </row>
    <row r="2193" spans="1:4" ht="12" hidden="1" customHeight="1" outlineLevel="1" x14ac:dyDescent="0.3">
      <c r="A2193" s="238"/>
      <c r="B2193" s="242">
        <v>5200</v>
      </c>
      <c r="C2193" s="248" t="s">
        <v>216</v>
      </c>
      <c r="D2193" s="260"/>
    </row>
    <row r="2194" spans="1:4" ht="12" hidden="1" customHeight="1" outlineLevel="1" x14ac:dyDescent="0.3">
      <c r="A2194" s="238"/>
      <c r="B2194" s="242">
        <v>5300</v>
      </c>
      <c r="C2194" s="249" t="s">
        <v>217</v>
      </c>
      <c r="D2194" s="260"/>
    </row>
    <row r="2195" spans="1:4" ht="12" hidden="1" customHeight="1" outlineLevel="1" x14ac:dyDescent="0.3">
      <c r="A2195" s="238"/>
      <c r="B2195" s="199">
        <v>6000</v>
      </c>
      <c r="C2195" s="200" t="s">
        <v>218</v>
      </c>
      <c r="D2195" s="260">
        <f>SUM(D2196:D2199)</f>
        <v>0</v>
      </c>
    </row>
    <row r="2196" spans="1:4" ht="12" hidden="1" customHeight="1" outlineLevel="1" x14ac:dyDescent="0.3">
      <c r="A2196" s="238"/>
      <c r="B2196" s="242">
        <v>6200</v>
      </c>
      <c r="C2196" s="248" t="s">
        <v>219</v>
      </c>
      <c r="D2196" s="244"/>
    </row>
    <row r="2197" spans="1:4" ht="12" hidden="1" customHeight="1" outlineLevel="1" x14ac:dyDescent="0.3">
      <c r="A2197" s="238"/>
      <c r="B2197" s="242">
        <v>6300</v>
      </c>
      <c r="C2197" s="248" t="s">
        <v>220</v>
      </c>
      <c r="D2197" s="244"/>
    </row>
    <row r="2198" spans="1:4" ht="12" hidden="1" customHeight="1" outlineLevel="1" x14ac:dyDescent="0.3">
      <c r="A2198" s="238"/>
      <c r="B2198" s="242">
        <v>6400</v>
      </c>
      <c r="C2198" s="248" t="s">
        <v>221</v>
      </c>
      <c r="D2198" s="244"/>
    </row>
    <row r="2199" spans="1:4" ht="12" hidden="1" customHeight="1" outlineLevel="1" x14ac:dyDescent="0.3">
      <c r="A2199" s="238"/>
      <c r="B2199" s="242">
        <v>6500</v>
      </c>
      <c r="C2199" s="249" t="s">
        <v>222</v>
      </c>
      <c r="D2199" s="244"/>
    </row>
    <row r="2200" spans="1:4" ht="12" hidden="1" customHeight="1" outlineLevel="1" x14ac:dyDescent="0.3">
      <c r="A2200" s="238"/>
      <c r="B2200" s="199">
        <v>7000</v>
      </c>
      <c r="C2200" s="200" t="s">
        <v>223</v>
      </c>
      <c r="D2200" s="260">
        <f>SUM(D2201:D2203)</f>
        <v>0</v>
      </c>
    </row>
    <row r="2201" spans="1:4" ht="12" hidden="1" customHeight="1" outlineLevel="1" x14ac:dyDescent="0.3">
      <c r="A2201" s="238"/>
      <c r="B2201" s="250">
        <v>7200</v>
      </c>
      <c r="C2201" s="251" t="s">
        <v>224</v>
      </c>
      <c r="D2201" s="244"/>
    </row>
    <row r="2202" spans="1:4" ht="12" hidden="1" customHeight="1" outlineLevel="1" x14ac:dyDescent="0.3">
      <c r="A2202" s="238"/>
      <c r="B2202" s="250">
        <v>7500</v>
      </c>
      <c r="C2202" s="251" t="s">
        <v>225</v>
      </c>
      <c r="D2202" s="244"/>
    </row>
    <row r="2203" spans="1:4" ht="12" hidden="1" customHeight="1" outlineLevel="1" x14ac:dyDescent="0.3">
      <c r="A2203" s="238"/>
      <c r="B2203" s="250">
        <v>7700</v>
      </c>
      <c r="C2203" s="251" t="s">
        <v>226</v>
      </c>
      <c r="D2203" s="244"/>
    </row>
    <row r="2204" spans="1:4" ht="12" hidden="1" customHeight="1" outlineLevel="1" x14ac:dyDescent="0.3">
      <c r="A2204" s="238"/>
      <c r="B2204" s="252">
        <v>8000</v>
      </c>
      <c r="C2204" s="253" t="s">
        <v>227</v>
      </c>
      <c r="D2204" s="260">
        <f>SUM(D2205:D2207)</f>
        <v>0</v>
      </c>
    </row>
    <row r="2205" spans="1:4" ht="12" hidden="1" customHeight="1" outlineLevel="1" x14ac:dyDescent="0.3">
      <c r="A2205" s="238"/>
      <c r="B2205" s="254">
        <v>8100</v>
      </c>
      <c r="C2205" s="255" t="s">
        <v>228</v>
      </c>
      <c r="D2205" s="260"/>
    </row>
    <row r="2206" spans="1:4" ht="12" hidden="1" customHeight="1" outlineLevel="1" x14ac:dyDescent="0.3">
      <c r="A2206" s="238"/>
      <c r="B2206" s="254">
        <v>8600</v>
      </c>
      <c r="C2206" s="255" t="s">
        <v>229</v>
      </c>
      <c r="D2206" s="260"/>
    </row>
    <row r="2207" spans="1:4" ht="12" hidden="1" customHeight="1" outlineLevel="1" x14ac:dyDescent="0.3">
      <c r="A2207" s="238"/>
      <c r="B2207" s="254">
        <v>8900</v>
      </c>
      <c r="C2207" s="255" t="s">
        <v>230</v>
      </c>
      <c r="D2207" s="260"/>
    </row>
    <row r="2208" spans="1:4" ht="12" hidden="1" customHeight="1" outlineLevel="1" x14ac:dyDescent="0.3">
      <c r="A2208" s="272" t="s">
        <v>354</v>
      </c>
      <c r="B2208" s="273"/>
      <c r="C2208" s="274" t="s">
        <v>355</v>
      </c>
      <c r="D2208" s="275">
        <f t="shared" ref="D2208" si="203">D2209+D2225+D2238</f>
        <v>0</v>
      </c>
    </row>
    <row r="2209" spans="1:4" ht="12" hidden="1" customHeight="1" outlineLevel="1" x14ac:dyDescent="0.3">
      <c r="A2209" s="238"/>
      <c r="B2209" s="228"/>
      <c r="C2209" s="229" t="s">
        <v>198</v>
      </c>
      <c r="D2209" s="230">
        <f t="shared" ref="D2209" si="204">D2210+D2213+D2219+D2222+D2229+D2234</f>
        <v>0</v>
      </c>
    </row>
    <row r="2210" spans="1:4" ht="12" hidden="1" customHeight="1" outlineLevel="1" x14ac:dyDescent="0.3">
      <c r="A2210" s="238"/>
      <c r="B2210" s="231">
        <v>1000</v>
      </c>
      <c r="C2210" s="232" t="s">
        <v>199</v>
      </c>
      <c r="D2210" s="230">
        <f>SUM(D2211:D2212)</f>
        <v>0</v>
      </c>
    </row>
    <row r="2211" spans="1:4" ht="12" hidden="1" customHeight="1" outlineLevel="1" x14ac:dyDescent="0.3">
      <c r="A2211" s="238"/>
      <c r="B2211" s="234">
        <v>1100</v>
      </c>
      <c r="C2211" s="235" t="s">
        <v>200</v>
      </c>
      <c r="D2211" s="236"/>
    </row>
    <row r="2212" spans="1:4" ht="12" hidden="1" customHeight="1" outlineLevel="1" x14ac:dyDescent="0.3">
      <c r="A2212" s="238"/>
      <c r="B2212" s="234">
        <v>1200</v>
      </c>
      <c r="C2212" s="237" t="s">
        <v>201</v>
      </c>
      <c r="D2212" s="236"/>
    </row>
    <row r="2213" spans="1:4" ht="12" hidden="1" customHeight="1" outlineLevel="1" x14ac:dyDescent="0.3">
      <c r="A2213" s="238"/>
      <c r="B2213" s="239">
        <v>2000</v>
      </c>
      <c r="C2213" s="240" t="s">
        <v>202</v>
      </c>
      <c r="D2213" s="260">
        <f>SUM(D2214:D2218)</f>
        <v>0</v>
      </c>
    </row>
    <row r="2214" spans="1:4" ht="12" hidden="1" customHeight="1" outlineLevel="1" x14ac:dyDescent="0.3">
      <c r="A2214" s="238"/>
      <c r="B2214" s="242">
        <v>2100</v>
      </c>
      <c r="C2214" s="243" t="s">
        <v>203</v>
      </c>
      <c r="D2214" s="244"/>
    </row>
    <row r="2215" spans="1:4" ht="12" hidden="1" customHeight="1" outlineLevel="1" x14ac:dyDescent="0.3">
      <c r="A2215" s="238"/>
      <c r="B2215" s="242">
        <v>2200</v>
      </c>
      <c r="C2215" s="243" t="s">
        <v>204</v>
      </c>
      <c r="D2215" s="244"/>
    </row>
    <row r="2216" spans="1:4" ht="12" hidden="1" customHeight="1" outlineLevel="1" x14ac:dyDescent="0.3">
      <c r="A2216" s="238"/>
      <c r="B2216" s="242">
        <v>2300</v>
      </c>
      <c r="C2216" s="243" t="s">
        <v>205</v>
      </c>
      <c r="D2216" s="244"/>
    </row>
    <row r="2217" spans="1:4" ht="12" hidden="1" customHeight="1" outlineLevel="1" x14ac:dyDescent="0.3">
      <c r="A2217" s="238"/>
      <c r="B2217" s="242">
        <v>2400</v>
      </c>
      <c r="C2217" s="243" t="s">
        <v>206</v>
      </c>
      <c r="D2217" s="244"/>
    </row>
    <row r="2218" spans="1:4" ht="12" hidden="1" customHeight="1" outlineLevel="1" x14ac:dyDescent="0.3">
      <c r="A2218" s="238"/>
      <c r="B2218" s="242">
        <v>2500</v>
      </c>
      <c r="C2218" s="243" t="s">
        <v>207</v>
      </c>
      <c r="D2218" s="244"/>
    </row>
    <row r="2219" spans="1:4" ht="12" hidden="1" customHeight="1" outlineLevel="1" x14ac:dyDescent="0.3">
      <c r="A2219" s="238"/>
      <c r="B2219" s="199">
        <v>3000</v>
      </c>
      <c r="C2219" s="245" t="s">
        <v>208</v>
      </c>
      <c r="D2219" s="260">
        <f>SUM(D2220:D2221)</f>
        <v>0</v>
      </c>
    </row>
    <row r="2220" spans="1:4" ht="12" hidden="1" customHeight="1" outlineLevel="1" x14ac:dyDescent="0.3">
      <c r="A2220" s="238"/>
      <c r="B2220" s="242">
        <v>3200</v>
      </c>
      <c r="C2220" s="243" t="s">
        <v>209</v>
      </c>
      <c r="D2220" s="244"/>
    </row>
    <row r="2221" spans="1:4" ht="12" hidden="1" customHeight="1" outlineLevel="1" x14ac:dyDescent="0.3">
      <c r="A2221" s="238"/>
      <c r="B2221" s="242">
        <v>3300</v>
      </c>
      <c r="C2221" s="243" t="s">
        <v>210</v>
      </c>
      <c r="D2221" s="244"/>
    </row>
    <row r="2222" spans="1:4" ht="12" hidden="1" customHeight="1" outlineLevel="1" x14ac:dyDescent="0.3">
      <c r="A2222" s="238"/>
      <c r="B2222" s="199">
        <v>4000</v>
      </c>
      <c r="C2222" s="246" t="s">
        <v>211</v>
      </c>
      <c r="D2222" s="260">
        <f>SUM(D2223:D2224)</f>
        <v>0</v>
      </c>
    </row>
    <row r="2223" spans="1:4" ht="12" hidden="1" customHeight="1" outlineLevel="1" x14ac:dyDescent="0.3">
      <c r="A2223" s="238"/>
      <c r="B2223" s="242">
        <v>4200</v>
      </c>
      <c r="C2223" s="247" t="s">
        <v>212</v>
      </c>
      <c r="D2223" s="244"/>
    </row>
    <row r="2224" spans="1:4" ht="12" hidden="1" customHeight="1" outlineLevel="1" x14ac:dyDescent="0.3">
      <c r="A2224" s="238"/>
      <c r="B2224" s="242">
        <v>4300</v>
      </c>
      <c r="C2224" s="247" t="s">
        <v>213</v>
      </c>
      <c r="D2224" s="244"/>
    </row>
    <row r="2225" spans="1:4" ht="12" hidden="1" customHeight="1" outlineLevel="1" x14ac:dyDescent="0.3">
      <c r="A2225" s="238"/>
      <c r="B2225" s="199">
        <v>5000</v>
      </c>
      <c r="C2225" s="200" t="s">
        <v>214</v>
      </c>
      <c r="D2225" s="260">
        <f>SUM(D2226:D2228)</f>
        <v>0</v>
      </c>
    </row>
    <row r="2226" spans="1:4" ht="12" hidden="1" customHeight="1" outlineLevel="1" x14ac:dyDescent="0.3">
      <c r="A2226" s="238"/>
      <c r="B2226" s="242">
        <v>5100</v>
      </c>
      <c r="C2226" s="248" t="s">
        <v>215</v>
      </c>
      <c r="D2226" s="260"/>
    </row>
    <row r="2227" spans="1:4" ht="12" hidden="1" customHeight="1" outlineLevel="1" x14ac:dyDescent="0.3">
      <c r="A2227" s="238"/>
      <c r="B2227" s="242">
        <v>5200</v>
      </c>
      <c r="C2227" s="248" t="s">
        <v>216</v>
      </c>
      <c r="D2227" s="260"/>
    </row>
    <row r="2228" spans="1:4" ht="12" hidden="1" customHeight="1" outlineLevel="1" x14ac:dyDescent="0.3">
      <c r="A2228" s="238"/>
      <c r="B2228" s="242">
        <v>5300</v>
      </c>
      <c r="C2228" s="249" t="s">
        <v>217</v>
      </c>
      <c r="D2228" s="260"/>
    </row>
    <row r="2229" spans="1:4" ht="12" hidden="1" customHeight="1" outlineLevel="1" x14ac:dyDescent="0.3">
      <c r="A2229" s="238"/>
      <c r="B2229" s="199">
        <v>6000</v>
      </c>
      <c r="C2229" s="200" t="s">
        <v>218</v>
      </c>
      <c r="D2229" s="260">
        <f>SUM(D2230:D2233)</f>
        <v>0</v>
      </c>
    </row>
    <row r="2230" spans="1:4" ht="12" hidden="1" customHeight="1" outlineLevel="1" x14ac:dyDescent="0.3">
      <c r="A2230" s="238"/>
      <c r="B2230" s="242">
        <v>6200</v>
      </c>
      <c r="C2230" s="248" t="s">
        <v>219</v>
      </c>
      <c r="D2230" s="244"/>
    </row>
    <row r="2231" spans="1:4" ht="12" hidden="1" customHeight="1" outlineLevel="1" x14ac:dyDescent="0.3">
      <c r="A2231" s="238"/>
      <c r="B2231" s="242">
        <v>6300</v>
      </c>
      <c r="C2231" s="248" t="s">
        <v>220</v>
      </c>
      <c r="D2231" s="244"/>
    </row>
    <row r="2232" spans="1:4" ht="12" hidden="1" customHeight="1" outlineLevel="1" x14ac:dyDescent="0.3">
      <c r="A2232" s="238"/>
      <c r="B2232" s="242">
        <v>6400</v>
      </c>
      <c r="C2232" s="248" t="s">
        <v>221</v>
      </c>
      <c r="D2232" s="244"/>
    </row>
    <row r="2233" spans="1:4" ht="12" hidden="1" customHeight="1" outlineLevel="1" x14ac:dyDescent="0.3">
      <c r="A2233" s="238"/>
      <c r="B2233" s="242">
        <v>6500</v>
      </c>
      <c r="C2233" s="249" t="s">
        <v>222</v>
      </c>
      <c r="D2233" s="244"/>
    </row>
    <row r="2234" spans="1:4" ht="12" hidden="1" customHeight="1" outlineLevel="1" x14ac:dyDescent="0.3">
      <c r="A2234" s="238"/>
      <c r="B2234" s="199">
        <v>7000</v>
      </c>
      <c r="C2234" s="200" t="s">
        <v>223</v>
      </c>
      <c r="D2234" s="260">
        <f>SUM(D2235:D2237)</f>
        <v>0</v>
      </c>
    </row>
    <row r="2235" spans="1:4" ht="12" hidden="1" customHeight="1" outlineLevel="1" x14ac:dyDescent="0.3">
      <c r="A2235" s="238"/>
      <c r="B2235" s="250">
        <v>7200</v>
      </c>
      <c r="C2235" s="251" t="s">
        <v>224</v>
      </c>
      <c r="D2235" s="244"/>
    </row>
    <row r="2236" spans="1:4" ht="12" hidden="1" customHeight="1" outlineLevel="1" x14ac:dyDescent="0.3">
      <c r="A2236" s="238"/>
      <c r="B2236" s="250">
        <v>7500</v>
      </c>
      <c r="C2236" s="251" t="s">
        <v>225</v>
      </c>
      <c r="D2236" s="244"/>
    </row>
    <row r="2237" spans="1:4" ht="12" hidden="1" customHeight="1" outlineLevel="1" x14ac:dyDescent="0.3">
      <c r="A2237" s="238"/>
      <c r="B2237" s="250">
        <v>7700</v>
      </c>
      <c r="C2237" s="251" t="s">
        <v>226</v>
      </c>
      <c r="D2237" s="244"/>
    </row>
    <row r="2238" spans="1:4" ht="12" hidden="1" customHeight="1" outlineLevel="1" x14ac:dyDescent="0.3">
      <c r="A2238" s="238"/>
      <c r="B2238" s="252">
        <v>8000</v>
      </c>
      <c r="C2238" s="253" t="s">
        <v>227</v>
      </c>
      <c r="D2238" s="260">
        <f>SUM(D2239:D2241)</f>
        <v>0</v>
      </c>
    </row>
    <row r="2239" spans="1:4" ht="12" hidden="1" customHeight="1" outlineLevel="1" x14ac:dyDescent="0.3">
      <c r="A2239" s="238"/>
      <c r="B2239" s="254">
        <v>8100</v>
      </c>
      <c r="C2239" s="255" t="s">
        <v>228</v>
      </c>
      <c r="D2239" s="260"/>
    </row>
    <row r="2240" spans="1:4" ht="12" hidden="1" customHeight="1" outlineLevel="1" x14ac:dyDescent="0.3">
      <c r="A2240" s="238"/>
      <c r="B2240" s="254">
        <v>8600</v>
      </c>
      <c r="C2240" s="255" t="s">
        <v>229</v>
      </c>
      <c r="D2240" s="260"/>
    </row>
    <row r="2241" spans="1:4" ht="12" hidden="1" customHeight="1" outlineLevel="1" x14ac:dyDescent="0.3">
      <c r="A2241" s="238"/>
      <c r="B2241" s="254">
        <v>8900</v>
      </c>
      <c r="C2241" s="255" t="s">
        <v>230</v>
      </c>
      <c r="D2241" s="260"/>
    </row>
    <row r="2242" spans="1:4" ht="12" hidden="1" customHeight="1" outlineLevel="1" x14ac:dyDescent="0.3">
      <c r="A2242" s="256" t="s">
        <v>356</v>
      </c>
      <c r="B2242" s="257"/>
      <c r="C2242" s="258" t="s">
        <v>357</v>
      </c>
      <c r="D2242" s="259">
        <f t="shared" ref="D2242" si="205">D2243+D2259+D2272</f>
        <v>0</v>
      </c>
    </row>
    <row r="2243" spans="1:4" ht="12" hidden="1" customHeight="1" outlineLevel="1" x14ac:dyDescent="0.3">
      <c r="A2243" s="227"/>
      <c r="B2243" s="228"/>
      <c r="C2243" s="229" t="s">
        <v>198</v>
      </c>
      <c r="D2243" s="230">
        <f t="shared" ref="D2243" si="206">D2244+D2247+D2253+D2256+D2263+D2268</f>
        <v>0</v>
      </c>
    </row>
    <row r="2244" spans="1:4" ht="12" hidden="1" customHeight="1" outlineLevel="1" x14ac:dyDescent="0.3">
      <c r="A2244" s="227"/>
      <c r="B2244" s="231">
        <v>1000</v>
      </c>
      <c r="C2244" s="232" t="s">
        <v>199</v>
      </c>
      <c r="D2244" s="233">
        <f t="shared" ref="D2244:D2246" si="207">D2278+D2312</f>
        <v>0</v>
      </c>
    </row>
    <row r="2245" spans="1:4" ht="12" hidden="1" customHeight="1" outlineLevel="1" x14ac:dyDescent="0.3">
      <c r="A2245" s="227"/>
      <c r="B2245" s="234">
        <v>1100</v>
      </c>
      <c r="C2245" s="235" t="s">
        <v>200</v>
      </c>
      <c r="D2245" s="236">
        <f t="shared" si="207"/>
        <v>0</v>
      </c>
    </row>
    <row r="2246" spans="1:4" ht="12" hidden="1" customHeight="1" outlineLevel="1" x14ac:dyDescent="0.3">
      <c r="A2246" s="227"/>
      <c r="B2246" s="234">
        <v>1200</v>
      </c>
      <c r="C2246" s="237" t="s">
        <v>201</v>
      </c>
      <c r="D2246" s="236">
        <f t="shared" si="207"/>
        <v>0</v>
      </c>
    </row>
    <row r="2247" spans="1:4" ht="12" hidden="1" customHeight="1" outlineLevel="1" x14ac:dyDescent="0.3">
      <c r="A2247" s="238"/>
      <c r="B2247" s="239">
        <v>2000</v>
      </c>
      <c r="C2247" s="240" t="s">
        <v>202</v>
      </c>
      <c r="D2247" s="241">
        <f>D2281+D2315</f>
        <v>0</v>
      </c>
    </row>
    <row r="2248" spans="1:4" ht="12" hidden="1" customHeight="1" outlineLevel="1" x14ac:dyDescent="0.3">
      <c r="A2248" s="238"/>
      <c r="B2248" s="242">
        <v>2100</v>
      </c>
      <c r="C2248" s="243" t="s">
        <v>203</v>
      </c>
      <c r="D2248" s="244">
        <f t="shared" ref="D2248:D2252" si="208">D2282+D2316</f>
        <v>0</v>
      </c>
    </row>
    <row r="2249" spans="1:4" ht="12" hidden="1" customHeight="1" outlineLevel="1" x14ac:dyDescent="0.3">
      <c r="A2249" s="238"/>
      <c r="B2249" s="242">
        <v>2200</v>
      </c>
      <c r="C2249" s="243" t="s">
        <v>204</v>
      </c>
      <c r="D2249" s="244">
        <f t="shared" si="208"/>
        <v>0</v>
      </c>
    </row>
    <row r="2250" spans="1:4" ht="12" hidden="1" customHeight="1" outlineLevel="1" x14ac:dyDescent="0.3">
      <c r="A2250" s="238"/>
      <c r="B2250" s="242">
        <v>2300</v>
      </c>
      <c r="C2250" s="243" t="s">
        <v>205</v>
      </c>
      <c r="D2250" s="244">
        <f t="shared" si="208"/>
        <v>0</v>
      </c>
    </row>
    <row r="2251" spans="1:4" ht="12" hidden="1" customHeight="1" outlineLevel="1" x14ac:dyDescent="0.3">
      <c r="A2251" s="238"/>
      <c r="B2251" s="242">
        <v>2400</v>
      </c>
      <c r="C2251" s="243" t="s">
        <v>206</v>
      </c>
      <c r="D2251" s="244">
        <f t="shared" si="208"/>
        <v>0</v>
      </c>
    </row>
    <row r="2252" spans="1:4" ht="12" hidden="1" customHeight="1" outlineLevel="1" x14ac:dyDescent="0.3">
      <c r="A2252" s="238"/>
      <c r="B2252" s="242">
        <v>2500</v>
      </c>
      <c r="C2252" s="243" t="s">
        <v>207</v>
      </c>
      <c r="D2252" s="244">
        <f t="shared" si="208"/>
        <v>0</v>
      </c>
    </row>
    <row r="2253" spans="1:4" ht="12.75" hidden="1" customHeight="1" outlineLevel="1" x14ac:dyDescent="0.3">
      <c r="A2253" s="238"/>
      <c r="B2253" s="199">
        <v>3000</v>
      </c>
      <c r="C2253" s="245" t="s">
        <v>208</v>
      </c>
      <c r="D2253" s="241">
        <f>D2287+D2321</f>
        <v>0</v>
      </c>
    </row>
    <row r="2254" spans="1:4" ht="12.75" hidden="1" customHeight="1" outlineLevel="1" x14ac:dyDescent="0.3">
      <c r="A2254" s="238"/>
      <c r="B2254" s="242">
        <v>3200</v>
      </c>
      <c r="C2254" s="243" t="s">
        <v>209</v>
      </c>
      <c r="D2254" s="244">
        <f t="shared" ref="D2254:D2255" si="209">D2288+D2322</f>
        <v>0</v>
      </c>
    </row>
    <row r="2255" spans="1:4" ht="12.75" hidden="1" customHeight="1" outlineLevel="1" x14ac:dyDescent="0.3">
      <c r="A2255" s="238"/>
      <c r="B2255" s="242">
        <v>3300</v>
      </c>
      <c r="C2255" s="243" t="s">
        <v>210</v>
      </c>
      <c r="D2255" s="244">
        <f t="shared" si="209"/>
        <v>0</v>
      </c>
    </row>
    <row r="2256" spans="1:4" ht="12" hidden="1" customHeight="1" outlineLevel="1" x14ac:dyDescent="0.3">
      <c r="A2256" s="238"/>
      <c r="B2256" s="199">
        <v>4000</v>
      </c>
      <c r="C2256" s="246" t="s">
        <v>211</v>
      </c>
      <c r="D2256" s="241">
        <f>D2290+D2324</f>
        <v>0</v>
      </c>
    </row>
    <row r="2257" spans="1:4" ht="12" hidden="1" customHeight="1" outlineLevel="1" x14ac:dyDescent="0.3">
      <c r="A2257" s="238"/>
      <c r="B2257" s="242">
        <v>4200</v>
      </c>
      <c r="C2257" s="247" t="s">
        <v>212</v>
      </c>
      <c r="D2257" s="244">
        <f t="shared" ref="D2257:D2258" si="210">D2291+D2325</f>
        <v>0</v>
      </c>
    </row>
    <row r="2258" spans="1:4" ht="12" hidden="1" customHeight="1" outlineLevel="1" x14ac:dyDescent="0.3">
      <c r="A2258" s="238"/>
      <c r="B2258" s="242">
        <v>4300</v>
      </c>
      <c r="C2258" s="247" t="s">
        <v>213</v>
      </c>
      <c r="D2258" s="244">
        <f t="shared" si="210"/>
        <v>0</v>
      </c>
    </row>
    <row r="2259" spans="1:4" ht="12" hidden="1" customHeight="1" outlineLevel="1" x14ac:dyDescent="0.3">
      <c r="A2259" s="238"/>
      <c r="B2259" s="199">
        <v>5000</v>
      </c>
      <c r="C2259" s="200" t="s">
        <v>214</v>
      </c>
      <c r="D2259" s="241">
        <f>D2293+D2327</f>
        <v>0</v>
      </c>
    </row>
    <row r="2260" spans="1:4" ht="12" hidden="1" customHeight="1" outlineLevel="1" x14ac:dyDescent="0.3">
      <c r="A2260" s="238"/>
      <c r="B2260" s="242">
        <v>5100</v>
      </c>
      <c r="C2260" s="248" t="s">
        <v>215</v>
      </c>
      <c r="D2260" s="244">
        <f t="shared" ref="D2260:D2262" si="211">D2294+D2328</f>
        <v>0</v>
      </c>
    </row>
    <row r="2261" spans="1:4" ht="12" hidden="1" customHeight="1" outlineLevel="1" x14ac:dyDescent="0.3">
      <c r="A2261" s="238"/>
      <c r="B2261" s="242">
        <v>5200</v>
      </c>
      <c r="C2261" s="248" t="s">
        <v>216</v>
      </c>
      <c r="D2261" s="244">
        <f t="shared" si="211"/>
        <v>0</v>
      </c>
    </row>
    <row r="2262" spans="1:4" ht="12" hidden="1" customHeight="1" outlineLevel="1" x14ac:dyDescent="0.3">
      <c r="A2262" s="238"/>
      <c r="B2262" s="242">
        <v>5300</v>
      </c>
      <c r="C2262" s="249" t="s">
        <v>217</v>
      </c>
      <c r="D2262" s="244">
        <f t="shared" si="211"/>
        <v>0</v>
      </c>
    </row>
    <row r="2263" spans="1:4" ht="12" hidden="1" customHeight="1" outlineLevel="1" x14ac:dyDescent="0.3">
      <c r="A2263" s="238"/>
      <c r="B2263" s="199">
        <v>6000</v>
      </c>
      <c r="C2263" s="200" t="s">
        <v>218</v>
      </c>
      <c r="D2263" s="241">
        <f>D2297+D2331</f>
        <v>0</v>
      </c>
    </row>
    <row r="2264" spans="1:4" ht="12" hidden="1" customHeight="1" outlineLevel="1" x14ac:dyDescent="0.3">
      <c r="A2264" s="238"/>
      <c r="B2264" s="242">
        <v>6200</v>
      </c>
      <c r="C2264" s="248" t="s">
        <v>219</v>
      </c>
      <c r="D2264" s="244">
        <f t="shared" ref="D2264:D2267" si="212">D2298+D2332</f>
        <v>0</v>
      </c>
    </row>
    <row r="2265" spans="1:4" ht="12" hidden="1" customHeight="1" outlineLevel="1" x14ac:dyDescent="0.3">
      <c r="A2265" s="238"/>
      <c r="B2265" s="242">
        <v>6300</v>
      </c>
      <c r="C2265" s="248" t="s">
        <v>220</v>
      </c>
      <c r="D2265" s="244">
        <f t="shared" si="212"/>
        <v>0</v>
      </c>
    </row>
    <row r="2266" spans="1:4" ht="12" hidden="1" customHeight="1" outlineLevel="1" x14ac:dyDescent="0.3">
      <c r="A2266" s="238"/>
      <c r="B2266" s="242">
        <v>6400</v>
      </c>
      <c r="C2266" s="248" t="s">
        <v>221</v>
      </c>
      <c r="D2266" s="244">
        <f t="shared" si="212"/>
        <v>0</v>
      </c>
    </row>
    <row r="2267" spans="1:4" ht="12" hidden="1" customHeight="1" outlineLevel="1" x14ac:dyDescent="0.3">
      <c r="A2267" s="238"/>
      <c r="B2267" s="242">
        <v>6500</v>
      </c>
      <c r="C2267" s="249" t="s">
        <v>222</v>
      </c>
      <c r="D2267" s="244">
        <f t="shared" si="212"/>
        <v>0</v>
      </c>
    </row>
    <row r="2268" spans="1:4" ht="12" hidden="1" customHeight="1" outlineLevel="1" x14ac:dyDescent="0.3">
      <c r="A2268" s="238"/>
      <c r="B2268" s="199">
        <v>7000</v>
      </c>
      <c r="C2268" s="200" t="s">
        <v>223</v>
      </c>
      <c r="D2268" s="241">
        <f>D2302+D2336</f>
        <v>0</v>
      </c>
    </row>
    <row r="2269" spans="1:4" ht="12" hidden="1" customHeight="1" outlineLevel="1" x14ac:dyDescent="0.3">
      <c r="A2269" s="238"/>
      <c r="B2269" s="250">
        <v>7200</v>
      </c>
      <c r="C2269" s="251" t="s">
        <v>224</v>
      </c>
      <c r="D2269" s="244">
        <f t="shared" ref="D2269:D2271" si="213">D2303+D2337</f>
        <v>0</v>
      </c>
    </row>
    <row r="2270" spans="1:4" ht="12" hidden="1" customHeight="1" outlineLevel="1" x14ac:dyDescent="0.3">
      <c r="A2270" s="238"/>
      <c r="B2270" s="250">
        <v>7500</v>
      </c>
      <c r="C2270" s="251" t="s">
        <v>225</v>
      </c>
      <c r="D2270" s="244">
        <f t="shared" si="213"/>
        <v>0</v>
      </c>
    </row>
    <row r="2271" spans="1:4" ht="12" hidden="1" customHeight="1" outlineLevel="1" x14ac:dyDescent="0.3">
      <c r="A2271" s="238"/>
      <c r="B2271" s="250">
        <v>7700</v>
      </c>
      <c r="C2271" s="251" t="s">
        <v>226</v>
      </c>
      <c r="D2271" s="244">
        <f t="shared" si="213"/>
        <v>0</v>
      </c>
    </row>
    <row r="2272" spans="1:4" ht="12" hidden="1" customHeight="1" outlineLevel="1" x14ac:dyDescent="0.3">
      <c r="A2272" s="238"/>
      <c r="B2272" s="252">
        <v>8000</v>
      </c>
      <c r="C2272" s="253" t="s">
        <v>227</v>
      </c>
      <c r="D2272" s="241">
        <f>D2306+D2340</f>
        <v>0</v>
      </c>
    </row>
    <row r="2273" spans="1:4" ht="12" hidden="1" customHeight="1" outlineLevel="1" x14ac:dyDescent="0.3">
      <c r="A2273" s="238"/>
      <c r="B2273" s="254">
        <v>8100</v>
      </c>
      <c r="C2273" s="255" t="s">
        <v>228</v>
      </c>
      <c r="D2273" s="244">
        <f t="shared" ref="D2273:D2275" si="214">D2307+D2341</f>
        <v>0</v>
      </c>
    </row>
    <row r="2274" spans="1:4" ht="12" hidden="1" customHeight="1" outlineLevel="1" x14ac:dyDescent="0.3">
      <c r="A2274" s="238"/>
      <c r="B2274" s="254">
        <v>8600</v>
      </c>
      <c r="C2274" s="255" t="s">
        <v>229</v>
      </c>
      <c r="D2274" s="244">
        <f t="shared" si="214"/>
        <v>0</v>
      </c>
    </row>
    <row r="2275" spans="1:4" ht="12" hidden="1" customHeight="1" outlineLevel="1" x14ac:dyDescent="0.3">
      <c r="A2275" s="238"/>
      <c r="B2275" s="254">
        <v>8900</v>
      </c>
      <c r="C2275" s="255" t="s">
        <v>230</v>
      </c>
      <c r="D2275" s="244">
        <f t="shared" si="214"/>
        <v>0</v>
      </c>
    </row>
    <row r="2276" spans="1:4" ht="12" hidden="1" customHeight="1" outlineLevel="1" x14ac:dyDescent="0.3">
      <c r="A2276" s="272" t="s">
        <v>358</v>
      </c>
      <c r="B2276" s="273"/>
      <c r="C2276" s="274" t="s">
        <v>359</v>
      </c>
      <c r="D2276" s="275">
        <f t="shared" ref="D2276" si="215">D2277+D2293+D2306</f>
        <v>0</v>
      </c>
    </row>
    <row r="2277" spans="1:4" ht="12" hidden="1" customHeight="1" outlineLevel="1" x14ac:dyDescent="0.3">
      <c r="A2277" s="227"/>
      <c r="B2277" s="228"/>
      <c r="C2277" s="229" t="s">
        <v>198</v>
      </c>
      <c r="D2277" s="230">
        <f t="shared" ref="D2277" si="216">D2278+D2281+D2287+D2290+D2297+D2302</f>
        <v>0</v>
      </c>
    </row>
    <row r="2278" spans="1:4" ht="12" hidden="1" customHeight="1" outlineLevel="1" x14ac:dyDescent="0.3">
      <c r="A2278" s="227"/>
      <c r="B2278" s="231">
        <v>1000</v>
      </c>
      <c r="C2278" s="232" t="s">
        <v>199</v>
      </c>
      <c r="D2278" s="230">
        <f>SUM(D2279:D2280)</f>
        <v>0</v>
      </c>
    </row>
    <row r="2279" spans="1:4" ht="12" hidden="1" customHeight="1" outlineLevel="1" x14ac:dyDescent="0.3">
      <c r="A2279" s="227"/>
      <c r="B2279" s="234">
        <v>1100</v>
      </c>
      <c r="C2279" s="235" t="s">
        <v>200</v>
      </c>
      <c r="D2279" s="236"/>
    </row>
    <row r="2280" spans="1:4" ht="12" hidden="1" customHeight="1" outlineLevel="1" x14ac:dyDescent="0.3">
      <c r="A2280" s="227"/>
      <c r="B2280" s="234">
        <v>1200</v>
      </c>
      <c r="C2280" s="237" t="s">
        <v>201</v>
      </c>
      <c r="D2280" s="236"/>
    </row>
    <row r="2281" spans="1:4" ht="12" hidden="1" customHeight="1" outlineLevel="1" x14ac:dyDescent="0.3">
      <c r="A2281" s="238"/>
      <c r="B2281" s="239">
        <v>2000</v>
      </c>
      <c r="C2281" s="240" t="s">
        <v>202</v>
      </c>
      <c r="D2281" s="260">
        <f>SUM(D2282:D2286)</f>
        <v>0</v>
      </c>
    </row>
    <row r="2282" spans="1:4" ht="12" hidden="1" customHeight="1" outlineLevel="1" x14ac:dyDescent="0.3">
      <c r="A2282" s="238"/>
      <c r="B2282" s="242">
        <v>2100</v>
      </c>
      <c r="C2282" s="243" t="s">
        <v>203</v>
      </c>
      <c r="D2282" s="244"/>
    </row>
    <row r="2283" spans="1:4" ht="12" hidden="1" customHeight="1" outlineLevel="1" x14ac:dyDescent="0.3">
      <c r="A2283" s="238"/>
      <c r="B2283" s="242">
        <v>2200</v>
      </c>
      <c r="C2283" s="243" t="s">
        <v>204</v>
      </c>
      <c r="D2283" s="244"/>
    </row>
    <row r="2284" spans="1:4" ht="12" hidden="1" customHeight="1" outlineLevel="1" x14ac:dyDescent="0.3">
      <c r="A2284" s="238"/>
      <c r="B2284" s="242">
        <v>2300</v>
      </c>
      <c r="C2284" s="243" t="s">
        <v>205</v>
      </c>
      <c r="D2284" s="244"/>
    </row>
    <row r="2285" spans="1:4" ht="12" hidden="1" customHeight="1" outlineLevel="1" x14ac:dyDescent="0.3">
      <c r="A2285" s="238"/>
      <c r="B2285" s="242">
        <v>2400</v>
      </c>
      <c r="C2285" s="243" t="s">
        <v>206</v>
      </c>
      <c r="D2285" s="244"/>
    </row>
    <row r="2286" spans="1:4" ht="12" hidden="1" customHeight="1" outlineLevel="1" x14ac:dyDescent="0.3">
      <c r="A2286" s="238"/>
      <c r="B2286" s="242">
        <v>2500</v>
      </c>
      <c r="C2286" s="243" t="s">
        <v>207</v>
      </c>
      <c r="D2286" s="244"/>
    </row>
    <row r="2287" spans="1:4" ht="12" hidden="1" customHeight="1" outlineLevel="1" x14ac:dyDescent="0.3">
      <c r="A2287" s="238"/>
      <c r="B2287" s="199">
        <v>3000</v>
      </c>
      <c r="C2287" s="245" t="s">
        <v>208</v>
      </c>
      <c r="D2287" s="260">
        <f>SUM(D2288:D2289)</f>
        <v>0</v>
      </c>
    </row>
    <row r="2288" spans="1:4" ht="12" hidden="1" customHeight="1" outlineLevel="1" x14ac:dyDescent="0.3">
      <c r="A2288" s="238"/>
      <c r="B2288" s="242">
        <v>3200</v>
      </c>
      <c r="C2288" s="243" t="s">
        <v>209</v>
      </c>
      <c r="D2288" s="244"/>
    </row>
    <row r="2289" spans="1:4" ht="12" hidden="1" customHeight="1" outlineLevel="1" x14ac:dyDescent="0.3">
      <c r="A2289" s="238"/>
      <c r="B2289" s="242">
        <v>3300</v>
      </c>
      <c r="C2289" s="243" t="s">
        <v>210</v>
      </c>
      <c r="D2289" s="244"/>
    </row>
    <row r="2290" spans="1:4" ht="12" hidden="1" customHeight="1" outlineLevel="1" x14ac:dyDescent="0.3">
      <c r="A2290" s="238"/>
      <c r="B2290" s="199">
        <v>4000</v>
      </c>
      <c r="C2290" s="246" t="s">
        <v>211</v>
      </c>
      <c r="D2290" s="260">
        <f>SUM(D2291:D2292)</f>
        <v>0</v>
      </c>
    </row>
    <row r="2291" spans="1:4" ht="12" hidden="1" customHeight="1" outlineLevel="1" x14ac:dyDescent="0.3">
      <c r="A2291" s="238"/>
      <c r="B2291" s="242">
        <v>4200</v>
      </c>
      <c r="C2291" s="247" t="s">
        <v>212</v>
      </c>
      <c r="D2291" s="244"/>
    </row>
    <row r="2292" spans="1:4" ht="12" hidden="1" customHeight="1" outlineLevel="1" x14ac:dyDescent="0.3">
      <c r="A2292" s="238"/>
      <c r="B2292" s="242">
        <v>4300</v>
      </c>
      <c r="C2292" s="247" t="s">
        <v>213</v>
      </c>
      <c r="D2292" s="244"/>
    </row>
    <row r="2293" spans="1:4" ht="12" hidden="1" customHeight="1" outlineLevel="1" x14ac:dyDescent="0.3">
      <c r="A2293" s="238"/>
      <c r="B2293" s="199">
        <v>5000</v>
      </c>
      <c r="C2293" s="200" t="s">
        <v>214</v>
      </c>
      <c r="D2293" s="260">
        <f>SUM(D2294:D2296)</f>
        <v>0</v>
      </c>
    </row>
    <row r="2294" spans="1:4" ht="12" hidden="1" customHeight="1" outlineLevel="1" x14ac:dyDescent="0.3">
      <c r="A2294" s="238"/>
      <c r="B2294" s="242">
        <v>5100</v>
      </c>
      <c r="C2294" s="248" t="s">
        <v>215</v>
      </c>
      <c r="D2294" s="260"/>
    </row>
    <row r="2295" spans="1:4" ht="12" hidden="1" customHeight="1" outlineLevel="1" x14ac:dyDescent="0.3">
      <c r="A2295" s="238"/>
      <c r="B2295" s="242">
        <v>5200</v>
      </c>
      <c r="C2295" s="248" t="s">
        <v>216</v>
      </c>
      <c r="D2295" s="260"/>
    </row>
    <row r="2296" spans="1:4" ht="12" hidden="1" customHeight="1" outlineLevel="1" x14ac:dyDescent="0.3">
      <c r="A2296" s="238"/>
      <c r="B2296" s="242">
        <v>5300</v>
      </c>
      <c r="C2296" s="249" t="s">
        <v>217</v>
      </c>
      <c r="D2296" s="260"/>
    </row>
    <row r="2297" spans="1:4" ht="12" hidden="1" customHeight="1" outlineLevel="1" x14ac:dyDescent="0.3">
      <c r="A2297" s="238"/>
      <c r="B2297" s="199">
        <v>6000</v>
      </c>
      <c r="C2297" s="200" t="s">
        <v>218</v>
      </c>
      <c r="D2297" s="260">
        <f>SUM(D2298:D2301)</f>
        <v>0</v>
      </c>
    </row>
    <row r="2298" spans="1:4" ht="12" hidden="1" customHeight="1" outlineLevel="1" x14ac:dyDescent="0.3">
      <c r="A2298" s="238"/>
      <c r="B2298" s="242">
        <v>6200</v>
      </c>
      <c r="C2298" s="248" t="s">
        <v>219</v>
      </c>
      <c r="D2298" s="244"/>
    </row>
    <row r="2299" spans="1:4" ht="12" hidden="1" customHeight="1" outlineLevel="1" x14ac:dyDescent="0.3">
      <c r="A2299" s="238"/>
      <c r="B2299" s="242">
        <v>6300</v>
      </c>
      <c r="C2299" s="248" t="s">
        <v>220</v>
      </c>
      <c r="D2299" s="244"/>
    </row>
    <row r="2300" spans="1:4" ht="12" hidden="1" customHeight="1" outlineLevel="1" x14ac:dyDescent="0.3">
      <c r="A2300" s="238"/>
      <c r="B2300" s="242">
        <v>6400</v>
      </c>
      <c r="C2300" s="248" t="s">
        <v>221</v>
      </c>
      <c r="D2300" s="244"/>
    </row>
    <row r="2301" spans="1:4" ht="12" hidden="1" customHeight="1" outlineLevel="1" x14ac:dyDescent="0.3">
      <c r="A2301" s="238"/>
      <c r="B2301" s="242">
        <v>6500</v>
      </c>
      <c r="C2301" s="249" t="s">
        <v>222</v>
      </c>
      <c r="D2301" s="244"/>
    </row>
    <row r="2302" spans="1:4" ht="12" hidden="1" customHeight="1" outlineLevel="1" x14ac:dyDescent="0.3">
      <c r="A2302" s="238"/>
      <c r="B2302" s="199">
        <v>7000</v>
      </c>
      <c r="C2302" s="200" t="s">
        <v>223</v>
      </c>
      <c r="D2302" s="260">
        <f>SUM(D2303:D2305)</f>
        <v>0</v>
      </c>
    </row>
    <row r="2303" spans="1:4" ht="12" hidden="1" customHeight="1" outlineLevel="1" x14ac:dyDescent="0.3">
      <c r="A2303" s="238"/>
      <c r="B2303" s="250">
        <v>7200</v>
      </c>
      <c r="C2303" s="251" t="s">
        <v>224</v>
      </c>
      <c r="D2303" s="244"/>
    </row>
    <row r="2304" spans="1:4" ht="12" hidden="1" customHeight="1" outlineLevel="1" x14ac:dyDescent="0.3">
      <c r="A2304" s="238"/>
      <c r="B2304" s="250">
        <v>7500</v>
      </c>
      <c r="C2304" s="251" t="s">
        <v>225</v>
      </c>
      <c r="D2304" s="244"/>
    </row>
    <row r="2305" spans="1:4" ht="12" hidden="1" customHeight="1" outlineLevel="1" x14ac:dyDescent="0.3">
      <c r="A2305" s="238"/>
      <c r="B2305" s="250">
        <v>7700</v>
      </c>
      <c r="C2305" s="251" t="s">
        <v>226</v>
      </c>
      <c r="D2305" s="244"/>
    </row>
    <row r="2306" spans="1:4" ht="12" hidden="1" customHeight="1" outlineLevel="1" x14ac:dyDescent="0.3">
      <c r="A2306" s="238"/>
      <c r="B2306" s="252">
        <v>8000</v>
      </c>
      <c r="C2306" s="253" t="s">
        <v>227</v>
      </c>
      <c r="D2306" s="260">
        <f>SUM(D2307:D2309)</f>
        <v>0</v>
      </c>
    </row>
    <row r="2307" spans="1:4" ht="12" hidden="1" customHeight="1" outlineLevel="1" x14ac:dyDescent="0.3">
      <c r="A2307" s="238"/>
      <c r="B2307" s="254">
        <v>8100</v>
      </c>
      <c r="C2307" s="255" t="s">
        <v>228</v>
      </c>
      <c r="D2307" s="260"/>
    </row>
    <row r="2308" spans="1:4" ht="12" hidden="1" customHeight="1" outlineLevel="1" x14ac:dyDescent="0.3">
      <c r="A2308" s="238"/>
      <c r="B2308" s="254">
        <v>8600</v>
      </c>
      <c r="C2308" s="255" t="s">
        <v>229</v>
      </c>
      <c r="D2308" s="260"/>
    </row>
    <row r="2309" spans="1:4" ht="12" hidden="1" customHeight="1" outlineLevel="1" x14ac:dyDescent="0.3">
      <c r="A2309" s="238"/>
      <c r="B2309" s="254">
        <v>8900</v>
      </c>
      <c r="C2309" s="255" t="s">
        <v>230</v>
      </c>
      <c r="D2309" s="260"/>
    </row>
    <row r="2310" spans="1:4" ht="12" hidden="1" customHeight="1" outlineLevel="1" x14ac:dyDescent="0.3">
      <c r="A2310" s="272" t="s">
        <v>360</v>
      </c>
      <c r="B2310" s="273"/>
      <c r="C2310" s="274" t="s">
        <v>361</v>
      </c>
      <c r="D2310" s="275">
        <f t="shared" ref="D2310" si="217">D2311+D2327+D2340</f>
        <v>0</v>
      </c>
    </row>
    <row r="2311" spans="1:4" ht="12" hidden="1" customHeight="1" outlineLevel="1" x14ac:dyDescent="0.3">
      <c r="A2311" s="227"/>
      <c r="B2311" s="228"/>
      <c r="C2311" s="229" t="s">
        <v>198</v>
      </c>
      <c r="D2311" s="230">
        <f t="shared" ref="D2311" si="218">D2312+D2315+D2321+D2324+D2331+D2336</f>
        <v>0</v>
      </c>
    </row>
    <row r="2312" spans="1:4" ht="12" hidden="1" customHeight="1" outlineLevel="1" x14ac:dyDescent="0.3">
      <c r="A2312" s="227"/>
      <c r="B2312" s="231">
        <v>1000</v>
      </c>
      <c r="C2312" s="232" t="s">
        <v>199</v>
      </c>
      <c r="D2312" s="230">
        <f>SUM(D2313:D2314)</f>
        <v>0</v>
      </c>
    </row>
    <row r="2313" spans="1:4" ht="12" hidden="1" customHeight="1" outlineLevel="1" x14ac:dyDescent="0.3">
      <c r="A2313" s="227"/>
      <c r="B2313" s="234">
        <v>1100</v>
      </c>
      <c r="C2313" s="235" t="s">
        <v>200</v>
      </c>
      <c r="D2313" s="236"/>
    </row>
    <row r="2314" spans="1:4" ht="12" hidden="1" customHeight="1" outlineLevel="1" x14ac:dyDescent="0.3">
      <c r="A2314" s="227"/>
      <c r="B2314" s="234">
        <v>1200</v>
      </c>
      <c r="C2314" s="237" t="s">
        <v>201</v>
      </c>
      <c r="D2314" s="236"/>
    </row>
    <row r="2315" spans="1:4" ht="12" hidden="1" customHeight="1" outlineLevel="1" x14ac:dyDescent="0.3">
      <c r="A2315" s="238"/>
      <c r="B2315" s="239">
        <v>2000</v>
      </c>
      <c r="C2315" s="240" t="s">
        <v>202</v>
      </c>
      <c r="D2315" s="260">
        <f>SUM(D2316:D2320)</f>
        <v>0</v>
      </c>
    </row>
    <row r="2316" spans="1:4" ht="12" hidden="1" customHeight="1" outlineLevel="1" x14ac:dyDescent="0.3">
      <c r="A2316" s="238"/>
      <c r="B2316" s="242">
        <v>2100</v>
      </c>
      <c r="C2316" s="243" t="s">
        <v>203</v>
      </c>
      <c r="D2316" s="244"/>
    </row>
    <row r="2317" spans="1:4" ht="12" hidden="1" customHeight="1" outlineLevel="1" x14ac:dyDescent="0.3">
      <c r="A2317" s="238"/>
      <c r="B2317" s="242">
        <v>2200</v>
      </c>
      <c r="C2317" s="243" t="s">
        <v>204</v>
      </c>
      <c r="D2317" s="244"/>
    </row>
    <row r="2318" spans="1:4" ht="12" hidden="1" customHeight="1" outlineLevel="1" x14ac:dyDescent="0.3">
      <c r="A2318" s="238"/>
      <c r="B2318" s="242">
        <v>2300</v>
      </c>
      <c r="C2318" s="243" t="s">
        <v>205</v>
      </c>
      <c r="D2318" s="244"/>
    </row>
    <row r="2319" spans="1:4" ht="12" hidden="1" customHeight="1" outlineLevel="1" x14ac:dyDescent="0.3">
      <c r="A2319" s="238"/>
      <c r="B2319" s="242">
        <v>2400</v>
      </c>
      <c r="C2319" s="243" t="s">
        <v>206</v>
      </c>
      <c r="D2319" s="244"/>
    </row>
    <row r="2320" spans="1:4" ht="12" hidden="1" customHeight="1" outlineLevel="1" x14ac:dyDescent="0.3">
      <c r="A2320" s="238"/>
      <c r="B2320" s="242">
        <v>2500</v>
      </c>
      <c r="C2320" s="243" t="s">
        <v>207</v>
      </c>
      <c r="D2320" s="244"/>
    </row>
    <row r="2321" spans="1:4" ht="12" hidden="1" customHeight="1" outlineLevel="1" x14ac:dyDescent="0.3">
      <c r="A2321" s="238"/>
      <c r="B2321" s="199">
        <v>3000</v>
      </c>
      <c r="C2321" s="245" t="s">
        <v>208</v>
      </c>
      <c r="D2321" s="260">
        <f>SUM(D2322:D2323)</f>
        <v>0</v>
      </c>
    </row>
    <row r="2322" spans="1:4" ht="12" hidden="1" customHeight="1" outlineLevel="1" x14ac:dyDescent="0.3">
      <c r="A2322" s="238"/>
      <c r="B2322" s="242">
        <v>3200</v>
      </c>
      <c r="C2322" s="243" t="s">
        <v>209</v>
      </c>
      <c r="D2322" s="244"/>
    </row>
    <row r="2323" spans="1:4" ht="12" hidden="1" customHeight="1" outlineLevel="1" x14ac:dyDescent="0.3">
      <c r="A2323" s="238"/>
      <c r="B2323" s="242">
        <v>3300</v>
      </c>
      <c r="C2323" s="243" t="s">
        <v>210</v>
      </c>
      <c r="D2323" s="244"/>
    </row>
    <row r="2324" spans="1:4" ht="12" hidden="1" customHeight="1" outlineLevel="1" x14ac:dyDescent="0.3">
      <c r="A2324" s="238"/>
      <c r="B2324" s="199">
        <v>4000</v>
      </c>
      <c r="C2324" s="246" t="s">
        <v>211</v>
      </c>
      <c r="D2324" s="260">
        <f>SUM(D2325:D2326)</f>
        <v>0</v>
      </c>
    </row>
    <row r="2325" spans="1:4" ht="12" hidden="1" customHeight="1" outlineLevel="1" x14ac:dyDescent="0.3">
      <c r="A2325" s="238"/>
      <c r="B2325" s="242">
        <v>4200</v>
      </c>
      <c r="C2325" s="247" t="s">
        <v>212</v>
      </c>
      <c r="D2325" s="244"/>
    </row>
    <row r="2326" spans="1:4" ht="12" hidden="1" customHeight="1" outlineLevel="1" x14ac:dyDescent="0.3">
      <c r="A2326" s="238"/>
      <c r="B2326" s="242">
        <v>4300</v>
      </c>
      <c r="C2326" s="247" t="s">
        <v>213</v>
      </c>
      <c r="D2326" s="244"/>
    </row>
    <row r="2327" spans="1:4" ht="12" hidden="1" customHeight="1" outlineLevel="1" x14ac:dyDescent="0.3">
      <c r="A2327" s="238"/>
      <c r="B2327" s="199">
        <v>5000</v>
      </c>
      <c r="C2327" s="200" t="s">
        <v>214</v>
      </c>
      <c r="D2327" s="260">
        <f>SUM(D2328:D2330)</f>
        <v>0</v>
      </c>
    </row>
    <row r="2328" spans="1:4" ht="12" hidden="1" customHeight="1" outlineLevel="1" x14ac:dyDescent="0.3">
      <c r="A2328" s="238"/>
      <c r="B2328" s="242">
        <v>5100</v>
      </c>
      <c r="C2328" s="248" t="s">
        <v>215</v>
      </c>
      <c r="D2328" s="260"/>
    </row>
    <row r="2329" spans="1:4" ht="12" hidden="1" customHeight="1" outlineLevel="1" x14ac:dyDescent="0.3">
      <c r="A2329" s="238"/>
      <c r="B2329" s="242">
        <v>5200</v>
      </c>
      <c r="C2329" s="248" t="s">
        <v>216</v>
      </c>
      <c r="D2329" s="260"/>
    </row>
    <row r="2330" spans="1:4" ht="12" hidden="1" customHeight="1" outlineLevel="1" x14ac:dyDescent="0.3">
      <c r="A2330" s="238"/>
      <c r="B2330" s="242">
        <v>5300</v>
      </c>
      <c r="C2330" s="249" t="s">
        <v>217</v>
      </c>
      <c r="D2330" s="260"/>
    </row>
    <row r="2331" spans="1:4" ht="12" hidden="1" customHeight="1" outlineLevel="1" x14ac:dyDescent="0.3">
      <c r="A2331" s="238"/>
      <c r="B2331" s="199">
        <v>6000</v>
      </c>
      <c r="C2331" s="200" t="s">
        <v>218</v>
      </c>
      <c r="D2331" s="260">
        <f>SUM(D2332:D2335)</f>
        <v>0</v>
      </c>
    </row>
    <row r="2332" spans="1:4" ht="12" hidden="1" customHeight="1" outlineLevel="1" x14ac:dyDescent="0.3">
      <c r="A2332" s="238"/>
      <c r="B2332" s="242">
        <v>6200</v>
      </c>
      <c r="C2332" s="248" t="s">
        <v>219</v>
      </c>
      <c r="D2332" s="244"/>
    </row>
    <row r="2333" spans="1:4" ht="12" hidden="1" customHeight="1" outlineLevel="1" x14ac:dyDescent="0.3">
      <c r="A2333" s="238"/>
      <c r="B2333" s="242">
        <v>6300</v>
      </c>
      <c r="C2333" s="248" t="s">
        <v>220</v>
      </c>
      <c r="D2333" s="244"/>
    </row>
    <row r="2334" spans="1:4" ht="12" hidden="1" customHeight="1" outlineLevel="1" x14ac:dyDescent="0.3">
      <c r="A2334" s="238"/>
      <c r="B2334" s="242">
        <v>6400</v>
      </c>
      <c r="C2334" s="248" t="s">
        <v>221</v>
      </c>
      <c r="D2334" s="244"/>
    </row>
    <row r="2335" spans="1:4" ht="12" hidden="1" customHeight="1" outlineLevel="1" x14ac:dyDescent="0.3">
      <c r="A2335" s="238"/>
      <c r="B2335" s="242">
        <v>6500</v>
      </c>
      <c r="C2335" s="249" t="s">
        <v>222</v>
      </c>
      <c r="D2335" s="244"/>
    </row>
    <row r="2336" spans="1:4" ht="12" hidden="1" customHeight="1" outlineLevel="1" x14ac:dyDescent="0.3">
      <c r="A2336" s="238"/>
      <c r="B2336" s="199">
        <v>7000</v>
      </c>
      <c r="C2336" s="200" t="s">
        <v>223</v>
      </c>
      <c r="D2336" s="260">
        <f>SUM(D2337:D2339)</f>
        <v>0</v>
      </c>
    </row>
    <row r="2337" spans="1:4" ht="12" hidden="1" customHeight="1" outlineLevel="1" x14ac:dyDescent="0.3">
      <c r="A2337" s="238"/>
      <c r="B2337" s="250">
        <v>7200</v>
      </c>
      <c r="C2337" s="251" t="s">
        <v>224</v>
      </c>
      <c r="D2337" s="244"/>
    </row>
    <row r="2338" spans="1:4" ht="12" hidden="1" customHeight="1" outlineLevel="1" x14ac:dyDescent="0.3">
      <c r="A2338" s="238"/>
      <c r="B2338" s="250">
        <v>7500</v>
      </c>
      <c r="C2338" s="251" t="s">
        <v>225</v>
      </c>
      <c r="D2338" s="244"/>
    </row>
    <row r="2339" spans="1:4" ht="12" hidden="1" customHeight="1" outlineLevel="1" x14ac:dyDescent="0.3">
      <c r="A2339" s="238"/>
      <c r="B2339" s="250">
        <v>7700</v>
      </c>
      <c r="C2339" s="251" t="s">
        <v>226</v>
      </c>
      <c r="D2339" s="244"/>
    </row>
    <row r="2340" spans="1:4" ht="12" hidden="1" customHeight="1" outlineLevel="1" x14ac:dyDescent="0.3">
      <c r="A2340" s="238"/>
      <c r="B2340" s="252">
        <v>8000</v>
      </c>
      <c r="C2340" s="253" t="s">
        <v>227</v>
      </c>
      <c r="D2340" s="260">
        <f>SUM(D2341:D2343)</f>
        <v>0</v>
      </c>
    </row>
    <row r="2341" spans="1:4" ht="12" hidden="1" customHeight="1" outlineLevel="1" x14ac:dyDescent="0.3">
      <c r="A2341" s="238"/>
      <c r="B2341" s="254">
        <v>8100</v>
      </c>
      <c r="C2341" s="255" t="s">
        <v>228</v>
      </c>
      <c r="D2341" s="260"/>
    </row>
    <row r="2342" spans="1:4" ht="12" hidden="1" customHeight="1" outlineLevel="1" x14ac:dyDescent="0.3">
      <c r="A2342" s="238"/>
      <c r="B2342" s="254">
        <v>8600</v>
      </c>
      <c r="C2342" s="255" t="s">
        <v>229</v>
      </c>
      <c r="D2342" s="260"/>
    </row>
    <row r="2343" spans="1:4" ht="12" hidden="1" customHeight="1" outlineLevel="1" x14ac:dyDescent="0.3">
      <c r="A2343" s="238"/>
      <c r="B2343" s="254">
        <v>8900</v>
      </c>
      <c r="C2343" s="255" t="s">
        <v>230</v>
      </c>
      <c r="D2343" s="260"/>
    </row>
    <row r="2344" spans="1:4" ht="17.100000000000001" customHeight="1" collapsed="1" x14ac:dyDescent="0.3">
      <c r="A2344" s="278" t="s">
        <v>362</v>
      </c>
      <c r="B2344" s="279"/>
      <c r="C2344" s="280" t="s">
        <v>363</v>
      </c>
      <c r="D2344" s="226">
        <f t="shared" ref="D2344" si="219">D2345+D2361+D2374</f>
        <v>136044</v>
      </c>
    </row>
    <row r="2345" spans="1:4" ht="12" customHeight="1" x14ac:dyDescent="0.3">
      <c r="A2345" s="227"/>
      <c r="B2345" s="228"/>
      <c r="C2345" s="229" t="s">
        <v>198</v>
      </c>
      <c r="D2345" s="230">
        <f t="shared" ref="D2345" si="220">D2346+D2349+D2355+D2358+D2365+D2370</f>
        <v>136044</v>
      </c>
    </row>
    <row r="2346" spans="1:4" ht="12" hidden="1" customHeight="1" outlineLevel="1" x14ac:dyDescent="0.3">
      <c r="A2346" s="227"/>
      <c r="B2346" s="231">
        <v>1000</v>
      </c>
      <c r="C2346" s="232" t="s">
        <v>199</v>
      </c>
      <c r="D2346" s="233">
        <f>D2380+D2414+D2448+D2482+D2516+D2550</f>
        <v>0</v>
      </c>
    </row>
    <row r="2347" spans="1:4" ht="12" hidden="1" customHeight="1" outlineLevel="1" x14ac:dyDescent="0.3">
      <c r="A2347" s="227"/>
      <c r="B2347" s="234">
        <v>1100</v>
      </c>
      <c r="C2347" s="235" t="s">
        <v>200</v>
      </c>
      <c r="D2347" s="236">
        <f t="shared" ref="D2347:D2348" si="221">D2381+D2415+D2449+D2483+D2517+D2551</f>
        <v>0</v>
      </c>
    </row>
    <row r="2348" spans="1:4" ht="12" hidden="1" customHeight="1" outlineLevel="1" x14ac:dyDescent="0.3">
      <c r="A2348" s="227"/>
      <c r="B2348" s="234">
        <v>1200</v>
      </c>
      <c r="C2348" s="237" t="s">
        <v>201</v>
      </c>
      <c r="D2348" s="236">
        <f t="shared" si="221"/>
        <v>0</v>
      </c>
    </row>
    <row r="2349" spans="1:4" ht="12" hidden="1" customHeight="1" outlineLevel="1" collapsed="1" x14ac:dyDescent="0.3">
      <c r="A2349" s="238"/>
      <c r="B2349" s="239">
        <v>2000</v>
      </c>
      <c r="C2349" s="240" t="s">
        <v>202</v>
      </c>
      <c r="D2349" s="241">
        <f>D2383+D2417+D2451+D2485+D2519+D2553</f>
        <v>0</v>
      </c>
    </row>
    <row r="2350" spans="1:4" ht="12" hidden="1" customHeight="1" outlineLevel="1" x14ac:dyDescent="0.3">
      <c r="A2350" s="238"/>
      <c r="B2350" s="242">
        <v>2100</v>
      </c>
      <c r="C2350" s="243" t="s">
        <v>203</v>
      </c>
      <c r="D2350" s="244">
        <f t="shared" ref="D2350:D2354" si="222">D2384+D2418+D2452+D2486+D2520+D2554</f>
        <v>0</v>
      </c>
    </row>
    <row r="2351" spans="1:4" ht="12" hidden="1" customHeight="1" outlineLevel="1" x14ac:dyDescent="0.3">
      <c r="A2351" s="238"/>
      <c r="B2351" s="242">
        <v>2200</v>
      </c>
      <c r="C2351" s="243" t="s">
        <v>204</v>
      </c>
      <c r="D2351" s="244">
        <f t="shared" si="222"/>
        <v>0</v>
      </c>
    </row>
    <row r="2352" spans="1:4" ht="12" hidden="1" customHeight="1" outlineLevel="1" x14ac:dyDescent="0.3">
      <c r="A2352" s="238"/>
      <c r="B2352" s="242">
        <v>2300</v>
      </c>
      <c r="C2352" s="243" t="s">
        <v>205</v>
      </c>
      <c r="D2352" s="244">
        <f t="shared" si="222"/>
        <v>0</v>
      </c>
    </row>
    <row r="2353" spans="1:4" ht="12" hidden="1" customHeight="1" outlineLevel="1" x14ac:dyDescent="0.3">
      <c r="A2353" s="238"/>
      <c r="B2353" s="242">
        <v>2400</v>
      </c>
      <c r="C2353" s="243" t="s">
        <v>206</v>
      </c>
      <c r="D2353" s="244">
        <f t="shared" si="222"/>
        <v>0</v>
      </c>
    </row>
    <row r="2354" spans="1:4" ht="12" hidden="1" customHeight="1" outlineLevel="1" x14ac:dyDescent="0.3">
      <c r="A2354" s="238"/>
      <c r="B2354" s="242">
        <v>2500</v>
      </c>
      <c r="C2354" s="243" t="s">
        <v>207</v>
      </c>
      <c r="D2354" s="244">
        <f t="shared" si="222"/>
        <v>0</v>
      </c>
    </row>
    <row r="2355" spans="1:4" ht="12" hidden="1" customHeight="1" outlineLevel="1" collapsed="1" x14ac:dyDescent="0.3">
      <c r="A2355" s="238"/>
      <c r="B2355" s="199">
        <v>3000</v>
      </c>
      <c r="C2355" s="245" t="s">
        <v>208</v>
      </c>
      <c r="D2355" s="241">
        <f>D2389+D2423+D2457+D2491+D2525+D2559</f>
        <v>0</v>
      </c>
    </row>
    <row r="2356" spans="1:4" ht="12" hidden="1" customHeight="1" outlineLevel="1" x14ac:dyDescent="0.3">
      <c r="A2356" s="238"/>
      <c r="B2356" s="242">
        <v>3200</v>
      </c>
      <c r="C2356" s="243" t="s">
        <v>209</v>
      </c>
      <c r="D2356" s="244">
        <f t="shared" ref="D2356:D2357" si="223">D2390+D2424+D2458+D2492+D2526+D2560</f>
        <v>0</v>
      </c>
    </row>
    <row r="2357" spans="1:4" ht="12" hidden="1" customHeight="1" outlineLevel="1" x14ac:dyDescent="0.3">
      <c r="A2357" s="238"/>
      <c r="B2357" s="242">
        <v>3300</v>
      </c>
      <c r="C2357" s="243" t="s">
        <v>210</v>
      </c>
      <c r="D2357" s="244">
        <f t="shared" si="223"/>
        <v>0</v>
      </c>
    </row>
    <row r="2358" spans="1:4" ht="12" hidden="1" customHeight="1" outlineLevel="1" x14ac:dyDescent="0.3">
      <c r="A2358" s="238"/>
      <c r="B2358" s="199">
        <v>4000</v>
      </c>
      <c r="C2358" s="246" t="s">
        <v>211</v>
      </c>
      <c r="D2358" s="241">
        <f>D2392+D2426+D2460+D2494+D2528+D2562</f>
        <v>0</v>
      </c>
    </row>
    <row r="2359" spans="1:4" ht="12" hidden="1" customHeight="1" outlineLevel="1" x14ac:dyDescent="0.3">
      <c r="A2359" s="238"/>
      <c r="B2359" s="242">
        <v>4200</v>
      </c>
      <c r="C2359" s="247" t="s">
        <v>212</v>
      </c>
      <c r="D2359" s="244">
        <f t="shared" ref="D2359:D2360" si="224">D2393+D2427+D2461+D2495+D2529+D2563</f>
        <v>0</v>
      </c>
    </row>
    <row r="2360" spans="1:4" ht="12" hidden="1" customHeight="1" outlineLevel="1" x14ac:dyDescent="0.3">
      <c r="A2360" s="238"/>
      <c r="B2360" s="242">
        <v>4300</v>
      </c>
      <c r="C2360" s="247" t="s">
        <v>213</v>
      </c>
      <c r="D2360" s="244">
        <f t="shared" si="224"/>
        <v>0</v>
      </c>
    </row>
    <row r="2361" spans="1:4" ht="12" hidden="1" customHeight="1" outlineLevel="1" x14ac:dyDescent="0.3">
      <c r="A2361" s="238"/>
      <c r="B2361" s="199">
        <v>5000</v>
      </c>
      <c r="C2361" s="200" t="s">
        <v>214</v>
      </c>
      <c r="D2361" s="241">
        <f>D2395+D2429+D2463+D2497+D2531+D2565</f>
        <v>0</v>
      </c>
    </row>
    <row r="2362" spans="1:4" ht="12" hidden="1" customHeight="1" outlineLevel="1" x14ac:dyDescent="0.3">
      <c r="A2362" s="238"/>
      <c r="B2362" s="242">
        <v>5100</v>
      </c>
      <c r="C2362" s="248" t="s">
        <v>215</v>
      </c>
      <c r="D2362" s="244">
        <f t="shared" ref="D2362:D2364" si="225">D2396+D2430+D2464+D2498+D2532+D2566</f>
        <v>0</v>
      </c>
    </row>
    <row r="2363" spans="1:4" ht="12" hidden="1" customHeight="1" outlineLevel="1" x14ac:dyDescent="0.3">
      <c r="A2363" s="238"/>
      <c r="B2363" s="242">
        <v>5200</v>
      </c>
      <c r="C2363" s="248" t="s">
        <v>216</v>
      </c>
      <c r="D2363" s="244">
        <f t="shared" si="225"/>
        <v>0</v>
      </c>
    </row>
    <row r="2364" spans="1:4" ht="12" hidden="1" customHeight="1" outlineLevel="1" x14ac:dyDescent="0.3">
      <c r="A2364" s="238"/>
      <c r="B2364" s="242">
        <v>5300</v>
      </c>
      <c r="C2364" s="249" t="s">
        <v>217</v>
      </c>
      <c r="D2364" s="244">
        <f t="shared" si="225"/>
        <v>0</v>
      </c>
    </row>
    <row r="2365" spans="1:4" ht="12" customHeight="1" collapsed="1" x14ac:dyDescent="0.3">
      <c r="A2365" s="238"/>
      <c r="B2365" s="199">
        <v>6000</v>
      </c>
      <c r="C2365" s="200" t="s">
        <v>218</v>
      </c>
      <c r="D2365" s="241">
        <f>D2399+D2433+D2467+D2501+D2535+D2569</f>
        <v>136044</v>
      </c>
    </row>
    <row r="2366" spans="1:4" ht="12" customHeight="1" x14ac:dyDescent="0.3">
      <c r="A2366" s="238"/>
      <c r="B2366" s="242">
        <v>6200</v>
      </c>
      <c r="C2366" s="248" t="s">
        <v>219</v>
      </c>
      <c r="D2366" s="244">
        <f t="shared" ref="D2366:D2369" si="226">D2400+D2434+D2468+D2502+D2536+D2570</f>
        <v>136044</v>
      </c>
    </row>
    <row r="2367" spans="1:4" ht="12" hidden="1" customHeight="1" outlineLevel="1" x14ac:dyDescent="0.3">
      <c r="A2367" s="238"/>
      <c r="B2367" s="242">
        <v>6300</v>
      </c>
      <c r="C2367" s="248" t="s">
        <v>220</v>
      </c>
      <c r="D2367" s="244">
        <f t="shared" si="226"/>
        <v>0</v>
      </c>
    </row>
    <row r="2368" spans="1:4" ht="12" hidden="1" customHeight="1" outlineLevel="1" x14ac:dyDescent="0.3">
      <c r="A2368" s="238"/>
      <c r="B2368" s="242">
        <v>6400</v>
      </c>
      <c r="C2368" s="248" t="s">
        <v>221</v>
      </c>
      <c r="D2368" s="244">
        <f t="shared" si="226"/>
        <v>0</v>
      </c>
    </row>
    <row r="2369" spans="1:4" ht="12" hidden="1" customHeight="1" outlineLevel="1" x14ac:dyDescent="0.3">
      <c r="A2369" s="238"/>
      <c r="B2369" s="242">
        <v>6500</v>
      </c>
      <c r="C2369" s="249" t="s">
        <v>222</v>
      </c>
      <c r="D2369" s="244">
        <f t="shared" si="226"/>
        <v>0</v>
      </c>
    </row>
    <row r="2370" spans="1:4" ht="12" hidden="1" customHeight="1" outlineLevel="1" x14ac:dyDescent="0.3">
      <c r="A2370" s="238"/>
      <c r="B2370" s="199">
        <v>7000</v>
      </c>
      <c r="C2370" s="200" t="s">
        <v>223</v>
      </c>
      <c r="D2370" s="241">
        <f>D2404+D2438+D2472+D2506+D2541+D2574</f>
        <v>0</v>
      </c>
    </row>
    <row r="2371" spans="1:4" ht="12" hidden="1" customHeight="1" outlineLevel="1" x14ac:dyDescent="0.3">
      <c r="A2371" s="238"/>
      <c r="B2371" s="250">
        <v>7200</v>
      </c>
      <c r="C2371" s="251" t="s">
        <v>224</v>
      </c>
      <c r="D2371" s="244">
        <f t="shared" ref="D2371:D2373" si="227">D2405+D2439+D2473+D2507+D2542+D2575</f>
        <v>0</v>
      </c>
    </row>
    <row r="2372" spans="1:4" ht="12" hidden="1" customHeight="1" outlineLevel="1" x14ac:dyDescent="0.3">
      <c r="A2372" s="238"/>
      <c r="B2372" s="250">
        <v>7500</v>
      </c>
      <c r="C2372" s="251" t="s">
        <v>225</v>
      </c>
      <c r="D2372" s="244">
        <f t="shared" si="227"/>
        <v>0</v>
      </c>
    </row>
    <row r="2373" spans="1:4" ht="12" hidden="1" customHeight="1" outlineLevel="1" x14ac:dyDescent="0.3">
      <c r="A2373" s="238"/>
      <c r="B2373" s="250">
        <v>7700</v>
      </c>
      <c r="C2373" s="251" t="s">
        <v>226</v>
      </c>
      <c r="D2373" s="244">
        <f t="shared" si="227"/>
        <v>0</v>
      </c>
    </row>
    <row r="2374" spans="1:4" ht="12" hidden="1" customHeight="1" outlineLevel="1" x14ac:dyDescent="0.3">
      <c r="A2374" s="238"/>
      <c r="B2374" s="252">
        <v>8000</v>
      </c>
      <c r="C2374" s="253" t="s">
        <v>227</v>
      </c>
      <c r="D2374" s="241">
        <f>D2408+D2442+D2476+D2510+D2545+D2578</f>
        <v>0</v>
      </c>
    </row>
    <row r="2375" spans="1:4" ht="12" hidden="1" customHeight="1" outlineLevel="1" x14ac:dyDescent="0.3">
      <c r="A2375" s="238"/>
      <c r="B2375" s="254">
        <v>8100</v>
      </c>
      <c r="C2375" s="255" t="s">
        <v>228</v>
      </c>
      <c r="D2375" s="244">
        <f t="shared" ref="D2375:D2377" si="228">D2409+D2443+D2477+D2511+D2545+D2579</f>
        <v>0</v>
      </c>
    </row>
    <row r="2376" spans="1:4" ht="12" hidden="1" customHeight="1" outlineLevel="1" x14ac:dyDescent="0.3">
      <c r="A2376" s="238"/>
      <c r="B2376" s="254">
        <v>8600</v>
      </c>
      <c r="C2376" s="255" t="s">
        <v>229</v>
      </c>
      <c r="D2376" s="244">
        <f t="shared" si="228"/>
        <v>0</v>
      </c>
    </row>
    <row r="2377" spans="1:4" ht="12" hidden="1" customHeight="1" outlineLevel="1" x14ac:dyDescent="0.3">
      <c r="A2377" s="238"/>
      <c r="B2377" s="254">
        <v>8900</v>
      </c>
      <c r="C2377" s="255" t="s">
        <v>230</v>
      </c>
      <c r="D2377" s="244">
        <f t="shared" si="228"/>
        <v>0</v>
      </c>
    </row>
    <row r="2378" spans="1:4" ht="12" hidden="1" customHeight="1" outlineLevel="1" x14ac:dyDescent="0.3">
      <c r="A2378" s="283">
        <v>10.1</v>
      </c>
      <c r="B2378" s="257"/>
      <c r="C2378" s="258" t="s">
        <v>364</v>
      </c>
      <c r="D2378" s="259">
        <f t="shared" ref="D2378" si="229">D2379+D2395+D2408</f>
        <v>0</v>
      </c>
    </row>
    <row r="2379" spans="1:4" ht="12" hidden="1" customHeight="1" outlineLevel="1" x14ac:dyDescent="0.3">
      <c r="A2379" s="238"/>
      <c r="B2379" s="228"/>
      <c r="C2379" s="229" t="s">
        <v>198</v>
      </c>
      <c r="D2379" s="230">
        <f t="shared" ref="D2379" si="230">D2380+D2383+D2389+D2392+D2399+D2404</f>
        <v>0</v>
      </c>
    </row>
    <row r="2380" spans="1:4" ht="12" hidden="1" customHeight="1" outlineLevel="1" x14ac:dyDescent="0.3">
      <c r="A2380" s="238"/>
      <c r="B2380" s="231">
        <v>1000</v>
      </c>
      <c r="C2380" s="232" t="s">
        <v>199</v>
      </c>
      <c r="D2380" s="230">
        <f>SUM(D2381:D2382)</f>
        <v>0</v>
      </c>
    </row>
    <row r="2381" spans="1:4" ht="12" hidden="1" customHeight="1" outlineLevel="1" x14ac:dyDescent="0.3">
      <c r="A2381" s="238"/>
      <c r="B2381" s="234">
        <v>1100</v>
      </c>
      <c r="C2381" s="235" t="s">
        <v>200</v>
      </c>
      <c r="D2381" s="236"/>
    </row>
    <row r="2382" spans="1:4" ht="12" hidden="1" customHeight="1" outlineLevel="1" x14ac:dyDescent="0.3">
      <c r="A2382" s="238"/>
      <c r="B2382" s="234">
        <v>1200</v>
      </c>
      <c r="C2382" s="237" t="s">
        <v>201</v>
      </c>
      <c r="D2382" s="236"/>
    </row>
    <row r="2383" spans="1:4" ht="11.25" hidden="1" customHeight="1" outlineLevel="1" x14ac:dyDescent="0.3">
      <c r="A2383" s="238"/>
      <c r="B2383" s="239">
        <v>2000</v>
      </c>
      <c r="C2383" s="240" t="s">
        <v>202</v>
      </c>
      <c r="D2383" s="260">
        <f>SUM(D2384:D2388)</f>
        <v>0</v>
      </c>
    </row>
    <row r="2384" spans="1:4" ht="11.25" hidden="1" customHeight="1" outlineLevel="1" x14ac:dyDescent="0.3">
      <c r="A2384" s="238"/>
      <c r="B2384" s="242">
        <v>2100</v>
      </c>
      <c r="C2384" s="243" t="s">
        <v>203</v>
      </c>
      <c r="D2384" s="244"/>
    </row>
    <row r="2385" spans="1:4" ht="11.25" hidden="1" customHeight="1" outlineLevel="1" x14ac:dyDescent="0.3">
      <c r="A2385" s="238"/>
      <c r="B2385" s="242">
        <v>2200</v>
      </c>
      <c r="C2385" s="243" t="s">
        <v>204</v>
      </c>
      <c r="D2385" s="244"/>
    </row>
    <row r="2386" spans="1:4" ht="11.25" hidden="1" customHeight="1" outlineLevel="1" x14ac:dyDescent="0.3">
      <c r="A2386" s="238"/>
      <c r="B2386" s="242">
        <v>2300</v>
      </c>
      <c r="C2386" s="243" t="s">
        <v>205</v>
      </c>
      <c r="D2386" s="244"/>
    </row>
    <row r="2387" spans="1:4" ht="11.25" hidden="1" customHeight="1" outlineLevel="1" x14ac:dyDescent="0.3">
      <c r="A2387" s="238"/>
      <c r="B2387" s="242">
        <v>2400</v>
      </c>
      <c r="C2387" s="243" t="s">
        <v>206</v>
      </c>
      <c r="D2387" s="244"/>
    </row>
    <row r="2388" spans="1:4" ht="11.25" hidden="1" customHeight="1" outlineLevel="1" x14ac:dyDescent="0.3">
      <c r="A2388" s="238"/>
      <c r="B2388" s="242">
        <v>2500</v>
      </c>
      <c r="C2388" s="243" t="s">
        <v>207</v>
      </c>
      <c r="D2388" s="244"/>
    </row>
    <row r="2389" spans="1:4" ht="12" hidden="1" customHeight="1" outlineLevel="1" x14ac:dyDescent="0.3">
      <c r="A2389" s="238"/>
      <c r="B2389" s="199">
        <v>3000</v>
      </c>
      <c r="C2389" s="245" t="s">
        <v>208</v>
      </c>
      <c r="D2389" s="260">
        <f>SUM(D2390:D2391)</f>
        <v>0</v>
      </c>
    </row>
    <row r="2390" spans="1:4" ht="12" hidden="1" customHeight="1" outlineLevel="1" x14ac:dyDescent="0.3">
      <c r="A2390" s="238"/>
      <c r="B2390" s="242">
        <v>3200</v>
      </c>
      <c r="C2390" s="243" t="s">
        <v>209</v>
      </c>
      <c r="D2390" s="244"/>
    </row>
    <row r="2391" spans="1:4" ht="12" hidden="1" customHeight="1" outlineLevel="1" x14ac:dyDescent="0.3">
      <c r="A2391" s="238"/>
      <c r="B2391" s="242">
        <v>3300</v>
      </c>
      <c r="C2391" s="243" t="s">
        <v>210</v>
      </c>
      <c r="D2391" s="244"/>
    </row>
    <row r="2392" spans="1:4" ht="12" hidden="1" customHeight="1" outlineLevel="1" x14ac:dyDescent="0.3">
      <c r="A2392" s="238"/>
      <c r="B2392" s="199">
        <v>4000</v>
      </c>
      <c r="C2392" s="246" t="s">
        <v>211</v>
      </c>
      <c r="D2392" s="260">
        <f>SUM(D2393:D2394)</f>
        <v>0</v>
      </c>
    </row>
    <row r="2393" spans="1:4" ht="12" hidden="1" customHeight="1" outlineLevel="1" x14ac:dyDescent="0.3">
      <c r="A2393" s="238"/>
      <c r="B2393" s="242">
        <v>4200</v>
      </c>
      <c r="C2393" s="247" t="s">
        <v>212</v>
      </c>
      <c r="D2393" s="244"/>
    </row>
    <row r="2394" spans="1:4" ht="12" hidden="1" customHeight="1" outlineLevel="1" x14ac:dyDescent="0.3">
      <c r="A2394" s="238"/>
      <c r="B2394" s="242">
        <v>4300</v>
      </c>
      <c r="C2394" s="247" t="s">
        <v>213</v>
      </c>
      <c r="D2394" s="244"/>
    </row>
    <row r="2395" spans="1:4" ht="12" hidden="1" customHeight="1" outlineLevel="1" x14ac:dyDescent="0.3">
      <c r="A2395" s="238"/>
      <c r="B2395" s="199">
        <v>5000</v>
      </c>
      <c r="C2395" s="200" t="s">
        <v>214</v>
      </c>
      <c r="D2395" s="260">
        <f>SUM(D2396:D2398)</f>
        <v>0</v>
      </c>
    </row>
    <row r="2396" spans="1:4" ht="12" hidden="1" customHeight="1" outlineLevel="1" x14ac:dyDescent="0.3">
      <c r="A2396" s="238"/>
      <c r="B2396" s="242">
        <v>5100</v>
      </c>
      <c r="C2396" s="248" t="s">
        <v>215</v>
      </c>
      <c r="D2396" s="260"/>
    </row>
    <row r="2397" spans="1:4" ht="12" hidden="1" customHeight="1" outlineLevel="1" x14ac:dyDescent="0.3">
      <c r="A2397" s="238"/>
      <c r="B2397" s="242">
        <v>5200</v>
      </c>
      <c r="C2397" s="248" t="s">
        <v>216</v>
      </c>
      <c r="D2397" s="260"/>
    </row>
    <row r="2398" spans="1:4" ht="12" hidden="1" customHeight="1" outlineLevel="1" x14ac:dyDescent="0.3">
      <c r="A2398" s="238"/>
      <c r="B2398" s="242">
        <v>5300</v>
      </c>
      <c r="C2398" s="249" t="s">
        <v>217</v>
      </c>
      <c r="D2398" s="260"/>
    </row>
    <row r="2399" spans="1:4" ht="12" hidden="1" customHeight="1" outlineLevel="1" x14ac:dyDescent="0.3">
      <c r="A2399" s="238"/>
      <c r="B2399" s="199">
        <v>6000</v>
      </c>
      <c r="C2399" s="200" t="s">
        <v>218</v>
      </c>
      <c r="D2399" s="260">
        <f>SUM(D2400:D2403)</f>
        <v>0</v>
      </c>
    </row>
    <row r="2400" spans="1:4" ht="12" hidden="1" customHeight="1" outlineLevel="1" x14ac:dyDescent="0.3">
      <c r="A2400" s="238"/>
      <c r="B2400" s="242">
        <v>6200</v>
      </c>
      <c r="C2400" s="248" t="s">
        <v>219</v>
      </c>
      <c r="D2400" s="244"/>
    </row>
    <row r="2401" spans="1:4" ht="12" hidden="1" customHeight="1" outlineLevel="1" x14ac:dyDescent="0.3">
      <c r="A2401" s="238"/>
      <c r="B2401" s="242">
        <v>6300</v>
      </c>
      <c r="C2401" s="248" t="s">
        <v>220</v>
      </c>
      <c r="D2401" s="244"/>
    </row>
    <row r="2402" spans="1:4" ht="12" hidden="1" customHeight="1" outlineLevel="1" x14ac:dyDescent="0.3">
      <c r="A2402" s="238"/>
      <c r="B2402" s="242">
        <v>6400</v>
      </c>
      <c r="C2402" s="248" t="s">
        <v>221</v>
      </c>
      <c r="D2402" s="244"/>
    </row>
    <row r="2403" spans="1:4" ht="12" hidden="1" customHeight="1" outlineLevel="1" x14ac:dyDescent="0.3">
      <c r="A2403" s="238"/>
      <c r="B2403" s="242">
        <v>6500</v>
      </c>
      <c r="C2403" s="249" t="s">
        <v>222</v>
      </c>
      <c r="D2403" s="244"/>
    </row>
    <row r="2404" spans="1:4" ht="12" hidden="1" customHeight="1" outlineLevel="1" x14ac:dyDescent="0.3">
      <c r="A2404" s="238"/>
      <c r="B2404" s="199">
        <v>7000</v>
      </c>
      <c r="C2404" s="200" t="s">
        <v>223</v>
      </c>
      <c r="D2404" s="260">
        <f>SUM(D2405:D2407)</f>
        <v>0</v>
      </c>
    </row>
    <row r="2405" spans="1:4" ht="12" hidden="1" customHeight="1" outlineLevel="1" x14ac:dyDescent="0.3">
      <c r="A2405" s="238"/>
      <c r="B2405" s="250">
        <v>7200</v>
      </c>
      <c r="C2405" s="251" t="s">
        <v>224</v>
      </c>
      <c r="D2405" s="244"/>
    </row>
    <row r="2406" spans="1:4" ht="12" hidden="1" customHeight="1" outlineLevel="1" x14ac:dyDescent="0.3">
      <c r="A2406" s="238"/>
      <c r="B2406" s="250">
        <v>7500</v>
      </c>
      <c r="C2406" s="251" t="s">
        <v>225</v>
      </c>
      <c r="D2406" s="244"/>
    </row>
    <row r="2407" spans="1:4" ht="12" hidden="1" customHeight="1" outlineLevel="1" x14ac:dyDescent="0.3">
      <c r="A2407" s="238"/>
      <c r="B2407" s="250">
        <v>7700</v>
      </c>
      <c r="C2407" s="251" t="s">
        <v>226</v>
      </c>
      <c r="D2407" s="244"/>
    </row>
    <row r="2408" spans="1:4" ht="12" hidden="1" customHeight="1" outlineLevel="1" x14ac:dyDescent="0.3">
      <c r="A2408" s="238"/>
      <c r="B2408" s="252">
        <v>8000</v>
      </c>
      <c r="C2408" s="253" t="s">
        <v>227</v>
      </c>
      <c r="D2408" s="260">
        <f>SUM(D2409:D2411)</f>
        <v>0</v>
      </c>
    </row>
    <row r="2409" spans="1:4" ht="12" hidden="1" customHeight="1" outlineLevel="1" x14ac:dyDescent="0.3">
      <c r="A2409" s="238"/>
      <c r="B2409" s="254">
        <v>8100</v>
      </c>
      <c r="C2409" s="255" t="s">
        <v>228</v>
      </c>
      <c r="D2409" s="260"/>
    </row>
    <row r="2410" spans="1:4" ht="12" hidden="1" customHeight="1" outlineLevel="1" x14ac:dyDescent="0.3">
      <c r="A2410" s="238"/>
      <c r="B2410" s="254">
        <v>8600</v>
      </c>
      <c r="C2410" s="255" t="s">
        <v>229</v>
      </c>
      <c r="D2410" s="260"/>
    </row>
    <row r="2411" spans="1:4" ht="12" hidden="1" customHeight="1" outlineLevel="1" x14ac:dyDescent="0.3">
      <c r="A2411" s="238"/>
      <c r="B2411" s="254">
        <v>8900</v>
      </c>
      <c r="C2411" s="255" t="s">
        <v>230</v>
      </c>
      <c r="D2411" s="260"/>
    </row>
    <row r="2412" spans="1:4" ht="12" customHeight="1" collapsed="1" x14ac:dyDescent="0.3">
      <c r="A2412" s="256" t="s">
        <v>365</v>
      </c>
      <c r="B2412" s="257"/>
      <c r="C2412" s="258" t="s">
        <v>366</v>
      </c>
      <c r="D2412" s="259">
        <f t="shared" ref="D2412" si="231">D2413+D2429+D2442</f>
        <v>136044</v>
      </c>
    </row>
    <row r="2413" spans="1:4" ht="12" customHeight="1" x14ac:dyDescent="0.3">
      <c r="A2413" s="227"/>
      <c r="B2413" s="228"/>
      <c r="C2413" s="229" t="s">
        <v>198</v>
      </c>
      <c r="D2413" s="230">
        <f t="shared" ref="D2413" si="232">D2414+D2417+D2423+D2426+D2433+D2438</f>
        <v>136044</v>
      </c>
    </row>
    <row r="2414" spans="1:4" ht="12" hidden="1" customHeight="1" outlineLevel="1" x14ac:dyDescent="0.3">
      <c r="A2414" s="227"/>
      <c r="B2414" s="231">
        <v>1000</v>
      </c>
      <c r="C2414" s="232" t="s">
        <v>199</v>
      </c>
      <c r="D2414" s="230">
        <f>SUM(D2415:D2416)</f>
        <v>0</v>
      </c>
    </row>
    <row r="2415" spans="1:4" ht="12" hidden="1" customHeight="1" outlineLevel="1" x14ac:dyDescent="0.3">
      <c r="A2415" s="227"/>
      <c r="B2415" s="234">
        <v>1100</v>
      </c>
      <c r="C2415" s="235" t="s">
        <v>200</v>
      </c>
      <c r="D2415" s="236"/>
    </row>
    <row r="2416" spans="1:4" ht="12" hidden="1" customHeight="1" outlineLevel="1" x14ac:dyDescent="0.3">
      <c r="A2416" s="227"/>
      <c r="B2416" s="234">
        <v>1200</v>
      </c>
      <c r="C2416" s="237" t="s">
        <v>201</v>
      </c>
      <c r="D2416" s="236"/>
    </row>
    <row r="2417" spans="1:4" ht="12" hidden="1" customHeight="1" outlineLevel="1" x14ac:dyDescent="0.3">
      <c r="A2417" s="238"/>
      <c r="B2417" s="239">
        <v>2000</v>
      </c>
      <c r="C2417" s="240" t="s">
        <v>202</v>
      </c>
      <c r="D2417" s="260">
        <f>SUM(D2418:D2422)</f>
        <v>0</v>
      </c>
    </row>
    <row r="2418" spans="1:4" ht="12" hidden="1" customHeight="1" outlineLevel="1" x14ac:dyDescent="0.3">
      <c r="A2418" s="238"/>
      <c r="B2418" s="242">
        <v>2100</v>
      </c>
      <c r="C2418" s="243" t="s">
        <v>203</v>
      </c>
      <c r="D2418" s="244"/>
    </row>
    <row r="2419" spans="1:4" ht="12" hidden="1" customHeight="1" outlineLevel="1" x14ac:dyDescent="0.3">
      <c r="A2419" s="238"/>
      <c r="B2419" s="242">
        <v>2200</v>
      </c>
      <c r="C2419" s="243" t="s">
        <v>204</v>
      </c>
      <c r="D2419" s="244"/>
    </row>
    <row r="2420" spans="1:4" ht="12" hidden="1" customHeight="1" outlineLevel="1" x14ac:dyDescent="0.3">
      <c r="A2420" s="238"/>
      <c r="B2420" s="242">
        <v>2300</v>
      </c>
      <c r="C2420" s="243" t="s">
        <v>205</v>
      </c>
      <c r="D2420" s="244"/>
    </row>
    <row r="2421" spans="1:4" ht="12" hidden="1" customHeight="1" outlineLevel="1" x14ac:dyDescent="0.3">
      <c r="A2421" s="238"/>
      <c r="B2421" s="242">
        <v>2400</v>
      </c>
      <c r="C2421" s="243" t="s">
        <v>206</v>
      </c>
      <c r="D2421" s="244"/>
    </row>
    <row r="2422" spans="1:4" ht="12" hidden="1" customHeight="1" outlineLevel="1" x14ac:dyDescent="0.3">
      <c r="A2422" s="238"/>
      <c r="B2422" s="242">
        <v>2500</v>
      </c>
      <c r="C2422" s="243" t="s">
        <v>207</v>
      </c>
      <c r="D2422" s="244"/>
    </row>
    <row r="2423" spans="1:4" ht="12" hidden="1" customHeight="1" outlineLevel="1" x14ac:dyDescent="0.3">
      <c r="A2423" s="238"/>
      <c r="B2423" s="199">
        <v>3000</v>
      </c>
      <c r="C2423" s="245" t="s">
        <v>208</v>
      </c>
      <c r="D2423" s="260">
        <f>SUM(D2424:D2425)</f>
        <v>0</v>
      </c>
    </row>
    <row r="2424" spans="1:4" ht="12" hidden="1" customHeight="1" outlineLevel="1" x14ac:dyDescent="0.3">
      <c r="A2424" s="238"/>
      <c r="B2424" s="242">
        <v>3200</v>
      </c>
      <c r="C2424" s="243" t="s">
        <v>209</v>
      </c>
      <c r="D2424" s="244"/>
    </row>
    <row r="2425" spans="1:4" ht="12" hidden="1" customHeight="1" outlineLevel="1" x14ac:dyDescent="0.3">
      <c r="A2425" s="238"/>
      <c r="B2425" s="242">
        <v>3300</v>
      </c>
      <c r="C2425" s="243" t="s">
        <v>210</v>
      </c>
      <c r="D2425" s="244"/>
    </row>
    <row r="2426" spans="1:4" ht="12" hidden="1" customHeight="1" outlineLevel="1" x14ac:dyDescent="0.3">
      <c r="A2426" s="238"/>
      <c r="B2426" s="199">
        <v>4000</v>
      </c>
      <c r="C2426" s="246" t="s">
        <v>211</v>
      </c>
      <c r="D2426" s="260">
        <f>SUM(D2427:D2428)</f>
        <v>0</v>
      </c>
    </row>
    <row r="2427" spans="1:4" ht="12" hidden="1" customHeight="1" outlineLevel="1" x14ac:dyDescent="0.3">
      <c r="A2427" s="238"/>
      <c r="B2427" s="242">
        <v>4200</v>
      </c>
      <c r="C2427" s="247" t="s">
        <v>212</v>
      </c>
      <c r="D2427" s="244"/>
    </row>
    <row r="2428" spans="1:4" ht="12" hidden="1" customHeight="1" outlineLevel="1" x14ac:dyDescent="0.3">
      <c r="A2428" s="238"/>
      <c r="B2428" s="242">
        <v>4300</v>
      </c>
      <c r="C2428" s="247" t="s">
        <v>213</v>
      </c>
      <c r="D2428" s="244"/>
    </row>
    <row r="2429" spans="1:4" ht="12" hidden="1" customHeight="1" outlineLevel="1" x14ac:dyDescent="0.3">
      <c r="A2429" s="238"/>
      <c r="B2429" s="199">
        <v>5000</v>
      </c>
      <c r="C2429" s="200" t="s">
        <v>214</v>
      </c>
      <c r="D2429" s="260">
        <f>SUM(D2430:D2432)</f>
        <v>0</v>
      </c>
    </row>
    <row r="2430" spans="1:4" ht="12" hidden="1" customHeight="1" outlineLevel="1" x14ac:dyDescent="0.3">
      <c r="A2430" s="238"/>
      <c r="B2430" s="242">
        <v>5100</v>
      </c>
      <c r="C2430" s="248" t="s">
        <v>215</v>
      </c>
      <c r="D2430" s="260"/>
    </row>
    <row r="2431" spans="1:4" ht="12" hidden="1" customHeight="1" outlineLevel="1" x14ac:dyDescent="0.3">
      <c r="A2431" s="238"/>
      <c r="B2431" s="242">
        <v>5200</v>
      </c>
      <c r="C2431" s="248" t="s">
        <v>216</v>
      </c>
      <c r="D2431" s="260"/>
    </row>
    <row r="2432" spans="1:4" ht="12" hidden="1" customHeight="1" outlineLevel="1" x14ac:dyDescent="0.3">
      <c r="A2432" s="238"/>
      <c r="B2432" s="242">
        <v>5300</v>
      </c>
      <c r="C2432" s="249" t="s">
        <v>217</v>
      </c>
      <c r="D2432" s="260"/>
    </row>
    <row r="2433" spans="1:4" ht="12" customHeight="1" collapsed="1" x14ac:dyDescent="0.3">
      <c r="A2433" s="238"/>
      <c r="B2433" s="199">
        <v>6000</v>
      </c>
      <c r="C2433" s="200" t="s">
        <v>218</v>
      </c>
      <c r="D2433" s="260">
        <f>SUM(D2434:D2437)</f>
        <v>136044</v>
      </c>
    </row>
    <row r="2434" spans="1:4" ht="12" customHeight="1" x14ac:dyDescent="0.3">
      <c r="A2434" s="238"/>
      <c r="B2434" s="242">
        <v>6200</v>
      </c>
      <c r="C2434" s="248" t="s">
        <v>219</v>
      </c>
      <c r="D2434" s="244">
        <f>2600+133444</f>
        <v>136044</v>
      </c>
    </row>
    <row r="2435" spans="1:4" ht="12" hidden="1" customHeight="1" outlineLevel="1" x14ac:dyDescent="0.3">
      <c r="A2435" s="238"/>
      <c r="B2435" s="242">
        <v>6300</v>
      </c>
      <c r="C2435" s="248" t="s">
        <v>220</v>
      </c>
      <c r="D2435" s="244"/>
    </row>
    <row r="2436" spans="1:4" ht="12" hidden="1" customHeight="1" outlineLevel="1" x14ac:dyDescent="0.3">
      <c r="A2436" s="238"/>
      <c r="B2436" s="242">
        <v>6400</v>
      </c>
      <c r="C2436" s="248" t="s">
        <v>221</v>
      </c>
      <c r="D2436" s="244"/>
    </row>
    <row r="2437" spans="1:4" ht="12" hidden="1" customHeight="1" outlineLevel="1" x14ac:dyDescent="0.3">
      <c r="A2437" s="238"/>
      <c r="B2437" s="242">
        <v>6500</v>
      </c>
      <c r="C2437" s="249" t="s">
        <v>222</v>
      </c>
      <c r="D2437" s="244"/>
    </row>
    <row r="2438" spans="1:4" ht="12" hidden="1" customHeight="1" outlineLevel="1" x14ac:dyDescent="0.3">
      <c r="A2438" s="238"/>
      <c r="B2438" s="199">
        <v>7000</v>
      </c>
      <c r="C2438" s="200" t="s">
        <v>223</v>
      </c>
      <c r="D2438" s="260">
        <f>SUM(D2439:D2441)</f>
        <v>0</v>
      </c>
    </row>
    <row r="2439" spans="1:4" ht="12" hidden="1" customHeight="1" outlineLevel="1" x14ac:dyDescent="0.3">
      <c r="A2439" s="238"/>
      <c r="B2439" s="250">
        <v>7200</v>
      </c>
      <c r="C2439" s="251" t="s">
        <v>224</v>
      </c>
      <c r="D2439" s="244"/>
    </row>
    <row r="2440" spans="1:4" ht="12" hidden="1" customHeight="1" outlineLevel="1" x14ac:dyDescent="0.3">
      <c r="A2440" s="238"/>
      <c r="B2440" s="250">
        <v>7500</v>
      </c>
      <c r="C2440" s="251" t="s">
        <v>225</v>
      </c>
      <c r="D2440" s="244"/>
    </row>
    <row r="2441" spans="1:4" ht="12" hidden="1" customHeight="1" outlineLevel="1" x14ac:dyDescent="0.3">
      <c r="A2441" s="238"/>
      <c r="B2441" s="250">
        <v>7700</v>
      </c>
      <c r="C2441" s="251" t="s">
        <v>226</v>
      </c>
      <c r="D2441" s="244"/>
    </row>
    <row r="2442" spans="1:4" ht="12" hidden="1" customHeight="1" outlineLevel="1" x14ac:dyDescent="0.3">
      <c r="A2442" s="238"/>
      <c r="B2442" s="252">
        <v>8000</v>
      </c>
      <c r="C2442" s="253" t="s">
        <v>227</v>
      </c>
      <c r="D2442" s="260">
        <f>SUM(D2443:D2445)</f>
        <v>0</v>
      </c>
    </row>
    <row r="2443" spans="1:4" ht="12" hidden="1" customHeight="1" outlineLevel="1" x14ac:dyDescent="0.3">
      <c r="A2443" s="238"/>
      <c r="B2443" s="254">
        <v>8100</v>
      </c>
      <c r="C2443" s="255" t="s">
        <v>228</v>
      </c>
      <c r="D2443" s="260"/>
    </row>
    <row r="2444" spans="1:4" ht="12" hidden="1" customHeight="1" outlineLevel="1" x14ac:dyDescent="0.3">
      <c r="A2444" s="238"/>
      <c r="B2444" s="254">
        <v>8600</v>
      </c>
      <c r="C2444" s="255" t="s">
        <v>229</v>
      </c>
      <c r="D2444" s="260"/>
    </row>
    <row r="2445" spans="1:4" ht="12" hidden="1" customHeight="1" outlineLevel="1" x14ac:dyDescent="0.3">
      <c r="A2445" s="238"/>
      <c r="B2445" s="254">
        <v>8900</v>
      </c>
      <c r="C2445" s="255" t="s">
        <v>230</v>
      </c>
      <c r="D2445" s="260"/>
    </row>
    <row r="2446" spans="1:4" ht="12" hidden="1" customHeight="1" outlineLevel="1" collapsed="1" x14ac:dyDescent="0.3">
      <c r="A2446" s="256" t="s">
        <v>367</v>
      </c>
      <c r="B2446" s="257"/>
      <c r="C2446" s="258" t="s">
        <v>368</v>
      </c>
      <c r="D2446" s="259">
        <f t="shared" ref="D2446" si="233">D2447+D2463+D2476</f>
        <v>0</v>
      </c>
    </row>
    <row r="2447" spans="1:4" ht="12" hidden="1" customHeight="1" outlineLevel="1" x14ac:dyDescent="0.3">
      <c r="A2447" s="227"/>
      <c r="B2447" s="228"/>
      <c r="C2447" s="229" t="s">
        <v>198</v>
      </c>
      <c r="D2447" s="230">
        <f t="shared" ref="D2447" si="234">D2448+D2451+D2457+D2460+D2467+D2472</f>
        <v>0</v>
      </c>
    </row>
    <row r="2448" spans="1:4" ht="12" hidden="1" customHeight="1" outlineLevel="1" x14ac:dyDescent="0.3">
      <c r="A2448" s="227"/>
      <c r="B2448" s="231">
        <v>1000</v>
      </c>
      <c r="C2448" s="232" t="s">
        <v>199</v>
      </c>
      <c r="D2448" s="230">
        <f>SUM(D2449:D2450)</f>
        <v>0</v>
      </c>
    </row>
    <row r="2449" spans="1:4" ht="12" hidden="1" customHeight="1" outlineLevel="1" x14ac:dyDescent="0.3">
      <c r="A2449" s="227"/>
      <c r="B2449" s="234">
        <v>1100</v>
      </c>
      <c r="C2449" s="235" t="s">
        <v>200</v>
      </c>
      <c r="D2449" s="236"/>
    </row>
    <row r="2450" spans="1:4" ht="12" hidden="1" customHeight="1" outlineLevel="1" x14ac:dyDescent="0.3">
      <c r="A2450" s="227"/>
      <c r="B2450" s="234">
        <v>1200</v>
      </c>
      <c r="C2450" s="237" t="s">
        <v>201</v>
      </c>
      <c r="D2450" s="236"/>
    </row>
    <row r="2451" spans="1:4" ht="12" hidden="1" customHeight="1" outlineLevel="1" x14ac:dyDescent="0.3">
      <c r="A2451" s="238"/>
      <c r="B2451" s="239">
        <v>2000</v>
      </c>
      <c r="C2451" s="240" t="s">
        <v>202</v>
      </c>
      <c r="D2451" s="260">
        <f>SUM(D2452:D2456)</f>
        <v>0</v>
      </c>
    </row>
    <row r="2452" spans="1:4" ht="12" hidden="1" customHeight="1" outlineLevel="1" x14ac:dyDescent="0.3">
      <c r="A2452" s="238"/>
      <c r="B2452" s="242">
        <v>2100</v>
      </c>
      <c r="C2452" s="243" t="s">
        <v>203</v>
      </c>
      <c r="D2452" s="244"/>
    </row>
    <row r="2453" spans="1:4" ht="12" hidden="1" customHeight="1" outlineLevel="1" x14ac:dyDescent="0.3">
      <c r="A2453" s="238"/>
      <c r="B2453" s="242">
        <v>2200</v>
      </c>
      <c r="C2453" s="243" t="s">
        <v>204</v>
      </c>
      <c r="D2453" s="244"/>
    </row>
    <row r="2454" spans="1:4" ht="12" hidden="1" customHeight="1" outlineLevel="1" x14ac:dyDescent="0.3">
      <c r="A2454" s="238"/>
      <c r="B2454" s="242">
        <v>2300</v>
      </c>
      <c r="C2454" s="243" t="s">
        <v>205</v>
      </c>
      <c r="D2454" s="244"/>
    </row>
    <row r="2455" spans="1:4" ht="12" hidden="1" customHeight="1" outlineLevel="1" x14ac:dyDescent="0.3">
      <c r="A2455" s="238"/>
      <c r="B2455" s="242">
        <v>2400</v>
      </c>
      <c r="C2455" s="243" t="s">
        <v>206</v>
      </c>
      <c r="D2455" s="244"/>
    </row>
    <row r="2456" spans="1:4" ht="12" hidden="1" customHeight="1" outlineLevel="1" collapsed="1" x14ac:dyDescent="0.3">
      <c r="A2456" s="238"/>
      <c r="B2456" s="242">
        <v>2500</v>
      </c>
      <c r="C2456" s="243" t="s">
        <v>207</v>
      </c>
      <c r="D2456" s="244"/>
    </row>
    <row r="2457" spans="1:4" ht="12" hidden="1" customHeight="1" outlineLevel="1" x14ac:dyDescent="0.3">
      <c r="A2457" s="238"/>
      <c r="B2457" s="199">
        <v>3000</v>
      </c>
      <c r="C2457" s="245" t="s">
        <v>208</v>
      </c>
      <c r="D2457" s="260">
        <f>SUM(D2458:D2459)</f>
        <v>0</v>
      </c>
    </row>
    <row r="2458" spans="1:4" ht="12" hidden="1" customHeight="1" outlineLevel="1" x14ac:dyDescent="0.3">
      <c r="A2458" s="238"/>
      <c r="B2458" s="242">
        <v>3200</v>
      </c>
      <c r="C2458" s="243" t="s">
        <v>209</v>
      </c>
      <c r="D2458" s="244"/>
    </row>
    <row r="2459" spans="1:4" ht="12" hidden="1" customHeight="1" outlineLevel="1" x14ac:dyDescent="0.3">
      <c r="A2459" s="238"/>
      <c r="B2459" s="242">
        <v>3300</v>
      </c>
      <c r="C2459" s="243" t="s">
        <v>210</v>
      </c>
      <c r="D2459" s="244"/>
    </row>
    <row r="2460" spans="1:4" ht="12" hidden="1" customHeight="1" outlineLevel="1" x14ac:dyDescent="0.3">
      <c r="A2460" s="238"/>
      <c r="B2460" s="199">
        <v>4000</v>
      </c>
      <c r="C2460" s="246" t="s">
        <v>211</v>
      </c>
      <c r="D2460" s="260">
        <f>SUM(D2461:D2462)</f>
        <v>0</v>
      </c>
    </row>
    <row r="2461" spans="1:4" ht="12" hidden="1" customHeight="1" outlineLevel="1" x14ac:dyDescent="0.3">
      <c r="A2461" s="238"/>
      <c r="B2461" s="242">
        <v>4200</v>
      </c>
      <c r="C2461" s="247" t="s">
        <v>212</v>
      </c>
      <c r="D2461" s="244"/>
    </row>
    <row r="2462" spans="1:4" ht="12" hidden="1" customHeight="1" outlineLevel="1" x14ac:dyDescent="0.3">
      <c r="A2462" s="238"/>
      <c r="B2462" s="242">
        <v>4300</v>
      </c>
      <c r="C2462" s="247" t="s">
        <v>213</v>
      </c>
      <c r="D2462" s="244"/>
    </row>
    <row r="2463" spans="1:4" ht="12" hidden="1" customHeight="1" outlineLevel="1" x14ac:dyDescent="0.3">
      <c r="A2463" s="238"/>
      <c r="B2463" s="199">
        <v>5000</v>
      </c>
      <c r="C2463" s="200" t="s">
        <v>214</v>
      </c>
      <c r="D2463" s="260">
        <f>SUM(D2464:D2466)</f>
        <v>0</v>
      </c>
    </row>
    <row r="2464" spans="1:4" ht="12" hidden="1" customHeight="1" outlineLevel="1" x14ac:dyDescent="0.3">
      <c r="A2464" s="238"/>
      <c r="B2464" s="242">
        <v>5100</v>
      </c>
      <c r="C2464" s="248" t="s">
        <v>215</v>
      </c>
      <c r="D2464" s="260"/>
    </row>
    <row r="2465" spans="1:4" ht="12" hidden="1" customHeight="1" outlineLevel="1" x14ac:dyDescent="0.3">
      <c r="A2465" s="238"/>
      <c r="B2465" s="242">
        <v>5200</v>
      </c>
      <c r="C2465" s="248" t="s">
        <v>216</v>
      </c>
      <c r="D2465" s="260"/>
    </row>
    <row r="2466" spans="1:4" ht="12" hidden="1" customHeight="1" outlineLevel="1" x14ac:dyDescent="0.3">
      <c r="A2466" s="238"/>
      <c r="B2466" s="242">
        <v>5300</v>
      </c>
      <c r="C2466" s="249" t="s">
        <v>217</v>
      </c>
      <c r="D2466" s="260"/>
    </row>
    <row r="2467" spans="1:4" ht="12" hidden="1" customHeight="1" outlineLevel="1" x14ac:dyDescent="0.3">
      <c r="A2467" s="238"/>
      <c r="B2467" s="199">
        <v>6000</v>
      </c>
      <c r="C2467" s="200" t="s">
        <v>218</v>
      </c>
      <c r="D2467" s="260">
        <f>SUM(D2468:D2471)</f>
        <v>0</v>
      </c>
    </row>
    <row r="2468" spans="1:4" ht="12" hidden="1" customHeight="1" outlineLevel="1" x14ac:dyDescent="0.3">
      <c r="A2468" s="238"/>
      <c r="B2468" s="242">
        <v>6200</v>
      </c>
      <c r="C2468" s="248" t="s">
        <v>219</v>
      </c>
      <c r="D2468" s="244"/>
    </row>
    <row r="2469" spans="1:4" ht="12" hidden="1" customHeight="1" outlineLevel="1" x14ac:dyDescent="0.3">
      <c r="A2469" s="238"/>
      <c r="B2469" s="242">
        <v>6300</v>
      </c>
      <c r="C2469" s="248" t="s">
        <v>220</v>
      </c>
      <c r="D2469" s="244"/>
    </row>
    <row r="2470" spans="1:4" ht="12" hidden="1" customHeight="1" outlineLevel="1" x14ac:dyDescent="0.3">
      <c r="A2470" s="238"/>
      <c r="B2470" s="242">
        <v>6400</v>
      </c>
      <c r="C2470" s="248" t="s">
        <v>221</v>
      </c>
      <c r="D2470" s="244"/>
    </row>
    <row r="2471" spans="1:4" ht="12" hidden="1" customHeight="1" outlineLevel="1" x14ac:dyDescent="0.3">
      <c r="A2471" s="238"/>
      <c r="B2471" s="242">
        <v>6500</v>
      </c>
      <c r="C2471" s="249" t="s">
        <v>222</v>
      </c>
      <c r="D2471" s="244"/>
    </row>
    <row r="2472" spans="1:4" ht="12" hidden="1" customHeight="1" outlineLevel="1" x14ac:dyDescent="0.3">
      <c r="A2472" s="238"/>
      <c r="B2472" s="199">
        <v>7000</v>
      </c>
      <c r="C2472" s="200" t="s">
        <v>223</v>
      </c>
      <c r="D2472" s="260">
        <f>SUM(D2473:D2475)</f>
        <v>0</v>
      </c>
    </row>
    <row r="2473" spans="1:4" ht="12" hidden="1" customHeight="1" outlineLevel="1" x14ac:dyDescent="0.3">
      <c r="A2473" s="238"/>
      <c r="B2473" s="250">
        <v>7200</v>
      </c>
      <c r="C2473" s="251" t="s">
        <v>224</v>
      </c>
      <c r="D2473" s="244"/>
    </row>
    <row r="2474" spans="1:4" ht="12" hidden="1" customHeight="1" outlineLevel="1" x14ac:dyDescent="0.3">
      <c r="A2474" s="238"/>
      <c r="B2474" s="250">
        <v>7500</v>
      </c>
      <c r="C2474" s="251" t="s">
        <v>225</v>
      </c>
      <c r="D2474" s="244"/>
    </row>
    <row r="2475" spans="1:4" ht="12" hidden="1" customHeight="1" outlineLevel="1" x14ac:dyDescent="0.3">
      <c r="A2475" s="238"/>
      <c r="B2475" s="250">
        <v>7700</v>
      </c>
      <c r="C2475" s="251" t="s">
        <v>226</v>
      </c>
      <c r="D2475" s="244"/>
    </row>
    <row r="2476" spans="1:4" ht="12" hidden="1" customHeight="1" outlineLevel="1" x14ac:dyDescent="0.3">
      <c r="A2476" s="238"/>
      <c r="B2476" s="252">
        <v>8000</v>
      </c>
      <c r="C2476" s="253" t="s">
        <v>227</v>
      </c>
      <c r="D2476" s="260">
        <f>SUM(D2477:D2479)</f>
        <v>0</v>
      </c>
    </row>
    <row r="2477" spans="1:4" ht="12" hidden="1" customHeight="1" outlineLevel="1" x14ac:dyDescent="0.3">
      <c r="A2477" s="238"/>
      <c r="B2477" s="254">
        <v>8100</v>
      </c>
      <c r="C2477" s="255" t="s">
        <v>228</v>
      </c>
      <c r="D2477" s="260"/>
    </row>
    <row r="2478" spans="1:4" ht="12" hidden="1" customHeight="1" outlineLevel="1" x14ac:dyDescent="0.3">
      <c r="A2478" s="238"/>
      <c r="B2478" s="254">
        <v>8600</v>
      </c>
      <c r="C2478" s="255" t="s">
        <v>229</v>
      </c>
      <c r="D2478" s="260"/>
    </row>
    <row r="2479" spans="1:4" ht="12" hidden="1" customHeight="1" outlineLevel="1" x14ac:dyDescent="0.3">
      <c r="A2479" s="238"/>
      <c r="B2479" s="254">
        <v>8900</v>
      </c>
      <c r="C2479" s="255" t="s">
        <v>230</v>
      </c>
      <c r="D2479" s="260"/>
    </row>
    <row r="2480" spans="1:4" ht="12" hidden="1" customHeight="1" outlineLevel="1" x14ac:dyDescent="0.3">
      <c r="A2480" s="283">
        <v>10.6</v>
      </c>
      <c r="B2480" s="257"/>
      <c r="C2480" s="258" t="s">
        <v>369</v>
      </c>
      <c r="D2480" s="259">
        <f t="shared" ref="D2480" si="235">D2481+D2497+D2510</f>
        <v>0</v>
      </c>
    </row>
    <row r="2481" spans="1:4" ht="12" hidden="1" customHeight="1" outlineLevel="1" x14ac:dyDescent="0.3">
      <c r="A2481" s="227"/>
      <c r="B2481" s="228"/>
      <c r="C2481" s="229" t="s">
        <v>198</v>
      </c>
      <c r="D2481" s="230">
        <f t="shared" ref="D2481" si="236">D2482+D2485+D2491+D2494+D2501+D2506</f>
        <v>0</v>
      </c>
    </row>
    <row r="2482" spans="1:4" ht="12" hidden="1" customHeight="1" outlineLevel="1" x14ac:dyDescent="0.3">
      <c r="A2482" s="227"/>
      <c r="B2482" s="231">
        <v>1000</v>
      </c>
      <c r="C2482" s="232" t="s">
        <v>199</v>
      </c>
      <c r="D2482" s="230">
        <f>SUM(D2483:D2484)</f>
        <v>0</v>
      </c>
    </row>
    <row r="2483" spans="1:4" ht="12" hidden="1" customHeight="1" outlineLevel="1" x14ac:dyDescent="0.3">
      <c r="A2483" s="227"/>
      <c r="B2483" s="234">
        <v>1100</v>
      </c>
      <c r="C2483" s="235" t="s">
        <v>200</v>
      </c>
      <c r="D2483" s="236"/>
    </row>
    <row r="2484" spans="1:4" ht="12" hidden="1" customHeight="1" outlineLevel="1" x14ac:dyDescent="0.3">
      <c r="A2484" s="227"/>
      <c r="B2484" s="234">
        <v>1200</v>
      </c>
      <c r="C2484" s="237" t="s">
        <v>201</v>
      </c>
      <c r="D2484" s="236"/>
    </row>
    <row r="2485" spans="1:4" ht="12" hidden="1" customHeight="1" outlineLevel="1" x14ac:dyDescent="0.3">
      <c r="A2485" s="238"/>
      <c r="B2485" s="239">
        <v>2000</v>
      </c>
      <c r="C2485" s="240" t="s">
        <v>202</v>
      </c>
      <c r="D2485" s="260">
        <f>SUM(D2486:D2490)</f>
        <v>0</v>
      </c>
    </row>
    <row r="2486" spans="1:4" ht="12" hidden="1" customHeight="1" outlineLevel="1" x14ac:dyDescent="0.3">
      <c r="A2486" s="238"/>
      <c r="B2486" s="242">
        <v>2100</v>
      </c>
      <c r="C2486" s="243" t="s">
        <v>203</v>
      </c>
      <c r="D2486" s="244"/>
    </row>
    <row r="2487" spans="1:4" ht="12" hidden="1" customHeight="1" outlineLevel="1" x14ac:dyDescent="0.3">
      <c r="A2487" s="238"/>
      <c r="B2487" s="242">
        <v>2200</v>
      </c>
      <c r="C2487" s="243" t="s">
        <v>204</v>
      </c>
      <c r="D2487" s="244"/>
    </row>
    <row r="2488" spans="1:4" ht="12" hidden="1" customHeight="1" outlineLevel="1" x14ac:dyDescent="0.3">
      <c r="A2488" s="238"/>
      <c r="B2488" s="242">
        <v>2300</v>
      </c>
      <c r="C2488" s="243" t="s">
        <v>205</v>
      </c>
      <c r="D2488" s="244"/>
    </row>
    <row r="2489" spans="1:4" ht="12" hidden="1" customHeight="1" outlineLevel="1" x14ac:dyDescent="0.3">
      <c r="A2489" s="238"/>
      <c r="B2489" s="242">
        <v>2400</v>
      </c>
      <c r="C2489" s="243" t="s">
        <v>206</v>
      </c>
      <c r="D2489" s="244"/>
    </row>
    <row r="2490" spans="1:4" ht="12" hidden="1" customHeight="1" outlineLevel="1" x14ac:dyDescent="0.3">
      <c r="A2490" s="238"/>
      <c r="B2490" s="242">
        <v>2500</v>
      </c>
      <c r="C2490" s="243" t="s">
        <v>207</v>
      </c>
      <c r="D2490" s="244"/>
    </row>
    <row r="2491" spans="1:4" ht="12" hidden="1" customHeight="1" outlineLevel="1" x14ac:dyDescent="0.3">
      <c r="A2491" s="238"/>
      <c r="B2491" s="199">
        <v>3000</v>
      </c>
      <c r="C2491" s="245" t="s">
        <v>208</v>
      </c>
      <c r="D2491" s="260">
        <f>SUM(D2492:D2493)</f>
        <v>0</v>
      </c>
    </row>
    <row r="2492" spans="1:4" ht="12" hidden="1" customHeight="1" outlineLevel="1" x14ac:dyDescent="0.3">
      <c r="A2492" s="238"/>
      <c r="B2492" s="242">
        <v>3200</v>
      </c>
      <c r="C2492" s="243" t="s">
        <v>209</v>
      </c>
      <c r="D2492" s="244"/>
    </row>
    <row r="2493" spans="1:4" ht="12" hidden="1" customHeight="1" outlineLevel="1" x14ac:dyDescent="0.3">
      <c r="A2493" s="238"/>
      <c r="B2493" s="242">
        <v>3300</v>
      </c>
      <c r="C2493" s="243" t="s">
        <v>210</v>
      </c>
      <c r="D2493" s="244"/>
    </row>
    <row r="2494" spans="1:4" ht="12" hidden="1" customHeight="1" outlineLevel="1" x14ac:dyDescent="0.3">
      <c r="A2494" s="238"/>
      <c r="B2494" s="199">
        <v>4000</v>
      </c>
      <c r="C2494" s="246" t="s">
        <v>211</v>
      </c>
      <c r="D2494" s="260">
        <f>SUM(D2495:D2496)</f>
        <v>0</v>
      </c>
    </row>
    <row r="2495" spans="1:4" ht="12" hidden="1" customHeight="1" outlineLevel="1" x14ac:dyDescent="0.3">
      <c r="A2495" s="238"/>
      <c r="B2495" s="242">
        <v>4200</v>
      </c>
      <c r="C2495" s="247" t="s">
        <v>212</v>
      </c>
      <c r="D2495" s="244"/>
    </row>
    <row r="2496" spans="1:4" ht="12" hidden="1" customHeight="1" outlineLevel="1" x14ac:dyDescent="0.3">
      <c r="A2496" s="238"/>
      <c r="B2496" s="242">
        <v>4300</v>
      </c>
      <c r="C2496" s="247" t="s">
        <v>213</v>
      </c>
      <c r="D2496" s="244"/>
    </row>
    <row r="2497" spans="1:4" ht="12" hidden="1" customHeight="1" outlineLevel="1" x14ac:dyDescent="0.3">
      <c r="A2497" s="238"/>
      <c r="B2497" s="199">
        <v>5000</v>
      </c>
      <c r="C2497" s="200" t="s">
        <v>214</v>
      </c>
      <c r="D2497" s="260">
        <f>SUM(D2498:D2500)</f>
        <v>0</v>
      </c>
    </row>
    <row r="2498" spans="1:4" ht="12" hidden="1" customHeight="1" outlineLevel="1" x14ac:dyDescent="0.3">
      <c r="A2498" s="238"/>
      <c r="B2498" s="242">
        <v>5100</v>
      </c>
      <c r="C2498" s="248" t="s">
        <v>215</v>
      </c>
      <c r="D2498" s="260"/>
    </row>
    <row r="2499" spans="1:4" ht="12" hidden="1" customHeight="1" outlineLevel="1" x14ac:dyDescent="0.3">
      <c r="A2499" s="238"/>
      <c r="B2499" s="242">
        <v>5200</v>
      </c>
      <c r="C2499" s="248" t="s">
        <v>216</v>
      </c>
      <c r="D2499" s="260"/>
    </row>
    <row r="2500" spans="1:4" ht="12" hidden="1" customHeight="1" outlineLevel="1" x14ac:dyDescent="0.3">
      <c r="A2500" s="238"/>
      <c r="B2500" s="242">
        <v>5300</v>
      </c>
      <c r="C2500" s="249" t="s">
        <v>217</v>
      </c>
      <c r="D2500" s="260"/>
    </row>
    <row r="2501" spans="1:4" ht="12" hidden="1" customHeight="1" outlineLevel="1" x14ac:dyDescent="0.3">
      <c r="A2501" s="238"/>
      <c r="B2501" s="199">
        <v>6000</v>
      </c>
      <c r="C2501" s="200" t="s">
        <v>218</v>
      </c>
      <c r="D2501" s="260">
        <f>SUM(D2502:D2505)</f>
        <v>0</v>
      </c>
    </row>
    <row r="2502" spans="1:4" ht="12" hidden="1" customHeight="1" outlineLevel="1" x14ac:dyDescent="0.3">
      <c r="A2502" s="238"/>
      <c r="B2502" s="242">
        <v>6200</v>
      </c>
      <c r="C2502" s="248" t="s">
        <v>219</v>
      </c>
      <c r="D2502" s="244"/>
    </row>
    <row r="2503" spans="1:4" ht="12" hidden="1" customHeight="1" outlineLevel="1" x14ac:dyDescent="0.3">
      <c r="A2503" s="238"/>
      <c r="B2503" s="242">
        <v>6300</v>
      </c>
      <c r="C2503" s="248" t="s">
        <v>220</v>
      </c>
      <c r="D2503" s="244"/>
    </row>
    <row r="2504" spans="1:4" ht="12" hidden="1" customHeight="1" outlineLevel="1" x14ac:dyDescent="0.3">
      <c r="A2504" s="238"/>
      <c r="B2504" s="242">
        <v>6400</v>
      </c>
      <c r="C2504" s="248" t="s">
        <v>221</v>
      </c>
      <c r="D2504" s="244"/>
    </row>
    <row r="2505" spans="1:4" ht="12" hidden="1" customHeight="1" outlineLevel="1" x14ac:dyDescent="0.3">
      <c r="A2505" s="238"/>
      <c r="B2505" s="242">
        <v>6500</v>
      </c>
      <c r="C2505" s="249" t="s">
        <v>222</v>
      </c>
      <c r="D2505" s="244"/>
    </row>
    <row r="2506" spans="1:4" ht="12" hidden="1" customHeight="1" outlineLevel="1" x14ac:dyDescent="0.3">
      <c r="A2506" s="238"/>
      <c r="B2506" s="199">
        <v>7000</v>
      </c>
      <c r="C2506" s="200" t="s">
        <v>223</v>
      </c>
      <c r="D2506" s="260">
        <f>SUM(D2507:D2509)</f>
        <v>0</v>
      </c>
    </row>
    <row r="2507" spans="1:4" ht="12" hidden="1" customHeight="1" outlineLevel="1" x14ac:dyDescent="0.3">
      <c r="A2507" s="238"/>
      <c r="B2507" s="250">
        <v>7200</v>
      </c>
      <c r="C2507" s="251" t="s">
        <v>224</v>
      </c>
      <c r="D2507" s="244"/>
    </row>
    <row r="2508" spans="1:4" ht="12" hidden="1" customHeight="1" outlineLevel="1" x14ac:dyDescent="0.3">
      <c r="A2508" s="238"/>
      <c r="B2508" s="250">
        <v>7500</v>
      </c>
      <c r="C2508" s="251" t="s">
        <v>225</v>
      </c>
      <c r="D2508" s="244"/>
    </row>
    <row r="2509" spans="1:4" ht="12" hidden="1" customHeight="1" outlineLevel="1" x14ac:dyDescent="0.3">
      <c r="A2509" s="238"/>
      <c r="B2509" s="250">
        <v>7700</v>
      </c>
      <c r="C2509" s="251" t="s">
        <v>226</v>
      </c>
      <c r="D2509" s="244"/>
    </row>
    <row r="2510" spans="1:4" ht="12" hidden="1" customHeight="1" outlineLevel="1" x14ac:dyDescent="0.3">
      <c r="A2510" s="238"/>
      <c r="B2510" s="252">
        <v>8000</v>
      </c>
      <c r="C2510" s="253" t="s">
        <v>227</v>
      </c>
      <c r="D2510" s="260">
        <f>SUM(D2511:D2513)</f>
        <v>0</v>
      </c>
    </row>
    <row r="2511" spans="1:4" ht="12" hidden="1" customHeight="1" outlineLevel="1" x14ac:dyDescent="0.3">
      <c r="A2511" s="238"/>
      <c r="B2511" s="254">
        <v>8100</v>
      </c>
      <c r="C2511" s="255" t="s">
        <v>228</v>
      </c>
      <c r="D2511" s="260"/>
    </row>
    <row r="2512" spans="1:4" ht="12" hidden="1" customHeight="1" outlineLevel="1" x14ac:dyDescent="0.3">
      <c r="A2512" s="238"/>
      <c r="B2512" s="254">
        <v>8600</v>
      </c>
      <c r="C2512" s="255" t="s">
        <v>229</v>
      </c>
      <c r="D2512" s="260"/>
    </row>
    <row r="2513" spans="1:4" ht="12" hidden="1" customHeight="1" outlineLevel="1" x14ac:dyDescent="0.3">
      <c r="A2513" s="238"/>
      <c r="B2513" s="254">
        <v>8900</v>
      </c>
      <c r="C2513" s="255" t="s">
        <v>230</v>
      </c>
      <c r="D2513" s="260"/>
    </row>
    <row r="2514" spans="1:4" ht="12" hidden="1" customHeight="1" outlineLevel="1" x14ac:dyDescent="0.3">
      <c r="A2514" s="283">
        <v>10.7</v>
      </c>
      <c r="B2514" s="257"/>
      <c r="C2514" s="258" t="s">
        <v>370</v>
      </c>
      <c r="D2514" s="259">
        <f t="shared" ref="D2514" si="237">D2515+D2531+D2545</f>
        <v>0</v>
      </c>
    </row>
    <row r="2515" spans="1:4" ht="12" hidden="1" customHeight="1" outlineLevel="1" x14ac:dyDescent="0.3">
      <c r="A2515" s="227"/>
      <c r="B2515" s="228"/>
      <c r="C2515" s="229" t="s">
        <v>198</v>
      </c>
      <c r="D2515" s="230">
        <f t="shared" ref="D2515" si="238">D2516+D2519+D2525+D2528+D2535+D2541</f>
        <v>0</v>
      </c>
    </row>
    <row r="2516" spans="1:4" ht="12" hidden="1" customHeight="1" outlineLevel="1" x14ac:dyDescent="0.3">
      <c r="A2516" s="227"/>
      <c r="B2516" s="231">
        <v>1000</v>
      </c>
      <c r="C2516" s="232" t="s">
        <v>199</v>
      </c>
      <c r="D2516" s="230">
        <f>SUM(D2517:D2518)</f>
        <v>0</v>
      </c>
    </row>
    <row r="2517" spans="1:4" ht="12" hidden="1" customHeight="1" outlineLevel="1" x14ac:dyDescent="0.3">
      <c r="A2517" s="227"/>
      <c r="B2517" s="234">
        <v>1100</v>
      </c>
      <c r="C2517" s="235" t="s">
        <v>200</v>
      </c>
      <c r="D2517" s="236"/>
    </row>
    <row r="2518" spans="1:4" ht="12" hidden="1" customHeight="1" outlineLevel="1" x14ac:dyDescent="0.3">
      <c r="A2518" s="227"/>
      <c r="B2518" s="234">
        <v>1200</v>
      </c>
      <c r="C2518" s="237" t="s">
        <v>201</v>
      </c>
      <c r="D2518" s="236"/>
    </row>
    <row r="2519" spans="1:4" ht="12" hidden="1" customHeight="1" outlineLevel="1" x14ac:dyDescent="0.3">
      <c r="A2519" s="238"/>
      <c r="B2519" s="239">
        <v>2000</v>
      </c>
      <c r="C2519" s="240" t="s">
        <v>202</v>
      </c>
      <c r="D2519" s="260">
        <f>SUM(D2520:D2524)</f>
        <v>0</v>
      </c>
    </row>
    <row r="2520" spans="1:4" ht="12" hidden="1" customHeight="1" outlineLevel="1" x14ac:dyDescent="0.3">
      <c r="A2520" s="238"/>
      <c r="B2520" s="242">
        <v>2100</v>
      </c>
      <c r="C2520" s="243" t="s">
        <v>203</v>
      </c>
      <c r="D2520" s="244"/>
    </row>
    <row r="2521" spans="1:4" ht="12" hidden="1" customHeight="1" outlineLevel="1" x14ac:dyDescent="0.3">
      <c r="A2521" s="238"/>
      <c r="B2521" s="242">
        <v>2200</v>
      </c>
      <c r="C2521" s="243" t="s">
        <v>204</v>
      </c>
      <c r="D2521" s="244"/>
    </row>
    <row r="2522" spans="1:4" ht="12" hidden="1" customHeight="1" outlineLevel="1" x14ac:dyDescent="0.3">
      <c r="A2522" s="238"/>
      <c r="B2522" s="242">
        <v>2300</v>
      </c>
      <c r="C2522" s="243" t="s">
        <v>205</v>
      </c>
      <c r="D2522" s="244"/>
    </row>
    <row r="2523" spans="1:4" ht="12" hidden="1" customHeight="1" outlineLevel="1" x14ac:dyDescent="0.3">
      <c r="A2523" s="238"/>
      <c r="B2523" s="242">
        <v>2400</v>
      </c>
      <c r="C2523" s="243" t="s">
        <v>206</v>
      </c>
      <c r="D2523" s="244"/>
    </row>
    <row r="2524" spans="1:4" ht="12" hidden="1" customHeight="1" outlineLevel="1" x14ac:dyDescent="0.3">
      <c r="A2524" s="238"/>
      <c r="B2524" s="242">
        <v>2500</v>
      </c>
      <c r="C2524" s="243" t="s">
        <v>207</v>
      </c>
      <c r="D2524" s="244"/>
    </row>
    <row r="2525" spans="1:4" ht="12" hidden="1" customHeight="1" outlineLevel="1" x14ac:dyDescent="0.3">
      <c r="A2525" s="238"/>
      <c r="B2525" s="199">
        <v>3000</v>
      </c>
      <c r="C2525" s="245" t="s">
        <v>208</v>
      </c>
      <c r="D2525" s="260">
        <f>SUM(D2526:D2527)</f>
        <v>0</v>
      </c>
    </row>
    <row r="2526" spans="1:4" ht="12" hidden="1" customHeight="1" outlineLevel="1" x14ac:dyDescent="0.3">
      <c r="A2526" s="238"/>
      <c r="B2526" s="242">
        <v>3200</v>
      </c>
      <c r="C2526" s="243" t="s">
        <v>209</v>
      </c>
      <c r="D2526" s="244"/>
    </row>
    <row r="2527" spans="1:4" ht="12" hidden="1" customHeight="1" outlineLevel="1" x14ac:dyDescent="0.3">
      <c r="A2527" s="238"/>
      <c r="B2527" s="242">
        <v>3300</v>
      </c>
      <c r="C2527" s="243" t="s">
        <v>210</v>
      </c>
      <c r="D2527" s="244"/>
    </row>
    <row r="2528" spans="1:4" ht="12" hidden="1" customHeight="1" outlineLevel="1" x14ac:dyDescent="0.3">
      <c r="A2528" s="238"/>
      <c r="B2528" s="199">
        <v>4000</v>
      </c>
      <c r="C2528" s="246" t="s">
        <v>211</v>
      </c>
      <c r="D2528" s="260">
        <f>SUM(D2529:D2530)</f>
        <v>0</v>
      </c>
    </row>
    <row r="2529" spans="1:4" ht="12" hidden="1" customHeight="1" outlineLevel="1" x14ac:dyDescent="0.3">
      <c r="A2529" s="238"/>
      <c r="B2529" s="242">
        <v>4200</v>
      </c>
      <c r="C2529" s="247" t="s">
        <v>212</v>
      </c>
      <c r="D2529" s="244"/>
    </row>
    <row r="2530" spans="1:4" ht="12" hidden="1" customHeight="1" outlineLevel="1" x14ac:dyDescent="0.3">
      <c r="A2530" s="238"/>
      <c r="B2530" s="242">
        <v>4300</v>
      </c>
      <c r="C2530" s="247" t="s">
        <v>213</v>
      </c>
      <c r="D2530" s="244"/>
    </row>
    <row r="2531" spans="1:4" ht="12" hidden="1" customHeight="1" outlineLevel="1" x14ac:dyDescent="0.3">
      <c r="A2531" s="238"/>
      <c r="B2531" s="199">
        <v>5000</v>
      </c>
      <c r="C2531" s="200" t="s">
        <v>214</v>
      </c>
      <c r="D2531" s="260">
        <f>SUM(D2532:D2534)</f>
        <v>0</v>
      </c>
    </row>
    <row r="2532" spans="1:4" ht="12" hidden="1" customHeight="1" outlineLevel="1" x14ac:dyDescent="0.3">
      <c r="A2532" s="238"/>
      <c r="B2532" s="242">
        <v>5100</v>
      </c>
      <c r="C2532" s="248" t="s">
        <v>215</v>
      </c>
      <c r="D2532" s="260"/>
    </row>
    <row r="2533" spans="1:4" ht="12" hidden="1" customHeight="1" outlineLevel="1" x14ac:dyDescent="0.3">
      <c r="A2533" s="238"/>
      <c r="B2533" s="242">
        <v>5200</v>
      </c>
      <c r="C2533" s="248" t="s">
        <v>216</v>
      </c>
      <c r="D2533" s="260"/>
    </row>
    <row r="2534" spans="1:4" ht="12" hidden="1" customHeight="1" outlineLevel="1" x14ac:dyDescent="0.3">
      <c r="A2534" s="238"/>
      <c r="B2534" s="242">
        <v>5300</v>
      </c>
      <c r="C2534" s="249" t="s">
        <v>217</v>
      </c>
      <c r="D2534" s="260"/>
    </row>
    <row r="2535" spans="1:4" ht="12" hidden="1" customHeight="1" outlineLevel="1" x14ac:dyDescent="0.3">
      <c r="A2535" s="238"/>
      <c r="B2535" s="199">
        <v>6000</v>
      </c>
      <c r="C2535" s="200" t="s">
        <v>218</v>
      </c>
      <c r="D2535" s="260">
        <f>SUM(D2536:D2539)</f>
        <v>0</v>
      </c>
    </row>
    <row r="2536" spans="1:4" ht="12" hidden="1" customHeight="1" outlineLevel="1" x14ac:dyDescent="0.3">
      <c r="A2536" s="238"/>
      <c r="B2536" s="242">
        <v>6200</v>
      </c>
      <c r="C2536" s="248" t="s">
        <v>219</v>
      </c>
      <c r="D2536" s="244"/>
    </row>
    <row r="2537" spans="1:4" ht="12" hidden="1" customHeight="1" outlineLevel="1" x14ac:dyDescent="0.3">
      <c r="A2537" s="238"/>
      <c r="B2537" s="242">
        <v>6300</v>
      </c>
      <c r="C2537" s="248" t="s">
        <v>220</v>
      </c>
      <c r="D2537" s="244"/>
    </row>
    <row r="2538" spans="1:4" ht="12" hidden="1" customHeight="1" outlineLevel="1" x14ac:dyDescent="0.3">
      <c r="A2538" s="238"/>
      <c r="B2538" s="242">
        <v>6400</v>
      </c>
      <c r="C2538" s="248" t="s">
        <v>221</v>
      </c>
      <c r="D2538" s="244"/>
    </row>
    <row r="2539" spans="1:4" ht="12" hidden="1" customHeight="1" outlineLevel="1" x14ac:dyDescent="0.3">
      <c r="A2539" s="238"/>
      <c r="B2539" s="242">
        <v>6500</v>
      </c>
      <c r="C2539" s="249" t="s">
        <v>222</v>
      </c>
      <c r="D2539" s="244"/>
    </row>
    <row r="2540" spans="1:4" ht="12" hidden="1" customHeight="1" outlineLevel="1" x14ac:dyDescent="0.3">
      <c r="A2540" s="238"/>
      <c r="B2540" s="199">
        <v>7000</v>
      </c>
      <c r="C2540" s="200" t="s">
        <v>223</v>
      </c>
      <c r="D2540" s="260">
        <f>SUM(D2541:D2543)</f>
        <v>0</v>
      </c>
    </row>
    <row r="2541" spans="1:4" ht="12" hidden="1" customHeight="1" outlineLevel="1" x14ac:dyDescent="0.3">
      <c r="A2541" s="238"/>
      <c r="B2541" s="250">
        <v>7200</v>
      </c>
      <c r="C2541" s="251" t="s">
        <v>224</v>
      </c>
      <c r="D2541" s="244"/>
    </row>
    <row r="2542" spans="1:4" ht="12" hidden="1" customHeight="1" outlineLevel="1" x14ac:dyDescent="0.3">
      <c r="A2542" s="238"/>
      <c r="B2542" s="250">
        <v>7500</v>
      </c>
      <c r="C2542" s="251" t="s">
        <v>225</v>
      </c>
      <c r="D2542" s="244"/>
    </row>
    <row r="2543" spans="1:4" ht="12" hidden="1" customHeight="1" outlineLevel="1" x14ac:dyDescent="0.3">
      <c r="A2543" s="238"/>
      <c r="B2543" s="250">
        <v>7700</v>
      </c>
      <c r="C2543" s="251" t="s">
        <v>226</v>
      </c>
      <c r="D2543" s="244"/>
    </row>
    <row r="2544" spans="1:4" ht="12" hidden="1" customHeight="1" outlineLevel="1" x14ac:dyDescent="0.3">
      <c r="A2544" s="238"/>
      <c r="B2544" s="252">
        <v>8000</v>
      </c>
      <c r="C2544" s="253" t="s">
        <v>227</v>
      </c>
      <c r="D2544" s="260">
        <f>SUM(D2545:D2547)</f>
        <v>0</v>
      </c>
    </row>
    <row r="2545" spans="1:4" ht="12" hidden="1" customHeight="1" outlineLevel="1" x14ac:dyDescent="0.3">
      <c r="A2545" s="238"/>
      <c r="B2545" s="254">
        <v>8100</v>
      </c>
      <c r="C2545" s="255" t="s">
        <v>228</v>
      </c>
      <c r="D2545" s="260"/>
    </row>
    <row r="2546" spans="1:4" ht="12" hidden="1" customHeight="1" outlineLevel="1" x14ac:dyDescent="0.3">
      <c r="A2546" s="238"/>
      <c r="B2546" s="254">
        <v>8600</v>
      </c>
      <c r="C2546" s="255" t="s">
        <v>229</v>
      </c>
      <c r="D2546" s="260"/>
    </row>
    <row r="2547" spans="1:4" ht="12" hidden="1" customHeight="1" outlineLevel="1" x14ac:dyDescent="0.3">
      <c r="A2547" s="238"/>
      <c r="B2547" s="254">
        <v>8900</v>
      </c>
      <c r="C2547" s="255" t="s">
        <v>230</v>
      </c>
      <c r="D2547" s="260"/>
    </row>
    <row r="2548" spans="1:4" ht="12" hidden="1" customHeight="1" outlineLevel="1" x14ac:dyDescent="0.3">
      <c r="A2548" s="283">
        <v>10.9</v>
      </c>
      <c r="B2548" s="257"/>
      <c r="C2548" s="258" t="s">
        <v>371</v>
      </c>
      <c r="D2548" s="259">
        <f t="shared" ref="D2548" si="239">D2549+D2565+D2578</f>
        <v>0</v>
      </c>
    </row>
    <row r="2549" spans="1:4" ht="12" hidden="1" customHeight="1" outlineLevel="1" x14ac:dyDescent="0.3">
      <c r="A2549" s="227"/>
      <c r="B2549" s="228"/>
      <c r="C2549" s="229" t="s">
        <v>198</v>
      </c>
      <c r="D2549" s="230">
        <f t="shared" ref="D2549" si="240">D2550+D2553+D2559+D2562+D2569+D2574</f>
        <v>0</v>
      </c>
    </row>
    <row r="2550" spans="1:4" ht="12" hidden="1" customHeight="1" outlineLevel="1" x14ac:dyDescent="0.3">
      <c r="A2550" s="227"/>
      <c r="B2550" s="231">
        <v>1000</v>
      </c>
      <c r="C2550" s="232" t="s">
        <v>199</v>
      </c>
      <c r="D2550" s="230">
        <f>SUM(D2551:D2552)</f>
        <v>0</v>
      </c>
    </row>
    <row r="2551" spans="1:4" ht="12" hidden="1" customHeight="1" outlineLevel="1" x14ac:dyDescent="0.3">
      <c r="A2551" s="227"/>
      <c r="B2551" s="234">
        <v>1100</v>
      </c>
      <c r="C2551" s="235" t="s">
        <v>200</v>
      </c>
      <c r="D2551" s="236"/>
    </row>
    <row r="2552" spans="1:4" ht="12" hidden="1" customHeight="1" outlineLevel="1" x14ac:dyDescent="0.3">
      <c r="A2552" s="227"/>
      <c r="B2552" s="234">
        <v>1200</v>
      </c>
      <c r="C2552" s="237" t="s">
        <v>201</v>
      </c>
      <c r="D2552" s="236"/>
    </row>
    <row r="2553" spans="1:4" ht="12" hidden="1" customHeight="1" outlineLevel="1" x14ac:dyDescent="0.3">
      <c r="A2553" s="238"/>
      <c r="B2553" s="239">
        <v>2000</v>
      </c>
      <c r="C2553" s="240" t="s">
        <v>202</v>
      </c>
      <c r="D2553" s="260">
        <f>SUM(D2554:D2558)</f>
        <v>0</v>
      </c>
    </row>
    <row r="2554" spans="1:4" ht="12" hidden="1" customHeight="1" outlineLevel="1" x14ac:dyDescent="0.3">
      <c r="A2554" s="238"/>
      <c r="B2554" s="242">
        <v>2100</v>
      </c>
      <c r="C2554" s="243" t="s">
        <v>203</v>
      </c>
      <c r="D2554" s="244"/>
    </row>
    <row r="2555" spans="1:4" ht="12" hidden="1" customHeight="1" outlineLevel="1" x14ac:dyDescent="0.3">
      <c r="A2555" s="238"/>
      <c r="B2555" s="242">
        <v>2200</v>
      </c>
      <c r="C2555" s="243" t="s">
        <v>204</v>
      </c>
      <c r="D2555" s="244"/>
    </row>
    <row r="2556" spans="1:4" ht="12" hidden="1" customHeight="1" outlineLevel="1" x14ac:dyDescent="0.3">
      <c r="A2556" s="238"/>
      <c r="B2556" s="242">
        <v>2300</v>
      </c>
      <c r="C2556" s="243" t="s">
        <v>205</v>
      </c>
      <c r="D2556" s="244"/>
    </row>
    <row r="2557" spans="1:4" ht="12" hidden="1" customHeight="1" outlineLevel="1" x14ac:dyDescent="0.3">
      <c r="A2557" s="238"/>
      <c r="B2557" s="242">
        <v>2400</v>
      </c>
      <c r="C2557" s="243" t="s">
        <v>206</v>
      </c>
      <c r="D2557" s="244"/>
    </row>
    <row r="2558" spans="1:4" ht="12" hidden="1" customHeight="1" outlineLevel="1" x14ac:dyDescent="0.3">
      <c r="A2558" s="238"/>
      <c r="B2558" s="242">
        <v>2500</v>
      </c>
      <c r="C2558" s="243" t="s">
        <v>207</v>
      </c>
      <c r="D2558" s="244"/>
    </row>
    <row r="2559" spans="1:4" ht="12" hidden="1" customHeight="1" outlineLevel="1" x14ac:dyDescent="0.3">
      <c r="A2559" s="238"/>
      <c r="B2559" s="199">
        <v>3000</v>
      </c>
      <c r="C2559" s="245" t="s">
        <v>208</v>
      </c>
      <c r="D2559" s="260">
        <f>SUM(D2560:D2561)</f>
        <v>0</v>
      </c>
    </row>
    <row r="2560" spans="1:4" ht="12" hidden="1" customHeight="1" outlineLevel="1" x14ac:dyDescent="0.3">
      <c r="A2560" s="238"/>
      <c r="B2560" s="242">
        <v>3200</v>
      </c>
      <c r="C2560" s="243" t="s">
        <v>209</v>
      </c>
      <c r="D2560" s="244"/>
    </row>
    <row r="2561" spans="1:4" ht="12" hidden="1" customHeight="1" outlineLevel="1" x14ac:dyDescent="0.3">
      <c r="A2561" s="238"/>
      <c r="B2561" s="242">
        <v>3300</v>
      </c>
      <c r="C2561" s="243" t="s">
        <v>210</v>
      </c>
      <c r="D2561" s="244"/>
    </row>
    <row r="2562" spans="1:4" ht="12" hidden="1" customHeight="1" outlineLevel="1" x14ac:dyDescent="0.3">
      <c r="A2562" s="238"/>
      <c r="B2562" s="199">
        <v>4000</v>
      </c>
      <c r="C2562" s="246" t="s">
        <v>211</v>
      </c>
      <c r="D2562" s="260">
        <f>SUM(D2563:D2564)</f>
        <v>0</v>
      </c>
    </row>
    <row r="2563" spans="1:4" ht="12" hidden="1" customHeight="1" outlineLevel="1" x14ac:dyDescent="0.3">
      <c r="A2563" s="238"/>
      <c r="B2563" s="242">
        <v>4200</v>
      </c>
      <c r="C2563" s="247" t="s">
        <v>212</v>
      </c>
      <c r="D2563" s="244"/>
    </row>
    <row r="2564" spans="1:4" ht="12" hidden="1" customHeight="1" outlineLevel="1" x14ac:dyDescent="0.3">
      <c r="A2564" s="238"/>
      <c r="B2564" s="242">
        <v>4300</v>
      </c>
      <c r="C2564" s="247" t="s">
        <v>213</v>
      </c>
      <c r="D2564" s="244"/>
    </row>
    <row r="2565" spans="1:4" ht="12" hidden="1" customHeight="1" outlineLevel="1" x14ac:dyDescent="0.3">
      <c r="A2565" s="238"/>
      <c r="B2565" s="199">
        <v>5000</v>
      </c>
      <c r="C2565" s="200" t="s">
        <v>214</v>
      </c>
      <c r="D2565" s="260">
        <f>SUM(D2566:D2568)</f>
        <v>0</v>
      </c>
    </row>
    <row r="2566" spans="1:4" ht="12" hidden="1" customHeight="1" outlineLevel="1" x14ac:dyDescent="0.3">
      <c r="A2566" s="238"/>
      <c r="B2566" s="242">
        <v>5100</v>
      </c>
      <c r="C2566" s="248" t="s">
        <v>215</v>
      </c>
      <c r="D2566" s="260"/>
    </row>
    <row r="2567" spans="1:4" ht="12" hidden="1" customHeight="1" outlineLevel="1" x14ac:dyDescent="0.3">
      <c r="A2567" s="238"/>
      <c r="B2567" s="242">
        <v>5200</v>
      </c>
      <c r="C2567" s="248" t="s">
        <v>216</v>
      </c>
      <c r="D2567" s="260"/>
    </row>
    <row r="2568" spans="1:4" ht="12" hidden="1" customHeight="1" outlineLevel="1" x14ac:dyDescent="0.3">
      <c r="A2568" s="238"/>
      <c r="B2568" s="242">
        <v>5300</v>
      </c>
      <c r="C2568" s="249" t="s">
        <v>217</v>
      </c>
      <c r="D2568" s="260"/>
    </row>
    <row r="2569" spans="1:4" ht="12" hidden="1" customHeight="1" outlineLevel="1" x14ac:dyDescent="0.3">
      <c r="A2569" s="238"/>
      <c r="B2569" s="199">
        <v>6000</v>
      </c>
      <c r="C2569" s="200" t="s">
        <v>218</v>
      </c>
      <c r="D2569" s="260">
        <f>SUM(D2570:D2573)</f>
        <v>0</v>
      </c>
    </row>
    <row r="2570" spans="1:4" ht="12" hidden="1" customHeight="1" outlineLevel="1" x14ac:dyDescent="0.3">
      <c r="A2570" s="238"/>
      <c r="B2570" s="242">
        <v>6200</v>
      </c>
      <c r="C2570" s="248" t="s">
        <v>219</v>
      </c>
      <c r="D2570" s="244"/>
    </row>
    <row r="2571" spans="1:4" ht="12" hidden="1" customHeight="1" outlineLevel="1" x14ac:dyDescent="0.3">
      <c r="A2571" s="238"/>
      <c r="B2571" s="242">
        <v>6300</v>
      </c>
      <c r="C2571" s="248" t="s">
        <v>220</v>
      </c>
      <c r="D2571" s="244"/>
    </row>
    <row r="2572" spans="1:4" ht="12" hidden="1" customHeight="1" outlineLevel="1" x14ac:dyDescent="0.3">
      <c r="A2572" s="238"/>
      <c r="B2572" s="242">
        <v>6400</v>
      </c>
      <c r="C2572" s="248" t="s">
        <v>221</v>
      </c>
      <c r="D2572" s="244"/>
    </row>
    <row r="2573" spans="1:4" ht="12" hidden="1" customHeight="1" outlineLevel="1" x14ac:dyDescent="0.3">
      <c r="A2573" s="238"/>
      <c r="B2573" s="242">
        <v>6500</v>
      </c>
      <c r="C2573" s="249" t="s">
        <v>222</v>
      </c>
      <c r="D2573" s="244"/>
    </row>
    <row r="2574" spans="1:4" ht="12" hidden="1" customHeight="1" outlineLevel="1" x14ac:dyDescent="0.3">
      <c r="A2574" s="238"/>
      <c r="B2574" s="199">
        <v>7000</v>
      </c>
      <c r="C2574" s="200" t="s">
        <v>223</v>
      </c>
      <c r="D2574" s="260">
        <f>SUM(D2575:D2577)</f>
        <v>0</v>
      </c>
    </row>
    <row r="2575" spans="1:4" ht="12" hidden="1" customHeight="1" outlineLevel="1" x14ac:dyDescent="0.3">
      <c r="A2575" s="238"/>
      <c r="B2575" s="250">
        <v>7200</v>
      </c>
      <c r="C2575" s="251" t="s">
        <v>224</v>
      </c>
      <c r="D2575" s="244"/>
    </row>
    <row r="2576" spans="1:4" ht="12" hidden="1" customHeight="1" outlineLevel="1" x14ac:dyDescent="0.3">
      <c r="A2576" s="238"/>
      <c r="B2576" s="250">
        <v>7500</v>
      </c>
      <c r="C2576" s="251" t="s">
        <v>225</v>
      </c>
      <c r="D2576" s="244"/>
    </row>
    <row r="2577" spans="1:4" ht="12" hidden="1" customHeight="1" outlineLevel="1" x14ac:dyDescent="0.3">
      <c r="A2577" s="238"/>
      <c r="B2577" s="250">
        <v>7700</v>
      </c>
      <c r="C2577" s="251" t="s">
        <v>226</v>
      </c>
      <c r="D2577" s="244"/>
    </row>
    <row r="2578" spans="1:4" ht="12" hidden="1" customHeight="1" outlineLevel="1" x14ac:dyDescent="0.3">
      <c r="A2578" s="238"/>
      <c r="B2578" s="252">
        <v>8000</v>
      </c>
      <c r="C2578" s="253" t="s">
        <v>227</v>
      </c>
      <c r="D2578" s="260">
        <f>SUM(D2579:D2581)</f>
        <v>0</v>
      </c>
    </row>
    <row r="2579" spans="1:4" ht="12" hidden="1" customHeight="1" outlineLevel="1" x14ac:dyDescent="0.3">
      <c r="A2579" s="238"/>
      <c r="B2579" s="254">
        <v>8100</v>
      </c>
      <c r="C2579" s="255" t="s">
        <v>228</v>
      </c>
      <c r="D2579" s="260"/>
    </row>
    <row r="2580" spans="1:4" ht="12" hidden="1" customHeight="1" outlineLevel="1" x14ac:dyDescent="0.3">
      <c r="A2580" s="238"/>
      <c r="B2580" s="254">
        <v>8600</v>
      </c>
      <c r="C2580" s="255" t="s">
        <v>229</v>
      </c>
      <c r="D2580" s="260"/>
    </row>
    <row r="2581" spans="1:4" ht="12" hidden="1" customHeight="1" outlineLevel="1" x14ac:dyDescent="0.3">
      <c r="A2581" s="238"/>
      <c r="B2581" s="254">
        <v>8900</v>
      </c>
      <c r="C2581" s="255" t="s">
        <v>230</v>
      </c>
      <c r="D2581" s="260"/>
    </row>
    <row r="2582" spans="1:4" ht="17.100000000000001" customHeight="1" collapsed="1" x14ac:dyDescent="0.3">
      <c r="A2582" s="284"/>
      <c r="B2582" s="285" t="s">
        <v>372</v>
      </c>
      <c r="C2582" s="286"/>
      <c r="D2582" s="222">
        <f t="shared" ref="D2582" si="241">D2583+D2599+D2612</f>
        <v>136044</v>
      </c>
    </row>
    <row r="2583" spans="1:4" ht="12" customHeight="1" x14ac:dyDescent="0.3">
      <c r="A2583" s="227"/>
      <c r="B2583" s="228"/>
      <c r="C2583" s="229" t="s">
        <v>198</v>
      </c>
      <c r="D2583" s="287">
        <f t="shared" ref="D2583" si="242">D2584+D2587+D2593+D2596+D2603+D2608</f>
        <v>136044</v>
      </c>
    </row>
    <row r="2584" spans="1:4" ht="12" hidden="1" customHeight="1" outlineLevel="1" x14ac:dyDescent="0.3">
      <c r="A2584" s="227"/>
      <c r="B2584" s="231">
        <v>1000</v>
      </c>
      <c r="C2584" s="232" t="s">
        <v>199</v>
      </c>
      <c r="D2584" s="288">
        <f>D57+D329+D499+D907+D1146+D1350+D1462+D1802+D2346</f>
        <v>0</v>
      </c>
    </row>
    <row r="2585" spans="1:4" ht="12" hidden="1" customHeight="1" outlineLevel="1" x14ac:dyDescent="0.3">
      <c r="A2585" s="227"/>
      <c r="B2585" s="234">
        <v>1100</v>
      </c>
      <c r="C2585" s="235" t="s">
        <v>200</v>
      </c>
      <c r="D2585" s="287">
        <f t="shared" ref="D2585:D2586" si="243">D58+D330+D500+D908+D1147+D1351+D1463+D1803+D2347</f>
        <v>0</v>
      </c>
    </row>
    <row r="2586" spans="1:4" ht="12" hidden="1" customHeight="1" outlineLevel="1" x14ac:dyDescent="0.3">
      <c r="A2586" s="227"/>
      <c r="B2586" s="234">
        <v>1200</v>
      </c>
      <c r="C2586" s="237" t="s">
        <v>201</v>
      </c>
      <c r="D2586" s="287">
        <f t="shared" si="243"/>
        <v>0</v>
      </c>
    </row>
    <row r="2587" spans="1:4" ht="12" hidden="1" customHeight="1" outlineLevel="1" x14ac:dyDescent="0.3">
      <c r="A2587" s="238"/>
      <c r="B2587" s="239">
        <v>2000</v>
      </c>
      <c r="C2587" s="240" t="s">
        <v>202</v>
      </c>
      <c r="D2587" s="288">
        <f>D60+D332+D502+D910+D1149+D1351+D1465+D1805+D2349</f>
        <v>0</v>
      </c>
    </row>
    <row r="2588" spans="1:4" ht="12" hidden="1" customHeight="1" outlineLevel="1" x14ac:dyDescent="0.3">
      <c r="A2588" s="238"/>
      <c r="B2588" s="242">
        <v>2100</v>
      </c>
      <c r="C2588" s="243" t="s">
        <v>203</v>
      </c>
      <c r="D2588" s="287">
        <f t="shared" ref="D2588:D2592" si="244">D61+D333+D503+D911+D1150+D1352+D1466+D1806+D2350</f>
        <v>0</v>
      </c>
    </row>
    <row r="2589" spans="1:4" ht="12" hidden="1" customHeight="1" outlineLevel="1" x14ac:dyDescent="0.3">
      <c r="A2589" s="238"/>
      <c r="B2589" s="242">
        <v>2200</v>
      </c>
      <c r="C2589" s="243" t="s">
        <v>204</v>
      </c>
      <c r="D2589" s="287">
        <f t="shared" si="244"/>
        <v>0</v>
      </c>
    </row>
    <row r="2590" spans="1:4" ht="12" hidden="1" customHeight="1" outlineLevel="1" x14ac:dyDescent="0.3">
      <c r="A2590" s="238"/>
      <c r="B2590" s="242">
        <v>2300</v>
      </c>
      <c r="C2590" s="243" t="s">
        <v>205</v>
      </c>
      <c r="D2590" s="287">
        <f t="shared" si="244"/>
        <v>0</v>
      </c>
    </row>
    <row r="2591" spans="1:4" ht="12" hidden="1" customHeight="1" outlineLevel="1" x14ac:dyDescent="0.3">
      <c r="A2591" s="238"/>
      <c r="B2591" s="242">
        <v>2400</v>
      </c>
      <c r="C2591" s="243" t="s">
        <v>206</v>
      </c>
      <c r="D2591" s="287">
        <f t="shared" si="244"/>
        <v>0</v>
      </c>
    </row>
    <row r="2592" spans="1:4" ht="12" hidden="1" customHeight="1" outlineLevel="1" x14ac:dyDescent="0.3">
      <c r="A2592" s="238"/>
      <c r="B2592" s="242">
        <v>2500</v>
      </c>
      <c r="C2592" s="243" t="s">
        <v>207</v>
      </c>
      <c r="D2592" s="287">
        <f t="shared" si="244"/>
        <v>0</v>
      </c>
    </row>
    <row r="2593" spans="1:4" ht="12" hidden="1" customHeight="1" outlineLevel="1" x14ac:dyDescent="0.3">
      <c r="A2593" s="238"/>
      <c r="B2593" s="199">
        <v>3000</v>
      </c>
      <c r="C2593" s="245" t="s">
        <v>208</v>
      </c>
      <c r="D2593" s="288">
        <f>D66+D338+D508+D916+D1155+D1352+D1471+D1811+D2355</f>
        <v>0</v>
      </c>
    </row>
    <row r="2594" spans="1:4" ht="12" hidden="1" customHeight="1" outlineLevel="1" x14ac:dyDescent="0.3">
      <c r="A2594" s="238"/>
      <c r="B2594" s="242">
        <v>3200</v>
      </c>
      <c r="C2594" s="243" t="s">
        <v>209</v>
      </c>
      <c r="D2594" s="287">
        <f t="shared" ref="D2594:D2595" si="245">D67+D339+D509+D917+D1156+D1353+D1472+D1812+D2356</f>
        <v>0</v>
      </c>
    </row>
    <row r="2595" spans="1:4" ht="12" hidden="1" customHeight="1" outlineLevel="1" x14ac:dyDescent="0.3">
      <c r="A2595" s="238"/>
      <c r="B2595" s="242">
        <v>3300</v>
      </c>
      <c r="C2595" s="243" t="s">
        <v>210</v>
      </c>
      <c r="D2595" s="287">
        <f t="shared" si="245"/>
        <v>0</v>
      </c>
    </row>
    <row r="2596" spans="1:4" ht="12" hidden="1" customHeight="1" outlineLevel="1" x14ac:dyDescent="0.3">
      <c r="A2596" s="238"/>
      <c r="B2596" s="199">
        <v>4000</v>
      </c>
      <c r="C2596" s="246" t="s">
        <v>211</v>
      </c>
      <c r="D2596" s="288">
        <f>D69+D341+D511+D919+D1158+D1353+D1474+D1814+D2358</f>
        <v>0</v>
      </c>
    </row>
    <row r="2597" spans="1:4" ht="12" hidden="1" customHeight="1" outlineLevel="1" x14ac:dyDescent="0.3">
      <c r="A2597" s="238"/>
      <c r="B2597" s="242">
        <v>4200</v>
      </c>
      <c r="C2597" s="247" t="s">
        <v>212</v>
      </c>
      <c r="D2597" s="287">
        <f t="shared" ref="D2597:D2598" si="246">D70+D342+D512+D920+D1159+D1354+D1475+D1815+D2359</f>
        <v>0</v>
      </c>
    </row>
    <row r="2598" spans="1:4" ht="12" hidden="1" customHeight="1" outlineLevel="1" x14ac:dyDescent="0.3">
      <c r="A2598" s="238"/>
      <c r="B2598" s="242">
        <v>4300</v>
      </c>
      <c r="C2598" s="247" t="s">
        <v>213</v>
      </c>
      <c r="D2598" s="287">
        <f t="shared" si="246"/>
        <v>0</v>
      </c>
    </row>
    <row r="2599" spans="1:4" ht="12" hidden="1" customHeight="1" outlineLevel="1" x14ac:dyDescent="0.3">
      <c r="A2599" s="238"/>
      <c r="B2599" s="199">
        <v>5000</v>
      </c>
      <c r="C2599" s="200" t="s">
        <v>214</v>
      </c>
      <c r="D2599" s="288">
        <f>D72+D344+D514+D922+D1161+D1354+D1477+D1817+D2361</f>
        <v>0</v>
      </c>
    </row>
    <row r="2600" spans="1:4" ht="12" hidden="1" customHeight="1" outlineLevel="1" x14ac:dyDescent="0.3">
      <c r="A2600" s="238"/>
      <c r="B2600" s="242">
        <v>5100</v>
      </c>
      <c r="C2600" s="248" t="s">
        <v>215</v>
      </c>
      <c r="D2600" s="287">
        <f t="shared" ref="D2600:D2602" si="247">D73+D345+D515+D923+D1162+D1355+D1478+D1818+D2362</f>
        <v>0</v>
      </c>
    </row>
    <row r="2601" spans="1:4" ht="12" hidden="1" customHeight="1" outlineLevel="1" x14ac:dyDescent="0.3">
      <c r="A2601" s="238"/>
      <c r="B2601" s="242">
        <v>5200</v>
      </c>
      <c r="C2601" s="248" t="s">
        <v>216</v>
      </c>
      <c r="D2601" s="287">
        <f t="shared" si="247"/>
        <v>0</v>
      </c>
    </row>
    <row r="2602" spans="1:4" ht="12" hidden="1" customHeight="1" outlineLevel="1" x14ac:dyDescent="0.3">
      <c r="A2602" s="238"/>
      <c r="B2602" s="242">
        <v>5300</v>
      </c>
      <c r="C2602" s="249" t="s">
        <v>217</v>
      </c>
      <c r="D2602" s="287">
        <f t="shared" si="247"/>
        <v>0</v>
      </c>
    </row>
    <row r="2603" spans="1:4" ht="12" customHeight="1" collapsed="1" x14ac:dyDescent="0.3">
      <c r="A2603" s="238"/>
      <c r="B2603" s="199">
        <v>6000</v>
      </c>
      <c r="C2603" s="200" t="s">
        <v>218</v>
      </c>
      <c r="D2603" s="288">
        <f>D76+D348+D518+D927+D1165+D1355+D1481+D1821+D2365</f>
        <v>136044</v>
      </c>
    </row>
    <row r="2604" spans="1:4" ht="12" customHeight="1" x14ac:dyDescent="0.3">
      <c r="A2604" s="238"/>
      <c r="B2604" s="242">
        <v>6200</v>
      </c>
      <c r="C2604" s="248" t="s">
        <v>219</v>
      </c>
      <c r="D2604" s="287">
        <f t="shared" ref="D2604:D2607" si="248">D77+D349+D519+D928+D1166+D1356+D1482+D1822+D2366</f>
        <v>136044</v>
      </c>
    </row>
    <row r="2605" spans="1:4" ht="12" hidden="1" customHeight="1" outlineLevel="1" x14ac:dyDescent="0.3">
      <c r="A2605" s="238"/>
      <c r="B2605" s="242">
        <v>6300</v>
      </c>
      <c r="C2605" s="248" t="s">
        <v>220</v>
      </c>
      <c r="D2605" s="287">
        <f t="shared" si="248"/>
        <v>0</v>
      </c>
    </row>
    <row r="2606" spans="1:4" ht="12" hidden="1" customHeight="1" outlineLevel="1" x14ac:dyDescent="0.3">
      <c r="A2606" s="238"/>
      <c r="B2606" s="242">
        <v>6400</v>
      </c>
      <c r="C2606" s="248" t="s">
        <v>221</v>
      </c>
      <c r="D2606" s="287">
        <f t="shared" si="248"/>
        <v>0</v>
      </c>
    </row>
    <row r="2607" spans="1:4" ht="12" hidden="1" customHeight="1" outlineLevel="1" x14ac:dyDescent="0.3">
      <c r="A2607" s="238"/>
      <c r="B2607" s="242">
        <v>6500</v>
      </c>
      <c r="C2607" s="249" t="s">
        <v>222</v>
      </c>
      <c r="D2607" s="287">
        <f t="shared" si="248"/>
        <v>0</v>
      </c>
    </row>
    <row r="2608" spans="1:4" ht="12" hidden="1" customHeight="1" outlineLevel="1" x14ac:dyDescent="0.3">
      <c r="A2608" s="238"/>
      <c r="B2608" s="199">
        <v>7000</v>
      </c>
      <c r="C2608" s="200" t="s">
        <v>223</v>
      </c>
      <c r="D2608" s="288">
        <f>D81+D353+D523+D932+D1170+D1356+D1486+D1826+D2370</f>
        <v>0</v>
      </c>
    </row>
    <row r="2609" spans="1:4" ht="12" hidden="1" customHeight="1" outlineLevel="1" x14ac:dyDescent="0.3">
      <c r="A2609" s="238"/>
      <c r="B2609" s="250">
        <v>7200</v>
      </c>
      <c r="C2609" s="251" t="s">
        <v>224</v>
      </c>
      <c r="D2609" s="287">
        <f t="shared" ref="D2609:D2611" si="249">D82+D354+D524+D933+D1171+D1357+D1487+D1827+D2371</f>
        <v>0</v>
      </c>
    </row>
    <row r="2610" spans="1:4" ht="12" hidden="1" customHeight="1" outlineLevel="1" x14ac:dyDescent="0.3">
      <c r="A2610" s="238"/>
      <c r="B2610" s="250">
        <v>7500</v>
      </c>
      <c r="C2610" s="251" t="s">
        <v>225</v>
      </c>
      <c r="D2610" s="287">
        <f t="shared" si="249"/>
        <v>0</v>
      </c>
    </row>
    <row r="2611" spans="1:4" ht="12" hidden="1" customHeight="1" outlineLevel="1" x14ac:dyDescent="0.3">
      <c r="A2611" s="238"/>
      <c r="B2611" s="250">
        <v>7700</v>
      </c>
      <c r="C2611" s="251" t="s">
        <v>226</v>
      </c>
      <c r="D2611" s="287">
        <f t="shared" si="249"/>
        <v>0</v>
      </c>
    </row>
    <row r="2612" spans="1:4" ht="12" hidden="1" customHeight="1" outlineLevel="1" collapsed="1" x14ac:dyDescent="0.3">
      <c r="A2612" s="238"/>
      <c r="B2612" s="252">
        <v>8000</v>
      </c>
      <c r="C2612" s="253" t="s">
        <v>227</v>
      </c>
      <c r="D2612" s="288">
        <f>D85+D357+D527+D936+D1174+D1357+D1490+D1830+D2374</f>
        <v>0</v>
      </c>
    </row>
    <row r="2613" spans="1:4" ht="12" hidden="1" customHeight="1" outlineLevel="1" x14ac:dyDescent="0.3">
      <c r="A2613" s="238"/>
      <c r="B2613" s="254">
        <v>8100</v>
      </c>
      <c r="C2613" s="255" t="s">
        <v>228</v>
      </c>
      <c r="D2613" s="287">
        <f t="shared" ref="D2613:D2615" si="250">D86+D358+D528+D937+D1175+D1358+D1491+D1831+D2375</f>
        <v>0</v>
      </c>
    </row>
    <row r="2614" spans="1:4" ht="12" hidden="1" customHeight="1" outlineLevel="1" x14ac:dyDescent="0.3">
      <c r="A2614" s="238"/>
      <c r="B2614" s="254">
        <v>8600</v>
      </c>
      <c r="C2614" s="255" t="s">
        <v>229</v>
      </c>
      <c r="D2614" s="287">
        <f t="shared" si="250"/>
        <v>0</v>
      </c>
    </row>
    <row r="2615" spans="1:4" ht="12" hidden="1" customHeight="1" outlineLevel="1" x14ac:dyDescent="0.3">
      <c r="A2615" s="238"/>
      <c r="B2615" s="254">
        <v>8900</v>
      </c>
      <c r="C2615" s="255" t="s">
        <v>230</v>
      </c>
      <c r="D2615" s="287">
        <f t="shared" si="250"/>
        <v>0</v>
      </c>
    </row>
    <row r="2616" spans="1:4" ht="17.100000000000001" hidden="1" customHeight="1" outlineLevel="1" collapsed="1" x14ac:dyDescent="0.3">
      <c r="A2616" s="284"/>
      <c r="B2616" s="289"/>
      <c r="C2616" s="286" t="s">
        <v>373</v>
      </c>
      <c r="D2616" s="290">
        <f t="shared" ref="D2616" si="251">D2617+D2620+D2623</f>
        <v>0</v>
      </c>
    </row>
    <row r="2617" spans="1:4" ht="12" hidden="1" customHeight="1" outlineLevel="1" x14ac:dyDescent="0.3">
      <c r="A2617" s="238"/>
      <c r="B2617" s="199">
        <v>9700</v>
      </c>
      <c r="C2617" s="200" t="s">
        <v>374</v>
      </c>
      <c r="D2617" s="201">
        <f t="shared" ref="D2617" si="252">SUM(D2618:D2619)</f>
        <v>0</v>
      </c>
    </row>
    <row r="2618" spans="1:4" ht="12" hidden="1" customHeight="1" outlineLevel="1" x14ac:dyDescent="0.3">
      <c r="A2618" s="238"/>
      <c r="B2618" s="291" t="s">
        <v>375</v>
      </c>
      <c r="C2618" s="292" t="s">
        <v>376</v>
      </c>
      <c r="D2618" s="293"/>
    </row>
    <row r="2619" spans="1:4" ht="12" hidden="1" customHeight="1" outlineLevel="1" x14ac:dyDescent="0.3">
      <c r="A2619" s="238"/>
      <c r="B2619" s="291" t="s">
        <v>377</v>
      </c>
      <c r="C2619" s="292" t="s">
        <v>378</v>
      </c>
      <c r="D2619" s="293"/>
    </row>
    <row r="2620" spans="1:4" ht="12" hidden="1" customHeight="1" outlineLevel="1" x14ac:dyDescent="0.3">
      <c r="A2620" s="294"/>
      <c r="B2620" s="199">
        <v>9800</v>
      </c>
      <c r="C2620" s="200" t="s">
        <v>379</v>
      </c>
      <c r="D2620" s="201">
        <f t="shared" ref="D2620" si="253">SUM(D2621:D2622)</f>
        <v>0</v>
      </c>
    </row>
    <row r="2621" spans="1:4" ht="12" hidden="1" customHeight="1" outlineLevel="1" x14ac:dyDescent="0.3">
      <c r="A2621" s="294"/>
      <c r="B2621" s="295">
        <v>9810</v>
      </c>
      <c r="C2621" s="204" t="s">
        <v>380</v>
      </c>
      <c r="D2621" s="293"/>
    </row>
    <row r="2622" spans="1:4" ht="12" hidden="1" customHeight="1" outlineLevel="1" x14ac:dyDescent="0.3">
      <c r="A2622" s="294"/>
      <c r="B2622" s="295">
        <v>9820</v>
      </c>
      <c r="C2622" s="204" t="s">
        <v>381</v>
      </c>
      <c r="D2622" s="293"/>
    </row>
    <row r="2623" spans="1:4" ht="12" hidden="1" customHeight="1" outlineLevel="1" x14ac:dyDescent="0.3">
      <c r="A2623" s="294"/>
      <c r="B2623" s="199">
        <v>9900</v>
      </c>
      <c r="C2623" s="200" t="s">
        <v>382</v>
      </c>
      <c r="D2623" s="201"/>
    </row>
    <row r="2624" spans="1:4" ht="12" hidden="1" customHeight="1" outlineLevel="1" x14ac:dyDescent="0.3">
      <c r="A2624" s="294"/>
      <c r="B2624" s="291" t="s">
        <v>383</v>
      </c>
      <c r="C2624" s="204" t="s">
        <v>384</v>
      </c>
      <c r="D2624" s="293"/>
    </row>
    <row r="2625" spans="1:4" ht="12" hidden="1" customHeight="1" outlineLevel="1" x14ac:dyDescent="0.3">
      <c r="A2625" s="294"/>
      <c r="B2625" s="295">
        <v>9930</v>
      </c>
      <c r="C2625" s="219" t="s">
        <v>385</v>
      </c>
      <c r="D2625" s="293"/>
    </row>
    <row r="2626" spans="1:4" ht="12" hidden="1" customHeight="1" outlineLevel="1" x14ac:dyDescent="0.3">
      <c r="A2626" s="294"/>
      <c r="B2626" s="296">
        <v>9950</v>
      </c>
      <c r="C2626" s="204" t="s">
        <v>386</v>
      </c>
      <c r="D2626" s="293"/>
    </row>
    <row r="2627" spans="1:4" ht="17.100000000000001" customHeight="1" collapsed="1" x14ac:dyDescent="0.3">
      <c r="A2627" s="297"/>
      <c r="B2627" s="298"/>
      <c r="C2627" s="299" t="s">
        <v>387</v>
      </c>
      <c r="D2627" s="300">
        <f>D54+D2616</f>
        <v>136044</v>
      </c>
    </row>
    <row r="2628" spans="1:4" ht="17.100000000000001" customHeight="1" x14ac:dyDescent="0.3">
      <c r="A2628" s="301"/>
      <c r="B2628" s="302"/>
      <c r="C2628" s="303" t="s">
        <v>388</v>
      </c>
      <c r="D2628" s="304">
        <v>70991</v>
      </c>
    </row>
    <row r="2629" spans="1:4" ht="17.100000000000001" customHeight="1" x14ac:dyDescent="0.3">
      <c r="A2629" s="305"/>
      <c r="B2629" s="306"/>
      <c r="C2629" s="307" t="s">
        <v>389</v>
      </c>
      <c r="D2629" s="308">
        <f>D2628+D12-D2627</f>
        <v>68391</v>
      </c>
    </row>
    <row r="2630" spans="1:4" x14ac:dyDescent="0.3">
      <c r="A2630" s="309"/>
      <c r="B2630" s="309"/>
      <c r="C2630" s="310"/>
      <c r="D2630" s="311"/>
    </row>
    <row r="2631" spans="1:4" x14ac:dyDescent="0.3">
      <c r="A2631" s="309"/>
      <c r="B2631" s="309"/>
      <c r="C2631" s="310"/>
      <c r="D2631" s="311"/>
    </row>
    <row r="2632" spans="1:4" x14ac:dyDescent="0.3">
      <c r="A2632" s="309"/>
      <c r="B2632" s="309"/>
      <c r="C2632" s="310"/>
      <c r="D2632" s="311"/>
    </row>
    <row r="2633" spans="1:4" x14ac:dyDescent="0.3">
      <c r="A2633" s="309"/>
      <c r="B2633" s="309"/>
      <c r="C2633" s="310"/>
      <c r="D2633" s="311"/>
    </row>
    <row r="2634" spans="1:4" x14ac:dyDescent="0.3">
      <c r="A2634" s="309"/>
      <c r="B2634" s="309"/>
      <c r="C2634" s="310"/>
      <c r="D2634" s="311"/>
    </row>
    <row r="2635" spans="1:4" x14ac:dyDescent="0.3">
      <c r="A2635" s="309"/>
      <c r="B2635" s="309"/>
      <c r="C2635" s="310"/>
      <c r="D2635" s="311"/>
    </row>
    <row r="2636" spans="1:4" x14ac:dyDescent="0.3">
      <c r="A2636" s="309"/>
      <c r="B2636" s="309"/>
      <c r="C2636" s="310"/>
      <c r="D2636" s="311"/>
    </row>
    <row r="2637" spans="1:4" x14ac:dyDescent="0.3">
      <c r="A2637" s="309"/>
      <c r="B2637" s="309"/>
      <c r="C2637" s="310"/>
      <c r="D2637" s="311"/>
    </row>
    <row r="2638" spans="1:4" x14ac:dyDescent="0.3">
      <c r="A2638" s="309"/>
      <c r="B2638" s="309"/>
      <c r="C2638" s="310"/>
      <c r="D2638" s="311"/>
    </row>
    <row r="2639" spans="1:4" x14ac:dyDescent="0.3">
      <c r="A2639" s="309"/>
      <c r="B2639" s="309"/>
      <c r="C2639" s="310"/>
      <c r="D2639" s="311"/>
    </row>
    <row r="2640" spans="1:4" x14ac:dyDescent="0.3">
      <c r="A2640" s="309"/>
      <c r="B2640" s="309"/>
      <c r="C2640" s="310"/>
      <c r="D2640" s="311"/>
    </row>
    <row r="2641" spans="3:4" x14ac:dyDescent="0.3">
      <c r="C2641" s="310"/>
      <c r="D2641" s="311"/>
    </row>
    <row r="2642" spans="3:4" x14ac:dyDescent="0.3">
      <c r="C2642" s="310"/>
      <c r="D2642" s="311"/>
    </row>
    <row r="2643" spans="3:4" x14ac:dyDescent="0.3">
      <c r="C2643" s="310"/>
      <c r="D2643" s="311"/>
    </row>
    <row r="2644" spans="3:4" x14ac:dyDescent="0.3">
      <c r="C2644" s="310"/>
      <c r="D2644" s="311"/>
    </row>
    <row r="2645" spans="3:4" x14ac:dyDescent="0.3">
      <c r="C2645" s="310"/>
      <c r="D2645" s="311"/>
    </row>
  </sheetData>
  <mergeCells count="2">
    <mergeCell ref="A7:D7"/>
    <mergeCell ref="A8:D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C6065-0C91-4D84-B59A-EAD951663AA4}">
  <dimension ref="A1:Q542"/>
  <sheetViews>
    <sheetView topLeftCell="A223" zoomScale="80" zoomScaleNormal="80" workbookViewId="0">
      <selection activeCell="C243" sqref="C243:C245"/>
    </sheetView>
  </sheetViews>
  <sheetFormatPr defaultRowHeight="14.4" outlineLevelRow="1" x14ac:dyDescent="0.3"/>
  <cols>
    <col min="1" max="1" width="6.44140625" customWidth="1"/>
    <col min="2" max="2" width="10.88671875" customWidth="1"/>
    <col min="3" max="3" width="45.33203125" customWidth="1"/>
    <col min="4" max="4" width="12.109375" customWidth="1"/>
    <col min="5" max="5" width="11.6640625" customWidth="1"/>
    <col min="6" max="6" width="13" style="3" customWidth="1"/>
    <col min="7" max="7" width="15.33203125" customWidth="1"/>
    <col min="8" max="8" width="12.33203125" customWidth="1"/>
    <col min="9" max="9" width="11.6640625" customWidth="1"/>
    <col min="10" max="11" width="11" customWidth="1"/>
    <col min="12" max="12" width="10.88671875" customWidth="1"/>
    <col min="13" max="14" width="11.109375" customWidth="1"/>
    <col min="15" max="15" width="12.109375" customWidth="1"/>
    <col min="16" max="16" width="12.88671875" customWidth="1"/>
    <col min="17" max="17" width="10.109375" customWidth="1"/>
  </cols>
  <sheetData>
    <row r="1" spans="1:16" x14ac:dyDescent="0.3">
      <c r="J1" s="4" t="s">
        <v>1053</v>
      </c>
    </row>
    <row r="2" spans="1:16" x14ac:dyDescent="0.3">
      <c r="J2" s="4" t="s">
        <v>1043</v>
      </c>
    </row>
    <row r="3" spans="1:16" x14ac:dyDescent="0.3">
      <c r="J3" s="3" t="s">
        <v>1054</v>
      </c>
    </row>
    <row r="4" spans="1:16" x14ac:dyDescent="0.3">
      <c r="J4" s="4" t="s">
        <v>1055</v>
      </c>
    </row>
    <row r="5" spans="1:16" ht="15.6" x14ac:dyDescent="0.3">
      <c r="C5" s="312" t="s">
        <v>1056</v>
      </c>
    </row>
    <row r="6" spans="1:16" ht="7.5" customHeight="1" x14ac:dyDescent="0.3"/>
    <row r="7" spans="1:16" ht="42.6" customHeight="1" x14ac:dyDescent="0.3">
      <c r="A7" s="313"/>
      <c r="B7" s="314" t="s">
        <v>390</v>
      </c>
      <c r="C7" s="314" t="s">
        <v>391</v>
      </c>
      <c r="D7" s="314" t="s">
        <v>392</v>
      </c>
      <c r="E7" s="315" t="s">
        <v>393</v>
      </c>
      <c r="F7" s="314" t="s">
        <v>394</v>
      </c>
      <c r="G7" s="314"/>
      <c r="H7" s="316">
        <v>2024</v>
      </c>
      <c r="I7" s="316">
        <v>2025</v>
      </c>
      <c r="J7" s="316">
        <v>2026</v>
      </c>
      <c r="K7" s="316">
        <v>2027</v>
      </c>
      <c r="L7" s="316">
        <v>2028</v>
      </c>
      <c r="M7" s="316">
        <v>2029</v>
      </c>
      <c r="N7" s="316">
        <v>2030</v>
      </c>
      <c r="O7" s="317" t="s">
        <v>395</v>
      </c>
      <c r="P7" s="316" t="s">
        <v>396</v>
      </c>
    </row>
    <row r="8" spans="1:16" ht="12.6" customHeight="1" x14ac:dyDescent="0.3">
      <c r="A8" s="318">
        <v>1</v>
      </c>
      <c r="B8" s="319">
        <v>2</v>
      </c>
      <c r="C8" s="319">
        <v>3</v>
      </c>
      <c r="D8" s="319">
        <v>4</v>
      </c>
      <c r="E8" s="320" t="s">
        <v>397</v>
      </c>
      <c r="F8" s="319">
        <v>6</v>
      </c>
      <c r="G8" s="321">
        <v>7</v>
      </c>
      <c r="H8" s="321">
        <v>9</v>
      </c>
      <c r="I8" s="321">
        <v>10</v>
      </c>
      <c r="J8" s="321">
        <v>11</v>
      </c>
      <c r="K8" s="321">
        <v>12</v>
      </c>
      <c r="L8" s="321">
        <v>13</v>
      </c>
      <c r="M8" s="321">
        <v>14</v>
      </c>
      <c r="N8" s="321"/>
      <c r="O8" s="321">
        <v>15</v>
      </c>
      <c r="P8" s="321">
        <v>16</v>
      </c>
    </row>
    <row r="9" spans="1:16" ht="18" customHeight="1" x14ac:dyDescent="0.3">
      <c r="A9" s="412">
        <v>1</v>
      </c>
      <c r="B9" s="413" t="s">
        <v>398</v>
      </c>
      <c r="C9" s="414" t="s">
        <v>399</v>
      </c>
      <c r="D9" s="415">
        <v>36607</v>
      </c>
      <c r="E9" s="415" t="s">
        <v>400</v>
      </c>
      <c r="F9" s="416" t="s">
        <v>401</v>
      </c>
      <c r="G9" s="322" t="s">
        <v>402</v>
      </c>
      <c r="H9" s="323">
        <v>68349</v>
      </c>
      <c r="I9" s="323">
        <v>68349</v>
      </c>
      <c r="J9" s="323">
        <v>68349</v>
      </c>
      <c r="K9" s="323">
        <v>68349</v>
      </c>
      <c r="L9" s="323">
        <v>68349</v>
      </c>
      <c r="M9" s="323">
        <v>68349</v>
      </c>
      <c r="N9" s="323">
        <v>68349</v>
      </c>
      <c r="O9" s="323">
        <f>468779-68349-68349</f>
        <v>332081</v>
      </c>
      <c r="P9" s="323">
        <f t="shared" ref="P9:P19" si="0">SUM(H9:O9)</f>
        <v>810524</v>
      </c>
    </row>
    <row r="10" spans="1:16" ht="15.75" customHeight="1" x14ac:dyDescent="0.3">
      <c r="A10" s="412"/>
      <c r="B10" s="413"/>
      <c r="C10" s="414"/>
      <c r="D10" s="415"/>
      <c r="E10" s="415"/>
      <c r="F10" s="416"/>
      <c r="G10" s="324" t="s">
        <v>403</v>
      </c>
      <c r="H10" s="325">
        <v>0</v>
      </c>
      <c r="I10" s="325">
        <v>0</v>
      </c>
      <c r="J10" s="325">
        <v>0</v>
      </c>
      <c r="K10" s="325">
        <v>0</v>
      </c>
      <c r="L10" s="325">
        <v>0</v>
      </c>
      <c r="M10" s="325">
        <v>0</v>
      </c>
      <c r="N10" s="325">
        <v>0</v>
      </c>
      <c r="O10" s="325">
        <v>0</v>
      </c>
      <c r="P10" s="325">
        <f t="shared" si="0"/>
        <v>0</v>
      </c>
    </row>
    <row r="11" spans="1:16" ht="15.75" customHeight="1" x14ac:dyDescent="0.3">
      <c r="A11" s="412"/>
      <c r="B11" s="413"/>
      <c r="C11" s="414"/>
      <c r="D11" s="415"/>
      <c r="E11" s="415"/>
      <c r="F11" s="416"/>
      <c r="G11" s="326" t="s">
        <v>404</v>
      </c>
      <c r="H11" s="327">
        <f t="shared" ref="H11:O11" si="1">SUM(H9:H10)</f>
        <v>68349</v>
      </c>
      <c r="I11" s="327">
        <f t="shared" si="1"/>
        <v>68349</v>
      </c>
      <c r="J11" s="327">
        <f t="shared" si="1"/>
        <v>68349</v>
      </c>
      <c r="K11" s="327">
        <f t="shared" si="1"/>
        <v>68349</v>
      </c>
      <c r="L11" s="327">
        <f t="shared" si="1"/>
        <v>68349</v>
      </c>
      <c r="M11" s="327">
        <f t="shared" si="1"/>
        <v>68349</v>
      </c>
      <c r="N11" s="327">
        <f t="shared" si="1"/>
        <v>68349</v>
      </c>
      <c r="O11" s="327">
        <f t="shared" si="1"/>
        <v>332081</v>
      </c>
      <c r="P11" s="327">
        <f t="shared" si="0"/>
        <v>810524</v>
      </c>
    </row>
    <row r="12" spans="1:16" ht="16.5" customHeight="1" x14ac:dyDescent="0.3">
      <c r="A12" s="412">
        <f>A9+1</f>
        <v>2</v>
      </c>
      <c r="B12" s="413" t="s">
        <v>398</v>
      </c>
      <c r="C12" s="414" t="s">
        <v>405</v>
      </c>
      <c r="D12" s="415">
        <v>38587</v>
      </c>
      <c r="E12" s="417" t="s">
        <v>406</v>
      </c>
      <c r="F12" s="328" t="s">
        <v>407</v>
      </c>
      <c r="G12" s="322" t="s">
        <v>402</v>
      </c>
      <c r="H12" s="323">
        <v>2857</v>
      </c>
      <c r="I12" s="329">
        <v>0</v>
      </c>
      <c r="J12" s="329">
        <v>0</v>
      </c>
      <c r="K12" s="329">
        <v>0</v>
      </c>
      <c r="L12" s="329">
        <v>0</v>
      </c>
      <c r="M12" s="329">
        <v>0</v>
      </c>
      <c r="N12" s="329">
        <v>0</v>
      </c>
      <c r="O12" s="329">
        <v>0</v>
      </c>
      <c r="P12" s="323">
        <f t="shared" si="0"/>
        <v>2857</v>
      </c>
    </row>
    <row r="13" spans="1:16" ht="15" customHeight="1" x14ac:dyDescent="0.3">
      <c r="A13" s="412"/>
      <c r="B13" s="413"/>
      <c r="C13" s="414"/>
      <c r="D13" s="415"/>
      <c r="E13" s="417"/>
      <c r="F13" s="330" t="s">
        <v>408</v>
      </c>
      <c r="G13" s="324" t="s">
        <v>403</v>
      </c>
      <c r="H13" s="325">
        <f>89+6</f>
        <v>95</v>
      </c>
      <c r="I13" s="331"/>
      <c r="J13" s="331"/>
      <c r="K13" s="331"/>
      <c r="L13" s="331"/>
      <c r="M13" s="331"/>
      <c r="N13" s="331"/>
      <c r="O13" s="331"/>
      <c r="P13" s="325">
        <f t="shared" si="0"/>
        <v>95</v>
      </c>
    </row>
    <row r="14" spans="1:16" ht="16.5" customHeight="1" x14ac:dyDescent="0.3">
      <c r="A14" s="412"/>
      <c r="B14" s="413"/>
      <c r="C14" s="414"/>
      <c r="D14" s="415"/>
      <c r="E14" s="417"/>
      <c r="F14" s="326"/>
      <c r="G14" s="326" t="s">
        <v>404</v>
      </c>
      <c r="H14" s="327">
        <f t="shared" ref="H14:O14" si="2">SUM(H12:H13)</f>
        <v>2952</v>
      </c>
      <c r="I14" s="327">
        <f t="shared" si="2"/>
        <v>0</v>
      </c>
      <c r="J14" s="327">
        <f t="shared" si="2"/>
        <v>0</v>
      </c>
      <c r="K14" s="327">
        <f t="shared" si="2"/>
        <v>0</v>
      </c>
      <c r="L14" s="327">
        <f t="shared" si="2"/>
        <v>0</v>
      </c>
      <c r="M14" s="327">
        <f t="shared" si="2"/>
        <v>0</v>
      </c>
      <c r="N14" s="327">
        <f>SUM(N12:N13)</f>
        <v>0</v>
      </c>
      <c r="O14" s="327">
        <f t="shared" si="2"/>
        <v>0</v>
      </c>
      <c r="P14" s="327">
        <f t="shared" si="0"/>
        <v>2952</v>
      </c>
    </row>
    <row r="15" spans="1:16" ht="19.5" customHeight="1" x14ac:dyDescent="0.3">
      <c r="A15" s="412">
        <f>A12+1</f>
        <v>3</v>
      </c>
      <c r="B15" s="413" t="s">
        <v>398</v>
      </c>
      <c r="C15" s="414" t="s">
        <v>409</v>
      </c>
      <c r="D15" s="418">
        <v>39191</v>
      </c>
      <c r="E15" s="421" t="s">
        <v>410</v>
      </c>
      <c r="F15" s="328" t="s">
        <v>411</v>
      </c>
      <c r="G15" s="322" t="s">
        <v>402</v>
      </c>
      <c r="H15" s="323">
        <f>8404-183</f>
        <v>8221</v>
      </c>
      <c r="I15" s="323">
        <v>8488</v>
      </c>
      <c r="J15" s="323">
        <v>8488</v>
      </c>
      <c r="K15" s="323">
        <v>2116</v>
      </c>
      <c r="L15" s="323">
        <v>0</v>
      </c>
      <c r="M15" s="323">
        <v>0</v>
      </c>
      <c r="N15" s="323">
        <v>0</v>
      </c>
      <c r="O15" s="329">
        <v>0</v>
      </c>
      <c r="P15" s="323">
        <f t="shared" si="0"/>
        <v>27313</v>
      </c>
    </row>
    <row r="16" spans="1:16" ht="15.75" customHeight="1" x14ac:dyDescent="0.3">
      <c r="A16" s="412"/>
      <c r="B16" s="413"/>
      <c r="C16" s="414"/>
      <c r="D16" s="419"/>
      <c r="E16" s="422"/>
      <c r="F16" s="330" t="s">
        <v>412</v>
      </c>
      <c r="G16" s="324" t="s">
        <v>403</v>
      </c>
      <c r="H16" s="325">
        <f>1046+66</f>
        <v>1112</v>
      </c>
      <c r="I16" s="325">
        <v>755</v>
      </c>
      <c r="J16" s="325">
        <v>396</v>
      </c>
      <c r="K16" s="325">
        <v>62</v>
      </c>
      <c r="L16" s="325">
        <v>0</v>
      </c>
      <c r="M16" s="325">
        <v>0</v>
      </c>
      <c r="N16" s="325">
        <v>0</v>
      </c>
      <c r="O16" s="331">
        <v>0</v>
      </c>
      <c r="P16" s="325">
        <f t="shared" si="0"/>
        <v>2325</v>
      </c>
    </row>
    <row r="17" spans="1:16" ht="15.75" customHeight="1" x14ac:dyDescent="0.3">
      <c r="A17" s="412"/>
      <c r="B17" s="413"/>
      <c r="C17" s="414"/>
      <c r="D17" s="420"/>
      <c r="E17" s="423"/>
      <c r="F17" s="326"/>
      <c r="G17" s="326" t="s">
        <v>404</v>
      </c>
      <c r="H17" s="327">
        <f t="shared" ref="H17:O17" si="3">SUM(H15:H16)</f>
        <v>9333</v>
      </c>
      <c r="I17" s="327">
        <f t="shared" si="3"/>
        <v>9243</v>
      </c>
      <c r="J17" s="327">
        <f t="shared" si="3"/>
        <v>8884</v>
      </c>
      <c r="K17" s="327">
        <f t="shared" si="3"/>
        <v>2178</v>
      </c>
      <c r="L17" s="327">
        <f t="shared" si="3"/>
        <v>0</v>
      </c>
      <c r="M17" s="327">
        <f>SUM(M15:M16)</f>
        <v>0</v>
      </c>
      <c r="N17" s="327">
        <f>SUM(N15:N16)</f>
        <v>0</v>
      </c>
      <c r="O17" s="327">
        <f t="shared" si="3"/>
        <v>0</v>
      </c>
      <c r="P17" s="327">
        <f t="shared" si="0"/>
        <v>29638</v>
      </c>
    </row>
    <row r="18" spans="1:16" ht="15" customHeight="1" x14ac:dyDescent="0.3">
      <c r="A18" s="412">
        <f>A15+1</f>
        <v>4</v>
      </c>
      <c r="B18" s="413" t="s">
        <v>398</v>
      </c>
      <c r="C18" s="414" t="s">
        <v>413</v>
      </c>
      <c r="D18" s="418">
        <v>39238</v>
      </c>
      <c r="E18" s="421" t="s">
        <v>414</v>
      </c>
      <c r="F18" s="328" t="s">
        <v>415</v>
      </c>
      <c r="G18" s="322" t="s">
        <v>402</v>
      </c>
      <c r="H18" s="323">
        <f>18725-529</f>
        <v>18196</v>
      </c>
      <c r="I18" s="323">
        <v>17044</v>
      </c>
      <c r="J18" s="323">
        <v>17044</v>
      </c>
      <c r="K18" s="323">
        <v>8515</v>
      </c>
      <c r="L18" s="323">
        <v>0</v>
      </c>
      <c r="M18" s="323">
        <v>0</v>
      </c>
      <c r="N18" s="323">
        <v>0</v>
      </c>
      <c r="O18" s="329">
        <v>0</v>
      </c>
      <c r="P18" s="323">
        <f t="shared" si="0"/>
        <v>60799</v>
      </c>
    </row>
    <row r="19" spans="1:16" ht="14.25" customHeight="1" x14ac:dyDescent="0.3">
      <c r="A19" s="412"/>
      <c r="B19" s="413"/>
      <c r="C19" s="414"/>
      <c r="D19" s="419"/>
      <c r="E19" s="422"/>
      <c r="F19" s="330" t="s">
        <v>416</v>
      </c>
      <c r="G19" s="324" t="s">
        <v>403</v>
      </c>
      <c r="H19" s="325">
        <f>2601+5</f>
        <v>2606</v>
      </c>
      <c r="I19" s="325">
        <f>1595+43</f>
        <v>1638</v>
      </c>
      <c r="J19" s="325">
        <v>937</v>
      </c>
      <c r="K19" s="325">
        <v>215</v>
      </c>
      <c r="L19" s="325">
        <v>0</v>
      </c>
      <c r="M19" s="325">
        <v>0</v>
      </c>
      <c r="N19" s="325">
        <v>0</v>
      </c>
      <c r="O19" s="331">
        <v>0</v>
      </c>
      <c r="P19" s="325">
        <f t="shared" si="0"/>
        <v>5396</v>
      </c>
    </row>
    <row r="20" spans="1:16" ht="14.25" customHeight="1" x14ac:dyDescent="0.3">
      <c r="A20" s="412"/>
      <c r="B20" s="413"/>
      <c r="C20" s="414"/>
      <c r="D20" s="420"/>
      <c r="E20" s="423"/>
      <c r="F20" s="326"/>
      <c r="G20" s="326" t="s">
        <v>404</v>
      </c>
      <c r="H20" s="327">
        <f t="shared" ref="H20:P20" si="4">SUM(H18:H19)</f>
        <v>20802</v>
      </c>
      <c r="I20" s="327">
        <f t="shared" si="4"/>
        <v>18682</v>
      </c>
      <c r="J20" s="327">
        <f t="shared" si="4"/>
        <v>17981</v>
      </c>
      <c r="K20" s="327">
        <f t="shared" si="4"/>
        <v>8730</v>
      </c>
      <c r="L20" s="327">
        <f t="shared" si="4"/>
        <v>0</v>
      </c>
      <c r="M20" s="327">
        <f>SUM(M18:M19)</f>
        <v>0</v>
      </c>
      <c r="N20" s="327">
        <f>SUM(N18:N19)</f>
        <v>0</v>
      </c>
      <c r="O20" s="327">
        <f t="shared" si="4"/>
        <v>0</v>
      </c>
      <c r="P20" s="327">
        <f t="shared" si="4"/>
        <v>66195</v>
      </c>
    </row>
    <row r="21" spans="1:16" ht="17.25" customHeight="1" x14ac:dyDescent="0.3">
      <c r="A21" s="412">
        <f>A18+1</f>
        <v>5</v>
      </c>
      <c r="B21" s="413" t="s">
        <v>398</v>
      </c>
      <c r="C21" s="414" t="s">
        <v>417</v>
      </c>
      <c r="D21" s="415">
        <v>39238</v>
      </c>
      <c r="E21" s="417" t="s">
        <v>414</v>
      </c>
      <c r="F21" s="328" t="s">
        <v>418</v>
      </c>
      <c r="G21" s="322" t="s">
        <v>402</v>
      </c>
      <c r="H21" s="323">
        <f>3745-106</f>
        <v>3639</v>
      </c>
      <c r="I21" s="323">
        <v>3412</v>
      </c>
      <c r="J21" s="323">
        <v>3412</v>
      </c>
      <c r="K21" s="329">
        <v>1696</v>
      </c>
      <c r="L21" s="329">
        <v>0</v>
      </c>
      <c r="M21" s="329">
        <v>0</v>
      </c>
      <c r="N21" s="329">
        <v>0</v>
      </c>
      <c r="O21" s="329">
        <v>0</v>
      </c>
      <c r="P21" s="323">
        <f>SUM(H21:O21)</f>
        <v>12159</v>
      </c>
    </row>
    <row r="22" spans="1:16" ht="15.75" customHeight="1" x14ac:dyDescent="0.3">
      <c r="A22" s="412"/>
      <c r="B22" s="413"/>
      <c r="C22" s="414"/>
      <c r="D22" s="415"/>
      <c r="E22" s="417"/>
      <c r="F22" s="330" t="s">
        <v>419</v>
      </c>
      <c r="G22" s="324" t="s">
        <v>403</v>
      </c>
      <c r="H22" s="325">
        <v>521</v>
      </c>
      <c r="I22" s="325">
        <v>327</v>
      </c>
      <c r="J22" s="325">
        <v>188</v>
      </c>
      <c r="K22" s="331">
        <v>43</v>
      </c>
      <c r="L22" s="331">
        <v>0</v>
      </c>
      <c r="M22" s="331">
        <v>0</v>
      </c>
      <c r="N22" s="331">
        <v>0</v>
      </c>
      <c r="O22" s="331">
        <v>0</v>
      </c>
      <c r="P22" s="325">
        <f>SUM(H22:O22)</f>
        <v>1079</v>
      </c>
    </row>
    <row r="23" spans="1:16" ht="15.75" customHeight="1" x14ac:dyDescent="0.3">
      <c r="A23" s="412"/>
      <c r="B23" s="413"/>
      <c r="C23" s="414"/>
      <c r="D23" s="415"/>
      <c r="E23" s="417"/>
      <c r="F23" s="326"/>
      <c r="G23" s="326" t="s">
        <v>404</v>
      </c>
      <c r="H23" s="327">
        <f t="shared" ref="H23:P23" si="5">SUM(H21:H22)</f>
        <v>4160</v>
      </c>
      <c r="I23" s="327">
        <f t="shared" si="5"/>
        <v>3739</v>
      </c>
      <c r="J23" s="327">
        <f t="shared" si="5"/>
        <v>3600</v>
      </c>
      <c r="K23" s="327">
        <f t="shared" si="5"/>
        <v>1739</v>
      </c>
      <c r="L23" s="327">
        <f t="shared" si="5"/>
        <v>0</v>
      </c>
      <c r="M23" s="327">
        <f>SUM(M21:M22)</f>
        <v>0</v>
      </c>
      <c r="N23" s="327">
        <f>SUM(N21:N22)</f>
        <v>0</v>
      </c>
      <c r="O23" s="327">
        <f t="shared" si="5"/>
        <v>0</v>
      </c>
      <c r="P23" s="327">
        <f t="shared" si="5"/>
        <v>13238</v>
      </c>
    </row>
    <row r="24" spans="1:16" ht="16.5" customHeight="1" x14ac:dyDescent="0.3">
      <c r="A24" s="412">
        <f>A21+1</f>
        <v>6</v>
      </c>
      <c r="B24" s="413" t="s">
        <v>398</v>
      </c>
      <c r="C24" s="414" t="s">
        <v>420</v>
      </c>
      <c r="D24" s="415">
        <v>39328</v>
      </c>
      <c r="E24" s="417" t="s">
        <v>421</v>
      </c>
      <c r="F24" s="328" t="s">
        <v>422</v>
      </c>
      <c r="G24" s="322" t="s">
        <v>402</v>
      </c>
      <c r="H24" s="323">
        <v>23523</v>
      </c>
      <c r="I24" s="323">
        <v>23523</v>
      </c>
      <c r="J24" s="323">
        <v>23523</v>
      </c>
      <c r="K24" s="323">
        <v>11684</v>
      </c>
      <c r="L24" s="323">
        <v>0</v>
      </c>
      <c r="M24" s="323">
        <v>0</v>
      </c>
      <c r="N24" s="323">
        <v>0</v>
      </c>
      <c r="O24" s="329">
        <v>0</v>
      </c>
      <c r="P24" s="323">
        <f>SUM(H24:O24)</f>
        <v>82253</v>
      </c>
    </row>
    <row r="25" spans="1:16" ht="16.5" customHeight="1" x14ac:dyDescent="0.3">
      <c r="A25" s="412"/>
      <c r="B25" s="413"/>
      <c r="C25" s="414"/>
      <c r="D25" s="415"/>
      <c r="E25" s="417"/>
      <c r="F25" s="330" t="s">
        <v>423</v>
      </c>
      <c r="G25" s="324" t="s">
        <v>403</v>
      </c>
      <c r="H25" s="325">
        <f>898+200</f>
        <v>1098</v>
      </c>
      <c r="I25" s="325">
        <v>1518</v>
      </c>
      <c r="J25" s="325">
        <v>1224</v>
      </c>
      <c r="K25" s="325">
        <v>320</v>
      </c>
      <c r="L25" s="325">
        <v>0</v>
      </c>
      <c r="M25" s="325">
        <v>0</v>
      </c>
      <c r="N25" s="325">
        <v>0</v>
      </c>
      <c r="O25" s="331">
        <v>0</v>
      </c>
      <c r="P25" s="325">
        <f>SUM(H25:O25)</f>
        <v>4160</v>
      </c>
    </row>
    <row r="26" spans="1:16" ht="15.75" customHeight="1" x14ac:dyDescent="0.3">
      <c r="A26" s="412"/>
      <c r="B26" s="413"/>
      <c r="C26" s="414"/>
      <c r="D26" s="415"/>
      <c r="E26" s="417"/>
      <c r="F26" s="326"/>
      <c r="G26" s="326" t="s">
        <v>404</v>
      </c>
      <c r="H26" s="327">
        <f t="shared" ref="H26:P26" si="6">SUM(H24:H25)</f>
        <v>24621</v>
      </c>
      <c r="I26" s="327">
        <f t="shared" si="6"/>
        <v>25041</v>
      </c>
      <c r="J26" s="327">
        <f t="shared" si="6"/>
        <v>24747</v>
      </c>
      <c r="K26" s="327">
        <f t="shared" si="6"/>
        <v>12004</v>
      </c>
      <c r="L26" s="327">
        <f t="shared" si="6"/>
        <v>0</v>
      </c>
      <c r="M26" s="327">
        <f>SUM(M24:M25)</f>
        <v>0</v>
      </c>
      <c r="N26" s="327">
        <f>SUM(N24:N25)</f>
        <v>0</v>
      </c>
      <c r="O26" s="327">
        <f t="shared" si="6"/>
        <v>0</v>
      </c>
      <c r="P26" s="327">
        <f t="shared" si="6"/>
        <v>86413</v>
      </c>
    </row>
    <row r="27" spans="1:16" ht="17.25" customHeight="1" x14ac:dyDescent="0.3">
      <c r="A27" s="412">
        <f>A24+1</f>
        <v>7</v>
      </c>
      <c r="B27" s="413" t="s">
        <v>398</v>
      </c>
      <c r="C27" s="424" t="s">
        <v>424</v>
      </c>
      <c r="D27" s="415">
        <v>39328</v>
      </c>
      <c r="E27" s="417" t="s">
        <v>425</v>
      </c>
      <c r="F27" s="328" t="s">
        <v>426</v>
      </c>
      <c r="G27" s="322" t="s">
        <v>402</v>
      </c>
      <c r="H27" s="323">
        <f>33204-2374</f>
        <v>30830</v>
      </c>
      <c r="I27" s="323">
        <v>34128</v>
      </c>
      <c r="J27" s="323">
        <v>34128</v>
      </c>
      <c r="K27" s="323">
        <v>17060</v>
      </c>
      <c r="L27" s="323">
        <v>0</v>
      </c>
      <c r="M27" s="323">
        <v>0</v>
      </c>
      <c r="N27" s="323">
        <v>0</v>
      </c>
      <c r="O27" s="329">
        <v>0</v>
      </c>
      <c r="P27" s="323">
        <f>SUM(H27:O27)</f>
        <v>116146</v>
      </c>
    </row>
    <row r="28" spans="1:16" ht="15.75" customHeight="1" x14ac:dyDescent="0.3">
      <c r="A28" s="412"/>
      <c r="B28" s="413"/>
      <c r="C28" s="424"/>
      <c r="D28" s="415"/>
      <c r="E28" s="417"/>
      <c r="F28" s="330" t="s">
        <v>427</v>
      </c>
      <c r="G28" s="324" t="s">
        <v>403</v>
      </c>
      <c r="H28" s="325">
        <f>4285+282+20+1</f>
        <v>4588</v>
      </c>
      <c r="I28" s="325">
        <v>3277</v>
      </c>
      <c r="J28" s="325">
        <v>1886</v>
      </c>
      <c r="K28" s="325">
        <v>465</v>
      </c>
      <c r="L28" s="325">
        <v>0</v>
      </c>
      <c r="M28" s="325">
        <v>0</v>
      </c>
      <c r="N28" s="325">
        <v>0</v>
      </c>
      <c r="O28" s="331">
        <v>0</v>
      </c>
      <c r="P28" s="325">
        <f>SUM(H28:O28)</f>
        <v>10216</v>
      </c>
    </row>
    <row r="29" spans="1:16" ht="15" customHeight="1" x14ac:dyDescent="0.3">
      <c r="A29" s="412"/>
      <c r="B29" s="413"/>
      <c r="C29" s="424"/>
      <c r="D29" s="415"/>
      <c r="E29" s="417"/>
      <c r="F29" s="326"/>
      <c r="G29" s="326" t="s">
        <v>404</v>
      </c>
      <c r="H29" s="327">
        <f t="shared" ref="H29:O29" si="7">SUM(H27:H28)</f>
        <v>35418</v>
      </c>
      <c r="I29" s="327">
        <f t="shared" si="7"/>
        <v>37405</v>
      </c>
      <c r="J29" s="327">
        <f t="shared" si="7"/>
        <v>36014</v>
      </c>
      <c r="K29" s="327">
        <f t="shared" si="7"/>
        <v>17525</v>
      </c>
      <c r="L29" s="327">
        <f t="shared" si="7"/>
        <v>0</v>
      </c>
      <c r="M29" s="327">
        <f>SUM(M27:M28)</f>
        <v>0</v>
      </c>
      <c r="N29" s="327">
        <f>SUM(N27:N28)</f>
        <v>0</v>
      </c>
      <c r="O29" s="327">
        <f t="shared" si="7"/>
        <v>0</v>
      </c>
      <c r="P29" s="327">
        <f>SUM(P27:P28)</f>
        <v>126362</v>
      </c>
    </row>
    <row r="30" spans="1:16" ht="17.25" customHeight="1" x14ac:dyDescent="0.3">
      <c r="A30" s="412">
        <f>A27+1</f>
        <v>8</v>
      </c>
      <c r="B30" s="413" t="s">
        <v>398</v>
      </c>
      <c r="C30" s="414" t="s">
        <v>409</v>
      </c>
      <c r="D30" s="415">
        <v>39356</v>
      </c>
      <c r="E30" s="417" t="s">
        <v>428</v>
      </c>
      <c r="F30" s="328" t="s">
        <v>429</v>
      </c>
      <c r="G30" s="322" t="s">
        <v>402</v>
      </c>
      <c r="H30" s="323">
        <f>16344-81</f>
        <v>16263</v>
      </c>
      <c r="I30" s="323">
        <v>16376</v>
      </c>
      <c r="J30" s="323">
        <v>16376</v>
      </c>
      <c r="K30" s="323">
        <v>12275</v>
      </c>
      <c r="L30" s="323">
        <v>0</v>
      </c>
      <c r="M30" s="323">
        <v>0</v>
      </c>
      <c r="N30" s="323"/>
      <c r="O30" s="329">
        <v>0</v>
      </c>
      <c r="P30" s="323">
        <f>SUM(H30:O30)</f>
        <v>61290</v>
      </c>
    </row>
    <row r="31" spans="1:16" ht="15.75" customHeight="1" x14ac:dyDescent="0.3">
      <c r="A31" s="412"/>
      <c r="B31" s="413"/>
      <c r="C31" s="414"/>
      <c r="D31" s="415"/>
      <c r="E31" s="417"/>
      <c r="F31" s="330" t="s">
        <v>430</v>
      </c>
      <c r="G31" s="324" t="s">
        <v>403</v>
      </c>
      <c r="H31" s="325">
        <f>2330+148</f>
        <v>2478</v>
      </c>
      <c r="I31" s="325">
        <v>1735</v>
      </c>
      <c r="J31" s="325">
        <v>1067</v>
      </c>
      <c r="K31" s="325">
        <v>399</v>
      </c>
      <c r="L31" s="325">
        <v>0</v>
      </c>
      <c r="M31" s="325">
        <v>0</v>
      </c>
      <c r="N31" s="325"/>
      <c r="O31" s="331">
        <v>0</v>
      </c>
      <c r="P31" s="325">
        <f>SUM(H31:O31)</f>
        <v>5679</v>
      </c>
    </row>
    <row r="32" spans="1:16" ht="15" customHeight="1" x14ac:dyDescent="0.3">
      <c r="A32" s="412"/>
      <c r="B32" s="413"/>
      <c r="C32" s="414"/>
      <c r="D32" s="415"/>
      <c r="E32" s="417"/>
      <c r="F32" s="326"/>
      <c r="G32" s="326" t="s">
        <v>404</v>
      </c>
      <c r="H32" s="327">
        <f t="shared" ref="H32:O32" si="8">SUM(H30:H31)</f>
        <v>18741</v>
      </c>
      <c r="I32" s="327">
        <f t="shared" si="8"/>
        <v>18111</v>
      </c>
      <c r="J32" s="327">
        <f t="shared" si="8"/>
        <v>17443</v>
      </c>
      <c r="K32" s="327">
        <f t="shared" si="8"/>
        <v>12674</v>
      </c>
      <c r="L32" s="327">
        <f t="shared" si="8"/>
        <v>0</v>
      </c>
      <c r="M32" s="327">
        <f>SUM(M30:M31)</f>
        <v>0</v>
      </c>
      <c r="N32" s="327"/>
      <c r="O32" s="327">
        <f t="shared" si="8"/>
        <v>0</v>
      </c>
      <c r="P32" s="327">
        <f>SUM(H32:O32)</f>
        <v>66969</v>
      </c>
    </row>
    <row r="33" spans="1:16" ht="17.25" customHeight="1" x14ac:dyDescent="0.3">
      <c r="A33" s="412">
        <f>A30+1</f>
        <v>9</v>
      </c>
      <c r="B33" s="413" t="s">
        <v>398</v>
      </c>
      <c r="C33" s="424" t="s">
        <v>431</v>
      </c>
      <c r="D33" s="415">
        <v>39434</v>
      </c>
      <c r="E33" s="417" t="s">
        <v>432</v>
      </c>
      <c r="F33" s="332" t="s">
        <v>433</v>
      </c>
      <c r="G33" s="322" t="s">
        <v>402</v>
      </c>
      <c r="H33" s="323">
        <f>45532-1962</f>
        <v>43570</v>
      </c>
      <c r="I33" s="323">
        <v>56148</v>
      </c>
      <c r="J33" s="323">
        <v>56148</v>
      </c>
      <c r="K33" s="323">
        <v>56139</v>
      </c>
      <c r="L33" s="323">
        <v>0</v>
      </c>
      <c r="M33" s="323">
        <v>0</v>
      </c>
      <c r="N33" s="323">
        <v>1</v>
      </c>
      <c r="O33" s="329">
        <v>0</v>
      </c>
      <c r="P33" s="323">
        <f>SUM(H33:O33)</f>
        <v>212006</v>
      </c>
    </row>
    <row r="34" spans="1:16" ht="16.5" customHeight="1" x14ac:dyDescent="0.3">
      <c r="A34" s="412"/>
      <c r="B34" s="413"/>
      <c r="C34" s="424"/>
      <c r="D34" s="415"/>
      <c r="E34" s="417"/>
      <c r="F34" s="330" t="s">
        <v>434</v>
      </c>
      <c r="G34" s="324" t="s">
        <v>403</v>
      </c>
      <c r="H34" s="325">
        <f>8245+521+53-57</f>
        <v>8762</v>
      </c>
      <c r="I34" s="325">
        <v>6762</v>
      </c>
      <c r="J34" s="325">
        <v>4409</v>
      </c>
      <c r="K34" s="325">
        <v>2019</v>
      </c>
      <c r="L34" s="325">
        <v>131</v>
      </c>
      <c r="M34" s="325"/>
      <c r="N34" s="325"/>
      <c r="O34" s="331">
        <v>0</v>
      </c>
      <c r="P34" s="325">
        <f>SUM(H34:O34)</f>
        <v>22083</v>
      </c>
    </row>
    <row r="35" spans="1:16" ht="15" customHeight="1" x14ac:dyDescent="0.3">
      <c r="A35" s="412"/>
      <c r="B35" s="425"/>
      <c r="C35" s="426"/>
      <c r="D35" s="418"/>
      <c r="E35" s="421"/>
      <c r="F35" s="333"/>
      <c r="G35" s="333" t="s">
        <v>404</v>
      </c>
      <c r="H35" s="327">
        <f t="shared" ref="H35:P35" si="9">SUM(H33:H34)</f>
        <v>52332</v>
      </c>
      <c r="I35" s="327">
        <f t="shared" si="9"/>
        <v>62910</v>
      </c>
      <c r="J35" s="327">
        <f t="shared" si="9"/>
        <v>60557</v>
      </c>
      <c r="K35" s="327">
        <f t="shared" si="9"/>
        <v>58158</v>
      </c>
      <c r="L35" s="327">
        <f t="shared" si="9"/>
        <v>131</v>
      </c>
      <c r="M35" s="327">
        <f t="shared" si="9"/>
        <v>0</v>
      </c>
      <c r="N35" s="327">
        <f>SUM(N33:N34)</f>
        <v>1</v>
      </c>
      <c r="O35" s="327">
        <f t="shared" si="9"/>
        <v>0</v>
      </c>
      <c r="P35" s="327">
        <f t="shared" si="9"/>
        <v>234089</v>
      </c>
    </row>
    <row r="36" spans="1:16" ht="17.25" customHeight="1" x14ac:dyDescent="0.3">
      <c r="A36" s="412">
        <f>A33+1</f>
        <v>10</v>
      </c>
      <c r="B36" s="413" t="s">
        <v>398</v>
      </c>
      <c r="C36" s="424" t="s">
        <v>435</v>
      </c>
      <c r="D36" s="415">
        <v>39556</v>
      </c>
      <c r="E36" s="417" t="s">
        <v>436</v>
      </c>
      <c r="F36" s="332" t="s">
        <v>437</v>
      </c>
      <c r="G36" s="322" t="s">
        <v>402</v>
      </c>
      <c r="H36" s="323">
        <f>110871-1-10031</f>
        <v>100839</v>
      </c>
      <c r="I36" s="323">
        <v>105836</v>
      </c>
      <c r="J36" s="323">
        <v>105836</v>
      </c>
      <c r="K36" s="323">
        <v>105836</v>
      </c>
      <c r="L36" s="323">
        <f>26459+26449</f>
        <v>52908</v>
      </c>
      <c r="M36" s="323">
        <v>0</v>
      </c>
      <c r="N36" s="323"/>
      <c r="O36" s="323">
        <v>0</v>
      </c>
      <c r="P36" s="323">
        <f>SUM(H36:O36)</f>
        <v>471255</v>
      </c>
    </row>
    <row r="37" spans="1:16" ht="17.25" customHeight="1" x14ac:dyDescent="0.3">
      <c r="A37" s="412"/>
      <c r="B37" s="413"/>
      <c r="C37" s="424"/>
      <c r="D37" s="415"/>
      <c r="E37" s="417"/>
      <c r="F37" s="330" t="s">
        <v>438</v>
      </c>
      <c r="G37" s="324" t="s">
        <v>403</v>
      </c>
      <c r="H37" s="325">
        <f>17532+1153+88-1</f>
        <v>18772</v>
      </c>
      <c r="I37" s="325">
        <f>13623+896</f>
        <v>14519</v>
      </c>
      <c r="J37" s="325">
        <f>9566+629</f>
        <v>10195</v>
      </c>
      <c r="K37" s="325">
        <f>5486+361</f>
        <v>5847</v>
      </c>
      <c r="L37" s="325">
        <f>1265+83</f>
        <v>1348</v>
      </c>
      <c r="M37" s="325"/>
      <c r="N37" s="325"/>
      <c r="O37" s="325"/>
      <c r="P37" s="325">
        <f>SUM(H37:O37)</f>
        <v>50681</v>
      </c>
    </row>
    <row r="38" spans="1:16" ht="17.25" customHeight="1" x14ac:dyDescent="0.3">
      <c r="A38" s="412"/>
      <c r="B38" s="413"/>
      <c r="C38" s="424"/>
      <c r="D38" s="415"/>
      <c r="E38" s="417"/>
      <c r="F38" s="326"/>
      <c r="G38" s="326" t="s">
        <v>404</v>
      </c>
      <c r="H38" s="327">
        <f t="shared" ref="H38:P38" si="10">SUM(H36:H37)</f>
        <v>119611</v>
      </c>
      <c r="I38" s="327">
        <f t="shared" si="10"/>
        <v>120355</v>
      </c>
      <c r="J38" s="327">
        <f t="shared" si="10"/>
        <v>116031</v>
      </c>
      <c r="K38" s="327">
        <f t="shared" si="10"/>
        <v>111683</v>
      </c>
      <c r="L38" s="327">
        <f t="shared" si="10"/>
        <v>54256</v>
      </c>
      <c r="M38" s="327">
        <f t="shared" si="10"/>
        <v>0</v>
      </c>
      <c r="N38" s="327"/>
      <c r="O38" s="327">
        <f t="shared" si="10"/>
        <v>0</v>
      </c>
      <c r="P38" s="327">
        <f t="shared" si="10"/>
        <v>521936</v>
      </c>
    </row>
    <row r="39" spans="1:16" ht="17.25" customHeight="1" x14ac:dyDescent="0.3">
      <c r="A39" s="412">
        <f>A36+1</f>
        <v>11</v>
      </c>
      <c r="B39" s="413" t="s">
        <v>398</v>
      </c>
      <c r="C39" s="414" t="s">
        <v>1057</v>
      </c>
      <c r="D39" s="415">
        <v>39575</v>
      </c>
      <c r="E39" s="417" t="s">
        <v>439</v>
      </c>
      <c r="F39" s="328" t="s">
        <v>440</v>
      </c>
      <c r="G39" s="322" t="s">
        <v>402</v>
      </c>
      <c r="H39" s="323">
        <v>40654</v>
      </c>
      <c r="I39" s="323">
        <v>40654</v>
      </c>
      <c r="J39" s="323">
        <v>40654</v>
      </c>
      <c r="K39" s="323">
        <v>40654</v>
      </c>
      <c r="L39" s="323">
        <v>40654</v>
      </c>
      <c r="M39" s="323">
        <v>40654</v>
      </c>
      <c r="N39" s="323">
        <v>40654</v>
      </c>
      <c r="O39" s="323">
        <f>142272-40654</f>
        <v>101618</v>
      </c>
      <c r="P39" s="323">
        <f>SUM(H39:O39)</f>
        <v>386196</v>
      </c>
    </row>
    <row r="40" spans="1:16" ht="17.25" customHeight="1" x14ac:dyDescent="0.3">
      <c r="A40" s="412"/>
      <c r="B40" s="413"/>
      <c r="C40" s="414"/>
      <c r="D40" s="415"/>
      <c r="E40" s="417"/>
      <c r="F40" s="330" t="s">
        <v>441</v>
      </c>
      <c r="G40" s="324" t="s">
        <v>403</v>
      </c>
      <c r="H40" s="325">
        <f>4341+965</f>
        <v>5306</v>
      </c>
      <c r="I40" s="325">
        <v>9655</v>
      </c>
      <c r="J40" s="325">
        <f>10804+6+757</f>
        <v>11567</v>
      </c>
      <c r="K40" s="325">
        <f>9332+5+654</f>
        <v>9991</v>
      </c>
      <c r="L40" s="325">
        <f>7880+4+552</f>
        <v>8436</v>
      </c>
      <c r="M40" s="325">
        <f>6387+3+447</f>
        <v>6837</v>
      </c>
      <c r="N40" s="325">
        <f>4916+3+344</f>
        <v>5263</v>
      </c>
      <c r="O40" s="325">
        <v>6304</v>
      </c>
      <c r="P40" s="325">
        <f>SUM(H40:O40)</f>
        <v>63359</v>
      </c>
    </row>
    <row r="41" spans="1:16" ht="17.25" customHeight="1" x14ac:dyDescent="0.3">
      <c r="A41" s="412"/>
      <c r="B41" s="425"/>
      <c r="C41" s="427"/>
      <c r="D41" s="418"/>
      <c r="E41" s="421"/>
      <c r="F41" s="333"/>
      <c r="G41" s="333" t="s">
        <v>404</v>
      </c>
      <c r="H41" s="327">
        <f t="shared" ref="H41:P41" si="11">SUM(H39:H40)</f>
        <v>45960</v>
      </c>
      <c r="I41" s="327">
        <f t="shared" si="11"/>
        <v>50309</v>
      </c>
      <c r="J41" s="327">
        <f t="shared" si="11"/>
        <v>52221</v>
      </c>
      <c r="K41" s="327">
        <f t="shared" si="11"/>
        <v>50645</v>
      </c>
      <c r="L41" s="327">
        <f t="shared" si="11"/>
        <v>49090</v>
      </c>
      <c r="M41" s="327">
        <f t="shared" si="11"/>
        <v>47491</v>
      </c>
      <c r="N41" s="327">
        <f t="shared" si="11"/>
        <v>45917</v>
      </c>
      <c r="O41" s="327">
        <f t="shared" si="11"/>
        <v>107922</v>
      </c>
      <c r="P41" s="327">
        <f t="shared" si="11"/>
        <v>449555</v>
      </c>
    </row>
    <row r="42" spans="1:16" ht="17.25" customHeight="1" x14ac:dyDescent="0.3">
      <c r="A42" s="412">
        <f>A39+1</f>
        <v>12</v>
      </c>
      <c r="B42" s="413" t="s">
        <v>398</v>
      </c>
      <c r="C42" s="414" t="s">
        <v>442</v>
      </c>
      <c r="D42" s="415">
        <v>39596</v>
      </c>
      <c r="E42" s="417" t="s">
        <v>439</v>
      </c>
      <c r="F42" s="328" t="s">
        <v>443</v>
      </c>
      <c r="G42" s="322" t="s">
        <v>402</v>
      </c>
      <c r="H42" s="323">
        <f>17302-2338</f>
        <v>14964</v>
      </c>
      <c r="I42" s="323">
        <v>17012</v>
      </c>
      <c r="J42" s="323">
        <v>17012</v>
      </c>
      <c r="K42" s="323">
        <v>17012</v>
      </c>
      <c r="L42" s="323">
        <v>17012</v>
      </c>
      <c r="M42" s="323">
        <v>17012</v>
      </c>
      <c r="N42" s="323">
        <v>17012</v>
      </c>
      <c r="O42" s="323">
        <f>42520</f>
        <v>42520</v>
      </c>
      <c r="P42" s="323">
        <f>SUM(H42:O42)</f>
        <v>159556</v>
      </c>
    </row>
    <row r="43" spans="1:16" ht="17.25" customHeight="1" x14ac:dyDescent="0.3">
      <c r="A43" s="412"/>
      <c r="B43" s="413"/>
      <c r="C43" s="414"/>
      <c r="D43" s="415"/>
      <c r="E43" s="417"/>
      <c r="F43" s="330" t="s">
        <v>444</v>
      </c>
      <c r="G43" s="324" t="s">
        <v>403</v>
      </c>
      <c r="H43" s="325">
        <f>6655+399+22</f>
        <v>7076</v>
      </c>
      <c r="I43" s="325">
        <v>5805</v>
      </c>
      <c r="J43" s="325">
        <f>4787+317</f>
        <v>5104</v>
      </c>
      <c r="K43" s="325">
        <f>4135+274</f>
        <v>4409</v>
      </c>
      <c r="L43" s="325">
        <f>3491+231</f>
        <v>3722</v>
      </c>
      <c r="M43" s="325">
        <f>2830+187</f>
        <v>3017</v>
      </c>
      <c r="N43" s="325">
        <f>2178+144</f>
        <v>2322</v>
      </c>
      <c r="O43" s="325">
        <f>2608+173</f>
        <v>2781</v>
      </c>
      <c r="P43" s="325">
        <f>SUM(H43:O43)</f>
        <v>34236</v>
      </c>
    </row>
    <row r="44" spans="1:16" ht="17.25" customHeight="1" x14ac:dyDescent="0.3">
      <c r="A44" s="412"/>
      <c r="B44" s="413"/>
      <c r="C44" s="414"/>
      <c r="D44" s="415"/>
      <c r="E44" s="417"/>
      <c r="F44" s="326"/>
      <c r="G44" s="326" t="s">
        <v>404</v>
      </c>
      <c r="H44" s="327">
        <f t="shared" ref="H44:P44" si="12">SUM(H42:H43)</f>
        <v>22040</v>
      </c>
      <c r="I44" s="327">
        <f t="shared" si="12"/>
        <v>22817</v>
      </c>
      <c r="J44" s="327">
        <f t="shared" si="12"/>
        <v>22116</v>
      </c>
      <c r="K44" s="327">
        <f t="shared" si="12"/>
        <v>21421</v>
      </c>
      <c r="L44" s="327">
        <f t="shared" si="12"/>
        <v>20734</v>
      </c>
      <c r="M44" s="327">
        <f t="shared" si="12"/>
        <v>20029</v>
      </c>
      <c r="N44" s="327">
        <f t="shared" si="12"/>
        <v>19334</v>
      </c>
      <c r="O44" s="327">
        <f t="shared" si="12"/>
        <v>45301</v>
      </c>
      <c r="P44" s="327">
        <f t="shared" si="12"/>
        <v>193792</v>
      </c>
    </row>
    <row r="45" spans="1:16" ht="16.5" customHeight="1" x14ac:dyDescent="0.3">
      <c r="A45" s="412">
        <f>A42+1</f>
        <v>13</v>
      </c>
      <c r="B45" s="413" t="s">
        <v>398</v>
      </c>
      <c r="C45" s="424" t="s">
        <v>431</v>
      </c>
      <c r="D45" s="415">
        <v>39597</v>
      </c>
      <c r="E45" s="417" t="s">
        <v>445</v>
      </c>
      <c r="F45" s="328" t="s">
        <v>446</v>
      </c>
      <c r="G45" s="322" t="s">
        <v>402</v>
      </c>
      <c r="H45" s="323">
        <f>28458-1689</f>
        <v>26769</v>
      </c>
      <c r="I45" s="323">
        <f>28457+423</f>
        <v>28880</v>
      </c>
      <c r="J45" s="323">
        <f>28457+423</f>
        <v>28880</v>
      </c>
      <c r="K45" s="323">
        <f>34149+419</f>
        <v>34568</v>
      </c>
      <c r="L45" s="323">
        <f>43540+424</f>
        <v>43964</v>
      </c>
      <c r="M45" s="323">
        <v>0</v>
      </c>
      <c r="N45" s="323">
        <v>0</v>
      </c>
      <c r="O45" s="323">
        <v>0</v>
      </c>
      <c r="P45" s="323">
        <f>SUM(H45:O45)</f>
        <v>163061</v>
      </c>
    </row>
    <row r="46" spans="1:16" ht="16.5" customHeight="1" x14ac:dyDescent="0.3">
      <c r="A46" s="412"/>
      <c r="B46" s="413"/>
      <c r="C46" s="424"/>
      <c r="D46" s="415"/>
      <c r="E46" s="417"/>
      <c r="F46" s="330" t="s">
        <v>447</v>
      </c>
      <c r="G46" s="324" t="s">
        <v>403</v>
      </c>
      <c r="H46" s="325">
        <f>6383+403+43-45</f>
        <v>6784</v>
      </c>
      <c r="I46" s="325">
        <f>5266+334</f>
        <v>5600</v>
      </c>
      <c r="J46" s="325">
        <f>4118+261</f>
        <v>4379</v>
      </c>
      <c r="K46" s="325">
        <f>2915+185</f>
        <v>3100</v>
      </c>
      <c r="L46" s="325">
        <f>1467+93</f>
        <v>1560</v>
      </c>
      <c r="M46" s="334">
        <f>60+4</f>
        <v>64</v>
      </c>
      <c r="N46" s="325">
        <v>0</v>
      </c>
      <c r="O46" s="325">
        <v>0</v>
      </c>
      <c r="P46" s="325">
        <f>SUM(H46:O46)</f>
        <v>21487</v>
      </c>
    </row>
    <row r="47" spans="1:16" ht="16.5" customHeight="1" x14ac:dyDescent="0.3">
      <c r="A47" s="412"/>
      <c r="B47" s="413"/>
      <c r="C47" s="424"/>
      <c r="D47" s="415"/>
      <c r="E47" s="417"/>
      <c r="F47" s="326"/>
      <c r="G47" s="326" t="s">
        <v>404</v>
      </c>
      <c r="H47" s="327">
        <f t="shared" ref="H47:P47" si="13">SUM(H45:H46)</f>
        <v>33553</v>
      </c>
      <c r="I47" s="327">
        <f t="shared" si="13"/>
        <v>34480</v>
      </c>
      <c r="J47" s="327">
        <f t="shared" si="13"/>
        <v>33259</v>
      </c>
      <c r="K47" s="327">
        <f t="shared" si="13"/>
        <v>37668</v>
      </c>
      <c r="L47" s="327">
        <f t="shared" si="13"/>
        <v>45524</v>
      </c>
      <c r="M47" s="327">
        <f t="shared" si="13"/>
        <v>64</v>
      </c>
      <c r="N47" s="327">
        <f t="shared" si="13"/>
        <v>0</v>
      </c>
      <c r="O47" s="327">
        <f t="shared" si="13"/>
        <v>0</v>
      </c>
      <c r="P47" s="327">
        <f t="shared" si="13"/>
        <v>184548</v>
      </c>
    </row>
    <row r="48" spans="1:16" ht="19.5" customHeight="1" x14ac:dyDescent="0.3">
      <c r="A48" s="412">
        <f>A45+1</f>
        <v>14</v>
      </c>
      <c r="B48" s="413" t="s">
        <v>398</v>
      </c>
      <c r="C48" s="424" t="s">
        <v>448</v>
      </c>
      <c r="D48" s="415">
        <v>39632</v>
      </c>
      <c r="E48" s="417" t="s">
        <v>449</v>
      </c>
      <c r="F48" s="332" t="s">
        <v>450</v>
      </c>
      <c r="G48" s="322" t="s">
        <v>402</v>
      </c>
      <c r="H48" s="323">
        <f>8822-1965.8</f>
        <v>6856.2</v>
      </c>
      <c r="I48" s="323">
        <v>9052</v>
      </c>
      <c r="J48" s="323">
        <v>9052</v>
      </c>
      <c r="K48" s="323">
        <v>9052</v>
      </c>
      <c r="L48" s="323">
        <v>9052</v>
      </c>
      <c r="M48" s="323">
        <v>9052</v>
      </c>
      <c r="N48" s="323">
        <v>9052</v>
      </c>
      <c r="O48" s="323">
        <f>22040+585</f>
        <v>22625</v>
      </c>
      <c r="P48" s="323">
        <f>SUM(H48:O48)</f>
        <v>83793.2</v>
      </c>
    </row>
    <row r="49" spans="1:16" ht="16.95" customHeight="1" x14ac:dyDescent="0.3">
      <c r="A49" s="412"/>
      <c r="B49" s="413"/>
      <c r="C49" s="414"/>
      <c r="D49" s="415"/>
      <c r="E49" s="417"/>
      <c r="F49" s="330" t="s">
        <v>451</v>
      </c>
      <c r="G49" s="324" t="s">
        <v>403</v>
      </c>
      <c r="H49" s="325">
        <f>3183+210+17</f>
        <v>3410</v>
      </c>
      <c r="I49" s="325">
        <f>2905+191</f>
        <v>3096</v>
      </c>
      <c r="J49" s="325">
        <f>2561+169</f>
        <v>2730</v>
      </c>
      <c r="K49" s="325">
        <f>2212+146</f>
        <v>2358</v>
      </c>
      <c r="L49" s="325">
        <f>1822+123</f>
        <v>1945</v>
      </c>
      <c r="M49" s="325">
        <f>1355+100</f>
        <v>1455</v>
      </c>
      <c r="N49" s="325">
        <f>1043+77</f>
        <v>1120</v>
      </c>
      <c r="O49" s="325">
        <f>1262+93</f>
        <v>1355</v>
      </c>
      <c r="P49" s="325">
        <f>SUM(H49:O49)</f>
        <v>17469</v>
      </c>
    </row>
    <row r="50" spans="1:16" ht="16.2" customHeight="1" x14ac:dyDescent="0.3">
      <c r="A50" s="412"/>
      <c r="B50" s="413"/>
      <c r="C50" s="414"/>
      <c r="D50" s="415"/>
      <c r="E50" s="417"/>
      <c r="F50" s="326"/>
      <c r="G50" s="326" t="s">
        <v>404</v>
      </c>
      <c r="H50" s="327">
        <f t="shared" ref="H50:P50" si="14">SUM(H48:H49)</f>
        <v>10266.200000000001</v>
      </c>
      <c r="I50" s="327">
        <f t="shared" si="14"/>
        <v>12148</v>
      </c>
      <c r="J50" s="327">
        <f t="shared" si="14"/>
        <v>11782</v>
      </c>
      <c r="K50" s="327">
        <f t="shared" si="14"/>
        <v>11410</v>
      </c>
      <c r="L50" s="327">
        <f t="shared" si="14"/>
        <v>10997</v>
      </c>
      <c r="M50" s="327">
        <f t="shared" si="14"/>
        <v>10507</v>
      </c>
      <c r="N50" s="327">
        <f t="shared" si="14"/>
        <v>10172</v>
      </c>
      <c r="O50" s="327">
        <f t="shared" si="14"/>
        <v>23980</v>
      </c>
      <c r="P50" s="327">
        <f t="shared" si="14"/>
        <v>101262.2</v>
      </c>
    </row>
    <row r="51" spans="1:16" ht="19.5" customHeight="1" x14ac:dyDescent="0.3">
      <c r="A51" s="412">
        <f>A48+1</f>
        <v>15</v>
      </c>
      <c r="B51" s="413" t="s">
        <v>398</v>
      </c>
      <c r="C51" s="414" t="s">
        <v>452</v>
      </c>
      <c r="D51" s="415">
        <v>39749</v>
      </c>
      <c r="E51" s="417" t="s">
        <v>453</v>
      </c>
      <c r="F51" s="332" t="s">
        <v>454</v>
      </c>
      <c r="G51" s="322" t="s">
        <v>402</v>
      </c>
      <c r="H51" s="323">
        <f>59561-2874</f>
        <v>56687</v>
      </c>
      <c r="I51" s="323">
        <v>60276</v>
      </c>
      <c r="J51" s="323">
        <v>60276</v>
      </c>
      <c r="K51" s="323">
        <v>60276</v>
      </c>
      <c r="L51" s="323">
        <v>60269</v>
      </c>
      <c r="M51" s="323">
        <v>0</v>
      </c>
      <c r="N51" s="323">
        <v>0</v>
      </c>
      <c r="O51" s="323">
        <v>0</v>
      </c>
      <c r="P51" s="323">
        <f>SUM(H51:O51)</f>
        <v>297784</v>
      </c>
    </row>
    <row r="52" spans="1:16" ht="16.95" customHeight="1" x14ac:dyDescent="0.3">
      <c r="A52" s="412"/>
      <c r="B52" s="413"/>
      <c r="C52" s="414"/>
      <c r="D52" s="415"/>
      <c r="E52" s="417"/>
      <c r="F52" s="330" t="s">
        <v>455</v>
      </c>
      <c r="G52" s="324" t="s">
        <v>403</v>
      </c>
      <c r="H52" s="325">
        <f>11609+733+75-80</f>
        <v>12337</v>
      </c>
      <c r="I52" s="325">
        <f>9258+587</f>
        <v>9845</v>
      </c>
      <c r="J52" s="325">
        <f>6861+435</f>
        <v>7296</v>
      </c>
      <c r="K52" s="325">
        <f>4449+282</f>
        <v>4731</v>
      </c>
      <c r="L52" s="325">
        <f>2039+129</f>
        <v>2168</v>
      </c>
      <c r="M52" s="325">
        <v>140</v>
      </c>
      <c r="N52" s="325">
        <v>0</v>
      </c>
      <c r="O52" s="325">
        <v>0</v>
      </c>
      <c r="P52" s="325">
        <f>SUM(H52:O52)</f>
        <v>36517</v>
      </c>
    </row>
    <row r="53" spans="1:16" ht="18" customHeight="1" x14ac:dyDescent="0.3">
      <c r="A53" s="412"/>
      <c r="B53" s="413"/>
      <c r="C53" s="414"/>
      <c r="D53" s="415"/>
      <c r="E53" s="417"/>
      <c r="F53" s="326"/>
      <c r="G53" s="326" t="s">
        <v>404</v>
      </c>
      <c r="H53" s="327">
        <f t="shared" ref="H53:P53" si="15">SUM(H51:H52)</f>
        <v>69024</v>
      </c>
      <c r="I53" s="327">
        <f t="shared" si="15"/>
        <v>70121</v>
      </c>
      <c r="J53" s="327">
        <f t="shared" si="15"/>
        <v>67572</v>
      </c>
      <c r="K53" s="327">
        <f t="shared" si="15"/>
        <v>65007</v>
      </c>
      <c r="L53" s="327">
        <f t="shared" si="15"/>
        <v>62437</v>
      </c>
      <c r="M53" s="327">
        <f t="shared" si="15"/>
        <v>140</v>
      </c>
      <c r="N53" s="327">
        <f>SUM(N51:N52)</f>
        <v>0</v>
      </c>
      <c r="O53" s="327">
        <f t="shared" si="15"/>
        <v>0</v>
      </c>
      <c r="P53" s="327">
        <f t="shared" si="15"/>
        <v>334301</v>
      </c>
    </row>
    <row r="54" spans="1:16" ht="17.399999999999999" customHeight="1" x14ac:dyDescent="0.3">
      <c r="A54" s="428">
        <f>A51+1</f>
        <v>16</v>
      </c>
      <c r="B54" s="425" t="s">
        <v>398</v>
      </c>
      <c r="C54" s="427" t="s">
        <v>1058</v>
      </c>
      <c r="D54" s="418">
        <v>39794</v>
      </c>
      <c r="E54" s="421" t="s">
        <v>456</v>
      </c>
      <c r="F54" s="332" t="s">
        <v>457</v>
      </c>
      <c r="G54" s="322" t="s">
        <v>402</v>
      </c>
      <c r="H54" s="323">
        <v>5538</v>
      </c>
      <c r="I54" s="323">
        <v>5538</v>
      </c>
      <c r="J54" s="323">
        <v>5538</v>
      </c>
      <c r="K54" s="323">
        <v>5538</v>
      </c>
      <c r="L54" s="323">
        <v>5538</v>
      </c>
      <c r="M54" s="323">
        <v>5538</v>
      </c>
      <c r="N54" s="323">
        <v>5538</v>
      </c>
      <c r="O54" s="323">
        <f>49720-5538</f>
        <v>44182</v>
      </c>
      <c r="P54" s="323">
        <f>SUM(H54:O54)</f>
        <v>82948</v>
      </c>
    </row>
    <row r="55" spans="1:16" ht="17.25" customHeight="1" x14ac:dyDescent="0.3">
      <c r="A55" s="429"/>
      <c r="B55" s="431"/>
      <c r="C55" s="433"/>
      <c r="D55" s="419"/>
      <c r="E55" s="422"/>
      <c r="F55" s="330" t="s">
        <v>458</v>
      </c>
      <c r="G55" s="324" t="s">
        <v>403</v>
      </c>
      <c r="H55" s="325">
        <f>938+209</f>
        <v>1147</v>
      </c>
      <c r="I55" s="325">
        <f>1994+194</f>
        <v>2188</v>
      </c>
      <c r="J55" s="325">
        <f>2571+180</f>
        <v>2751</v>
      </c>
      <c r="K55" s="325">
        <f>2369+166</f>
        <v>2535</v>
      </c>
      <c r="L55" s="325">
        <f>2175+152</f>
        <v>2327</v>
      </c>
      <c r="M55" s="325">
        <f>1969+138</f>
        <v>2107</v>
      </c>
      <c r="N55" s="325">
        <f>1768+124</f>
        <v>1892</v>
      </c>
      <c r="O55" s="325">
        <v>7435</v>
      </c>
      <c r="P55" s="325">
        <f>SUM(H55:O55)</f>
        <v>22382</v>
      </c>
    </row>
    <row r="56" spans="1:16" ht="17.25" customHeight="1" x14ac:dyDescent="0.3">
      <c r="A56" s="430"/>
      <c r="B56" s="432"/>
      <c r="C56" s="434"/>
      <c r="D56" s="420"/>
      <c r="E56" s="423"/>
      <c r="F56" s="333"/>
      <c r="G56" s="333" t="s">
        <v>404</v>
      </c>
      <c r="H56" s="327">
        <f t="shared" ref="H56:P56" si="16">SUM(H54:H55)</f>
        <v>6685</v>
      </c>
      <c r="I56" s="327">
        <f t="shared" si="16"/>
        <v>7726</v>
      </c>
      <c r="J56" s="327">
        <f t="shared" si="16"/>
        <v>8289</v>
      </c>
      <c r="K56" s="327">
        <f t="shared" si="16"/>
        <v>8073</v>
      </c>
      <c r="L56" s="327">
        <f t="shared" si="16"/>
        <v>7865</v>
      </c>
      <c r="M56" s="327">
        <f t="shared" si="16"/>
        <v>7645</v>
      </c>
      <c r="N56" s="327">
        <f t="shared" si="16"/>
        <v>7430</v>
      </c>
      <c r="O56" s="327">
        <f t="shared" si="16"/>
        <v>51617</v>
      </c>
      <c r="P56" s="327">
        <f t="shared" si="16"/>
        <v>105330</v>
      </c>
    </row>
    <row r="57" spans="1:16" ht="18.600000000000001" customHeight="1" x14ac:dyDescent="0.3">
      <c r="A57" s="428">
        <f>A54+1</f>
        <v>17</v>
      </c>
      <c r="B57" s="425" t="s">
        <v>398</v>
      </c>
      <c r="C57" s="427" t="s">
        <v>459</v>
      </c>
      <c r="D57" s="418">
        <v>39920</v>
      </c>
      <c r="E57" s="421" t="s">
        <v>460</v>
      </c>
      <c r="F57" s="332" t="s">
        <v>461</v>
      </c>
      <c r="G57" s="322" t="s">
        <v>402</v>
      </c>
      <c r="H57" s="323">
        <v>3136</v>
      </c>
      <c r="I57" s="323">
        <v>3136</v>
      </c>
      <c r="J57" s="323">
        <v>3136</v>
      </c>
      <c r="K57" s="323">
        <v>3136</v>
      </c>
      <c r="L57" s="323">
        <v>3136</v>
      </c>
      <c r="M57" s="323">
        <v>784</v>
      </c>
      <c r="N57" s="329">
        <v>0</v>
      </c>
      <c r="O57" s="329">
        <v>0</v>
      </c>
      <c r="P57" s="323">
        <f>SUM(H57:O57)</f>
        <v>16464</v>
      </c>
    </row>
    <row r="58" spans="1:16" ht="16.5" customHeight="1" x14ac:dyDescent="0.3">
      <c r="A58" s="429"/>
      <c r="B58" s="431"/>
      <c r="C58" s="433"/>
      <c r="D58" s="419"/>
      <c r="E58" s="422"/>
      <c r="F58" s="330" t="s">
        <v>462</v>
      </c>
      <c r="G58" s="324" t="s">
        <v>403</v>
      </c>
      <c r="H58" s="325">
        <f>728</f>
        <v>728</v>
      </c>
      <c r="I58" s="325">
        <v>584</v>
      </c>
      <c r="J58" s="325">
        <v>442</v>
      </c>
      <c r="K58" s="325">
        <v>299</v>
      </c>
      <c r="L58" s="325">
        <v>156</v>
      </c>
      <c r="M58" s="325">
        <v>24</v>
      </c>
      <c r="N58" s="331">
        <v>0</v>
      </c>
      <c r="O58" s="331">
        <v>0</v>
      </c>
      <c r="P58" s="325">
        <f>SUM(H58:O58)</f>
        <v>2233</v>
      </c>
    </row>
    <row r="59" spans="1:16" ht="16.5" customHeight="1" x14ac:dyDescent="0.3">
      <c r="A59" s="430"/>
      <c r="B59" s="432"/>
      <c r="C59" s="434"/>
      <c r="D59" s="420"/>
      <c r="E59" s="423"/>
      <c r="F59" s="326"/>
      <c r="G59" s="326" t="s">
        <v>404</v>
      </c>
      <c r="H59" s="327">
        <f t="shared" ref="H59:P59" si="17">SUM(H57:H58)</f>
        <v>3864</v>
      </c>
      <c r="I59" s="327">
        <f t="shared" si="17"/>
        <v>3720</v>
      </c>
      <c r="J59" s="327">
        <f t="shared" si="17"/>
        <v>3578</v>
      </c>
      <c r="K59" s="327">
        <f t="shared" si="17"/>
        <v>3435</v>
      </c>
      <c r="L59" s="327">
        <f t="shared" si="17"/>
        <v>3292</v>
      </c>
      <c r="M59" s="327">
        <f t="shared" si="17"/>
        <v>808</v>
      </c>
      <c r="N59" s="327">
        <f t="shared" si="17"/>
        <v>0</v>
      </c>
      <c r="O59" s="327">
        <f t="shared" si="17"/>
        <v>0</v>
      </c>
      <c r="P59" s="327">
        <f t="shared" si="17"/>
        <v>18697</v>
      </c>
    </row>
    <row r="60" spans="1:16" ht="18.600000000000001" customHeight="1" x14ac:dyDescent="0.3">
      <c r="A60" s="428">
        <f>A57+1</f>
        <v>18</v>
      </c>
      <c r="B60" s="425" t="s">
        <v>398</v>
      </c>
      <c r="C60" s="427" t="s">
        <v>463</v>
      </c>
      <c r="D60" s="418">
        <v>39961</v>
      </c>
      <c r="E60" s="421" t="s">
        <v>464</v>
      </c>
      <c r="F60" s="332" t="s">
        <v>465</v>
      </c>
      <c r="G60" s="322" t="s">
        <v>402</v>
      </c>
      <c r="H60" s="323">
        <v>9838</v>
      </c>
      <c r="I60" s="336">
        <v>0</v>
      </c>
      <c r="J60" s="336">
        <v>0</v>
      </c>
      <c r="K60" s="336">
        <v>0</v>
      </c>
      <c r="L60" s="336">
        <v>0</v>
      </c>
      <c r="M60" s="336">
        <v>0</v>
      </c>
      <c r="N60" s="336">
        <v>0</v>
      </c>
      <c r="O60" s="336">
        <v>0</v>
      </c>
      <c r="P60" s="323">
        <f>SUM(H60:O60)</f>
        <v>9838</v>
      </c>
    </row>
    <row r="61" spans="1:16" ht="16.95" customHeight="1" x14ac:dyDescent="0.3">
      <c r="A61" s="429"/>
      <c r="B61" s="431"/>
      <c r="C61" s="433"/>
      <c r="D61" s="419"/>
      <c r="E61" s="422"/>
      <c r="F61" s="330" t="s">
        <v>466</v>
      </c>
      <c r="G61" s="324" t="s">
        <v>403</v>
      </c>
      <c r="H61" s="325">
        <v>293</v>
      </c>
      <c r="I61" s="337">
        <v>0</v>
      </c>
      <c r="J61" s="337">
        <v>0</v>
      </c>
      <c r="K61" s="337">
        <v>0</v>
      </c>
      <c r="L61" s="337">
        <v>0</v>
      </c>
      <c r="M61" s="337">
        <v>0</v>
      </c>
      <c r="N61" s="337">
        <v>0</v>
      </c>
      <c r="O61" s="337">
        <v>0</v>
      </c>
      <c r="P61" s="325">
        <f>SUM(H61:O61)</f>
        <v>293</v>
      </c>
    </row>
    <row r="62" spans="1:16" ht="15" customHeight="1" x14ac:dyDescent="0.3">
      <c r="A62" s="430"/>
      <c r="B62" s="432"/>
      <c r="C62" s="434"/>
      <c r="D62" s="420"/>
      <c r="E62" s="423"/>
      <c r="F62" s="326"/>
      <c r="G62" s="326" t="s">
        <v>404</v>
      </c>
      <c r="H62" s="327">
        <f t="shared" ref="H62:P62" si="18">SUM(H60:H61)</f>
        <v>10131</v>
      </c>
      <c r="I62" s="327">
        <f t="shared" si="18"/>
        <v>0</v>
      </c>
      <c r="J62" s="327">
        <f t="shared" si="18"/>
        <v>0</v>
      </c>
      <c r="K62" s="327">
        <f t="shared" si="18"/>
        <v>0</v>
      </c>
      <c r="L62" s="327">
        <f t="shared" si="18"/>
        <v>0</v>
      </c>
      <c r="M62" s="327">
        <f t="shared" si="18"/>
        <v>0</v>
      </c>
      <c r="N62" s="327">
        <f>SUM(N60:N61)</f>
        <v>0</v>
      </c>
      <c r="O62" s="327">
        <f t="shared" si="18"/>
        <v>0</v>
      </c>
      <c r="P62" s="327">
        <f t="shared" si="18"/>
        <v>10131</v>
      </c>
    </row>
    <row r="63" spans="1:16" ht="18" customHeight="1" x14ac:dyDescent="0.3">
      <c r="A63" s="412">
        <f>A60+1</f>
        <v>19</v>
      </c>
      <c r="B63" s="413" t="s">
        <v>398</v>
      </c>
      <c r="C63" s="414" t="s">
        <v>467</v>
      </c>
      <c r="D63" s="415">
        <v>39994</v>
      </c>
      <c r="E63" s="417" t="s">
        <v>468</v>
      </c>
      <c r="F63" s="332" t="s">
        <v>469</v>
      </c>
      <c r="G63" s="322" t="s">
        <v>402</v>
      </c>
      <c r="H63" s="323">
        <f>3676-205</f>
        <v>3471</v>
      </c>
      <c r="I63" s="323">
        <v>3724</v>
      </c>
      <c r="J63" s="323">
        <v>3724</v>
      </c>
      <c r="K63" s="323">
        <v>3724</v>
      </c>
      <c r="L63" s="323">
        <v>3724</v>
      </c>
      <c r="M63" s="323">
        <v>1851</v>
      </c>
      <c r="N63" s="323">
        <v>0</v>
      </c>
      <c r="O63" s="323">
        <v>0</v>
      </c>
      <c r="P63" s="323">
        <f>SUM(H63:O63)</f>
        <v>20218</v>
      </c>
    </row>
    <row r="64" spans="1:16" ht="17.399999999999999" customHeight="1" x14ac:dyDescent="0.3">
      <c r="A64" s="412"/>
      <c r="B64" s="413"/>
      <c r="C64" s="414"/>
      <c r="D64" s="415"/>
      <c r="E64" s="417"/>
      <c r="F64" s="330" t="s">
        <v>470</v>
      </c>
      <c r="G64" s="324" t="s">
        <v>403</v>
      </c>
      <c r="H64" s="325">
        <f>790+50+6-6</f>
        <v>840</v>
      </c>
      <c r="I64" s="325">
        <f>640+6+41</f>
        <v>687</v>
      </c>
      <c r="J64" s="325">
        <f>498+32</f>
        <v>530</v>
      </c>
      <c r="K64" s="325">
        <f>349+22</f>
        <v>371</v>
      </c>
      <c r="L64" s="325">
        <f>200+13</f>
        <v>213</v>
      </c>
      <c r="M64" s="325">
        <f>49+3</f>
        <v>52</v>
      </c>
      <c r="N64" s="325">
        <v>0</v>
      </c>
      <c r="O64" s="325">
        <v>0</v>
      </c>
      <c r="P64" s="325">
        <f>SUM(H64:O64)</f>
        <v>2693</v>
      </c>
    </row>
    <row r="65" spans="1:16" ht="16.95" customHeight="1" x14ac:dyDescent="0.3">
      <c r="A65" s="412"/>
      <c r="B65" s="413"/>
      <c r="C65" s="414"/>
      <c r="D65" s="415"/>
      <c r="E65" s="417"/>
      <c r="F65" s="326"/>
      <c r="G65" s="326" t="s">
        <v>404</v>
      </c>
      <c r="H65" s="327">
        <f t="shared" ref="H65:P65" si="19">SUM(H63:H64)</f>
        <v>4311</v>
      </c>
      <c r="I65" s="327">
        <f t="shared" si="19"/>
        <v>4411</v>
      </c>
      <c r="J65" s="327">
        <f t="shared" si="19"/>
        <v>4254</v>
      </c>
      <c r="K65" s="327">
        <f t="shared" si="19"/>
        <v>4095</v>
      </c>
      <c r="L65" s="327">
        <f t="shared" si="19"/>
        <v>3937</v>
      </c>
      <c r="M65" s="327">
        <f t="shared" si="19"/>
        <v>1903</v>
      </c>
      <c r="N65" s="327">
        <f t="shared" si="19"/>
        <v>0</v>
      </c>
      <c r="O65" s="327">
        <f t="shared" si="19"/>
        <v>0</v>
      </c>
      <c r="P65" s="327">
        <f t="shared" si="19"/>
        <v>22911</v>
      </c>
    </row>
    <row r="66" spans="1:16" ht="18.75" customHeight="1" x14ac:dyDescent="0.3">
      <c r="A66" s="412">
        <f>A63+1</f>
        <v>20</v>
      </c>
      <c r="B66" s="413" t="s">
        <v>398</v>
      </c>
      <c r="C66" s="414" t="s">
        <v>471</v>
      </c>
      <c r="D66" s="415">
        <v>40262</v>
      </c>
      <c r="E66" s="417" t="s">
        <v>472</v>
      </c>
      <c r="F66" s="332" t="s">
        <v>473</v>
      </c>
      <c r="G66" s="322" t="s">
        <v>402</v>
      </c>
      <c r="H66" s="338">
        <f>1844-67</f>
        <v>1777</v>
      </c>
      <c r="I66" s="323">
        <v>1856</v>
      </c>
      <c r="J66" s="323">
        <v>1856</v>
      </c>
      <c r="K66" s="323">
        <v>1856</v>
      </c>
      <c r="L66" s="323">
        <v>1856</v>
      </c>
      <c r="M66" s="323">
        <v>1856</v>
      </c>
      <c r="N66" s="323">
        <v>1851</v>
      </c>
      <c r="O66" s="323">
        <v>0</v>
      </c>
      <c r="P66" s="323">
        <f>SUM(H66:O66)</f>
        <v>12908</v>
      </c>
    </row>
    <row r="67" spans="1:16" ht="17.399999999999999" customHeight="1" x14ac:dyDescent="0.3">
      <c r="A67" s="412"/>
      <c r="B67" s="413"/>
      <c r="C67" s="414"/>
      <c r="D67" s="415"/>
      <c r="E67" s="417"/>
      <c r="F67" s="330" t="s">
        <v>474</v>
      </c>
      <c r="G67" s="324" t="s">
        <v>403</v>
      </c>
      <c r="H67" s="325">
        <f>532+4-4</f>
        <v>532</v>
      </c>
      <c r="I67" s="325">
        <f>415+27</f>
        <v>442</v>
      </c>
      <c r="J67" s="325">
        <f>344+23</f>
        <v>367</v>
      </c>
      <c r="K67" s="325">
        <f>273+18</f>
        <v>291</v>
      </c>
      <c r="L67" s="325">
        <v>216</v>
      </c>
      <c r="M67" s="325">
        <v>140</v>
      </c>
      <c r="N67" s="325">
        <v>64</v>
      </c>
      <c r="O67" s="325">
        <v>4</v>
      </c>
      <c r="P67" s="325">
        <f>SUM(H67:O67)</f>
        <v>2056</v>
      </c>
    </row>
    <row r="68" spans="1:16" ht="18" customHeight="1" x14ac:dyDescent="0.3">
      <c r="A68" s="412"/>
      <c r="B68" s="413"/>
      <c r="C68" s="414"/>
      <c r="D68" s="415"/>
      <c r="E68" s="417"/>
      <c r="F68" s="326"/>
      <c r="G68" s="326" t="s">
        <v>404</v>
      </c>
      <c r="H68" s="327">
        <f t="shared" ref="H68:P68" si="20">SUM(H66:H67)</f>
        <v>2309</v>
      </c>
      <c r="I68" s="327">
        <f t="shared" si="20"/>
        <v>2298</v>
      </c>
      <c r="J68" s="327">
        <f t="shared" si="20"/>
        <v>2223</v>
      </c>
      <c r="K68" s="327">
        <f t="shared" si="20"/>
        <v>2147</v>
      </c>
      <c r="L68" s="327">
        <f t="shared" si="20"/>
        <v>2072</v>
      </c>
      <c r="M68" s="327">
        <f t="shared" si="20"/>
        <v>1996</v>
      </c>
      <c r="N68" s="327">
        <f t="shared" si="20"/>
        <v>1915</v>
      </c>
      <c r="O68" s="327">
        <f t="shared" si="20"/>
        <v>4</v>
      </c>
      <c r="P68" s="327">
        <f t="shared" si="20"/>
        <v>14964</v>
      </c>
    </row>
    <row r="69" spans="1:16" ht="18.75" customHeight="1" x14ac:dyDescent="0.3">
      <c r="A69" s="412">
        <f>A66+1</f>
        <v>21</v>
      </c>
      <c r="B69" s="413" t="s">
        <v>398</v>
      </c>
      <c r="C69" s="414" t="s">
        <v>475</v>
      </c>
      <c r="D69" s="415">
        <v>40316</v>
      </c>
      <c r="E69" s="417" t="s">
        <v>472</v>
      </c>
      <c r="F69" s="332" t="s">
        <v>476</v>
      </c>
      <c r="G69" s="322" t="s">
        <v>402</v>
      </c>
      <c r="H69" s="323">
        <v>1368</v>
      </c>
      <c r="I69" s="323">
        <v>1368</v>
      </c>
      <c r="J69" s="323">
        <v>1368</v>
      </c>
      <c r="K69" s="323">
        <v>1368</v>
      </c>
      <c r="L69" s="323">
        <v>1368</v>
      </c>
      <c r="M69" s="323">
        <v>1368</v>
      </c>
      <c r="N69" s="323">
        <v>1368</v>
      </c>
      <c r="O69" s="323">
        <v>0</v>
      </c>
      <c r="P69" s="323">
        <f>SUM(H69:O69)</f>
        <v>9576</v>
      </c>
    </row>
    <row r="70" spans="1:16" ht="17.399999999999999" customHeight="1" x14ac:dyDescent="0.3">
      <c r="A70" s="412"/>
      <c r="B70" s="413"/>
      <c r="C70" s="414"/>
      <c r="D70" s="415"/>
      <c r="E70" s="417"/>
      <c r="F70" s="330" t="s">
        <v>477</v>
      </c>
      <c r="G70" s="324" t="s">
        <v>403</v>
      </c>
      <c r="H70" s="325">
        <f>401-1</f>
        <v>400</v>
      </c>
      <c r="I70" s="325">
        <v>340</v>
      </c>
      <c r="J70" s="325">
        <v>282</v>
      </c>
      <c r="K70" s="325">
        <v>223</v>
      </c>
      <c r="L70" s="325">
        <v>166</v>
      </c>
      <c r="M70" s="325">
        <v>107</v>
      </c>
      <c r="N70" s="325">
        <v>49</v>
      </c>
      <c r="O70" s="325">
        <v>3</v>
      </c>
      <c r="P70" s="325">
        <f>SUM(H70:O70)</f>
        <v>1570</v>
      </c>
    </row>
    <row r="71" spans="1:16" ht="18.75" customHeight="1" x14ac:dyDescent="0.3">
      <c r="A71" s="412"/>
      <c r="B71" s="425"/>
      <c r="C71" s="427"/>
      <c r="D71" s="418"/>
      <c r="E71" s="421"/>
      <c r="F71" s="333"/>
      <c r="G71" s="333" t="s">
        <v>404</v>
      </c>
      <c r="H71" s="327">
        <f t="shared" ref="H71:P71" si="21">SUM(H69:H70)</f>
        <v>1768</v>
      </c>
      <c r="I71" s="327">
        <f t="shared" si="21"/>
        <v>1708</v>
      </c>
      <c r="J71" s="327">
        <f t="shared" si="21"/>
        <v>1650</v>
      </c>
      <c r="K71" s="327">
        <f t="shared" si="21"/>
        <v>1591</v>
      </c>
      <c r="L71" s="327">
        <f t="shared" si="21"/>
        <v>1534</v>
      </c>
      <c r="M71" s="327">
        <f t="shared" si="21"/>
        <v>1475</v>
      </c>
      <c r="N71" s="327">
        <f t="shared" si="21"/>
        <v>1417</v>
      </c>
      <c r="O71" s="327">
        <f t="shared" si="21"/>
        <v>3</v>
      </c>
      <c r="P71" s="327">
        <f t="shared" si="21"/>
        <v>11146</v>
      </c>
    </row>
    <row r="72" spans="1:16" ht="20.399999999999999" customHeight="1" x14ac:dyDescent="0.3">
      <c r="A72" s="412">
        <f>A69+1</f>
        <v>22</v>
      </c>
      <c r="B72" s="413" t="s">
        <v>398</v>
      </c>
      <c r="C72" s="414" t="s">
        <v>478</v>
      </c>
      <c r="D72" s="415">
        <v>40365</v>
      </c>
      <c r="E72" s="417" t="s">
        <v>479</v>
      </c>
      <c r="F72" s="332" t="s">
        <v>480</v>
      </c>
      <c r="G72" s="322" t="s">
        <v>402</v>
      </c>
      <c r="H72" s="323">
        <f>13876-4415</f>
        <v>9461</v>
      </c>
      <c r="I72" s="323">
        <v>14168</v>
      </c>
      <c r="J72" s="323">
        <v>14168</v>
      </c>
      <c r="K72" s="323">
        <v>14168</v>
      </c>
      <c r="L72" s="323">
        <v>14168</v>
      </c>
      <c r="M72" s="323">
        <v>14168</v>
      </c>
      <c r="N72" s="323">
        <v>14168</v>
      </c>
      <c r="O72" s="323">
        <f>142229-13876+2663</f>
        <v>131016</v>
      </c>
      <c r="P72" s="323">
        <f>SUM(H72:O72)</f>
        <v>225485</v>
      </c>
    </row>
    <row r="73" spans="1:16" ht="17.399999999999999" customHeight="1" x14ac:dyDescent="0.3">
      <c r="A73" s="412"/>
      <c r="B73" s="413"/>
      <c r="C73" s="414"/>
      <c r="D73" s="415"/>
      <c r="E73" s="417"/>
      <c r="F73" s="330" t="s">
        <v>481</v>
      </c>
      <c r="G73" s="324" t="s">
        <v>403</v>
      </c>
      <c r="H73" s="325">
        <f>9147+568+51-46</f>
        <v>9720</v>
      </c>
      <c r="I73" s="325">
        <f>8181+541</f>
        <v>8722</v>
      </c>
      <c r="J73" s="325">
        <f>7649+506</f>
        <v>8155</v>
      </c>
      <c r="K73" s="325">
        <f>7106+470</f>
        <v>7576</v>
      </c>
      <c r="L73" s="325">
        <f>3580+435</f>
        <v>4015</v>
      </c>
      <c r="M73" s="325">
        <f>6019+398</f>
        <v>6417</v>
      </c>
      <c r="N73" s="325">
        <f>5476+362</f>
        <v>5838</v>
      </c>
      <c r="O73" s="325">
        <f>24982+1653</f>
        <v>26635</v>
      </c>
      <c r="P73" s="325">
        <f>SUM(H73:O73)</f>
        <v>77078</v>
      </c>
    </row>
    <row r="74" spans="1:16" ht="16.95" customHeight="1" x14ac:dyDescent="0.3">
      <c r="A74" s="412"/>
      <c r="B74" s="413"/>
      <c r="C74" s="414"/>
      <c r="D74" s="415"/>
      <c r="E74" s="417"/>
      <c r="F74" s="326"/>
      <c r="G74" s="326" t="s">
        <v>404</v>
      </c>
      <c r="H74" s="327">
        <f t="shared" ref="H74:P74" si="22">SUM(H72:H73)</f>
        <v>19181</v>
      </c>
      <c r="I74" s="327">
        <f t="shared" si="22"/>
        <v>22890</v>
      </c>
      <c r="J74" s="327">
        <f t="shared" si="22"/>
        <v>22323</v>
      </c>
      <c r="K74" s="327">
        <f t="shared" si="22"/>
        <v>21744</v>
      </c>
      <c r="L74" s="327">
        <f t="shared" si="22"/>
        <v>18183</v>
      </c>
      <c r="M74" s="327">
        <f t="shared" si="22"/>
        <v>20585</v>
      </c>
      <c r="N74" s="327">
        <f t="shared" si="22"/>
        <v>20006</v>
      </c>
      <c r="O74" s="327">
        <f t="shared" si="22"/>
        <v>157651</v>
      </c>
      <c r="P74" s="327">
        <f t="shared" si="22"/>
        <v>302563</v>
      </c>
    </row>
    <row r="75" spans="1:16" ht="16.95" customHeight="1" x14ac:dyDescent="0.3">
      <c r="A75" s="428">
        <f>A72+1</f>
        <v>23</v>
      </c>
      <c r="B75" s="425" t="s">
        <v>398</v>
      </c>
      <c r="C75" s="427" t="s">
        <v>482</v>
      </c>
      <c r="D75" s="418">
        <v>40388</v>
      </c>
      <c r="E75" s="421" t="s">
        <v>483</v>
      </c>
      <c r="F75" s="332" t="s">
        <v>484</v>
      </c>
      <c r="G75" s="322" t="s">
        <v>402</v>
      </c>
      <c r="H75" s="323">
        <v>3147</v>
      </c>
      <c r="I75" s="323">
        <v>2341</v>
      </c>
      <c r="J75" s="329">
        <v>0</v>
      </c>
      <c r="K75" s="329">
        <v>0</v>
      </c>
      <c r="L75" s="329">
        <v>0</v>
      </c>
      <c r="M75" s="329">
        <v>0</v>
      </c>
      <c r="N75" s="329">
        <v>0</v>
      </c>
      <c r="O75" s="329">
        <v>0</v>
      </c>
      <c r="P75" s="323">
        <f>SUM(H75:O75)</f>
        <v>5488</v>
      </c>
    </row>
    <row r="76" spans="1:16" ht="16.5" customHeight="1" x14ac:dyDescent="0.3">
      <c r="A76" s="429"/>
      <c r="B76" s="431"/>
      <c r="C76" s="433"/>
      <c r="D76" s="419"/>
      <c r="E76" s="422"/>
      <c r="F76" s="330" t="s">
        <v>485</v>
      </c>
      <c r="G76" s="324" t="s">
        <v>403</v>
      </c>
      <c r="H76" s="325">
        <f>143+9+70-2</f>
        <v>220</v>
      </c>
      <c r="I76" s="325">
        <v>70</v>
      </c>
      <c r="J76" s="331">
        <v>0</v>
      </c>
      <c r="K76" s="331">
        <v>0</v>
      </c>
      <c r="L76" s="331">
        <v>0</v>
      </c>
      <c r="M76" s="331">
        <v>0</v>
      </c>
      <c r="N76" s="331">
        <v>0</v>
      </c>
      <c r="O76" s="331">
        <v>0</v>
      </c>
      <c r="P76" s="325">
        <f>SUM(H76:O76)</f>
        <v>290</v>
      </c>
    </row>
    <row r="77" spans="1:16" ht="16.5" customHeight="1" x14ac:dyDescent="0.3">
      <c r="A77" s="430"/>
      <c r="B77" s="432"/>
      <c r="C77" s="434"/>
      <c r="D77" s="420"/>
      <c r="E77" s="423"/>
      <c r="F77" s="326"/>
      <c r="G77" s="326" t="s">
        <v>404</v>
      </c>
      <c r="H77" s="327">
        <f t="shared" ref="H77:P77" si="23">SUM(H75:H76)</f>
        <v>3367</v>
      </c>
      <c r="I77" s="327">
        <f t="shared" si="23"/>
        <v>2411</v>
      </c>
      <c r="J77" s="327">
        <f t="shared" si="23"/>
        <v>0</v>
      </c>
      <c r="K77" s="327">
        <f t="shared" si="23"/>
        <v>0</v>
      </c>
      <c r="L77" s="327">
        <f t="shared" si="23"/>
        <v>0</v>
      </c>
      <c r="M77" s="327">
        <f t="shared" si="23"/>
        <v>0</v>
      </c>
      <c r="N77" s="327">
        <f>SUM(N75:N76)</f>
        <v>0</v>
      </c>
      <c r="O77" s="327">
        <f t="shared" si="23"/>
        <v>0</v>
      </c>
      <c r="P77" s="327">
        <f t="shared" si="23"/>
        <v>5778</v>
      </c>
    </row>
    <row r="78" spans="1:16" ht="15" customHeight="1" x14ac:dyDescent="0.3">
      <c r="A78" s="412">
        <f>A75+1</f>
        <v>24</v>
      </c>
      <c r="B78" s="413" t="s">
        <v>398</v>
      </c>
      <c r="C78" s="414" t="s">
        <v>486</v>
      </c>
      <c r="D78" s="415">
        <v>40452</v>
      </c>
      <c r="E78" s="417" t="s">
        <v>487</v>
      </c>
      <c r="F78" s="332" t="s">
        <v>488</v>
      </c>
      <c r="G78" s="322" t="s">
        <v>402</v>
      </c>
      <c r="H78" s="323">
        <f>28987-2209</f>
        <v>26778</v>
      </c>
      <c r="I78" s="323">
        <v>29364</v>
      </c>
      <c r="J78" s="323">
        <v>29364</v>
      </c>
      <c r="K78" s="323">
        <v>29364</v>
      </c>
      <c r="L78" s="323">
        <v>29364</v>
      </c>
      <c r="M78" s="323">
        <v>29364</v>
      </c>
      <c r="N78" s="323">
        <v>22011</v>
      </c>
      <c r="O78" s="323">
        <v>0</v>
      </c>
      <c r="P78" s="323">
        <f>SUM(H78:O78)</f>
        <v>195609</v>
      </c>
    </row>
    <row r="79" spans="1:16" ht="15.75" customHeight="1" x14ac:dyDescent="0.3">
      <c r="A79" s="412"/>
      <c r="B79" s="413"/>
      <c r="C79" s="414"/>
      <c r="D79" s="415"/>
      <c r="E79" s="417"/>
      <c r="F79" s="330" t="s">
        <v>489</v>
      </c>
      <c r="G79" s="324" t="s">
        <v>403</v>
      </c>
      <c r="H79" s="325">
        <f>8155+485+22-8</f>
        <v>8654</v>
      </c>
      <c r="I79" s="325">
        <f>6287+416</f>
        <v>6703</v>
      </c>
      <c r="J79" s="325">
        <f>5170+342</f>
        <v>5512</v>
      </c>
      <c r="K79" s="325">
        <f>4044+268</f>
        <v>4312</v>
      </c>
      <c r="L79" s="325">
        <f>2925+194</f>
        <v>3119</v>
      </c>
      <c r="M79" s="325">
        <f>1791+119</f>
        <v>1910</v>
      </c>
      <c r="N79" s="325">
        <f>667+44</f>
        <v>711</v>
      </c>
      <c r="O79" s="325">
        <v>0</v>
      </c>
      <c r="P79" s="325">
        <f>SUM(H79:O79)</f>
        <v>30921</v>
      </c>
    </row>
    <row r="80" spans="1:16" ht="15.75" customHeight="1" x14ac:dyDescent="0.3">
      <c r="A80" s="412"/>
      <c r="B80" s="413"/>
      <c r="C80" s="414"/>
      <c r="D80" s="415"/>
      <c r="E80" s="417"/>
      <c r="F80" s="326"/>
      <c r="G80" s="326" t="s">
        <v>404</v>
      </c>
      <c r="H80" s="327">
        <f t="shared" ref="H80:P80" si="24">SUM(H78:H79)</f>
        <v>35432</v>
      </c>
      <c r="I80" s="327">
        <f t="shared" si="24"/>
        <v>36067</v>
      </c>
      <c r="J80" s="327">
        <f t="shared" si="24"/>
        <v>34876</v>
      </c>
      <c r="K80" s="327">
        <f t="shared" si="24"/>
        <v>33676</v>
      </c>
      <c r="L80" s="327">
        <f t="shared" si="24"/>
        <v>32483</v>
      </c>
      <c r="M80" s="327">
        <f t="shared" si="24"/>
        <v>31274</v>
      </c>
      <c r="N80" s="327">
        <f t="shared" si="24"/>
        <v>22722</v>
      </c>
      <c r="O80" s="327">
        <f t="shared" si="24"/>
        <v>0</v>
      </c>
      <c r="P80" s="327">
        <f t="shared" si="24"/>
        <v>226530</v>
      </c>
    </row>
    <row r="81" spans="1:16" ht="18" customHeight="1" x14ac:dyDescent="0.3">
      <c r="A81" s="412">
        <f>A78+1</f>
        <v>25</v>
      </c>
      <c r="B81" s="413" t="s">
        <v>398</v>
      </c>
      <c r="C81" s="414" t="s">
        <v>490</v>
      </c>
      <c r="D81" s="415">
        <v>40471</v>
      </c>
      <c r="E81" s="417" t="s">
        <v>491</v>
      </c>
      <c r="F81" s="328" t="s">
        <v>492</v>
      </c>
      <c r="G81" s="322" t="s">
        <v>402</v>
      </c>
      <c r="H81" s="323">
        <f>2100-444</f>
        <v>1656</v>
      </c>
      <c r="I81" s="323">
        <v>2128</v>
      </c>
      <c r="J81" s="323">
        <v>2128</v>
      </c>
      <c r="K81" s="323">
        <v>2128</v>
      </c>
      <c r="L81" s="323">
        <v>2128</v>
      </c>
      <c r="M81" s="323">
        <v>2128</v>
      </c>
      <c r="N81" s="323">
        <v>2128</v>
      </c>
      <c r="O81" s="323">
        <f>23100-2100+276</f>
        <v>21276</v>
      </c>
      <c r="P81" s="323">
        <f>SUM(H81:O81)</f>
        <v>35700</v>
      </c>
    </row>
    <row r="82" spans="1:16" ht="18" customHeight="1" x14ac:dyDescent="0.3">
      <c r="A82" s="412"/>
      <c r="B82" s="413"/>
      <c r="C82" s="414"/>
      <c r="D82" s="415"/>
      <c r="E82" s="417"/>
      <c r="F82" s="330" t="s">
        <v>493</v>
      </c>
      <c r="G82" s="324" t="s">
        <v>403</v>
      </c>
      <c r="H82" s="325">
        <f>1537+4</f>
        <v>1541</v>
      </c>
      <c r="I82" s="325">
        <f>1305+85</f>
        <v>1390</v>
      </c>
      <c r="J82" s="325">
        <v>1290</v>
      </c>
      <c r="K82" s="325">
        <f>1128+75</f>
        <v>1203</v>
      </c>
      <c r="L82" s="325">
        <f>1050+69</f>
        <v>1119</v>
      </c>
      <c r="M82" s="325">
        <f>965+64</f>
        <v>1029</v>
      </c>
      <c r="N82" s="325">
        <f>884+59</f>
        <v>943</v>
      </c>
      <c r="O82" s="325">
        <f>4359+289</f>
        <v>4648</v>
      </c>
      <c r="P82" s="325">
        <f>SUM(H82:O82)</f>
        <v>13163</v>
      </c>
    </row>
    <row r="83" spans="1:16" ht="18" customHeight="1" x14ac:dyDescent="0.3">
      <c r="A83" s="412"/>
      <c r="B83" s="413"/>
      <c r="C83" s="414"/>
      <c r="D83" s="415"/>
      <c r="E83" s="417"/>
      <c r="F83" s="326"/>
      <c r="G83" s="326" t="s">
        <v>404</v>
      </c>
      <c r="H83" s="327">
        <f t="shared" ref="H83:P83" si="25">SUM(H81:H82)</f>
        <v>3197</v>
      </c>
      <c r="I83" s="327">
        <f t="shared" si="25"/>
        <v>3518</v>
      </c>
      <c r="J83" s="327">
        <f t="shared" si="25"/>
        <v>3418</v>
      </c>
      <c r="K83" s="327">
        <f t="shared" si="25"/>
        <v>3331</v>
      </c>
      <c r="L83" s="327">
        <f t="shared" si="25"/>
        <v>3247</v>
      </c>
      <c r="M83" s="327">
        <f t="shared" si="25"/>
        <v>3157</v>
      </c>
      <c r="N83" s="327">
        <f t="shared" si="25"/>
        <v>3071</v>
      </c>
      <c r="O83" s="327">
        <f t="shared" si="25"/>
        <v>25924</v>
      </c>
      <c r="P83" s="327">
        <f t="shared" si="25"/>
        <v>48863</v>
      </c>
    </row>
    <row r="84" spans="1:16" ht="17.25" customHeight="1" x14ac:dyDescent="0.3">
      <c r="A84" s="412">
        <f>A81+1</f>
        <v>26</v>
      </c>
      <c r="B84" s="413" t="s">
        <v>398</v>
      </c>
      <c r="C84" s="414" t="s">
        <v>494</v>
      </c>
      <c r="D84" s="415">
        <v>40651</v>
      </c>
      <c r="E84" s="417" t="s">
        <v>495</v>
      </c>
      <c r="F84" s="328" t="s">
        <v>496</v>
      </c>
      <c r="G84" s="322" t="s">
        <v>402</v>
      </c>
      <c r="H84" s="323">
        <f>6170-212</f>
        <v>5958</v>
      </c>
      <c r="I84" s="323">
        <v>6296</v>
      </c>
      <c r="J84" s="323">
        <v>3147</v>
      </c>
      <c r="K84" s="329">
        <v>0</v>
      </c>
      <c r="L84" s="329">
        <v>0</v>
      </c>
      <c r="M84" s="329">
        <v>0</v>
      </c>
      <c r="N84" s="329">
        <v>0</v>
      </c>
      <c r="O84" s="329">
        <v>0</v>
      </c>
      <c r="P84" s="323">
        <f>SUM(H84:O84)</f>
        <v>15401</v>
      </c>
    </row>
    <row r="85" spans="1:16" ht="16.2" customHeight="1" x14ac:dyDescent="0.3">
      <c r="A85" s="412"/>
      <c r="B85" s="413"/>
      <c r="C85" s="414"/>
      <c r="D85" s="415"/>
      <c r="E85" s="417"/>
      <c r="F85" s="330" t="s">
        <v>497</v>
      </c>
      <c r="G85" s="324" t="s">
        <v>403</v>
      </c>
      <c r="H85" s="325">
        <f>536+37+3</f>
        <v>576</v>
      </c>
      <c r="I85" s="325">
        <v>345</v>
      </c>
      <c r="J85" s="325">
        <v>80</v>
      </c>
      <c r="K85" s="331">
        <v>0</v>
      </c>
      <c r="L85" s="331">
        <v>0</v>
      </c>
      <c r="M85" s="331">
        <v>0</v>
      </c>
      <c r="N85" s="331">
        <v>0</v>
      </c>
      <c r="O85" s="331">
        <v>0</v>
      </c>
      <c r="P85" s="325">
        <f>SUM(H85:O85)</f>
        <v>1001</v>
      </c>
    </row>
    <row r="86" spans="1:16" ht="16.2" customHeight="1" x14ac:dyDescent="0.3">
      <c r="A86" s="412"/>
      <c r="B86" s="425"/>
      <c r="C86" s="427"/>
      <c r="D86" s="418"/>
      <c r="E86" s="421"/>
      <c r="F86" s="333"/>
      <c r="G86" s="333" t="s">
        <v>404</v>
      </c>
      <c r="H86" s="327">
        <f t="shared" ref="H86:P86" si="26">SUM(H84:H85)</f>
        <v>6534</v>
      </c>
      <c r="I86" s="327">
        <f t="shared" si="26"/>
        <v>6641</v>
      </c>
      <c r="J86" s="327">
        <f t="shared" si="26"/>
        <v>3227</v>
      </c>
      <c r="K86" s="327">
        <f t="shared" si="26"/>
        <v>0</v>
      </c>
      <c r="L86" s="327">
        <f t="shared" si="26"/>
        <v>0</v>
      </c>
      <c r="M86" s="327">
        <f t="shared" si="26"/>
        <v>0</v>
      </c>
      <c r="N86" s="327">
        <f t="shared" si="26"/>
        <v>0</v>
      </c>
      <c r="O86" s="327">
        <f t="shared" si="26"/>
        <v>0</v>
      </c>
      <c r="P86" s="327">
        <f t="shared" si="26"/>
        <v>16402</v>
      </c>
    </row>
    <row r="87" spans="1:16" ht="16.5" customHeight="1" x14ac:dyDescent="0.3">
      <c r="A87" s="412">
        <f>A84+1</f>
        <v>27</v>
      </c>
      <c r="B87" s="413" t="s">
        <v>398</v>
      </c>
      <c r="C87" s="414" t="s">
        <v>498</v>
      </c>
      <c r="D87" s="415">
        <v>40651</v>
      </c>
      <c r="E87" s="417" t="s">
        <v>495</v>
      </c>
      <c r="F87" s="332" t="s">
        <v>499</v>
      </c>
      <c r="G87" s="322" t="s">
        <v>402</v>
      </c>
      <c r="H87" s="323">
        <v>2447</v>
      </c>
      <c r="I87" s="323">
        <v>2448</v>
      </c>
      <c r="J87" s="323">
        <v>1224</v>
      </c>
      <c r="K87" s="329">
        <v>0</v>
      </c>
      <c r="L87" s="329">
        <v>0</v>
      </c>
      <c r="M87" s="329">
        <v>0</v>
      </c>
      <c r="N87" s="329">
        <v>0</v>
      </c>
      <c r="O87" s="329">
        <v>0</v>
      </c>
      <c r="P87" s="323">
        <f>SUM(H87:O87)</f>
        <v>6119</v>
      </c>
    </row>
    <row r="88" spans="1:16" ht="17.25" customHeight="1" x14ac:dyDescent="0.3">
      <c r="A88" s="412"/>
      <c r="B88" s="413"/>
      <c r="C88" s="414"/>
      <c r="D88" s="415"/>
      <c r="E88" s="417"/>
      <c r="F88" s="330" t="s">
        <v>500</v>
      </c>
      <c r="G88" s="324" t="s">
        <v>403</v>
      </c>
      <c r="H88" s="325">
        <v>228</v>
      </c>
      <c r="I88" s="325">
        <v>134</v>
      </c>
      <c r="J88" s="325">
        <v>31</v>
      </c>
      <c r="K88" s="331">
        <v>0</v>
      </c>
      <c r="L88" s="331">
        <v>0</v>
      </c>
      <c r="M88" s="331">
        <v>0</v>
      </c>
      <c r="N88" s="331">
        <v>0</v>
      </c>
      <c r="O88" s="331">
        <v>0</v>
      </c>
      <c r="P88" s="325">
        <f>SUM(H88:O88)</f>
        <v>393</v>
      </c>
    </row>
    <row r="89" spans="1:16" ht="17.25" customHeight="1" x14ac:dyDescent="0.3">
      <c r="A89" s="412"/>
      <c r="B89" s="413"/>
      <c r="C89" s="414"/>
      <c r="D89" s="415"/>
      <c r="E89" s="417"/>
      <c r="F89" s="326"/>
      <c r="G89" s="326" t="s">
        <v>404</v>
      </c>
      <c r="H89" s="327">
        <f t="shared" ref="H89:P89" si="27">SUM(H87:H88)</f>
        <v>2675</v>
      </c>
      <c r="I89" s="327">
        <f t="shared" si="27"/>
        <v>2582</v>
      </c>
      <c r="J89" s="327">
        <f t="shared" si="27"/>
        <v>1255</v>
      </c>
      <c r="K89" s="327">
        <f t="shared" si="27"/>
        <v>0</v>
      </c>
      <c r="L89" s="327">
        <f t="shared" si="27"/>
        <v>0</v>
      </c>
      <c r="M89" s="327">
        <f t="shared" si="27"/>
        <v>0</v>
      </c>
      <c r="N89" s="327">
        <f t="shared" si="27"/>
        <v>0</v>
      </c>
      <c r="O89" s="327">
        <f t="shared" si="27"/>
        <v>0</v>
      </c>
      <c r="P89" s="327">
        <f t="shared" si="27"/>
        <v>6512</v>
      </c>
    </row>
    <row r="90" spans="1:16" ht="18" customHeight="1" x14ac:dyDescent="0.3">
      <c r="A90" s="412">
        <f>A87+1</f>
        <v>28</v>
      </c>
      <c r="B90" s="413" t="s">
        <v>398</v>
      </c>
      <c r="C90" s="424" t="s">
        <v>1059</v>
      </c>
      <c r="D90" s="415">
        <v>40868</v>
      </c>
      <c r="E90" s="417" t="s">
        <v>501</v>
      </c>
      <c r="F90" s="332" t="s">
        <v>502</v>
      </c>
      <c r="G90" s="322" t="s">
        <v>402</v>
      </c>
      <c r="H90" s="323">
        <f>7262-89</f>
        <v>7173</v>
      </c>
      <c r="I90" s="323">
        <v>7308</v>
      </c>
      <c r="J90" s="323">
        <v>7306</v>
      </c>
      <c r="K90" s="329">
        <v>0</v>
      </c>
      <c r="L90" s="329">
        <v>0</v>
      </c>
      <c r="M90" s="329">
        <v>0</v>
      </c>
      <c r="N90" s="329">
        <v>0</v>
      </c>
      <c r="O90" s="329">
        <v>0</v>
      </c>
      <c r="P90" s="323">
        <f>SUM(H90:O90)</f>
        <v>21787</v>
      </c>
    </row>
    <row r="91" spans="1:16" ht="15.75" customHeight="1" x14ac:dyDescent="0.3">
      <c r="A91" s="412"/>
      <c r="B91" s="413"/>
      <c r="C91" s="414"/>
      <c r="D91" s="415"/>
      <c r="E91" s="417"/>
      <c r="F91" s="330" t="s">
        <v>503</v>
      </c>
      <c r="G91" s="324" t="s">
        <v>403</v>
      </c>
      <c r="H91" s="325">
        <f>893+2</f>
        <v>895</v>
      </c>
      <c r="I91" s="325">
        <v>557</v>
      </c>
      <c r="J91" s="325">
        <v>253</v>
      </c>
      <c r="K91" s="331">
        <v>11</v>
      </c>
      <c r="L91" s="331">
        <v>0</v>
      </c>
      <c r="M91" s="331">
        <v>0</v>
      </c>
      <c r="N91" s="331">
        <v>0</v>
      </c>
      <c r="O91" s="331">
        <v>0</v>
      </c>
      <c r="P91" s="325">
        <f>SUM(H91:O91)</f>
        <v>1716</v>
      </c>
    </row>
    <row r="92" spans="1:16" ht="15.75" customHeight="1" x14ac:dyDescent="0.3">
      <c r="A92" s="412"/>
      <c r="B92" s="413"/>
      <c r="C92" s="414"/>
      <c r="D92" s="415"/>
      <c r="E92" s="417"/>
      <c r="F92" s="326"/>
      <c r="G92" s="326" t="s">
        <v>404</v>
      </c>
      <c r="H92" s="327">
        <f t="shared" ref="H92:P92" si="28">SUM(H90:H91)</f>
        <v>8068</v>
      </c>
      <c r="I92" s="327">
        <f t="shared" si="28"/>
        <v>7865</v>
      </c>
      <c r="J92" s="327">
        <f t="shared" si="28"/>
        <v>7559</v>
      </c>
      <c r="K92" s="327">
        <f t="shared" si="28"/>
        <v>11</v>
      </c>
      <c r="L92" s="327">
        <f t="shared" si="28"/>
        <v>0</v>
      </c>
      <c r="M92" s="327">
        <f t="shared" si="28"/>
        <v>0</v>
      </c>
      <c r="N92" s="327">
        <f>SUM(N90:N91)</f>
        <v>0</v>
      </c>
      <c r="O92" s="327">
        <f t="shared" si="28"/>
        <v>0</v>
      </c>
      <c r="P92" s="327">
        <f t="shared" si="28"/>
        <v>23503</v>
      </c>
    </row>
    <row r="93" spans="1:16" ht="19.2" customHeight="1" x14ac:dyDescent="0.3">
      <c r="A93" s="412">
        <f>A90+1</f>
        <v>29</v>
      </c>
      <c r="B93" s="413" t="s">
        <v>398</v>
      </c>
      <c r="C93" s="414" t="s">
        <v>504</v>
      </c>
      <c r="D93" s="415">
        <v>40932</v>
      </c>
      <c r="E93" s="417" t="s">
        <v>505</v>
      </c>
      <c r="F93" s="332" t="s">
        <v>506</v>
      </c>
      <c r="G93" s="322" t="s">
        <v>402</v>
      </c>
      <c r="H93" s="323">
        <f>22271-1847</f>
        <v>20424</v>
      </c>
      <c r="I93" s="323">
        <v>22528</v>
      </c>
      <c r="J93" s="323">
        <v>22528</v>
      </c>
      <c r="K93" s="323">
        <v>22528</v>
      </c>
      <c r="L93" s="323">
        <v>22528</v>
      </c>
      <c r="M93" s="323">
        <v>22528</v>
      </c>
      <c r="N93" s="323">
        <v>22528</v>
      </c>
      <c r="O93" s="323">
        <f>50109-22271+304</f>
        <v>28142</v>
      </c>
      <c r="P93" s="323">
        <f>SUM(H93:O93)</f>
        <v>183734</v>
      </c>
    </row>
    <row r="94" spans="1:16" ht="15.6" customHeight="1" x14ac:dyDescent="0.3">
      <c r="A94" s="412"/>
      <c r="B94" s="413"/>
      <c r="C94" s="414"/>
      <c r="D94" s="415"/>
      <c r="E94" s="417"/>
      <c r="F94" s="330" t="s">
        <v>507</v>
      </c>
      <c r="G94" s="324" t="s">
        <v>403</v>
      </c>
      <c r="H94" s="325">
        <f>6503+458+16-1</f>
        <v>6976</v>
      </c>
      <c r="I94" s="325">
        <f>6052+405</f>
        <v>6457</v>
      </c>
      <c r="J94" s="325">
        <f>5260+348</f>
        <v>5608</v>
      </c>
      <c r="K94" s="325">
        <f>4397+291</f>
        <v>4688</v>
      </c>
      <c r="L94" s="325">
        <f>3541+234</f>
        <v>3775</v>
      </c>
      <c r="M94" s="325">
        <f>2668+177</f>
        <v>2845</v>
      </c>
      <c r="N94" s="325">
        <f>1806+119</f>
        <v>1925</v>
      </c>
      <c r="O94" s="325">
        <f>1058+70</f>
        <v>1128</v>
      </c>
      <c r="P94" s="325">
        <f>SUM(H94:O94)</f>
        <v>33402</v>
      </c>
    </row>
    <row r="95" spans="1:16" ht="16.2" customHeight="1" x14ac:dyDescent="0.3">
      <c r="A95" s="412"/>
      <c r="B95" s="413"/>
      <c r="C95" s="414"/>
      <c r="D95" s="415"/>
      <c r="E95" s="417"/>
      <c r="F95" s="326"/>
      <c r="G95" s="326" t="s">
        <v>404</v>
      </c>
      <c r="H95" s="327">
        <f t="shared" ref="H95:P95" si="29">SUM(H93:H94)</f>
        <v>27400</v>
      </c>
      <c r="I95" s="327">
        <f t="shared" si="29"/>
        <v>28985</v>
      </c>
      <c r="J95" s="327">
        <f t="shared" si="29"/>
        <v>28136</v>
      </c>
      <c r="K95" s="327">
        <f t="shared" si="29"/>
        <v>27216</v>
      </c>
      <c r="L95" s="327">
        <f t="shared" si="29"/>
        <v>26303</v>
      </c>
      <c r="M95" s="327">
        <f t="shared" si="29"/>
        <v>25373</v>
      </c>
      <c r="N95" s="327">
        <f t="shared" si="29"/>
        <v>24453</v>
      </c>
      <c r="O95" s="327">
        <f t="shared" si="29"/>
        <v>29270</v>
      </c>
      <c r="P95" s="327">
        <f t="shared" si="29"/>
        <v>217136</v>
      </c>
    </row>
    <row r="96" spans="1:16" ht="14.25" customHeight="1" x14ac:dyDescent="0.3">
      <c r="A96" s="412">
        <f>A93+1</f>
        <v>30</v>
      </c>
      <c r="B96" s="413" t="s">
        <v>398</v>
      </c>
      <c r="C96" s="414" t="s">
        <v>508</v>
      </c>
      <c r="D96" s="435">
        <v>41019</v>
      </c>
      <c r="E96" s="417" t="s">
        <v>472</v>
      </c>
      <c r="F96" s="332" t="s">
        <v>509</v>
      </c>
      <c r="G96" s="322" t="s">
        <v>402</v>
      </c>
      <c r="H96" s="323">
        <f>1980-254</f>
        <v>1726</v>
      </c>
      <c r="I96" s="323">
        <v>2024</v>
      </c>
      <c r="J96" s="323">
        <v>2024</v>
      </c>
      <c r="K96" s="323">
        <v>2024</v>
      </c>
      <c r="L96" s="323">
        <v>2024</v>
      </c>
      <c r="M96" s="323">
        <v>2024</v>
      </c>
      <c r="N96" s="323">
        <v>2014</v>
      </c>
      <c r="O96" s="323">
        <v>0</v>
      </c>
      <c r="P96" s="323">
        <f>SUM(H96:O96)</f>
        <v>13860</v>
      </c>
    </row>
    <row r="97" spans="1:16" ht="15.75" customHeight="1" x14ac:dyDescent="0.3">
      <c r="A97" s="412"/>
      <c r="B97" s="413"/>
      <c r="C97" s="414"/>
      <c r="D97" s="435"/>
      <c r="E97" s="417"/>
      <c r="F97" s="330" t="s">
        <v>510</v>
      </c>
      <c r="G97" s="324" t="s">
        <v>403</v>
      </c>
      <c r="H97" s="325">
        <f>504+34+4</f>
        <v>542</v>
      </c>
      <c r="I97" s="325">
        <f>452+30</f>
        <v>482</v>
      </c>
      <c r="J97" s="325">
        <f>375+25</f>
        <v>400</v>
      </c>
      <c r="K97" s="325">
        <f>298+20</f>
        <v>318</v>
      </c>
      <c r="L97" s="325">
        <v>236</v>
      </c>
      <c r="M97" s="325">
        <v>152</v>
      </c>
      <c r="N97" s="325">
        <v>69</v>
      </c>
      <c r="O97" s="325">
        <v>4</v>
      </c>
      <c r="P97" s="325">
        <f>SUM(H97:O97)</f>
        <v>2203</v>
      </c>
    </row>
    <row r="98" spans="1:16" ht="15.75" customHeight="1" x14ac:dyDescent="0.3">
      <c r="A98" s="412"/>
      <c r="B98" s="413"/>
      <c r="C98" s="414"/>
      <c r="D98" s="435"/>
      <c r="E98" s="417"/>
      <c r="F98" s="326"/>
      <c r="G98" s="326" t="s">
        <v>404</v>
      </c>
      <c r="H98" s="327">
        <f t="shared" ref="H98:P98" si="30">SUM(H96:H97)</f>
        <v>2268</v>
      </c>
      <c r="I98" s="327">
        <f t="shared" si="30"/>
        <v>2506</v>
      </c>
      <c r="J98" s="327">
        <f t="shared" si="30"/>
        <v>2424</v>
      </c>
      <c r="K98" s="327">
        <f t="shared" si="30"/>
        <v>2342</v>
      </c>
      <c r="L98" s="327">
        <f t="shared" si="30"/>
        <v>2260</v>
      </c>
      <c r="M98" s="327">
        <f t="shared" si="30"/>
        <v>2176</v>
      </c>
      <c r="N98" s="327">
        <f t="shared" si="30"/>
        <v>2083</v>
      </c>
      <c r="O98" s="327">
        <f t="shared" si="30"/>
        <v>4</v>
      </c>
      <c r="P98" s="327">
        <f t="shared" si="30"/>
        <v>16063</v>
      </c>
    </row>
    <row r="99" spans="1:16" ht="18.600000000000001" customHeight="1" x14ac:dyDescent="0.3">
      <c r="A99" s="412">
        <f>A96+1</f>
        <v>31</v>
      </c>
      <c r="B99" s="413" t="s">
        <v>398</v>
      </c>
      <c r="C99" s="414" t="s">
        <v>511</v>
      </c>
      <c r="D99" s="435">
        <v>41019</v>
      </c>
      <c r="E99" s="417" t="s">
        <v>512</v>
      </c>
      <c r="F99" s="332" t="s">
        <v>513</v>
      </c>
      <c r="G99" s="322" t="s">
        <v>402</v>
      </c>
      <c r="H99" s="323">
        <f>7803-2880</f>
        <v>4923</v>
      </c>
      <c r="I99" s="323">
        <v>7968</v>
      </c>
      <c r="J99" s="323">
        <v>7968</v>
      </c>
      <c r="K99" s="323">
        <v>7968</v>
      </c>
      <c r="L99" s="323">
        <v>7968</v>
      </c>
      <c r="M99" s="323">
        <v>7968</v>
      </c>
      <c r="N99" s="323">
        <v>7968</v>
      </c>
      <c r="O99" s="323">
        <f>97538-7803+1890</f>
        <v>91625</v>
      </c>
      <c r="P99" s="323">
        <f>SUM(H99:O99)</f>
        <v>144356</v>
      </c>
    </row>
    <row r="100" spans="1:16" ht="15.6" customHeight="1" x14ac:dyDescent="0.3">
      <c r="A100" s="412"/>
      <c r="B100" s="413"/>
      <c r="C100" s="414"/>
      <c r="D100" s="435"/>
      <c r="E100" s="417"/>
      <c r="F100" s="330" t="s">
        <v>514</v>
      </c>
      <c r="G100" s="324" t="s">
        <v>403</v>
      </c>
      <c r="H100" s="325">
        <f>5326+364+38+1</f>
        <v>5729</v>
      </c>
      <c r="I100" s="325">
        <f>5287+350</f>
        <v>5637</v>
      </c>
      <c r="J100" s="325">
        <f>4989+330</f>
        <v>5319</v>
      </c>
      <c r="K100" s="325">
        <f>4683+310</f>
        <v>4993</v>
      </c>
      <c r="L100" s="325">
        <f>4390+290</f>
        <v>4680</v>
      </c>
      <c r="M100" s="325">
        <f>4072+269</f>
        <v>4341</v>
      </c>
      <c r="N100" s="325">
        <f>3767+249</f>
        <v>4016</v>
      </c>
      <c r="O100" s="325">
        <f>22824</f>
        <v>22824</v>
      </c>
      <c r="P100" s="325">
        <f>SUM(H100:O100)</f>
        <v>57539</v>
      </c>
    </row>
    <row r="101" spans="1:16" ht="15" customHeight="1" x14ac:dyDescent="0.3">
      <c r="A101" s="412"/>
      <c r="B101" s="413"/>
      <c r="C101" s="414"/>
      <c r="D101" s="435"/>
      <c r="E101" s="417"/>
      <c r="F101" s="326"/>
      <c r="G101" s="326" t="s">
        <v>404</v>
      </c>
      <c r="H101" s="327">
        <f t="shared" ref="H101:P101" si="31">SUM(H99:H100)</f>
        <v>10652</v>
      </c>
      <c r="I101" s="327">
        <f t="shared" si="31"/>
        <v>13605</v>
      </c>
      <c r="J101" s="327">
        <f t="shared" si="31"/>
        <v>13287</v>
      </c>
      <c r="K101" s="327">
        <f t="shared" si="31"/>
        <v>12961</v>
      </c>
      <c r="L101" s="327">
        <f t="shared" si="31"/>
        <v>12648</v>
      </c>
      <c r="M101" s="327">
        <f t="shared" si="31"/>
        <v>12309</v>
      </c>
      <c r="N101" s="327">
        <f t="shared" si="31"/>
        <v>11984</v>
      </c>
      <c r="O101" s="327">
        <f t="shared" si="31"/>
        <v>114449</v>
      </c>
      <c r="P101" s="327">
        <f t="shared" si="31"/>
        <v>201895</v>
      </c>
    </row>
    <row r="102" spans="1:16" ht="16.2" customHeight="1" x14ac:dyDescent="0.3">
      <c r="A102" s="412">
        <f>A99+1</f>
        <v>32</v>
      </c>
      <c r="B102" s="413" t="s">
        <v>398</v>
      </c>
      <c r="C102" s="414" t="s">
        <v>515</v>
      </c>
      <c r="D102" s="435">
        <v>41019</v>
      </c>
      <c r="E102" s="417" t="s">
        <v>512</v>
      </c>
      <c r="F102" s="332" t="s">
        <v>516</v>
      </c>
      <c r="G102" s="322" t="s">
        <v>402</v>
      </c>
      <c r="H102" s="323">
        <f>3421-1263</f>
        <v>2158</v>
      </c>
      <c r="I102" s="323">
        <v>3496</v>
      </c>
      <c r="J102" s="323">
        <v>3496</v>
      </c>
      <c r="K102" s="323">
        <v>3496</v>
      </c>
      <c r="L102" s="323">
        <v>3496</v>
      </c>
      <c r="M102" s="323">
        <v>3496</v>
      </c>
      <c r="N102" s="323">
        <v>3496</v>
      </c>
      <c r="O102" s="323">
        <f>42754-3421+814</f>
        <v>40147</v>
      </c>
      <c r="P102" s="323">
        <f>SUM(H102:O102)</f>
        <v>63281</v>
      </c>
    </row>
    <row r="103" spans="1:16" ht="16.2" customHeight="1" x14ac:dyDescent="0.3">
      <c r="A103" s="412"/>
      <c r="B103" s="413"/>
      <c r="C103" s="414"/>
      <c r="D103" s="435"/>
      <c r="E103" s="417"/>
      <c r="F103" s="330" t="s">
        <v>517</v>
      </c>
      <c r="G103" s="324" t="s">
        <v>403</v>
      </c>
      <c r="H103" s="325">
        <f>2335+159+17</f>
        <v>2511</v>
      </c>
      <c r="I103" s="325">
        <f>2318+153</f>
        <v>2471</v>
      </c>
      <c r="J103" s="325">
        <f>2187+145</f>
        <v>2332</v>
      </c>
      <c r="K103" s="325">
        <f>2053+136</f>
        <v>2189</v>
      </c>
      <c r="L103" s="325">
        <f>1924+127</f>
        <v>2051</v>
      </c>
      <c r="M103" s="325">
        <f>1785+118</f>
        <v>1903</v>
      </c>
      <c r="N103" s="325">
        <f>1651+109</f>
        <v>1760</v>
      </c>
      <c r="O103" s="325">
        <f>9989</f>
        <v>9989</v>
      </c>
      <c r="P103" s="325">
        <f>SUM(H103:O103)</f>
        <v>25206</v>
      </c>
    </row>
    <row r="104" spans="1:16" ht="16.2" customHeight="1" x14ac:dyDescent="0.3">
      <c r="A104" s="412"/>
      <c r="B104" s="425"/>
      <c r="C104" s="427"/>
      <c r="D104" s="436"/>
      <c r="E104" s="421"/>
      <c r="F104" s="333"/>
      <c r="G104" s="333" t="s">
        <v>404</v>
      </c>
      <c r="H104" s="327">
        <f t="shared" ref="H104:P104" si="32">SUM(H102:H103)</f>
        <v>4669</v>
      </c>
      <c r="I104" s="327">
        <f t="shared" si="32"/>
        <v>5967</v>
      </c>
      <c r="J104" s="327">
        <f t="shared" si="32"/>
        <v>5828</v>
      </c>
      <c r="K104" s="327">
        <f t="shared" si="32"/>
        <v>5685</v>
      </c>
      <c r="L104" s="327">
        <f t="shared" si="32"/>
        <v>5547</v>
      </c>
      <c r="M104" s="327">
        <f t="shared" si="32"/>
        <v>5399</v>
      </c>
      <c r="N104" s="327">
        <f t="shared" si="32"/>
        <v>5256</v>
      </c>
      <c r="O104" s="327">
        <f t="shared" si="32"/>
        <v>50136</v>
      </c>
      <c r="P104" s="327">
        <f t="shared" si="32"/>
        <v>88487</v>
      </c>
    </row>
    <row r="105" spans="1:16" ht="16.5" customHeight="1" x14ac:dyDescent="0.3">
      <c r="A105" s="412">
        <f>A102+1</f>
        <v>33</v>
      </c>
      <c r="B105" s="413" t="s">
        <v>398</v>
      </c>
      <c r="C105" s="414" t="s">
        <v>518</v>
      </c>
      <c r="D105" s="415">
        <v>41100</v>
      </c>
      <c r="E105" s="417" t="s">
        <v>519</v>
      </c>
      <c r="F105" s="332" t="s">
        <v>520</v>
      </c>
      <c r="G105" s="322" t="s">
        <v>402</v>
      </c>
      <c r="H105" s="323">
        <f>3563-1477</f>
        <v>2086</v>
      </c>
      <c r="I105" s="323">
        <v>3648</v>
      </c>
      <c r="J105" s="323">
        <v>3648</v>
      </c>
      <c r="K105" s="323">
        <v>3648</v>
      </c>
      <c r="L105" s="323">
        <v>3648</v>
      </c>
      <c r="M105" s="323">
        <v>3648</v>
      </c>
      <c r="N105" s="323">
        <v>3648</v>
      </c>
      <c r="O105" s="323">
        <f>45426-3563+967</f>
        <v>42830</v>
      </c>
      <c r="P105" s="323">
        <f>SUM(H105:O105)</f>
        <v>66804</v>
      </c>
    </row>
    <row r="106" spans="1:16" ht="15.75" customHeight="1" x14ac:dyDescent="0.3">
      <c r="A106" s="412"/>
      <c r="B106" s="413"/>
      <c r="C106" s="414"/>
      <c r="D106" s="415"/>
      <c r="E106" s="417"/>
      <c r="F106" s="330" t="s">
        <v>521</v>
      </c>
      <c r="G106" s="324" t="s">
        <v>403</v>
      </c>
      <c r="H106" s="325">
        <f>2744+168+16-7</f>
        <v>2921</v>
      </c>
      <c r="I106" s="325">
        <f>2454+162</f>
        <v>2616</v>
      </c>
      <c r="J106" s="325">
        <f>2318+153</f>
        <v>2471</v>
      </c>
      <c r="K106" s="325">
        <f>2178+144</f>
        <v>2322</v>
      </c>
      <c r="L106" s="325">
        <f>2044+135</f>
        <v>2179</v>
      </c>
      <c r="M106" s="325">
        <f>1898+126</f>
        <v>2024</v>
      </c>
      <c r="N106" s="325">
        <f>1758+116</f>
        <v>1874</v>
      </c>
      <c r="O106" s="325">
        <v>10880</v>
      </c>
      <c r="P106" s="325">
        <f>SUM(H106:O106)</f>
        <v>27287</v>
      </c>
    </row>
    <row r="107" spans="1:16" ht="18" customHeight="1" x14ac:dyDescent="0.3">
      <c r="A107" s="412"/>
      <c r="B107" s="413"/>
      <c r="C107" s="414"/>
      <c r="D107" s="415"/>
      <c r="E107" s="417"/>
      <c r="F107" s="326"/>
      <c r="G107" s="326" t="s">
        <v>404</v>
      </c>
      <c r="H107" s="327">
        <f t="shared" ref="H107:P107" si="33">SUM(H105:H106)</f>
        <v>5007</v>
      </c>
      <c r="I107" s="327">
        <f t="shared" si="33"/>
        <v>6264</v>
      </c>
      <c r="J107" s="327">
        <f t="shared" si="33"/>
        <v>6119</v>
      </c>
      <c r="K107" s="327">
        <f t="shared" si="33"/>
        <v>5970</v>
      </c>
      <c r="L107" s="327">
        <f t="shared" si="33"/>
        <v>5827</v>
      </c>
      <c r="M107" s="327">
        <f t="shared" si="33"/>
        <v>5672</v>
      </c>
      <c r="N107" s="327">
        <f t="shared" si="33"/>
        <v>5522</v>
      </c>
      <c r="O107" s="327">
        <f t="shared" si="33"/>
        <v>53710</v>
      </c>
      <c r="P107" s="327">
        <f t="shared" si="33"/>
        <v>94091</v>
      </c>
    </row>
    <row r="108" spans="1:16" ht="15.75" customHeight="1" x14ac:dyDescent="0.3">
      <c r="A108" s="412">
        <f>A105+1</f>
        <v>34</v>
      </c>
      <c r="B108" s="413" t="s">
        <v>398</v>
      </c>
      <c r="C108" s="414" t="s">
        <v>522</v>
      </c>
      <c r="D108" s="415">
        <v>41142</v>
      </c>
      <c r="E108" s="417" t="s">
        <v>523</v>
      </c>
      <c r="F108" s="332" t="s">
        <v>524</v>
      </c>
      <c r="G108" s="322" t="s">
        <v>402</v>
      </c>
      <c r="H108" s="323">
        <f>5304-2239</f>
        <v>3065</v>
      </c>
      <c r="I108" s="323">
        <v>5432</v>
      </c>
      <c r="J108" s="323">
        <v>5432</v>
      </c>
      <c r="K108" s="323">
        <v>5432</v>
      </c>
      <c r="L108" s="323">
        <v>5432</v>
      </c>
      <c r="M108" s="323">
        <v>5432</v>
      </c>
      <c r="N108" s="323">
        <v>5432</v>
      </c>
      <c r="O108" s="323">
        <f>67626-5304+1471</f>
        <v>63793</v>
      </c>
      <c r="P108" s="323">
        <f>SUM(H108:O108)</f>
        <v>99450</v>
      </c>
    </row>
    <row r="109" spans="1:16" ht="15.75" customHeight="1" x14ac:dyDescent="0.3">
      <c r="A109" s="412"/>
      <c r="B109" s="413"/>
      <c r="C109" s="414"/>
      <c r="D109" s="415"/>
      <c r="E109" s="417"/>
      <c r="F109" s="330" t="s">
        <v>525</v>
      </c>
      <c r="G109" s="324" t="s">
        <v>403</v>
      </c>
      <c r="H109" s="325">
        <f>4072+251+24-39</f>
        <v>4308</v>
      </c>
      <c r="I109" s="325">
        <f>3655+242</f>
        <v>3897</v>
      </c>
      <c r="J109" s="325">
        <f>3452+228</f>
        <v>3680</v>
      </c>
      <c r="K109" s="325">
        <f>3244+215</f>
        <v>3459</v>
      </c>
      <c r="L109" s="325">
        <f>3044+201</f>
        <v>3245</v>
      </c>
      <c r="M109" s="325">
        <f>2827+187</f>
        <v>3014</v>
      </c>
      <c r="N109" s="325">
        <f>2619+173</f>
        <v>2792</v>
      </c>
      <c r="O109" s="325">
        <f>16216</f>
        <v>16216</v>
      </c>
      <c r="P109" s="325">
        <f>SUM(H109:O109)</f>
        <v>40611</v>
      </c>
    </row>
    <row r="110" spans="1:16" ht="15.75" customHeight="1" x14ac:dyDescent="0.3">
      <c r="A110" s="412"/>
      <c r="B110" s="413"/>
      <c r="C110" s="414"/>
      <c r="D110" s="415"/>
      <c r="E110" s="417"/>
      <c r="F110" s="326"/>
      <c r="G110" s="326" t="s">
        <v>404</v>
      </c>
      <c r="H110" s="327">
        <f t="shared" ref="H110:P110" si="34">SUM(H108:H109)</f>
        <v>7373</v>
      </c>
      <c r="I110" s="327">
        <f t="shared" si="34"/>
        <v>9329</v>
      </c>
      <c r="J110" s="327">
        <f t="shared" si="34"/>
        <v>9112</v>
      </c>
      <c r="K110" s="327">
        <f t="shared" si="34"/>
        <v>8891</v>
      </c>
      <c r="L110" s="327">
        <f t="shared" si="34"/>
        <v>8677</v>
      </c>
      <c r="M110" s="327">
        <f t="shared" si="34"/>
        <v>8446</v>
      </c>
      <c r="N110" s="327">
        <f t="shared" si="34"/>
        <v>8224</v>
      </c>
      <c r="O110" s="327">
        <f t="shared" si="34"/>
        <v>80009</v>
      </c>
      <c r="P110" s="327">
        <f t="shared" si="34"/>
        <v>140061</v>
      </c>
    </row>
    <row r="111" spans="1:16" ht="17.25" customHeight="1" x14ac:dyDescent="0.3">
      <c r="A111" s="412">
        <f>A108+1</f>
        <v>35</v>
      </c>
      <c r="B111" s="413" t="s">
        <v>398</v>
      </c>
      <c r="C111" s="414" t="s">
        <v>526</v>
      </c>
      <c r="D111" s="415">
        <v>41150</v>
      </c>
      <c r="E111" s="417" t="s">
        <v>527</v>
      </c>
      <c r="F111" s="332" t="s">
        <v>528</v>
      </c>
      <c r="G111" s="322" t="s">
        <v>402</v>
      </c>
      <c r="H111" s="323">
        <f>6705-454</f>
        <v>6251</v>
      </c>
      <c r="I111" s="323">
        <v>6872</v>
      </c>
      <c r="J111" s="323">
        <v>6872</v>
      </c>
      <c r="K111" s="323">
        <v>5144</v>
      </c>
      <c r="L111" s="323">
        <v>0</v>
      </c>
      <c r="M111" s="323">
        <v>0</v>
      </c>
      <c r="N111" s="323">
        <v>0</v>
      </c>
      <c r="O111" s="329">
        <v>0</v>
      </c>
      <c r="P111" s="323">
        <f>SUM(H111:O111)</f>
        <v>25139</v>
      </c>
    </row>
    <row r="112" spans="1:16" ht="15.75" customHeight="1" x14ac:dyDescent="0.3">
      <c r="A112" s="412"/>
      <c r="B112" s="413"/>
      <c r="C112" s="414"/>
      <c r="D112" s="415"/>
      <c r="E112" s="417"/>
      <c r="F112" s="339" t="s">
        <v>529</v>
      </c>
      <c r="G112" s="324" t="s">
        <v>403</v>
      </c>
      <c r="H112" s="325">
        <f>1063+4-8</f>
        <v>1059</v>
      </c>
      <c r="I112" s="325">
        <f>681+45</f>
        <v>726</v>
      </c>
      <c r="J112" s="325">
        <f>420+28</f>
        <v>448</v>
      </c>
      <c r="K112" s="325">
        <v>161</v>
      </c>
      <c r="L112" s="325">
        <v>0</v>
      </c>
      <c r="M112" s="325">
        <v>0</v>
      </c>
      <c r="N112" s="325">
        <v>0</v>
      </c>
      <c r="O112" s="331">
        <v>0</v>
      </c>
      <c r="P112" s="325">
        <f>SUM(H112:O112)</f>
        <v>2394</v>
      </c>
    </row>
    <row r="113" spans="1:16" ht="16.5" customHeight="1" x14ac:dyDescent="0.3">
      <c r="A113" s="412"/>
      <c r="B113" s="413"/>
      <c r="C113" s="414"/>
      <c r="D113" s="415"/>
      <c r="E113" s="417"/>
      <c r="F113" s="326"/>
      <c r="G113" s="326" t="s">
        <v>404</v>
      </c>
      <c r="H113" s="327">
        <f t="shared" ref="H113:P113" si="35">SUM(H111:H112)</f>
        <v>7310</v>
      </c>
      <c r="I113" s="327">
        <f t="shared" si="35"/>
        <v>7598</v>
      </c>
      <c r="J113" s="327">
        <f t="shared" si="35"/>
        <v>7320</v>
      </c>
      <c r="K113" s="327">
        <f t="shared" si="35"/>
        <v>5305</v>
      </c>
      <c r="L113" s="327">
        <f t="shared" si="35"/>
        <v>0</v>
      </c>
      <c r="M113" s="327">
        <f t="shared" si="35"/>
        <v>0</v>
      </c>
      <c r="N113" s="327">
        <f t="shared" si="35"/>
        <v>0</v>
      </c>
      <c r="O113" s="327">
        <f t="shared" si="35"/>
        <v>0</v>
      </c>
      <c r="P113" s="327">
        <f t="shared" si="35"/>
        <v>27533</v>
      </c>
    </row>
    <row r="114" spans="1:16" ht="16.2" customHeight="1" x14ac:dyDescent="0.3">
      <c r="A114" s="412">
        <f>A111+1</f>
        <v>36</v>
      </c>
      <c r="B114" s="413" t="s">
        <v>398</v>
      </c>
      <c r="C114" s="414" t="s">
        <v>530</v>
      </c>
      <c r="D114" s="415">
        <v>41211</v>
      </c>
      <c r="E114" s="417" t="s">
        <v>531</v>
      </c>
      <c r="F114" s="332" t="s">
        <v>532</v>
      </c>
      <c r="G114" s="322" t="s">
        <v>402</v>
      </c>
      <c r="H114" s="323">
        <f>7222-163</f>
        <v>7059</v>
      </c>
      <c r="I114" s="323">
        <v>6676</v>
      </c>
      <c r="J114" s="323">
        <v>6676</v>
      </c>
      <c r="K114" s="323">
        <v>6673</v>
      </c>
      <c r="L114" s="323">
        <v>0</v>
      </c>
      <c r="M114" s="323">
        <v>0</v>
      </c>
      <c r="N114" s="323">
        <v>0</v>
      </c>
      <c r="O114" s="329">
        <v>0</v>
      </c>
      <c r="P114" s="323">
        <f>SUM(H114:O114)</f>
        <v>27084</v>
      </c>
    </row>
    <row r="115" spans="1:16" ht="17.25" customHeight="1" x14ac:dyDescent="0.3">
      <c r="A115" s="412"/>
      <c r="B115" s="413"/>
      <c r="C115" s="414"/>
      <c r="D115" s="415"/>
      <c r="E115" s="417"/>
      <c r="F115" s="330" t="s">
        <v>533</v>
      </c>
      <c r="G115" s="324" t="s">
        <v>403</v>
      </c>
      <c r="H115" s="325">
        <f>1071+66+2</f>
        <v>1139</v>
      </c>
      <c r="I115" s="325">
        <f>734+48</f>
        <v>782</v>
      </c>
      <c r="J115" s="325">
        <f>472+31</f>
        <v>503</v>
      </c>
      <c r="K115" s="325">
        <v>230</v>
      </c>
      <c r="L115" s="325">
        <v>3</v>
      </c>
      <c r="M115" s="325">
        <v>0</v>
      </c>
      <c r="N115" s="325">
        <v>0</v>
      </c>
      <c r="O115" s="331">
        <v>0</v>
      </c>
      <c r="P115" s="325">
        <f>SUM(H115:O115)</f>
        <v>2657</v>
      </c>
    </row>
    <row r="116" spans="1:16" ht="17.25" customHeight="1" x14ac:dyDescent="0.3">
      <c r="A116" s="412"/>
      <c r="B116" s="425"/>
      <c r="C116" s="427"/>
      <c r="D116" s="418"/>
      <c r="E116" s="421"/>
      <c r="F116" s="333"/>
      <c r="G116" s="333" t="s">
        <v>404</v>
      </c>
      <c r="H116" s="327">
        <f t="shared" ref="H116:P116" si="36">SUM(H114:H115)</f>
        <v>8198</v>
      </c>
      <c r="I116" s="327">
        <f t="shared" si="36"/>
        <v>7458</v>
      </c>
      <c r="J116" s="327">
        <f t="shared" si="36"/>
        <v>7179</v>
      </c>
      <c r="K116" s="327">
        <f t="shared" si="36"/>
        <v>6903</v>
      </c>
      <c r="L116" s="327">
        <f t="shared" si="36"/>
        <v>3</v>
      </c>
      <c r="M116" s="327">
        <f t="shared" si="36"/>
        <v>0</v>
      </c>
      <c r="N116" s="327">
        <f t="shared" si="36"/>
        <v>0</v>
      </c>
      <c r="O116" s="327">
        <f t="shared" si="36"/>
        <v>0</v>
      </c>
      <c r="P116" s="327">
        <f t="shared" si="36"/>
        <v>29741</v>
      </c>
    </row>
    <row r="117" spans="1:16" ht="19.95" customHeight="1" x14ac:dyDescent="0.3">
      <c r="A117" s="412">
        <f>A114+1</f>
        <v>37</v>
      </c>
      <c r="B117" s="413" t="s">
        <v>398</v>
      </c>
      <c r="C117" s="414" t="s">
        <v>534</v>
      </c>
      <c r="D117" s="415">
        <v>41229</v>
      </c>
      <c r="E117" s="417" t="s">
        <v>535</v>
      </c>
      <c r="F117" s="332" t="s">
        <v>536</v>
      </c>
      <c r="G117" s="322" t="s">
        <v>402</v>
      </c>
      <c r="H117" s="323">
        <f>7456-217</f>
        <v>7239</v>
      </c>
      <c r="I117" s="323">
        <v>7528</v>
      </c>
      <c r="J117" s="323">
        <v>7528</v>
      </c>
      <c r="K117" s="323">
        <v>7527</v>
      </c>
      <c r="L117" s="323">
        <v>0</v>
      </c>
      <c r="M117" s="323">
        <v>0</v>
      </c>
      <c r="N117" s="323">
        <v>0</v>
      </c>
      <c r="O117" s="329">
        <v>0</v>
      </c>
      <c r="P117" s="323">
        <f>SUM(H117:O117)</f>
        <v>29822</v>
      </c>
    </row>
    <row r="118" spans="1:16" ht="15.75" customHeight="1" x14ac:dyDescent="0.3">
      <c r="A118" s="412"/>
      <c r="B118" s="413"/>
      <c r="C118" s="414"/>
      <c r="D118" s="415"/>
      <c r="E118" s="417"/>
      <c r="F118" s="330" t="s">
        <v>537</v>
      </c>
      <c r="G118" s="324" t="s">
        <v>403</v>
      </c>
      <c r="H118" s="325">
        <f>1164+73</f>
        <v>1237</v>
      </c>
      <c r="I118" s="325">
        <f>831+54</f>
        <v>885</v>
      </c>
      <c r="J118" s="325">
        <f>532+35</f>
        <v>567</v>
      </c>
      <c r="K118" s="325">
        <v>260</v>
      </c>
      <c r="L118" s="325">
        <v>11</v>
      </c>
      <c r="M118" s="325">
        <v>0</v>
      </c>
      <c r="N118" s="325">
        <v>0</v>
      </c>
      <c r="O118" s="331">
        <v>0</v>
      </c>
      <c r="P118" s="325">
        <f>SUM(H118:O118)</f>
        <v>2960</v>
      </c>
    </row>
    <row r="119" spans="1:16" ht="15.75" customHeight="1" x14ac:dyDescent="0.3">
      <c r="A119" s="412"/>
      <c r="B119" s="413"/>
      <c r="C119" s="414"/>
      <c r="D119" s="415"/>
      <c r="E119" s="417"/>
      <c r="F119" s="326"/>
      <c r="G119" s="326" t="s">
        <v>404</v>
      </c>
      <c r="H119" s="327">
        <f t="shared" ref="H119:P119" si="37">SUM(H117:H118)</f>
        <v>8476</v>
      </c>
      <c r="I119" s="327">
        <f t="shared" si="37"/>
        <v>8413</v>
      </c>
      <c r="J119" s="327">
        <f t="shared" si="37"/>
        <v>8095</v>
      </c>
      <c r="K119" s="327">
        <f t="shared" si="37"/>
        <v>7787</v>
      </c>
      <c r="L119" s="327">
        <f t="shared" si="37"/>
        <v>11</v>
      </c>
      <c r="M119" s="327">
        <f t="shared" si="37"/>
        <v>0</v>
      </c>
      <c r="N119" s="327">
        <f t="shared" si="37"/>
        <v>0</v>
      </c>
      <c r="O119" s="327">
        <f t="shared" si="37"/>
        <v>0</v>
      </c>
      <c r="P119" s="327">
        <f t="shared" si="37"/>
        <v>32782</v>
      </c>
    </row>
    <row r="120" spans="1:16" ht="16.5" customHeight="1" x14ac:dyDescent="0.3">
      <c r="A120" s="412">
        <f>A117+1</f>
        <v>38</v>
      </c>
      <c r="B120" s="413" t="s">
        <v>398</v>
      </c>
      <c r="C120" s="414" t="s">
        <v>530</v>
      </c>
      <c r="D120" s="415">
        <v>41311</v>
      </c>
      <c r="E120" s="417" t="s">
        <v>538</v>
      </c>
      <c r="F120" s="332" t="s">
        <v>539</v>
      </c>
      <c r="G120" s="322" t="s">
        <v>402</v>
      </c>
      <c r="H120" s="323">
        <f>22174-824</f>
        <v>21350</v>
      </c>
      <c r="I120" s="323">
        <v>22428</v>
      </c>
      <c r="J120" s="323">
        <v>22428</v>
      </c>
      <c r="K120" s="323">
        <v>22428</v>
      </c>
      <c r="L120" s="323">
        <f>5544+62</f>
        <v>5606</v>
      </c>
      <c r="M120" s="323">
        <v>0</v>
      </c>
      <c r="N120" s="323">
        <v>0</v>
      </c>
      <c r="O120" s="323">
        <v>0</v>
      </c>
      <c r="P120" s="323">
        <f>SUM(H120:O120)</f>
        <v>94240</v>
      </c>
    </row>
    <row r="121" spans="1:16" ht="15" customHeight="1" x14ac:dyDescent="0.3">
      <c r="A121" s="412"/>
      <c r="B121" s="413"/>
      <c r="C121" s="414"/>
      <c r="D121" s="415"/>
      <c r="E121" s="417"/>
      <c r="F121" s="330" t="s">
        <v>540</v>
      </c>
      <c r="G121" s="324" t="s">
        <v>403</v>
      </c>
      <c r="H121" s="325">
        <f>3368+231+7</f>
        <v>3606</v>
      </c>
      <c r="I121" s="325">
        <f>2654+176</f>
        <v>2830</v>
      </c>
      <c r="J121" s="325">
        <f>1801+119</f>
        <v>1920</v>
      </c>
      <c r="K121" s="325">
        <f>941+62</f>
        <v>1003</v>
      </c>
      <c r="L121" s="325">
        <v>119</v>
      </c>
      <c r="M121" s="325">
        <v>0</v>
      </c>
      <c r="N121" s="325">
        <v>0</v>
      </c>
      <c r="O121" s="325">
        <v>0</v>
      </c>
      <c r="P121" s="325">
        <f>SUM(H121:O121)</f>
        <v>9478</v>
      </c>
    </row>
    <row r="122" spans="1:16" ht="15" customHeight="1" x14ac:dyDescent="0.3">
      <c r="A122" s="412"/>
      <c r="B122" s="413"/>
      <c r="C122" s="414"/>
      <c r="D122" s="415"/>
      <c r="E122" s="417"/>
      <c r="F122" s="326"/>
      <c r="G122" s="326" t="s">
        <v>404</v>
      </c>
      <c r="H122" s="327">
        <f t="shared" ref="H122:P122" si="38">SUM(H120:H121)</f>
        <v>24956</v>
      </c>
      <c r="I122" s="327">
        <f t="shared" si="38"/>
        <v>25258</v>
      </c>
      <c r="J122" s="327">
        <f t="shared" si="38"/>
        <v>24348</v>
      </c>
      <c r="K122" s="327">
        <f t="shared" si="38"/>
        <v>23431</v>
      </c>
      <c r="L122" s="327">
        <f t="shared" si="38"/>
        <v>5725</v>
      </c>
      <c r="M122" s="327">
        <f t="shared" si="38"/>
        <v>0</v>
      </c>
      <c r="N122" s="327">
        <f t="shared" si="38"/>
        <v>0</v>
      </c>
      <c r="O122" s="327">
        <f t="shared" si="38"/>
        <v>0</v>
      </c>
      <c r="P122" s="327">
        <f t="shared" si="38"/>
        <v>103718</v>
      </c>
    </row>
    <row r="123" spans="1:16" ht="16.95" customHeight="1" x14ac:dyDescent="0.3">
      <c r="A123" s="412">
        <f>A120+1</f>
        <v>39</v>
      </c>
      <c r="B123" s="413" t="s">
        <v>398</v>
      </c>
      <c r="C123" s="414" t="s">
        <v>541</v>
      </c>
      <c r="D123" s="415">
        <v>41474</v>
      </c>
      <c r="E123" s="417" t="s">
        <v>542</v>
      </c>
      <c r="F123" s="332" t="s">
        <v>543</v>
      </c>
      <c r="G123" s="322" t="s">
        <v>402</v>
      </c>
      <c r="H123" s="323">
        <f>4228-1831</f>
        <v>2397</v>
      </c>
      <c r="I123" s="323">
        <v>4328</v>
      </c>
      <c r="J123" s="323">
        <v>4328</v>
      </c>
      <c r="K123" s="323">
        <v>4328</v>
      </c>
      <c r="L123" s="323">
        <v>4328</v>
      </c>
      <c r="M123" s="323">
        <v>4328</v>
      </c>
      <c r="N123" s="323">
        <v>4328</v>
      </c>
      <c r="O123" s="323">
        <f>58135-4228+1231</f>
        <v>55138</v>
      </c>
      <c r="P123" s="323">
        <f>SUM(H123:O123)</f>
        <v>83503</v>
      </c>
    </row>
    <row r="124" spans="1:16" ht="15.75" customHeight="1" x14ac:dyDescent="0.3">
      <c r="A124" s="412"/>
      <c r="B124" s="413"/>
      <c r="C124" s="414"/>
      <c r="D124" s="415"/>
      <c r="E124" s="417"/>
      <c r="F124" s="330" t="s">
        <v>544</v>
      </c>
      <c r="G124" s="324" t="s">
        <v>403</v>
      </c>
      <c r="H124" s="325">
        <f>3455+211+20-16</f>
        <v>3670</v>
      </c>
      <c r="I124" s="325">
        <f>3077+204</f>
        <v>3281</v>
      </c>
      <c r="J124" s="325">
        <f>2916+183</f>
        <v>3099</v>
      </c>
      <c r="K124" s="325">
        <f>2750+182</f>
        <v>2932</v>
      </c>
      <c r="L124" s="325">
        <f>2591+171</f>
        <v>2762</v>
      </c>
      <c r="M124" s="325">
        <f>2418+160</f>
        <v>2578</v>
      </c>
      <c r="N124" s="325">
        <f>2252+149</f>
        <v>2401</v>
      </c>
      <c r="O124" s="340">
        <f>15133</f>
        <v>15133</v>
      </c>
      <c r="P124" s="325">
        <f>SUM(H124:O124)</f>
        <v>35856</v>
      </c>
    </row>
    <row r="125" spans="1:16" ht="15.75" customHeight="1" x14ac:dyDescent="0.3">
      <c r="A125" s="412"/>
      <c r="B125" s="413"/>
      <c r="C125" s="414"/>
      <c r="D125" s="415"/>
      <c r="E125" s="417"/>
      <c r="F125" s="326"/>
      <c r="G125" s="326" t="s">
        <v>404</v>
      </c>
      <c r="H125" s="327">
        <f t="shared" ref="H125:P125" si="39">SUM(H123:H124)</f>
        <v>6067</v>
      </c>
      <c r="I125" s="327">
        <f t="shared" si="39"/>
        <v>7609</v>
      </c>
      <c r="J125" s="327">
        <f t="shared" si="39"/>
        <v>7427</v>
      </c>
      <c r="K125" s="327">
        <f t="shared" si="39"/>
        <v>7260</v>
      </c>
      <c r="L125" s="327">
        <f t="shared" si="39"/>
        <v>7090</v>
      </c>
      <c r="M125" s="327">
        <f t="shared" si="39"/>
        <v>6906</v>
      </c>
      <c r="N125" s="327">
        <f t="shared" si="39"/>
        <v>6729</v>
      </c>
      <c r="O125" s="327">
        <f t="shared" si="39"/>
        <v>70271</v>
      </c>
      <c r="P125" s="327">
        <f t="shared" si="39"/>
        <v>119359</v>
      </c>
    </row>
    <row r="126" spans="1:16" ht="18" customHeight="1" x14ac:dyDescent="0.3">
      <c r="A126" s="412">
        <f>A123+1</f>
        <v>40</v>
      </c>
      <c r="B126" s="413" t="s">
        <v>398</v>
      </c>
      <c r="C126" s="414" t="s">
        <v>545</v>
      </c>
      <c r="D126" s="415">
        <v>41627</v>
      </c>
      <c r="E126" s="417" t="s">
        <v>546</v>
      </c>
      <c r="F126" s="332" t="s">
        <v>547</v>
      </c>
      <c r="G126" s="322" t="s">
        <v>402</v>
      </c>
      <c r="H126" s="329">
        <v>0</v>
      </c>
      <c r="I126" s="329">
        <v>0</v>
      </c>
      <c r="J126" s="329">
        <v>0</v>
      </c>
      <c r="K126" s="329">
        <v>0</v>
      </c>
      <c r="L126" s="329">
        <v>0</v>
      </c>
      <c r="M126" s="329">
        <v>0</v>
      </c>
      <c r="N126" s="329">
        <v>0</v>
      </c>
      <c r="O126" s="329">
        <v>0</v>
      </c>
      <c r="P126" s="323">
        <f>SUM(H126:O126)</f>
        <v>0</v>
      </c>
    </row>
    <row r="127" spans="1:16" ht="15.75" customHeight="1" x14ac:dyDescent="0.3">
      <c r="A127" s="412"/>
      <c r="B127" s="413"/>
      <c r="C127" s="414"/>
      <c r="D127" s="415"/>
      <c r="E127" s="417"/>
      <c r="F127" s="330" t="s">
        <v>548</v>
      </c>
      <c r="G127" s="324" t="s">
        <v>403</v>
      </c>
      <c r="H127" s="341">
        <v>11</v>
      </c>
      <c r="I127" s="331">
        <v>0</v>
      </c>
      <c r="J127" s="331">
        <v>0</v>
      </c>
      <c r="K127" s="331">
        <v>0</v>
      </c>
      <c r="L127" s="331">
        <v>0</v>
      </c>
      <c r="M127" s="331">
        <v>0</v>
      </c>
      <c r="N127" s="331">
        <v>0</v>
      </c>
      <c r="O127" s="331">
        <v>0</v>
      </c>
      <c r="P127" s="325">
        <f>SUM(H127:O127)</f>
        <v>11</v>
      </c>
    </row>
    <row r="128" spans="1:16" ht="15.75" customHeight="1" x14ac:dyDescent="0.3">
      <c r="A128" s="412"/>
      <c r="B128" s="413"/>
      <c r="C128" s="414"/>
      <c r="D128" s="415"/>
      <c r="E128" s="417"/>
      <c r="F128" s="326"/>
      <c r="G128" s="326" t="s">
        <v>404</v>
      </c>
      <c r="H128" s="327">
        <f t="shared" ref="H128:P128" si="40">SUM(H126:H127)</f>
        <v>11</v>
      </c>
      <c r="I128" s="327">
        <f t="shared" si="40"/>
        <v>0</v>
      </c>
      <c r="J128" s="327">
        <f t="shared" si="40"/>
        <v>0</v>
      </c>
      <c r="K128" s="327">
        <f t="shared" si="40"/>
        <v>0</v>
      </c>
      <c r="L128" s="327">
        <f t="shared" si="40"/>
        <v>0</v>
      </c>
      <c r="M128" s="327">
        <f t="shared" si="40"/>
        <v>0</v>
      </c>
      <c r="N128" s="327">
        <f>SUM(N126:N127)</f>
        <v>0</v>
      </c>
      <c r="O128" s="327">
        <f t="shared" si="40"/>
        <v>0</v>
      </c>
      <c r="P128" s="327">
        <f t="shared" si="40"/>
        <v>11</v>
      </c>
    </row>
    <row r="129" spans="1:16" ht="18.600000000000001" customHeight="1" x14ac:dyDescent="0.3">
      <c r="A129" s="412">
        <f>A126+1</f>
        <v>41</v>
      </c>
      <c r="B129" s="413" t="s">
        <v>398</v>
      </c>
      <c r="C129" s="414" t="s">
        <v>549</v>
      </c>
      <c r="D129" s="435">
        <v>41897</v>
      </c>
      <c r="E129" s="417" t="s">
        <v>546</v>
      </c>
      <c r="F129" s="332" t="s">
        <v>550</v>
      </c>
      <c r="G129" s="322" t="s">
        <v>402</v>
      </c>
      <c r="H129" s="323">
        <f>1960-239</f>
        <v>1721</v>
      </c>
      <c r="I129" s="323">
        <v>2000</v>
      </c>
      <c r="J129" s="323">
        <v>2000</v>
      </c>
      <c r="K129" s="323">
        <v>2000</v>
      </c>
      <c r="L129" s="323">
        <v>2000</v>
      </c>
      <c r="M129" s="323">
        <v>2000</v>
      </c>
      <c r="N129" s="323">
        <v>1999</v>
      </c>
      <c r="O129" s="323">
        <v>0</v>
      </c>
      <c r="P129" s="323">
        <f>SUM(H129:O129)</f>
        <v>13720</v>
      </c>
    </row>
    <row r="130" spans="1:16" ht="17.25" customHeight="1" x14ac:dyDescent="0.3">
      <c r="A130" s="412"/>
      <c r="B130" s="413"/>
      <c r="C130" s="414"/>
      <c r="D130" s="435"/>
      <c r="E130" s="417"/>
      <c r="F130" s="330" t="s">
        <v>551</v>
      </c>
      <c r="G130" s="324" t="s">
        <v>403</v>
      </c>
      <c r="H130" s="325">
        <f>558+34+3-4</f>
        <v>591</v>
      </c>
      <c r="I130" s="325">
        <f>447+30</f>
        <v>477</v>
      </c>
      <c r="J130" s="325">
        <f>371+25</f>
        <v>396</v>
      </c>
      <c r="K130" s="325">
        <f>295+20</f>
        <v>315</v>
      </c>
      <c r="L130" s="325">
        <f>218+14</f>
        <v>232</v>
      </c>
      <c r="M130" s="340">
        <v>150</v>
      </c>
      <c r="N130" s="340">
        <v>69</v>
      </c>
      <c r="O130" s="342">
        <v>4</v>
      </c>
      <c r="P130" s="325">
        <f>SUM(H130:O130)</f>
        <v>2234</v>
      </c>
    </row>
    <row r="131" spans="1:16" ht="15" customHeight="1" x14ac:dyDescent="0.3">
      <c r="A131" s="412"/>
      <c r="B131" s="425"/>
      <c r="C131" s="427"/>
      <c r="D131" s="436"/>
      <c r="E131" s="421"/>
      <c r="F131" s="333"/>
      <c r="G131" s="333" t="s">
        <v>404</v>
      </c>
      <c r="H131" s="327">
        <f t="shared" ref="H131:P131" si="41">SUM(H129:H130)</f>
        <v>2312</v>
      </c>
      <c r="I131" s="327">
        <f t="shared" si="41"/>
        <v>2477</v>
      </c>
      <c r="J131" s="327">
        <f t="shared" si="41"/>
        <v>2396</v>
      </c>
      <c r="K131" s="327">
        <f t="shared" si="41"/>
        <v>2315</v>
      </c>
      <c r="L131" s="327">
        <f t="shared" si="41"/>
        <v>2232</v>
      </c>
      <c r="M131" s="327">
        <f t="shared" si="41"/>
        <v>2150</v>
      </c>
      <c r="N131" s="327">
        <f t="shared" si="41"/>
        <v>2068</v>
      </c>
      <c r="O131" s="327">
        <f t="shared" si="41"/>
        <v>4</v>
      </c>
      <c r="P131" s="327">
        <f t="shared" si="41"/>
        <v>15954</v>
      </c>
    </row>
    <row r="132" spans="1:16" ht="17.25" customHeight="1" x14ac:dyDescent="0.3">
      <c r="A132" s="412">
        <f>A129+1</f>
        <v>42</v>
      </c>
      <c r="B132" s="413" t="s">
        <v>398</v>
      </c>
      <c r="C132" s="414" t="s">
        <v>552</v>
      </c>
      <c r="D132" s="415">
        <v>41696</v>
      </c>
      <c r="E132" s="417" t="s">
        <v>553</v>
      </c>
      <c r="F132" s="332" t="s">
        <v>554</v>
      </c>
      <c r="G132" s="322" t="s">
        <v>402</v>
      </c>
      <c r="H132" s="323">
        <f>120928-7452</f>
        <v>113476</v>
      </c>
      <c r="I132" s="323">
        <v>122264</v>
      </c>
      <c r="J132" s="323">
        <v>122264</v>
      </c>
      <c r="K132" s="323">
        <v>122264</v>
      </c>
      <c r="L132" s="323">
        <v>122264</v>
      </c>
      <c r="M132" s="323">
        <v>30554</v>
      </c>
      <c r="N132" s="323">
        <v>0</v>
      </c>
      <c r="O132" s="323">
        <v>0</v>
      </c>
      <c r="P132" s="323">
        <f>SUM(H132:O132)</f>
        <v>633086</v>
      </c>
    </row>
    <row r="133" spans="1:16" ht="15.75" customHeight="1" x14ac:dyDescent="0.3">
      <c r="A133" s="412"/>
      <c r="B133" s="413"/>
      <c r="C133" s="414"/>
      <c r="D133" s="415"/>
      <c r="E133" s="417"/>
      <c r="F133" s="330" t="s">
        <v>555</v>
      </c>
      <c r="G133" s="324" t="s">
        <v>403</v>
      </c>
      <c r="H133" s="325">
        <f>23103+1561+251</f>
        <v>24915</v>
      </c>
      <c r="I133" s="325">
        <f>19223+1268</f>
        <v>20491</v>
      </c>
      <c r="J133" s="325">
        <f>14502+960</f>
        <v>15462</v>
      </c>
      <c r="K133" s="325">
        <f>9815+650</f>
        <v>10465</v>
      </c>
      <c r="L133" s="325">
        <f>5135+340</f>
        <v>5475</v>
      </c>
      <c r="M133" s="340">
        <v>759</v>
      </c>
      <c r="N133" s="340">
        <v>0</v>
      </c>
      <c r="O133" s="325">
        <v>0</v>
      </c>
      <c r="P133" s="325">
        <f>SUM(H133:O133)</f>
        <v>77567</v>
      </c>
    </row>
    <row r="134" spans="1:16" ht="15" customHeight="1" x14ac:dyDescent="0.3">
      <c r="A134" s="412"/>
      <c r="B134" s="413"/>
      <c r="C134" s="414"/>
      <c r="D134" s="415"/>
      <c r="E134" s="417"/>
      <c r="F134" s="326"/>
      <c r="G134" s="326" t="s">
        <v>404</v>
      </c>
      <c r="H134" s="327">
        <f t="shared" ref="H134:P134" si="42">SUM(H132:H133)</f>
        <v>138391</v>
      </c>
      <c r="I134" s="327">
        <f t="shared" si="42"/>
        <v>142755</v>
      </c>
      <c r="J134" s="327">
        <f t="shared" si="42"/>
        <v>137726</v>
      </c>
      <c r="K134" s="327">
        <f t="shared" si="42"/>
        <v>132729</v>
      </c>
      <c r="L134" s="327">
        <f t="shared" si="42"/>
        <v>127739</v>
      </c>
      <c r="M134" s="327">
        <f t="shared" si="42"/>
        <v>31313</v>
      </c>
      <c r="N134" s="327">
        <f t="shared" si="42"/>
        <v>0</v>
      </c>
      <c r="O134" s="327">
        <f t="shared" si="42"/>
        <v>0</v>
      </c>
      <c r="P134" s="327">
        <f t="shared" si="42"/>
        <v>710653</v>
      </c>
    </row>
    <row r="135" spans="1:16" ht="18" customHeight="1" x14ac:dyDescent="0.3">
      <c r="A135" s="412">
        <f>A132+1</f>
        <v>43</v>
      </c>
      <c r="B135" s="413" t="s">
        <v>398</v>
      </c>
      <c r="C135" s="424" t="s">
        <v>556</v>
      </c>
      <c r="D135" s="415">
        <v>41752</v>
      </c>
      <c r="E135" s="417" t="s">
        <v>557</v>
      </c>
      <c r="F135" s="332" t="s">
        <v>558</v>
      </c>
      <c r="G135" s="322" t="s">
        <v>402</v>
      </c>
      <c r="H135" s="323">
        <f>10812-2200</f>
        <v>8612</v>
      </c>
      <c r="I135" s="323">
        <v>11044</v>
      </c>
      <c r="J135" s="323">
        <v>11044</v>
      </c>
      <c r="K135" s="323">
        <v>11044</v>
      </c>
      <c r="L135" s="323">
        <v>11044</v>
      </c>
      <c r="M135" s="323">
        <v>11044</v>
      </c>
      <c r="N135" s="323">
        <v>11044</v>
      </c>
      <c r="O135" s="323">
        <f>48654-10812+808</f>
        <v>38650</v>
      </c>
      <c r="P135" s="323">
        <f>SUM(H135:O135)</f>
        <v>113526</v>
      </c>
    </row>
    <row r="136" spans="1:16" ht="15.75" customHeight="1" x14ac:dyDescent="0.3">
      <c r="A136" s="412"/>
      <c r="B136" s="413"/>
      <c r="C136" s="424"/>
      <c r="D136" s="415"/>
      <c r="E136" s="417"/>
      <c r="F136" s="339" t="s">
        <v>559</v>
      </c>
      <c r="G136" s="324" t="s">
        <v>403</v>
      </c>
      <c r="H136" s="325">
        <f>4159+284+30-2</f>
        <v>4471</v>
      </c>
      <c r="I136" s="325">
        <f>3948+261</f>
        <v>4209</v>
      </c>
      <c r="J136" s="325">
        <f>3531+234</f>
        <v>3765</v>
      </c>
      <c r="K136" s="325">
        <f>3107+206</f>
        <v>3313</v>
      </c>
      <c r="L136" s="325">
        <f>2691+178</f>
        <v>2869</v>
      </c>
      <c r="M136" s="340">
        <f>2260+150</f>
        <v>2410</v>
      </c>
      <c r="N136" s="340">
        <f>1837+122</f>
        <v>1959</v>
      </c>
      <c r="O136" s="340">
        <v>3315</v>
      </c>
      <c r="P136" s="325">
        <f>SUM(H136:O136)</f>
        <v>26311</v>
      </c>
    </row>
    <row r="137" spans="1:16" ht="15.75" customHeight="1" x14ac:dyDescent="0.3">
      <c r="A137" s="412"/>
      <c r="B137" s="413"/>
      <c r="C137" s="424"/>
      <c r="D137" s="415"/>
      <c r="E137" s="417"/>
      <c r="F137" s="326"/>
      <c r="G137" s="326" t="s">
        <v>404</v>
      </c>
      <c r="H137" s="327">
        <f t="shared" ref="H137:P137" si="43">SUM(H135:H136)</f>
        <v>13083</v>
      </c>
      <c r="I137" s="327">
        <f t="shared" si="43"/>
        <v>15253</v>
      </c>
      <c r="J137" s="327">
        <f t="shared" si="43"/>
        <v>14809</v>
      </c>
      <c r="K137" s="327">
        <f t="shared" si="43"/>
        <v>14357</v>
      </c>
      <c r="L137" s="327">
        <f t="shared" si="43"/>
        <v>13913</v>
      </c>
      <c r="M137" s="327">
        <f t="shared" si="43"/>
        <v>13454</v>
      </c>
      <c r="N137" s="327">
        <f t="shared" si="43"/>
        <v>13003</v>
      </c>
      <c r="O137" s="327">
        <f t="shared" si="43"/>
        <v>41965</v>
      </c>
      <c r="P137" s="327">
        <f t="shared" si="43"/>
        <v>139837</v>
      </c>
    </row>
    <row r="138" spans="1:16" ht="18.600000000000001" customHeight="1" x14ac:dyDescent="0.3">
      <c r="A138" s="412">
        <f>A135+1</f>
        <v>44</v>
      </c>
      <c r="B138" s="413" t="s">
        <v>398</v>
      </c>
      <c r="C138" s="414" t="s">
        <v>560</v>
      </c>
      <c r="D138" s="415">
        <v>41851</v>
      </c>
      <c r="E138" s="417" t="s">
        <v>561</v>
      </c>
      <c r="F138" s="332" t="s">
        <v>562</v>
      </c>
      <c r="G138" s="322" t="s">
        <v>402</v>
      </c>
      <c r="H138" s="323">
        <f>12204-5522</f>
        <v>6682</v>
      </c>
      <c r="I138" s="323">
        <v>12484</v>
      </c>
      <c r="J138" s="323">
        <v>12484</v>
      </c>
      <c r="K138" s="323">
        <v>12484</v>
      </c>
      <c r="L138" s="323">
        <v>12484</v>
      </c>
      <c r="M138" s="323">
        <v>12484</v>
      </c>
      <c r="N138" s="323">
        <v>12484</v>
      </c>
      <c r="O138" s="323">
        <f>180009-12204+3842</f>
        <v>171647</v>
      </c>
      <c r="P138" s="323">
        <f>SUM(H138:O138)</f>
        <v>253233</v>
      </c>
    </row>
    <row r="139" spans="1:16" ht="15.75" customHeight="1" x14ac:dyDescent="0.3">
      <c r="A139" s="412"/>
      <c r="B139" s="413"/>
      <c r="C139" s="414"/>
      <c r="D139" s="415"/>
      <c r="E139" s="417"/>
      <c r="F139" s="330" t="s">
        <v>563</v>
      </c>
      <c r="G139" s="324" t="s">
        <v>403</v>
      </c>
      <c r="H139" s="325">
        <f>10433+639+60-75</f>
        <v>11057</v>
      </c>
      <c r="I139" s="325">
        <f>9358+616</f>
        <v>9974</v>
      </c>
      <c r="J139" s="325">
        <f>8893+588</f>
        <v>9481</v>
      </c>
      <c r="K139" s="325">
        <f>8414+557</f>
        <v>8971</v>
      </c>
      <c r="L139" s="325">
        <f>7956+526</f>
        <v>8482</v>
      </c>
      <c r="M139" s="325">
        <f>7456+493</f>
        <v>7949</v>
      </c>
      <c r="N139" s="325">
        <f>6978+462</f>
        <v>7440</v>
      </c>
      <c r="O139" s="340">
        <v>84823</v>
      </c>
      <c r="P139" s="325">
        <f>SUM(H139:O139)</f>
        <v>148177</v>
      </c>
    </row>
    <row r="140" spans="1:16" ht="15.75" customHeight="1" x14ac:dyDescent="0.3">
      <c r="A140" s="412"/>
      <c r="B140" s="413"/>
      <c r="C140" s="414"/>
      <c r="D140" s="415"/>
      <c r="E140" s="417"/>
      <c r="F140" s="326"/>
      <c r="G140" s="326" t="s">
        <v>404</v>
      </c>
      <c r="H140" s="327">
        <f t="shared" ref="H140:P140" si="44">SUM(H138:H139)</f>
        <v>17739</v>
      </c>
      <c r="I140" s="327">
        <f t="shared" si="44"/>
        <v>22458</v>
      </c>
      <c r="J140" s="327">
        <f t="shared" si="44"/>
        <v>21965</v>
      </c>
      <c r="K140" s="327">
        <f t="shared" si="44"/>
        <v>21455</v>
      </c>
      <c r="L140" s="327">
        <f t="shared" si="44"/>
        <v>20966</v>
      </c>
      <c r="M140" s="327">
        <f t="shared" si="44"/>
        <v>20433</v>
      </c>
      <c r="N140" s="327">
        <f t="shared" si="44"/>
        <v>19924</v>
      </c>
      <c r="O140" s="327">
        <f t="shared" si="44"/>
        <v>256470</v>
      </c>
      <c r="P140" s="327">
        <f t="shared" si="44"/>
        <v>401410</v>
      </c>
    </row>
    <row r="141" spans="1:16" ht="16.5" customHeight="1" x14ac:dyDescent="0.3">
      <c r="A141" s="412">
        <f>A138+1</f>
        <v>45</v>
      </c>
      <c r="B141" s="413" t="s">
        <v>398</v>
      </c>
      <c r="C141" s="414" t="s">
        <v>564</v>
      </c>
      <c r="D141" s="415">
        <v>41851</v>
      </c>
      <c r="E141" s="417" t="s">
        <v>561</v>
      </c>
      <c r="F141" s="332" t="s">
        <v>565</v>
      </c>
      <c r="G141" s="322" t="s">
        <v>402</v>
      </c>
      <c r="H141" s="323">
        <f>5732-2594</f>
        <v>3138</v>
      </c>
      <c r="I141" s="323">
        <v>5864</v>
      </c>
      <c r="J141" s="323">
        <v>5864</v>
      </c>
      <c r="K141" s="323">
        <v>5864</v>
      </c>
      <c r="L141" s="323">
        <v>5864</v>
      </c>
      <c r="M141" s="323">
        <v>5864</v>
      </c>
      <c r="N141" s="323">
        <v>5864</v>
      </c>
      <c r="O141" s="323">
        <f>84547-5732+1802</f>
        <v>80617</v>
      </c>
      <c r="P141" s="323">
        <f>SUM(H141:O141)</f>
        <v>118939</v>
      </c>
    </row>
    <row r="142" spans="1:16" ht="15" customHeight="1" x14ac:dyDescent="0.3">
      <c r="A142" s="412"/>
      <c r="B142" s="413"/>
      <c r="C142" s="414"/>
      <c r="D142" s="415"/>
      <c r="E142" s="417"/>
      <c r="F142" s="330" t="s">
        <v>566</v>
      </c>
      <c r="G142" s="324" t="s">
        <v>403</v>
      </c>
      <c r="H142" s="325">
        <f>4900+300+29-36</f>
        <v>5193</v>
      </c>
      <c r="I142" s="325">
        <f>4395+291</f>
        <v>4686</v>
      </c>
      <c r="J142" s="325">
        <f>4177+276</f>
        <v>4453</v>
      </c>
      <c r="K142" s="325">
        <f>3952+262</f>
        <v>4214</v>
      </c>
      <c r="L142" s="325">
        <f>3737+247</f>
        <v>3984</v>
      </c>
      <c r="M142" s="340">
        <f>3502+232</f>
        <v>3734</v>
      </c>
      <c r="N142" s="340">
        <f>3277+217</f>
        <v>3494</v>
      </c>
      <c r="O142" s="340">
        <f>23785</f>
        <v>23785</v>
      </c>
      <c r="P142" s="325">
        <f>SUM(H142:O142)</f>
        <v>53543</v>
      </c>
    </row>
    <row r="143" spans="1:16" ht="15" customHeight="1" x14ac:dyDescent="0.3">
      <c r="A143" s="412"/>
      <c r="B143" s="413"/>
      <c r="C143" s="414"/>
      <c r="D143" s="415"/>
      <c r="E143" s="417"/>
      <c r="F143" s="326"/>
      <c r="G143" s="326" t="s">
        <v>404</v>
      </c>
      <c r="H143" s="327">
        <f t="shared" ref="H143:P143" si="45">SUM(H141:H142)</f>
        <v>8331</v>
      </c>
      <c r="I143" s="327">
        <f t="shared" si="45"/>
        <v>10550</v>
      </c>
      <c r="J143" s="327">
        <f t="shared" si="45"/>
        <v>10317</v>
      </c>
      <c r="K143" s="327">
        <f t="shared" si="45"/>
        <v>10078</v>
      </c>
      <c r="L143" s="327">
        <f t="shared" si="45"/>
        <v>9848</v>
      </c>
      <c r="M143" s="327">
        <f t="shared" si="45"/>
        <v>9598</v>
      </c>
      <c r="N143" s="327">
        <f t="shared" si="45"/>
        <v>9358</v>
      </c>
      <c r="O143" s="327">
        <f t="shared" si="45"/>
        <v>104402</v>
      </c>
      <c r="P143" s="327">
        <f t="shared" si="45"/>
        <v>172482</v>
      </c>
    </row>
    <row r="144" spans="1:16" ht="14.25" customHeight="1" x14ac:dyDescent="0.3">
      <c r="A144" s="412">
        <f>A141+1</f>
        <v>46</v>
      </c>
      <c r="B144" s="413" t="s">
        <v>398</v>
      </c>
      <c r="C144" s="414" t="s">
        <v>567</v>
      </c>
      <c r="D144" s="415">
        <v>41942</v>
      </c>
      <c r="E144" s="417" t="s">
        <v>568</v>
      </c>
      <c r="F144" s="332" t="s">
        <v>569</v>
      </c>
      <c r="G144" s="322" t="s">
        <v>402</v>
      </c>
      <c r="H144" s="323">
        <v>9404</v>
      </c>
      <c r="I144" s="329">
        <v>0</v>
      </c>
      <c r="J144" s="329">
        <v>0</v>
      </c>
      <c r="K144" s="329">
        <v>0</v>
      </c>
      <c r="L144" s="329">
        <v>0</v>
      </c>
      <c r="M144" s="329">
        <v>0</v>
      </c>
      <c r="N144" s="329">
        <v>0</v>
      </c>
      <c r="O144" s="329">
        <v>0</v>
      </c>
      <c r="P144" s="323">
        <f>SUM(H144:O144)</f>
        <v>9404</v>
      </c>
    </row>
    <row r="145" spans="1:16" ht="15" customHeight="1" x14ac:dyDescent="0.3">
      <c r="A145" s="412"/>
      <c r="B145" s="413"/>
      <c r="C145" s="414"/>
      <c r="D145" s="415"/>
      <c r="E145" s="417"/>
      <c r="F145" s="330" t="s">
        <v>570</v>
      </c>
      <c r="G145" s="324" t="s">
        <v>403</v>
      </c>
      <c r="H145" s="325">
        <v>344</v>
      </c>
      <c r="I145" s="331">
        <v>21</v>
      </c>
      <c r="J145" s="331">
        <v>0</v>
      </c>
      <c r="K145" s="331">
        <v>0</v>
      </c>
      <c r="L145" s="331">
        <v>0</v>
      </c>
      <c r="M145" s="331">
        <v>0</v>
      </c>
      <c r="N145" s="331">
        <v>0</v>
      </c>
      <c r="O145" s="331">
        <v>0</v>
      </c>
      <c r="P145" s="325">
        <f>SUM(H145:O145)</f>
        <v>365</v>
      </c>
    </row>
    <row r="146" spans="1:16" ht="15" customHeight="1" x14ac:dyDescent="0.3">
      <c r="A146" s="412"/>
      <c r="B146" s="413"/>
      <c r="C146" s="414"/>
      <c r="D146" s="415"/>
      <c r="E146" s="417"/>
      <c r="F146" s="326"/>
      <c r="G146" s="326" t="s">
        <v>404</v>
      </c>
      <c r="H146" s="327">
        <f t="shared" ref="H146:P146" si="46">SUM(H144:H145)</f>
        <v>9748</v>
      </c>
      <c r="I146" s="327">
        <f t="shared" si="46"/>
        <v>21</v>
      </c>
      <c r="J146" s="327">
        <f t="shared" si="46"/>
        <v>0</v>
      </c>
      <c r="K146" s="327">
        <f t="shared" si="46"/>
        <v>0</v>
      </c>
      <c r="L146" s="327">
        <f t="shared" si="46"/>
        <v>0</v>
      </c>
      <c r="M146" s="327">
        <f t="shared" si="46"/>
        <v>0</v>
      </c>
      <c r="N146" s="327">
        <f>SUM(N144:N145)</f>
        <v>0</v>
      </c>
      <c r="O146" s="327">
        <f t="shared" si="46"/>
        <v>0</v>
      </c>
      <c r="P146" s="327">
        <f t="shared" si="46"/>
        <v>9769</v>
      </c>
    </row>
    <row r="147" spans="1:16" ht="14.25" customHeight="1" x14ac:dyDescent="0.3">
      <c r="A147" s="412">
        <f>A144+1</f>
        <v>47</v>
      </c>
      <c r="B147" s="413" t="s">
        <v>398</v>
      </c>
      <c r="C147" s="414" t="s">
        <v>571</v>
      </c>
      <c r="D147" s="415">
        <v>41962</v>
      </c>
      <c r="E147" s="417" t="s">
        <v>453</v>
      </c>
      <c r="F147" s="332" t="s">
        <v>572</v>
      </c>
      <c r="G147" s="322" t="s">
        <v>402</v>
      </c>
      <c r="H147" s="323">
        <f>17748-721</f>
        <v>17027</v>
      </c>
      <c r="I147" s="323">
        <v>17932</v>
      </c>
      <c r="J147" s="323">
        <v>17932</v>
      </c>
      <c r="K147" s="323">
        <v>17932</v>
      </c>
      <c r="L147" s="323">
        <v>17917</v>
      </c>
      <c r="M147" s="323">
        <v>0</v>
      </c>
      <c r="N147" s="329">
        <v>0</v>
      </c>
      <c r="O147" s="323">
        <v>0</v>
      </c>
      <c r="P147" s="323">
        <f>SUM(H147:O147)</f>
        <v>88740</v>
      </c>
    </row>
    <row r="148" spans="1:16" ht="14.25" customHeight="1" x14ac:dyDescent="0.3">
      <c r="A148" s="412"/>
      <c r="B148" s="413"/>
      <c r="C148" s="414"/>
      <c r="D148" s="415"/>
      <c r="E148" s="417"/>
      <c r="F148" s="330" t="s">
        <v>573</v>
      </c>
      <c r="G148" s="324" t="s">
        <v>403</v>
      </c>
      <c r="H148" s="325">
        <f>3720+7</f>
        <v>3727</v>
      </c>
      <c r="I148" s="325">
        <f>2674+175</f>
        <v>2849</v>
      </c>
      <c r="J148" s="325">
        <f>1955+129</f>
        <v>2084</v>
      </c>
      <c r="K148" s="325">
        <f>1267+84</f>
        <v>1351</v>
      </c>
      <c r="L148" s="325">
        <f>580+38</f>
        <v>618</v>
      </c>
      <c r="M148" s="342">
        <v>40</v>
      </c>
      <c r="N148" s="331">
        <v>0</v>
      </c>
      <c r="O148" s="325">
        <v>0</v>
      </c>
      <c r="P148" s="325">
        <f>SUM(H148:O148)</f>
        <v>10669</v>
      </c>
    </row>
    <row r="149" spans="1:16" ht="14.25" customHeight="1" x14ac:dyDescent="0.3">
      <c r="A149" s="412"/>
      <c r="B149" s="425"/>
      <c r="C149" s="427"/>
      <c r="D149" s="418"/>
      <c r="E149" s="421"/>
      <c r="F149" s="333"/>
      <c r="G149" s="333" t="s">
        <v>404</v>
      </c>
      <c r="H149" s="327">
        <f t="shared" ref="H149:P149" si="47">SUM(H147:H148)</f>
        <v>20754</v>
      </c>
      <c r="I149" s="327">
        <f t="shared" si="47"/>
        <v>20781</v>
      </c>
      <c r="J149" s="327">
        <f t="shared" si="47"/>
        <v>20016</v>
      </c>
      <c r="K149" s="327">
        <f t="shared" si="47"/>
        <v>19283</v>
      </c>
      <c r="L149" s="327">
        <f t="shared" si="47"/>
        <v>18535</v>
      </c>
      <c r="M149" s="327">
        <f t="shared" si="47"/>
        <v>40</v>
      </c>
      <c r="N149" s="327">
        <f t="shared" si="47"/>
        <v>0</v>
      </c>
      <c r="O149" s="327">
        <f t="shared" si="47"/>
        <v>0</v>
      </c>
      <c r="P149" s="327">
        <f t="shared" si="47"/>
        <v>99409</v>
      </c>
    </row>
    <row r="150" spans="1:16" ht="14.25" customHeight="1" x14ac:dyDescent="0.3">
      <c r="A150" s="412">
        <f>A147+1</f>
        <v>48</v>
      </c>
      <c r="B150" s="413" t="s">
        <v>398</v>
      </c>
      <c r="C150" s="424" t="s">
        <v>574</v>
      </c>
      <c r="D150" s="415">
        <v>41962</v>
      </c>
      <c r="E150" s="417" t="s">
        <v>575</v>
      </c>
      <c r="F150" s="332" t="s">
        <v>576</v>
      </c>
      <c r="G150" s="322" t="s">
        <v>402</v>
      </c>
      <c r="H150" s="323">
        <f>13692-1725</f>
        <v>11967</v>
      </c>
      <c r="I150" s="323">
        <v>13868</v>
      </c>
      <c r="J150" s="323">
        <v>13868</v>
      </c>
      <c r="K150" s="323">
        <v>13868</v>
      </c>
      <c r="L150" s="323">
        <v>13868</v>
      </c>
      <c r="M150" s="323">
        <v>13868</v>
      </c>
      <c r="N150" s="323">
        <v>13868</v>
      </c>
      <c r="O150" s="323">
        <f>68460-13692+669</f>
        <v>55437</v>
      </c>
      <c r="P150" s="323">
        <f>SUM(H150:O150)</f>
        <v>150612</v>
      </c>
    </row>
    <row r="151" spans="1:16" ht="14.25" customHeight="1" x14ac:dyDescent="0.3">
      <c r="A151" s="412"/>
      <c r="B151" s="413"/>
      <c r="C151" s="414"/>
      <c r="D151" s="415"/>
      <c r="E151" s="417"/>
      <c r="F151" s="330" t="s">
        <v>577</v>
      </c>
      <c r="G151" s="324" t="s">
        <v>403</v>
      </c>
      <c r="H151" s="325">
        <f>6057+377+17</f>
        <v>6451</v>
      </c>
      <c r="I151" s="325">
        <f>5290+346</f>
        <v>5636</v>
      </c>
      <c r="J151" s="325">
        <f>4698+311</f>
        <v>5009</v>
      </c>
      <c r="K151" s="325">
        <f>4166+276</f>
        <v>4442</v>
      </c>
      <c r="L151" s="325">
        <f>3644+241</f>
        <v>3885</v>
      </c>
      <c r="M151" s="340">
        <f>3103+205</f>
        <v>3308</v>
      </c>
      <c r="N151" s="340">
        <f>2571+170</f>
        <v>2741</v>
      </c>
      <c r="O151" s="340">
        <f>5330</f>
        <v>5330</v>
      </c>
      <c r="P151" s="325">
        <f>SUM(H151:O151)</f>
        <v>36802</v>
      </c>
    </row>
    <row r="152" spans="1:16" ht="14.25" customHeight="1" x14ac:dyDescent="0.3">
      <c r="A152" s="412"/>
      <c r="B152" s="413"/>
      <c r="C152" s="414"/>
      <c r="D152" s="415"/>
      <c r="E152" s="417"/>
      <c r="F152" s="326"/>
      <c r="G152" s="326" t="s">
        <v>404</v>
      </c>
      <c r="H152" s="327">
        <f t="shared" ref="H152:P152" si="48">SUM(H150:H151)</f>
        <v>18418</v>
      </c>
      <c r="I152" s="327">
        <f t="shared" si="48"/>
        <v>19504</v>
      </c>
      <c r="J152" s="327">
        <f t="shared" si="48"/>
        <v>18877</v>
      </c>
      <c r="K152" s="327">
        <f t="shared" si="48"/>
        <v>18310</v>
      </c>
      <c r="L152" s="327">
        <f t="shared" si="48"/>
        <v>17753</v>
      </c>
      <c r="M152" s="327">
        <f t="shared" si="48"/>
        <v>17176</v>
      </c>
      <c r="N152" s="327">
        <f t="shared" si="48"/>
        <v>16609</v>
      </c>
      <c r="O152" s="327">
        <f t="shared" si="48"/>
        <v>60767</v>
      </c>
      <c r="P152" s="327">
        <f t="shared" si="48"/>
        <v>187414</v>
      </c>
    </row>
    <row r="153" spans="1:16" ht="16.5" customHeight="1" x14ac:dyDescent="0.3">
      <c r="A153" s="412">
        <f>A150+1</f>
        <v>49</v>
      </c>
      <c r="B153" s="413" t="s">
        <v>398</v>
      </c>
      <c r="C153" s="414" t="s">
        <v>578</v>
      </c>
      <c r="D153" s="415">
        <v>41989</v>
      </c>
      <c r="E153" s="417" t="s">
        <v>579</v>
      </c>
      <c r="F153" s="332" t="s">
        <v>580</v>
      </c>
      <c r="G153" s="322" t="s">
        <v>402</v>
      </c>
      <c r="H153" s="323">
        <f>6100-393</f>
        <v>5707</v>
      </c>
      <c r="I153" s="323">
        <v>6180</v>
      </c>
      <c r="J153" s="323">
        <v>6180</v>
      </c>
      <c r="K153" s="323">
        <v>6180</v>
      </c>
      <c r="L153" s="323">
        <v>6180</v>
      </c>
      <c r="M153" s="323">
        <v>6173</v>
      </c>
      <c r="N153" s="323">
        <v>0</v>
      </c>
      <c r="O153" s="323">
        <v>0</v>
      </c>
      <c r="P153" s="323">
        <f>SUM(H153:O153)</f>
        <v>36600</v>
      </c>
    </row>
    <row r="154" spans="1:16" ht="16.95" customHeight="1" x14ac:dyDescent="0.3">
      <c r="A154" s="412"/>
      <c r="B154" s="413"/>
      <c r="C154" s="414"/>
      <c r="D154" s="415"/>
      <c r="E154" s="417"/>
      <c r="F154" s="330" t="s">
        <v>581</v>
      </c>
      <c r="G154" s="324" t="s">
        <v>403</v>
      </c>
      <c r="H154" s="325">
        <f>1355+91+4</f>
        <v>1450</v>
      </c>
      <c r="I154" s="325">
        <f>1160+76</f>
        <v>1236</v>
      </c>
      <c r="J154" s="325">
        <f>910+60</f>
        <v>970</v>
      </c>
      <c r="K154" s="325">
        <f>673+45</f>
        <v>718</v>
      </c>
      <c r="L154" s="325">
        <f>437+29</f>
        <v>466</v>
      </c>
      <c r="M154" s="340">
        <v>212</v>
      </c>
      <c r="N154" s="340">
        <v>9</v>
      </c>
      <c r="O154" s="340">
        <v>0</v>
      </c>
      <c r="P154" s="325">
        <f>SUM(H154:O154)</f>
        <v>5061</v>
      </c>
    </row>
    <row r="155" spans="1:16" ht="16.5" customHeight="1" x14ac:dyDescent="0.3">
      <c r="A155" s="412"/>
      <c r="B155" s="413"/>
      <c r="C155" s="414"/>
      <c r="D155" s="415"/>
      <c r="E155" s="417"/>
      <c r="F155" s="326"/>
      <c r="G155" s="326" t="s">
        <v>404</v>
      </c>
      <c r="H155" s="327">
        <f t="shared" ref="H155:P155" si="49">SUM(H153:H154)</f>
        <v>7157</v>
      </c>
      <c r="I155" s="327">
        <f t="shared" si="49"/>
        <v>7416</v>
      </c>
      <c r="J155" s="327">
        <f t="shared" si="49"/>
        <v>7150</v>
      </c>
      <c r="K155" s="327">
        <f t="shared" si="49"/>
        <v>6898</v>
      </c>
      <c r="L155" s="327">
        <f t="shared" si="49"/>
        <v>6646</v>
      </c>
      <c r="M155" s="343">
        <f t="shared" si="49"/>
        <v>6385</v>
      </c>
      <c r="N155" s="343">
        <f t="shared" si="49"/>
        <v>9</v>
      </c>
      <c r="O155" s="343">
        <f t="shared" si="49"/>
        <v>0</v>
      </c>
      <c r="P155" s="327">
        <f t="shared" si="49"/>
        <v>41661</v>
      </c>
    </row>
    <row r="156" spans="1:16" ht="15" customHeight="1" x14ac:dyDescent="0.3">
      <c r="A156" s="412">
        <f>A153+1</f>
        <v>50</v>
      </c>
      <c r="B156" s="413" t="s">
        <v>398</v>
      </c>
      <c r="C156" s="414" t="s">
        <v>582</v>
      </c>
      <c r="D156" s="415">
        <v>42103</v>
      </c>
      <c r="E156" s="417" t="s">
        <v>583</v>
      </c>
      <c r="F156" s="332" t="s">
        <v>584</v>
      </c>
      <c r="G156" s="322" t="s">
        <v>402</v>
      </c>
      <c r="H156" s="323">
        <f>2188-881</f>
        <v>1307</v>
      </c>
      <c r="I156" s="323">
        <f>2188+44</f>
        <v>2232</v>
      </c>
      <c r="J156" s="323">
        <f t="shared" ref="J156:N156" si="50">2188+44</f>
        <v>2232</v>
      </c>
      <c r="K156" s="323">
        <f t="shared" si="50"/>
        <v>2232</v>
      </c>
      <c r="L156" s="323">
        <f t="shared" si="50"/>
        <v>2232</v>
      </c>
      <c r="M156" s="323">
        <f t="shared" si="50"/>
        <v>2232</v>
      </c>
      <c r="N156" s="323">
        <f t="shared" si="50"/>
        <v>2232</v>
      </c>
      <c r="O156" s="323">
        <f>33367-2188+617</f>
        <v>31796</v>
      </c>
      <c r="P156" s="323">
        <f>SUM(H156:O156)</f>
        <v>46495</v>
      </c>
    </row>
    <row r="157" spans="1:16" ht="15.75" customHeight="1" x14ac:dyDescent="0.3">
      <c r="A157" s="412"/>
      <c r="B157" s="413"/>
      <c r="C157" s="414"/>
      <c r="D157" s="415"/>
      <c r="E157" s="417"/>
      <c r="F157" s="330" t="s">
        <v>585</v>
      </c>
      <c r="G157" s="324" t="s">
        <v>403</v>
      </c>
      <c r="H157" s="325">
        <f>1733+117+4-1</f>
        <v>1853</v>
      </c>
      <c r="I157" s="325">
        <f>1705+114</f>
        <v>1819</v>
      </c>
      <c r="J157" s="325">
        <f>1632+108</f>
        <v>1740</v>
      </c>
      <c r="K157" s="325">
        <f>1547+102</f>
        <v>1649</v>
      </c>
      <c r="L157" s="325">
        <f>1465+97</f>
        <v>1562</v>
      </c>
      <c r="M157" s="340">
        <f>1376+91</f>
        <v>1467</v>
      </c>
      <c r="N157" s="340">
        <f>1290+85</f>
        <v>1375</v>
      </c>
      <c r="O157" s="340">
        <f>9708</f>
        <v>9708</v>
      </c>
      <c r="P157" s="325">
        <f>SUM(H157:O157)</f>
        <v>21173</v>
      </c>
    </row>
    <row r="158" spans="1:16" ht="15.75" customHeight="1" x14ac:dyDescent="0.3">
      <c r="A158" s="412"/>
      <c r="B158" s="413"/>
      <c r="C158" s="414"/>
      <c r="D158" s="415"/>
      <c r="E158" s="417"/>
      <c r="F158" s="326"/>
      <c r="G158" s="326" t="s">
        <v>404</v>
      </c>
      <c r="H158" s="327">
        <f t="shared" ref="H158:P158" si="51">SUM(H156:H157)</f>
        <v>3160</v>
      </c>
      <c r="I158" s="327">
        <f t="shared" si="51"/>
        <v>4051</v>
      </c>
      <c r="J158" s="327">
        <f t="shared" si="51"/>
        <v>3972</v>
      </c>
      <c r="K158" s="327">
        <f t="shared" si="51"/>
        <v>3881</v>
      </c>
      <c r="L158" s="327">
        <f t="shared" si="51"/>
        <v>3794</v>
      </c>
      <c r="M158" s="327">
        <f t="shared" si="51"/>
        <v>3699</v>
      </c>
      <c r="N158" s="327">
        <f t="shared" si="51"/>
        <v>3607</v>
      </c>
      <c r="O158" s="327">
        <f t="shared" si="51"/>
        <v>41504</v>
      </c>
      <c r="P158" s="327">
        <f t="shared" si="51"/>
        <v>67668</v>
      </c>
    </row>
    <row r="159" spans="1:16" ht="18.600000000000001" customHeight="1" x14ac:dyDescent="0.3">
      <c r="A159" s="412">
        <f>A156+1</f>
        <v>51</v>
      </c>
      <c r="B159" s="413" t="s">
        <v>398</v>
      </c>
      <c r="C159" s="414" t="s">
        <v>586</v>
      </c>
      <c r="D159" s="415">
        <v>42207</v>
      </c>
      <c r="E159" s="417" t="s">
        <v>587</v>
      </c>
      <c r="F159" s="332" t="s">
        <v>588</v>
      </c>
      <c r="G159" s="322" t="s">
        <v>402</v>
      </c>
      <c r="H159" s="323">
        <f>24780-3273</f>
        <v>21507</v>
      </c>
      <c r="I159" s="323">
        <f>24780+572</f>
        <v>25352</v>
      </c>
      <c r="J159" s="323">
        <f t="shared" ref="J159:M159" si="52">24780+572</f>
        <v>25352</v>
      </c>
      <c r="K159" s="323">
        <f t="shared" si="52"/>
        <v>25352</v>
      </c>
      <c r="L159" s="323">
        <f t="shared" si="52"/>
        <v>25352</v>
      </c>
      <c r="M159" s="323">
        <f t="shared" si="52"/>
        <v>25352</v>
      </c>
      <c r="N159" s="323">
        <f>18585+413</f>
        <v>18998</v>
      </c>
      <c r="O159" s="323">
        <v>0</v>
      </c>
      <c r="P159" s="323">
        <f>SUM(H159:O159)</f>
        <v>167265</v>
      </c>
    </row>
    <row r="160" spans="1:16" ht="15.75" customHeight="1" x14ac:dyDescent="0.3">
      <c r="A160" s="412"/>
      <c r="B160" s="413"/>
      <c r="C160" s="414"/>
      <c r="D160" s="415"/>
      <c r="E160" s="417"/>
      <c r="F160" s="330" t="s">
        <v>589</v>
      </c>
      <c r="G160" s="324" t="s">
        <v>403</v>
      </c>
      <c r="H160" s="325">
        <f>6788+415+37-49</f>
        <v>7191</v>
      </c>
      <c r="I160" s="325">
        <f>5424+259</f>
        <v>5683</v>
      </c>
      <c r="J160" s="325">
        <f>4463+295</f>
        <v>4758</v>
      </c>
      <c r="K160" s="325">
        <f>3491+231</f>
        <v>3722</v>
      </c>
      <c r="L160" s="325">
        <f>2525+167</f>
        <v>2692</v>
      </c>
      <c r="M160" s="340">
        <f>1546+102</f>
        <v>1648</v>
      </c>
      <c r="N160" s="340">
        <v>571</v>
      </c>
      <c r="O160" s="340">
        <v>0</v>
      </c>
      <c r="P160" s="325">
        <f>SUM(H160:O160)</f>
        <v>26265</v>
      </c>
    </row>
    <row r="161" spans="1:16" ht="15.75" customHeight="1" x14ac:dyDescent="0.3">
      <c r="A161" s="412"/>
      <c r="B161" s="413"/>
      <c r="C161" s="414"/>
      <c r="D161" s="415"/>
      <c r="E161" s="417"/>
      <c r="F161" s="326"/>
      <c r="G161" s="326" t="s">
        <v>404</v>
      </c>
      <c r="H161" s="327">
        <f t="shared" ref="H161:P161" si="53">SUM(H159:H160)</f>
        <v>28698</v>
      </c>
      <c r="I161" s="327">
        <f t="shared" si="53"/>
        <v>31035</v>
      </c>
      <c r="J161" s="327">
        <f t="shared" si="53"/>
        <v>30110</v>
      </c>
      <c r="K161" s="327">
        <f t="shared" si="53"/>
        <v>29074</v>
      </c>
      <c r="L161" s="327">
        <f t="shared" si="53"/>
        <v>28044</v>
      </c>
      <c r="M161" s="327">
        <f t="shared" si="53"/>
        <v>27000</v>
      </c>
      <c r="N161" s="327">
        <f t="shared" si="53"/>
        <v>19569</v>
      </c>
      <c r="O161" s="327">
        <f t="shared" si="53"/>
        <v>0</v>
      </c>
      <c r="P161" s="327">
        <f t="shared" si="53"/>
        <v>193530</v>
      </c>
    </row>
    <row r="162" spans="1:16" ht="16.95" customHeight="1" x14ac:dyDescent="0.3">
      <c r="A162" s="412">
        <f>A159+1</f>
        <v>52</v>
      </c>
      <c r="B162" s="413" t="s">
        <v>398</v>
      </c>
      <c r="C162" s="414" t="s">
        <v>590</v>
      </c>
      <c r="D162" s="415">
        <v>42207</v>
      </c>
      <c r="E162" s="417" t="s">
        <v>591</v>
      </c>
      <c r="F162" s="332" t="s">
        <v>592</v>
      </c>
      <c r="G162" s="322" t="s">
        <v>402</v>
      </c>
      <c r="H162" s="323">
        <f>4760-1173</f>
        <v>3587</v>
      </c>
      <c r="I162" s="323">
        <f>4760+112</f>
        <v>4872</v>
      </c>
      <c r="J162" s="323">
        <f t="shared" ref="J162:N162" si="54">4760+112</f>
        <v>4872</v>
      </c>
      <c r="K162" s="323">
        <f t="shared" si="54"/>
        <v>4872</v>
      </c>
      <c r="L162" s="323">
        <f t="shared" si="54"/>
        <v>4872</v>
      </c>
      <c r="M162" s="323">
        <f t="shared" si="54"/>
        <v>4872</v>
      </c>
      <c r="N162" s="323">
        <f t="shared" si="54"/>
        <v>4872</v>
      </c>
      <c r="O162" s="323">
        <f>27370-4760+501</f>
        <v>23111</v>
      </c>
      <c r="P162" s="323">
        <f>SUM(H162:O162)</f>
        <v>55930</v>
      </c>
    </row>
    <row r="163" spans="1:16" ht="16.5" customHeight="1" x14ac:dyDescent="0.3">
      <c r="A163" s="412"/>
      <c r="B163" s="413"/>
      <c r="C163" s="414"/>
      <c r="D163" s="415"/>
      <c r="E163" s="417"/>
      <c r="F163" s="330" t="s">
        <v>593</v>
      </c>
      <c r="G163" s="324" t="s">
        <v>403</v>
      </c>
      <c r="H163" s="325">
        <f>2292+140+13-17</f>
        <v>2428</v>
      </c>
      <c r="I163" s="325">
        <f>1973+131</f>
        <v>2104</v>
      </c>
      <c r="J163" s="325">
        <f>1790+118</f>
        <v>1908</v>
      </c>
      <c r="K163" s="325">
        <f>1603+106</f>
        <v>1709</v>
      </c>
      <c r="L163" s="325">
        <f>1420+94</f>
        <v>1514</v>
      </c>
      <c r="M163" s="340">
        <f>1229+81</f>
        <v>1310</v>
      </c>
      <c r="N163" s="340">
        <f>1043+69</f>
        <v>1112</v>
      </c>
      <c r="O163" s="340">
        <f>2568</f>
        <v>2568</v>
      </c>
      <c r="P163" s="325">
        <f>SUM(H163:O163)</f>
        <v>14653</v>
      </c>
    </row>
    <row r="164" spans="1:16" ht="16.5" customHeight="1" x14ac:dyDescent="0.3">
      <c r="A164" s="412"/>
      <c r="B164" s="425"/>
      <c r="C164" s="427"/>
      <c r="D164" s="418"/>
      <c r="E164" s="421"/>
      <c r="F164" s="333"/>
      <c r="G164" s="333" t="s">
        <v>404</v>
      </c>
      <c r="H164" s="327">
        <f t="shared" ref="H164:P164" si="55">SUM(H162:H163)</f>
        <v>6015</v>
      </c>
      <c r="I164" s="327">
        <f t="shared" si="55"/>
        <v>6976</v>
      </c>
      <c r="J164" s="327">
        <f t="shared" si="55"/>
        <v>6780</v>
      </c>
      <c r="K164" s="327">
        <f t="shared" si="55"/>
        <v>6581</v>
      </c>
      <c r="L164" s="327">
        <f t="shared" si="55"/>
        <v>6386</v>
      </c>
      <c r="M164" s="327">
        <f t="shared" si="55"/>
        <v>6182</v>
      </c>
      <c r="N164" s="327">
        <f t="shared" si="55"/>
        <v>5984</v>
      </c>
      <c r="O164" s="327">
        <f t="shared" si="55"/>
        <v>25679</v>
      </c>
      <c r="P164" s="327">
        <f t="shared" si="55"/>
        <v>70583</v>
      </c>
    </row>
    <row r="165" spans="1:16" ht="15" customHeight="1" x14ac:dyDescent="0.3">
      <c r="A165" s="412">
        <f>A162+1</f>
        <v>53</v>
      </c>
      <c r="B165" s="413" t="s">
        <v>398</v>
      </c>
      <c r="C165" s="414" t="s">
        <v>594</v>
      </c>
      <c r="D165" s="415">
        <v>42214</v>
      </c>
      <c r="E165" s="417" t="s">
        <v>587</v>
      </c>
      <c r="F165" s="332" t="s">
        <v>595</v>
      </c>
      <c r="G165" s="322" t="s">
        <v>402</v>
      </c>
      <c r="H165" s="323">
        <f>16952-2319</f>
        <v>14633</v>
      </c>
      <c r="I165" s="323">
        <v>17356</v>
      </c>
      <c r="J165" s="323">
        <v>17356</v>
      </c>
      <c r="K165" s="323">
        <v>17356</v>
      </c>
      <c r="L165" s="323">
        <v>17356</v>
      </c>
      <c r="M165" s="323">
        <v>17356</v>
      </c>
      <c r="N165" s="323">
        <f>13013</f>
        <v>13013</v>
      </c>
      <c r="O165" s="323">
        <v>0</v>
      </c>
      <c r="P165" s="323">
        <f>SUM(H165:O165)</f>
        <v>114426</v>
      </c>
    </row>
    <row r="166" spans="1:16" ht="15" customHeight="1" x14ac:dyDescent="0.3">
      <c r="A166" s="412"/>
      <c r="B166" s="413"/>
      <c r="C166" s="414"/>
      <c r="D166" s="415"/>
      <c r="E166" s="417"/>
      <c r="F166" s="339" t="s">
        <v>596</v>
      </c>
      <c r="G166" s="324" t="s">
        <v>403</v>
      </c>
      <c r="H166" s="325">
        <f>4607+284+25-34</f>
        <v>4882</v>
      </c>
      <c r="I166" s="325">
        <f>3713+246</f>
        <v>3959</v>
      </c>
      <c r="J166" s="325">
        <f>3056+202</f>
        <v>3258</v>
      </c>
      <c r="K166" s="325">
        <f>2390+158</f>
        <v>2548</v>
      </c>
      <c r="L166" s="325">
        <f>1729+114</f>
        <v>1843</v>
      </c>
      <c r="M166" s="340">
        <f>1059+70</f>
        <v>1129</v>
      </c>
      <c r="N166" s="340">
        <f>367+24</f>
        <v>391</v>
      </c>
      <c r="O166" s="340">
        <v>0</v>
      </c>
      <c r="P166" s="325">
        <f>SUM(H166:O166)</f>
        <v>18010</v>
      </c>
    </row>
    <row r="167" spans="1:16" ht="15" customHeight="1" x14ac:dyDescent="0.3">
      <c r="A167" s="412"/>
      <c r="B167" s="413"/>
      <c r="C167" s="414"/>
      <c r="D167" s="415"/>
      <c r="E167" s="417"/>
      <c r="F167" s="326"/>
      <c r="G167" s="326" t="s">
        <v>404</v>
      </c>
      <c r="H167" s="327">
        <f t="shared" ref="H167:P167" si="56">SUM(H165:H166)</f>
        <v>19515</v>
      </c>
      <c r="I167" s="327">
        <f t="shared" si="56"/>
        <v>21315</v>
      </c>
      <c r="J167" s="327">
        <f t="shared" si="56"/>
        <v>20614</v>
      </c>
      <c r="K167" s="327">
        <f t="shared" si="56"/>
        <v>19904</v>
      </c>
      <c r="L167" s="327">
        <f t="shared" si="56"/>
        <v>19199</v>
      </c>
      <c r="M167" s="327">
        <f t="shared" si="56"/>
        <v>18485</v>
      </c>
      <c r="N167" s="327">
        <f t="shared" si="56"/>
        <v>13404</v>
      </c>
      <c r="O167" s="327">
        <f t="shared" si="56"/>
        <v>0</v>
      </c>
      <c r="P167" s="327">
        <f t="shared" si="56"/>
        <v>132436</v>
      </c>
    </row>
    <row r="168" spans="1:16" ht="15.75" customHeight="1" x14ac:dyDescent="0.3">
      <c r="A168" s="412">
        <f>A165+1</f>
        <v>54</v>
      </c>
      <c r="B168" s="413" t="s">
        <v>398</v>
      </c>
      <c r="C168" s="414" t="s">
        <v>597</v>
      </c>
      <c r="D168" s="415">
        <v>42215</v>
      </c>
      <c r="E168" s="417" t="s">
        <v>591</v>
      </c>
      <c r="F168" s="332" t="s">
        <v>598</v>
      </c>
      <c r="G168" s="322" t="s">
        <v>402</v>
      </c>
      <c r="H168" s="323">
        <f>13888-3590</f>
        <v>10298</v>
      </c>
      <c r="I168" s="323">
        <v>14224</v>
      </c>
      <c r="J168" s="323">
        <v>14224</v>
      </c>
      <c r="K168" s="323">
        <v>14224</v>
      </c>
      <c r="L168" s="323">
        <v>14224</v>
      </c>
      <c r="M168" s="323">
        <v>14224</v>
      </c>
      <c r="N168" s="323">
        <v>14224</v>
      </c>
      <c r="O168" s="323">
        <f>79856-13888+1574</f>
        <v>67542</v>
      </c>
      <c r="P168" s="323">
        <f>SUM(H168:O168)</f>
        <v>163184</v>
      </c>
    </row>
    <row r="169" spans="1:16" ht="12.75" customHeight="1" x14ac:dyDescent="0.3">
      <c r="A169" s="412"/>
      <c r="B169" s="413"/>
      <c r="C169" s="414"/>
      <c r="D169" s="415"/>
      <c r="E169" s="417"/>
      <c r="F169" s="330" t="s">
        <v>599</v>
      </c>
      <c r="G169" s="324" t="s">
        <v>403</v>
      </c>
      <c r="H169" s="325">
        <f>6637+409+39-50</f>
        <v>7035</v>
      </c>
      <c r="I169" s="325">
        <f>5763+381</f>
        <v>6144</v>
      </c>
      <c r="J169" s="325">
        <f>5228+346</f>
        <v>5574</v>
      </c>
      <c r="K169" s="325">
        <f>4683+310</f>
        <v>4993</v>
      </c>
      <c r="L169" s="325">
        <f>4148+274</f>
        <v>4422</v>
      </c>
      <c r="M169" s="340">
        <f>3591+238</f>
        <v>3829</v>
      </c>
      <c r="N169" s="340">
        <f>3047+202</f>
        <v>3249</v>
      </c>
      <c r="O169" s="340">
        <f>7512</f>
        <v>7512</v>
      </c>
      <c r="P169" s="325">
        <f>SUM(H169:O169)</f>
        <v>42758</v>
      </c>
    </row>
    <row r="170" spans="1:16" ht="17.25" customHeight="1" x14ac:dyDescent="0.3">
      <c r="A170" s="412"/>
      <c r="B170" s="413"/>
      <c r="C170" s="414"/>
      <c r="D170" s="415"/>
      <c r="E170" s="417"/>
      <c r="F170" s="326"/>
      <c r="G170" s="326" t="s">
        <v>404</v>
      </c>
      <c r="H170" s="327">
        <f t="shared" ref="H170:P170" si="57">SUM(H168:H169)</f>
        <v>17333</v>
      </c>
      <c r="I170" s="327">
        <f t="shared" si="57"/>
        <v>20368</v>
      </c>
      <c r="J170" s="327">
        <f t="shared" si="57"/>
        <v>19798</v>
      </c>
      <c r="K170" s="327">
        <f t="shared" si="57"/>
        <v>19217</v>
      </c>
      <c r="L170" s="327">
        <f t="shared" si="57"/>
        <v>18646</v>
      </c>
      <c r="M170" s="327">
        <f t="shared" si="57"/>
        <v>18053</v>
      </c>
      <c r="N170" s="327">
        <f t="shared" si="57"/>
        <v>17473</v>
      </c>
      <c r="O170" s="327">
        <f t="shared" si="57"/>
        <v>75054</v>
      </c>
      <c r="P170" s="327">
        <f t="shared" si="57"/>
        <v>205942</v>
      </c>
    </row>
    <row r="171" spans="1:16" ht="15.75" customHeight="1" x14ac:dyDescent="0.3">
      <c r="A171" s="412">
        <f>A168+1</f>
        <v>55</v>
      </c>
      <c r="B171" s="413" t="s">
        <v>398</v>
      </c>
      <c r="C171" s="414" t="s">
        <v>600</v>
      </c>
      <c r="D171" s="435">
        <v>42298</v>
      </c>
      <c r="E171" s="417" t="s">
        <v>601</v>
      </c>
      <c r="F171" s="332" t="s">
        <v>602</v>
      </c>
      <c r="G171" s="322" t="s">
        <v>402</v>
      </c>
      <c r="H171" s="323">
        <f>2740-229</f>
        <v>2511</v>
      </c>
      <c r="I171" s="323">
        <v>2780</v>
      </c>
      <c r="J171" s="323">
        <v>2780</v>
      </c>
      <c r="K171" s="323">
        <v>2780</v>
      </c>
      <c r="L171" s="323">
        <v>2780</v>
      </c>
      <c r="M171" s="323">
        <v>2780</v>
      </c>
      <c r="N171" s="323">
        <v>2769</v>
      </c>
      <c r="O171" s="323">
        <v>0</v>
      </c>
      <c r="P171" s="323">
        <f>SUM(H171:O171)</f>
        <v>19180</v>
      </c>
    </row>
    <row r="172" spans="1:16" ht="15.75" customHeight="1" x14ac:dyDescent="0.3">
      <c r="A172" s="412"/>
      <c r="B172" s="413"/>
      <c r="C172" s="414"/>
      <c r="D172" s="435"/>
      <c r="E172" s="417"/>
      <c r="F172" s="330" t="s">
        <v>603</v>
      </c>
      <c r="G172" s="324" t="s">
        <v>403</v>
      </c>
      <c r="H172" s="325">
        <f>835+2</f>
        <v>837</v>
      </c>
      <c r="I172" s="325">
        <f>626+41</f>
        <v>667</v>
      </c>
      <c r="J172" s="325">
        <f>516+34</f>
        <v>550</v>
      </c>
      <c r="K172" s="325">
        <f>409+27</f>
        <v>436</v>
      </c>
      <c r="L172" s="325">
        <v>323</v>
      </c>
      <c r="M172" s="340">
        <v>209</v>
      </c>
      <c r="N172" s="340">
        <v>95</v>
      </c>
      <c r="O172" s="340">
        <v>1</v>
      </c>
      <c r="P172" s="325">
        <f>SUM(H172:O172)</f>
        <v>3118</v>
      </c>
    </row>
    <row r="173" spans="1:16" ht="15.75" customHeight="1" x14ac:dyDescent="0.3">
      <c r="A173" s="412"/>
      <c r="B173" s="413"/>
      <c r="C173" s="414"/>
      <c r="D173" s="435"/>
      <c r="E173" s="417"/>
      <c r="F173" s="326"/>
      <c r="G173" s="326" t="s">
        <v>404</v>
      </c>
      <c r="H173" s="327">
        <f t="shared" ref="H173:P173" si="58">SUM(H171:H172)</f>
        <v>3348</v>
      </c>
      <c r="I173" s="327">
        <f t="shared" si="58"/>
        <v>3447</v>
      </c>
      <c r="J173" s="327">
        <f t="shared" si="58"/>
        <v>3330</v>
      </c>
      <c r="K173" s="327">
        <f t="shared" si="58"/>
        <v>3216</v>
      </c>
      <c r="L173" s="327">
        <f t="shared" si="58"/>
        <v>3103</v>
      </c>
      <c r="M173" s="327">
        <f t="shared" si="58"/>
        <v>2989</v>
      </c>
      <c r="N173" s="327">
        <f t="shared" si="58"/>
        <v>2864</v>
      </c>
      <c r="O173" s="327">
        <f t="shared" si="58"/>
        <v>1</v>
      </c>
      <c r="P173" s="327">
        <f t="shared" si="58"/>
        <v>22298</v>
      </c>
    </row>
    <row r="174" spans="1:16" ht="14.25" customHeight="1" x14ac:dyDescent="0.3">
      <c r="A174" s="412">
        <f>A171+1</f>
        <v>56</v>
      </c>
      <c r="B174" s="413" t="s">
        <v>398</v>
      </c>
      <c r="C174" s="424" t="s">
        <v>604</v>
      </c>
      <c r="D174" s="435">
        <v>42552</v>
      </c>
      <c r="E174" s="415">
        <v>45828</v>
      </c>
      <c r="F174" s="332" t="s">
        <v>605</v>
      </c>
      <c r="G174" s="322" t="s">
        <v>402</v>
      </c>
      <c r="H174" s="323">
        <v>13496</v>
      </c>
      <c r="I174" s="323">
        <v>6748</v>
      </c>
      <c r="J174" s="329">
        <v>0</v>
      </c>
      <c r="K174" s="329">
        <v>0</v>
      </c>
      <c r="L174" s="329">
        <v>0</v>
      </c>
      <c r="M174" s="329">
        <v>0</v>
      </c>
      <c r="N174" s="329">
        <v>0</v>
      </c>
      <c r="O174" s="329">
        <v>0</v>
      </c>
      <c r="P174" s="323">
        <f>SUM(H174:O174)</f>
        <v>20244</v>
      </c>
    </row>
    <row r="175" spans="1:16" ht="14.25" customHeight="1" x14ac:dyDescent="0.3">
      <c r="A175" s="412"/>
      <c r="B175" s="413"/>
      <c r="C175" s="424"/>
      <c r="D175" s="435"/>
      <c r="E175" s="415"/>
      <c r="F175" s="330" t="s">
        <v>606</v>
      </c>
      <c r="G175" s="324" t="s">
        <v>403</v>
      </c>
      <c r="H175" s="325">
        <f>736+46-2</f>
        <v>780</v>
      </c>
      <c r="I175" s="325">
        <v>193</v>
      </c>
      <c r="J175" s="331">
        <v>0</v>
      </c>
      <c r="K175" s="331">
        <v>0</v>
      </c>
      <c r="L175" s="331">
        <v>0</v>
      </c>
      <c r="M175" s="331">
        <v>0</v>
      </c>
      <c r="N175" s="331">
        <v>0</v>
      </c>
      <c r="O175" s="331">
        <v>0</v>
      </c>
      <c r="P175" s="325">
        <f>SUM(H175:O175)</f>
        <v>973</v>
      </c>
    </row>
    <row r="176" spans="1:16" ht="14.25" customHeight="1" x14ac:dyDescent="0.3">
      <c r="A176" s="412"/>
      <c r="B176" s="413"/>
      <c r="C176" s="424"/>
      <c r="D176" s="435"/>
      <c r="E176" s="415"/>
      <c r="F176" s="326"/>
      <c r="G176" s="326" t="s">
        <v>404</v>
      </c>
      <c r="H176" s="327">
        <f t="shared" ref="H176:P176" si="59">SUM(H174:H175)</f>
        <v>14276</v>
      </c>
      <c r="I176" s="327">
        <f t="shared" si="59"/>
        <v>6941</v>
      </c>
      <c r="J176" s="327">
        <f t="shared" si="59"/>
        <v>0</v>
      </c>
      <c r="K176" s="327">
        <f t="shared" si="59"/>
        <v>0</v>
      </c>
      <c r="L176" s="327">
        <f t="shared" si="59"/>
        <v>0</v>
      </c>
      <c r="M176" s="327">
        <f t="shared" si="59"/>
        <v>0</v>
      </c>
      <c r="N176" s="327">
        <f>SUM(N174:N175)</f>
        <v>0</v>
      </c>
      <c r="O176" s="327">
        <f t="shared" si="59"/>
        <v>0</v>
      </c>
      <c r="P176" s="327">
        <f t="shared" si="59"/>
        <v>21217</v>
      </c>
    </row>
    <row r="177" spans="1:16" ht="17.25" customHeight="1" x14ac:dyDescent="0.3">
      <c r="A177" s="412">
        <f>A174+1</f>
        <v>57</v>
      </c>
      <c r="B177" s="413" t="s">
        <v>398</v>
      </c>
      <c r="C177" s="414" t="s">
        <v>607</v>
      </c>
      <c r="D177" s="415">
        <v>42612</v>
      </c>
      <c r="E177" s="417" t="s">
        <v>608</v>
      </c>
      <c r="F177" s="332" t="s">
        <v>609</v>
      </c>
      <c r="G177" s="322" t="s">
        <v>402</v>
      </c>
      <c r="H177" s="323">
        <f>19944-5713</f>
        <v>14231</v>
      </c>
      <c r="I177" s="323">
        <v>20432</v>
      </c>
      <c r="J177" s="323">
        <v>20432</v>
      </c>
      <c r="K177" s="323">
        <v>20432</v>
      </c>
      <c r="L177" s="323">
        <v>20432</v>
      </c>
      <c r="M177" s="323">
        <v>20432</v>
      </c>
      <c r="N177" s="323">
        <v>20432</v>
      </c>
      <c r="O177" s="323">
        <f>134622-19944+2785</f>
        <v>117463</v>
      </c>
      <c r="P177" s="323">
        <f>SUM(H177:O177)</f>
        <v>254286</v>
      </c>
    </row>
    <row r="178" spans="1:16" ht="16.5" customHeight="1" x14ac:dyDescent="0.3">
      <c r="A178" s="412"/>
      <c r="B178" s="413"/>
      <c r="C178" s="414"/>
      <c r="D178" s="415"/>
      <c r="E178" s="417"/>
      <c r="F178" s="330" t="s">
        <v>610</v>
      </c>
      <c r="G178" s="324" t="s">
        <v>403</v>
      </c>
      <c r="H178" s="325">
        <f>10440+638+57-95</f>
        <v>11040</v>
      </c>
      <c r="I178" s="325">
        <f>9061+600</f>
        <v>9661</v>
      </c>
      <c r="J178" s="325">
        <f>8292+549</f>
        <v>8841</v>
      </c>
      <c r="K178" s="325">
        <f>7509+497</f>
        <v>8006</v>
      </c>
      <c r="L178" s="325">
        <f>6743+446</f>
        <v>7189</v>
      </c>
      <c r="M178" s="340">
        <f>5942+393</f>
        <v>6335</v>
      </c>
      <c r="N178" s="340">
        <f>5159+341</f>
        <v>5500</v>
      </c>
      <c r="O178" s="340">
        <f>15480</f>
        <v>15480</v>
      </c>
      <c r="P178" s="325">
        <f>SUM(H178:O178)</f>
        <v>72052</v>
      </c>
    </row>
    <row r="179" spans="1:16" ht="15.75" customHeight="1" x14ac:dyDescent="0.3">
      <c r="A179" s="412"/>
      <c r="B179" s="413"/>
      <c r="C179" s="414"/>
      <c r="D179" s="415"/>
      <c r="E179" s="417"/>
      <c r="F179" s="326"/>
      <c r="G179" s="326" t="s">
        <v>404</v>
      </c>
      <c r="H179" s="327">
        <f t="shared" ref="H179:P179" si="60">SUM(H177:H178)</f>
        <v>25271</v>
      </c>
      <c r="I179" s="327">
        <f t="shared" si="60"/>
        <v>30093</v>
      </c>
      <c r="J179" s="327">
        <f t="shared" si="60"/>
        <v>29273</v>
      </c>
      <c r="K179" s="327">
        <f t="shared" si="60"/>
        <v>28438</v>
      </c>
      <c r="L179" s="327">
        <f t="shared" si="60"/>
        <v>27621</v>
      </c>
      <c r="M179" s="327">
        <f t="shared" si="60"/>
        <v>26767</v>
      </c>
      <c r="N179" s="327">
        <f t="shared" si="60"/>
        <v>25932</v>
      </c>
      <c r="O179" s="327">
        <f t="shared" si="60"/>
        <v>132943</v>
      </c>
      <c r="P179" s="327">
        <f t="shared" si="60"/>
        <v>326338</v>
      </c>
    </row>
    <row r="180" spans="1:16" ht="17.25" customHeight="1" x14ac:dyDescent="0.3">
      <c r="A180" s="412">
        <f>A177+1</f>
        <v>58</v>
      </c>
      <c r="B180" s="413" t="s">
        <v>398</v>
      </c>
      <c r="C180" s="414" t="s">
        <v>611</v>
      </c>
      <c r="D180" s="415">
        <v>42884</v>
      </c>
      <c r="E180" s="417" t="s">
        <v>612</v>
      </c>
      <c r="F180" s="332" t="s">
        <v>613</v>
      </c>
      <c r="G180" s="322" t="s">
        <v>402</v>
      </c>
      <c r="H180" s="323">
        <f>11260-4206</f>
        <v>7054</v>
      </c>
      <c r="I180" s="323">
        <v>11504</v>
      </c>
      <c r="J180" s="323">
        <v>11504</v>
      </c>
      <c r="K180" s="323">
        <v>11504</v>
      </c>
      <c r="L180" s="323">
        <v>11504</v>
      </c>
      <c r="M180" s="323">
        <v>11504</v>
      </c>
      <c r="N180" s="323">
        <v>11504</v>
      </c>
      <c r="O180" s="323">
        <f>140750-11260+2742</f>
        <v>132232</v>
      </c>
      <c r="P180" s="323">
        <f>SUM(H180:O180)</f>
        <v>208310</v>
      </c>
    </row>
    <row r="181" spans="1:16" ht="16.5" customHeight="1" x14ac:dyDescent="0.3">
      <c r="A181" s="412"/>
      <c r="B181" s="413"/>
      <c r="C181" s="414"/>
      <c r="D181" s="415"/>
      <c r="E181" s="417"/>
      <c r="F181" s="330" t="s">
        <v>614</v>
      </c>
      <c r="G181" s="324" t="s">
        <v>403</v>
      </c>
      <c r="H181" s="325">
        <f>8095+525+52-10</f>
        <v>8662</v>
      </c>
      <c r="I181" s="325">
        <f>7631+505</f>
        <v>8136</v>
      </c>
      <c r="J181" s="325">
        <f>7201+477</f>
        <v>7678</v>
      </c>
      <c r="K181" s="325">
        <f>6760+447</f>
        <v>7207</v>
      </c>
      <c r="L181" s="325">
        <f>6335+419</f>
        <v>6754</v>
      </c>
      <c r="M181" s="340">
        <f>5877+389</f>
        <v>6266</v>
      </c>
      <c r="N181" s="340">
        <f>5437+360</f>
        <v>5797</v>
      </c>
      <c r="O181" s="340">
        <f>32938</f>
        <v>32938</v>
      </c>
      <c r="P181" s="325">
        <f>SUM(H181:O181)</f>
        <v>83438</v>
      </c>
    </row>
    <row r="182" spans="1:16" ht="17.25" customHeight="1" x14ac:dyDescent="0.3">
      <c r="A182" s="412"/>
      <c r="B182" s="413"/>
      <c r="C182" s="414"/>
      <c r="D182" s="415"/>
      <c r="E182" s="417"/>
      <c r="F182" s="326"/>
      <c r="G182" s="326" t="s">
        <v>404</v>
      </c>
      <c r="H182" s="327">
        <f t="shared" ref="H182:P182" si="61">SUM(H180:H181)</f>
        <v>15716</v>
      </c>
      <c r="I182" s="327">
        <f t="shared" si="61"/>
        <v>19640</v>
      </c>
      <c r="J182" s="327">
        <f t="shared" si="61"/>
        <v>19182</v>
      </c>
      <c r="K182" s="327">
        <f t="shared" si="61"/>
        <v>18711</v>
      </c>
      <c r="L182" s="327">
        <f t="shared" si="61"/>
        <v>18258</v>
      </c>
      <c r="M182" s="327">
        <f t="shared" si="61"/>
        <v>17770</v>
      </c>
      <c r="N182" s="327">
        <f t="shared" si="61"/>
        <v>17301</v>
      </c>
      <c r="O182" s="327">
        <f t="shared" si="61"/>
        <v>165170</v>
      </c>
      <c r="P182" s="327">
        <f t="shared" si="61"/>
        <v>291748</v>
      </c>
    </row>
    <row r="183" spans="1:16" ht="16.5" customHeight="1" x14ac:dyDescent="0.3">
      <c r="A183" s="412">
        <f>A180+1</f>
        <v>59</v>
      </c>
      <c r="B183" s="413" t="s">
        <v>398</v>
      </c>
      <c r="C183" s="414" t="s">
        <v>615</v>
      </c>
      <c r="D183" s="415">
        <v>42943</v>
      </c>
      <c r="E183" s="417" t="s">
        <v>616</v>
      </c>
      <c r="F183" s="332" t="s">
        <v>617</v>
      </c>
      <c r="G183" s="322" t="s">
        <v>402</v>
      </c>
      <c r="H183" s="323">
        <f>13552-2479</f>
        <v>11073</v>
      </c>
      <c r="I183" s="323">
        <v>13872</v>
      </c>
      <c r="J183" s="323">
        <v>13872</v>
      </c>
      <c r="K183" s="323">
        <v>13872</v>
      </c>
      <c r="L183" s="323">
        <v>13872</v>
      </c>
      <c r="M183" s="323">
        <v>13872</v>
      </c>
      <c r="N183" s="323">
        <v>13872</v>
      </c>
      <c r="O183" s="323">
        <f>37268-13552+559</f>
        <v>24275</v>
      </c>
      <c r="P183" s="323">
        <f>SUM(H183:O183)</f>
        <v>118580</v>
      </c>
    </row>
    <row r="184" spans="1:16" ht="16.5" customHeight="1" x14ac:dyDescent="0.3">
      <c r="A184" s="412"/>
      <c r="B184" s="413"/>
      <c r="C184" s="414"/>
      <c r="D184" s="415"/>
      <c r="E184" s="417"/>
      <c r="F184" s="330" t="s">
        <v>618</v>
      </c>
      <c r="G184" s="324" t="s">
        <v>403</v>
      </c>
      <c r="H184" s="325">
        <f>4843+296+28-38</f>
        <v>5129</v>
      </c>
      <c r="I184" s="325">
        <f>4030+267</f>
        <v>4297</v>
      </c>
      <c r="J184" s="325">
        <f>3505+232</f>
        <v>3737</v>
      </c>
      <c r="K184" s="325">
        <f>2973+197</f>
        <v>3170</v>
      </c>
      <c r="L184" s="325">
        <f>2447+162</f>
        <v>2609</v>
      </c>
      <c r="M184" s="340">
        <f>199+126</f>
        <v>325</v>
      </c>
      <c r="N184" s="340">
        <f>1378+91</f>
        <v>1469</v>
      </c>
      <c r="O184" s="340">
        <f>1218</f>
        <v>1218</v>
      </c>
      <c r="P184" s="325">
        <f>SUM(H184:O184)</f>
        <v>21954</v>
      </c>
    </row>
    <row r="185" spans="1:16" ht="17.25" customHeight="1" x14ac:dyDescent="0.3">
      <c r="A185" s="412"/>
      <c r="B185" s="413"/>
      <c r="C185" s="414"/>
      <c r="D185" s="415"/>
      <c r="E185" s="417"/>
      <c r="F185" s="326"/>
      <c r="G185" s="326" t="s">
        <v>404</v>
      </c>
      <c r="H185" s="327">
        <f t="shared" ref="H185:P185" si="62">SUM(H183:H184)</f>
        <v>16202</v>
      </c>
      <c r="I185" s="327">
        <f t="shared" si="62"/>
        <v>18169</v>
      </c>
      <c r="J185" s="327">
        <f t="shared" si="62"/>
        <v>17609</v>
      </c>
      <c r="K185" s="327">
        <f t="shared" si="62"/>
        <v>17042</v>
      </c>
      <c r="L185" s="327">
        <f t="shared" si="62"/>
        <v>16481</v>
      </c>
      <c r="M185" s="327">
        <f t="shared" si="62"/>
        <v>14197</v>
      </c>
      <c r="N185" s="327">
        <f t="shared" si="62"/>
        <v>15341</v>
      </c>
      <c r="O185" s="327">
        <f t="shared" si="62"/>
        <v>25493</v>
      </c>
      <c r="P185" s="327">
        <f t="shared" si="62"/>
        <v>140534</v>
      </c>
    </row>
    <row r="186" spans="1:16" ht="17.25" customHeight="1" x14ac:dyDescent="0.3">
      <c r="A186" s="412">
        <f>A183+1</f>
        <v>60</v>
      </c>
      <c r="B186" s="413" t="s">
        <v>398</v>
      </c>
      <c r="C186" s="414" t="s">
        <v>619</v>
      </c>
      <c r="D186" s="415">
        <v>42957</v>
      </c>
      <c r="E186" s="417" t="s">
        <v>616</v>
      </c>
      <c r="F186" s="332" t="s">
        <v>620</v>
      </c>
      <c r="G186" s="322" t="s">
        <v>402</v>
      </c>
      <c r="H186" s="323">
        <f>7260-1351</f>
        <v>5909</v>
      </c>
      <c r="I186" s="323">
        <f>7260+176</f>
        <v>7436</v>
      </c>
      <c r="J186" s="323">
        <f t="shared" ref="J186:N186" si="63">7260+176</f>
        <v>7436</v>
      </c>
      <c r="K186" s="323">
        <f t="shared" si="63"/>
        <v>7436</v>
      </c>
      <c r="L186" s="323">
        <f t="shared" si="63"/>
        <v>7436</v>
      </c>
      <c r="M186" s="323">
        <f t="shared" si="63"/>
        <v>7436</v>
      </c>
      <c r="N186" s="323">
        <f t="shared" si="63"/>
        <v>7436</v>
      </c>
      <c r="O186" s="323">
        <f>19965-7260+295</f>
        <v>13000</v>
      </c>
      <c r="P186" s="323">
        <f>SUM(H186:O186)</f>
        <v>63525</v>
      </c>
    </row>
    <row r="187" spans="1:16" ht="15.75" customHeight="1" x14ac:dyDescent="0.3">
      <c r="A187" s="412"/>
      <c r="B187" s="413"/>
      <c r="C187" s="414"/>
      <c r="D187" s="415"/>
      <c r="E187" s="417"/>
      <c r="F187" s="330" t="s">
        <v>621</v>
      </c>
      <c r="G187" s="324" t="s">
        <v>403</v>
      </c>
      <c r="H187" s="325">
        <f>2578+159+14-32</f>
        <v>2719</v>
      </c>
      <c r="I187" s="325">
        <f>2159+143</f>
        <v>2302</v>
      </c>
      <c r="J187" s="325">
        <f>1878+124</f>
        <v>2002</v>
      </c>
      <c r="K187" s="325">
        <f>1593+105</f>
        <v>1698</v>
      </c>
      <c r="L187" s="325">
        <f>1311+87</f>
        <v>1398</v>
      </c>
      <c r="M187" s="340">
        <f>1023+68</f>
        <v>1091</v>
      </c>
      <c r="N187" s="340">
        <f>738+49</f>
        <v>787</v>
      </c>
      <c r="O187" s="340">
        <f>652</f>
        <v>652</v>
      </c>
      <c r="P187" s="325">
        <f>SUM(H187:O187)</f>
        <v>12649</v>
      </c>
    </row>
    <row r="188" spans="1:16" ht="17.25" customHeight="1" x14ac:dyDescent="0.3">
      <c r="A188" s="412"/>
      <c r="B188" s="413"/>
      <c r="C188" s="414"/>
      <c r="D188" s="415"/>
      <c r="E188" s="417"/>
      <c r="F188" s="326"/>
      <c r="G188" s="326" t="s">
        <v>404</v>
      </c>
      <c r="H188" s="327">
        <f t="shared" ref="H188:P188" si="64">SUM(H186:H187)</f>
        <v>8628</v>
      </c>
      <c r="I188" s="327">
        <f t="shared" si="64"/>
        <v>9738</v>
      </c>
      <c r="J188" s="327">
        <f t="shared" si="64"/>
        <v>9438</v>
      </c>
      <c r="K188" s="327">
        <f t="shared" si="64"/>
        <v>9134</v>
      </c>
      <c r="L188" s="327">
        <f t="shared" si="64"/>
        <v>8834</v>
      </c>
      <c r="M188" s="327">
        <f t="shared" si="64"/>
        <v>8527</v>
      </c>
      <c r="N188" s="327">
        <f t="shared" si="64"/>
        <v>8223</v>
      </c>
      <c r="O188" s="327">
        <f t="shared" si="64"/>
        <v>13652</v>
      </c>
      <c r="P188" s="327">
        <f t="shared" si="64"/>
        <v>76174</v>
      </c>
    </row>
    <row r="189" spans="1:16" ht="15.75" customHeight="1" x14ac:dyDescent="0.3">
      <c r="A189" s="412">
        <f>A186+1</f>
        <v>61</v>
      </c>
      <c r="B189" s="413" t="s">
        <v>398</v>
      </c>
      <c r="C189" s="424" t="s">
        <v>622</v>
      </c>
      <c r="D189" s="415">
        <v>42989</v>
      </c>
      <c r="E189" s="417" t="s">
        <v>623</v>
      </c>
      <c r="F189" s="332" t="s">
        <v>624</v>
      </c>
      <c r="G189" s="322" t="s">
        <v>402</v>
      </c>
      <c r="H189" s="323">
        <f>4568-1171</f>
        <v>3397</v>
      </c>
      <c r="I189" s="323">
        <f>4568+92</f>
        <v>4660</v>
      </c>
      <c r="J189" s="323">
        <f t="shared" ref="J189:N189" si="65">4568+92</f>
        <v>4660</v>
      </c>
      <c r="K189" s="323">
        <f t="shared" si="65"/>
        <v>4660</v>
      </c>
      <c r="L189" s="323">
        <f t="shared" si="65"/>
        <v>4660</v>
      </c>
      <c r="M189" s="323">
        <f t="shared" si="65"/>
        <v>4660</v>
      </c>
      <c r="N189" s="323">
        <f t="shared" si="65"/>
        <v>4660</v>
      </c>
      <c r="O189" s="323">
        <f>35402-4568+619</f>
        <v>31453</v>
      </c>
      <c r="P189" s="323">
        <f>SUM(H189:O189)</f>
        <v>62810</v>
      </c>
    </row>
    <row r="190" spans="1:16" ht="14.25" customHeight="1" x14ac:dyDescent="0.3">
      <c r="A190" s="412"/>
      <c r="B190" s="413"/>
      <c r="C190" s="424"/>
      <c r="D190" s="415"/>
      <c r="E190" s="417"/>
      <c r="F190" s="330" t="s">
        <v>625</v>
      </c>
      <c r="G190" s="324" t="s">
        <v>403</v>
      </c>
      <c r="H190" s="325">
        <f>2559+158+12-19</f>
        <v>2710</v>
      </c>
      <c r="I190" s="325">
        <f>2245+149</f>
        <v>2394</v>
      </c>
      <c r="J190" s="325">
        <f>2070+137</f>
        <v>2207</v>
      </c>
      <c r="K190" s="325">
        <f>1891+125</f>
        <v>2016</v>
      </c>
      <c r="L190" s="325">
        <f>1717+114</f>
        <v>1831</v>
      </c>
      <c r="M190" s="340">
        <f>1534+102</f>
        <v>1636</v>
      </c>
      <c r="N190" s="340">
        <f>1355+90</f>
        <v>1445</v>
      </c>
      <c r="O190" s="340">
        <v>4788</v>
      </c>
      <c r="P190" s="325">
        <f>SUM(H190:O190)</f>
        <v>19027</v>
      </c>
    </row>
    <row r="191" spans="1:16" ht="14.25" customHeight="1" x14ac:dyDescent="0.3">
      <c r="A191" s="412"/>
      <c r="B191" s="413"/>
      <c r="C191" s="424"/>
      <c r="D191" s="415"/>
      <c r="E191" s="417"/>
      <c r="F191" s="326"/>
      <c r="G191" s="326" t="s">
        <v>404</v>
      </c>
      <c r="H191" s="327">
        <f t="shared" ref="H191:P191" si="66">SUM(H189:H190)</f>
        <v>6107</v>
      </c>
      <c r="I191" s="327">
        <f t="shared" si="66"/>
        <v>7054</v>
      </c>
      <c r="J191" s="327">
        <f t="shared" si="66"/>
        <v>6867</v>
      </c>
      <c r="K191" s="327">
        <f t="shared" si="66"/>
        <v>6676</v>
      </c>
      <c r="L191" s="327">
        <f t="shared" si="66"/>
        <v>6491</v>
      </c>
      <c r="M191" s="327">
        <f t="shared" si="66"/>
        <v>6296</v>
      </c>
      <c r="N191" s="327">
        <f t="shared" si="66"/>
        <v>6105</v>
      </c>
      <c r="O191" s="327">
        <f t="shared" si="66"/>
        <v>36241</v>
      </c>
      <c r="P191" s="327">
        <f t="shared" si="66"/>
        <v>81837</v>
      </c>
    </row>
    <row r="192" spans="1:16" ht="18.600000000000001" customHeight="1" x14ac:dyDescent="0.3">
      <c r="A192" s="412">
        <f>A189+1</f>
        <v>62</v>
      </c>
      <c r="B192" s="413" t="s">
        <v>398</v>
      </c>
      <c r="C192" s="414" t="s">
        <v>626</v>
      </c>
      <c r="D192" s="415">
        <v>42993</v>
      </c>
      <c r="E192" s="437" t="s">
        <v>428</v>
      </c>
      <c r="F192" s="332" t="s">
        <v>627</v>
      </c>
      <c r="G192" s="322" t="s">
        <v>402</v>
      </c>
      <c r="H192" s="323">
        <f>4788-235</f>
        <v>4553</v>
      </c>
      <c r="I192" s="323">
        <f>4788+88</f>
        <v>4876</v>
      </c>
      <c r="J192" s="323">
        <f>4788+88</f>
        <v>4876</v>
      </c>
      <c r="K192" s="323">
        <f>3591+59</f>
        <v>3650</v>
      </c>
      <c r="L192" s="323">
        <v>0</v>
      </c>
      <c r="M192" s="323">
        <v>0</v>
      </c>
      <c r="N192" s="323">
        <v>0</v>
      </c>
      <c r="O192" s="329">
        <v>0</v>
      </c>
      <c r="P192" s="323">
        <f>SUM(H192:O192)</f>
        <v>17955</v>
      </c>
    </row>
    <row r="193" spans="1:16" ht="15" customHeight="1" x14ac:dyDescent="0.3">
      <c r="A193" s="412"/>
      <c r="B193" s="413"/>
      <c r="C193" s="414"/>
      <c r="D193" s="415"/>
      <c r="E193" s="437"/>
      <c r="F193" s="330" t="s">
        <v>628</v>
      </c>
      <c r="G193" s="324" t="s">
        <v>403</v>
      </c>
      <c r="H193" s="325">
        <f>761+2-5</f>
        <v>758</v>
      </c>
      <c r="I193" s="325">
        <f>484+32</f>
        <v>516</v>
      </c>
      <c r="J193" s="325">
        <f>298+20</f>
        <v>318</v>
      </c>
      <c r="K193" s="325">
        <v>118</v>
      </c>
      <c r="L193" s="325">
        <v>0</v>
      </c>
      <c r="M193" s="325">
        <v>0</v>
      </c>
      <c r="N193" s="325">
        <v>0</v>
      </c>
      <c r="O193" s="331">
        <v>0</v>
      </c>
      <c r="P193" s="325">
        <f>SUM(H193:O193)</f>
        <v>1710</v>
      </c>
    </row>
    <row r="194" spans="1:16" ht="15" customHeight="1" x14ac:dyDescent="0.3">
      <c r="A194" s="412"/>
      <c r="B194" s="413"/>
      <c r="C194" s="414"/>
      <c r="D194" s="415"/>
      <c r="E194" s="437"/>
      <c r="F194" s="326"/>
      <c r="G194" s="326" t="s">
        <v>404</v>
      </c>
      <c r="H194" s="327">
        <f t="shared" ref="H194:P194" si="67">SUM(H192:H193)</f>
        <v>5311</v>
      </c>
      <c r="I194" s="327">
        <f t="shared" si="67"/>
        <v>5392</v>
      </c>
      <c r="J194" s="327">
        <f t="shared" si="67"/>
        <v>5194</v>
      </c>
      <c r="K194" s="327">
        <f t="shared" si="67"/>
        <v>3768</v>
      </c>
      <c r="L194" s="327">
        <f t="shared" si="67"/>
        <v>0</v>
      </c>
      <c r="M194" s="327">
        <f t="shared" si="67"/>
        <v>0</v>
      </c>
      <c r="N194" s="327">
        <f>SUM(N192:N193)</f>
        <v>0</v>
      </c>
      <c r="O194" s="327">
        <f t="shared" si="67"/>
        <v>0</v>
      </c>
      <c r="P194" s="327">
        <f t="shared" si="67"/>
        <v>19665</v>
      </c>
    </row>
    <row r="195" spans="1:16" ht="15" customHeight="1" x14ac:dyDescent="0.3">
      <c r="A195" s="412">
        <f>A192+1</f>
        <v>63</v>
      </c>
      <c r="B195" s="413" t="s">
        <v>398</v>
      </c>
      <c r="C195" s="414" t="s">
        <v>629</v>
      </c>
      <c r="D195" s="415">
        <v>43012</v>
      </c>
      <c r="E195" s="417" t="s">
        <v>428</v>
      </c>
      <c r="F195" s="332" t="s">
        <v>630</v>
      </c>
      <c r="G195" s="322" t="s">
        <v>402</v>
      </c>
      <c r="H195" s="323">
        <f>4228-124</f>
        <v>4104</v>
      </c>
      <c r="I195" s="323">
        <v>4276</v>
      </c>
      <c r="J195" s="323">
        <v>4276</v>
      </c>
      <c r="K195" s="323">
        <f>3171+28</f>
        <v>3199</v>
      </c>
      <c r="L195" s="323">
        <v>0</v>
      </c>
      <c r="M195" s="323">
        <v>0</v>
      </c>
      <c r="N195" s="323">
        <v>0</v>
      </c>
      <c r="O195" s="329">
        <v>0</v>
      </c>
      <c r="P195" s="323">
        <f>SUM(H195:O195)</f>
        <v>15855</v>
      </c>
    </row>
    <row r="196" spans="1:16" ht="15" customHeight="1" x14ac:dyDescent="0.3">
      <c r="A196" s="412"/>
      <c r="B196" s="413"/>
      <c r="C196" s="414"/>
      <c r="D196" s="415"/>
      <c r="E196" s="417"/>
      <c r="F196" s="330" t="s">
        <v>631</v>
      </c>
      <c r="G196" s="324" t="s">
        <v>403</v>
      </c>
      <c r="H196" s="325">
        <f>686+1</f>
        <v>687</v>
      </c>
      <c r="I196" s="325">
        <f>425+28</f>
        <v>453</v>
      </c>
      <c r="J196" s="325">
        <v>278</v>
      </c>
      <c r="K196" s="325">
        <v>103</v>
      </c>
      <c r="L196" s="325">
        <v>0</v>
      </c>
      <c r="M196" s="325">
        <v>0</v>
      </c>
      <c r="N196" s="325">
        <v>0</v>
      </c>
      <c r="O196" s="331">
        <v>0</v>
      </c>
      <c r="P196" s="325">
        <f>SUM(H196:O196)</f>
        <v>1521</v>
      </c>
    </row>
    <row r="197" spans="1:16" ht="15" customHeight="1" x14ac:dyDescent="0.3">
      <c r="A197" s="412"/>
      <c r="B197" s="413"/>
      <c r="C197" s="414"/>
      <c r="D197" s="415"/>
      <c r="E197" s="417"/>
      <c r="F197" s="326"/>
      <c r="G197" s="326" t="s">
        <v>404</v>
      </c>
      <c r="H197" s="327">
        <f t="shared" ref="H197:P197" si="68">SUM(H195:H196)</f>
        <v>4791</v>
      </c>
      <c r="I197" s="327">
        <f t="shared" si="68"/>
        <v>4729</v>
      </c>
      <c r="J197" s="327">
        <f t="shared" si="68"/>
        <v>4554</v>
      </c>
      <c r="K197" s="327">
        <f t="shared" si="68"/>
        <v>3302</v>
      </c>
      <c r="L197" s="327">
        <f t="shared" si="68"/>
        <v>0</v>
      </c>
      <c r="M197" s="327">
        <f t="shared" si="68"/>
        <v>0</v>
      </c>
      <c r="N197" s="327">
        <f t="shared" si="68"/>
        <v>0</v>
      </c>
      <c r="O197" s="327">
        <f t="shared" si="68"/>
        <v>0</v>
      </c>
      <c r="P197" s="327">
        <f t="shared" si="68"/>
        <v>17376</v>
      </c>
    </row>
    <row r="198" spans="1:16" ht="15" customHeight="1" x14ac:dyDescent="0.3">
      <c r="A198" s="412">
        <f>A195+1</f>
        <v>64</v>
      </c>
      <c r="B198" s="413" t="s">
        <v>398</v>
      </c>
      <c r="C198" s="414" t="s">
        <v>632</v>
      </c>
      <c r="D198" s="415">
        <v>43020</v>
      </c>
      <c r="E198" s="417" t="s">
        <v>428</v>
      </c>
      <c r="F198" s="332" t="s">
        <v>633</v>
      </c>
      <c r="G198" s="322" t="s">
        <v>402</v>
      </c>
      <c r="H198" s="323">
        <f>19960-738</f>
        <v>19222</v>
      </c>
      <c r="I198" s="323">
        <v>19988</v>
      </c>
      <c r="J198" s="323">
        <v>19988</v>
      </c>
      <c r="K198" s="323">
        <f>14302+682</f>
        <v>14984</v>
      </c>
      <c r="L198" s="323">
        <v>0</v>
      </c>
      <c r="M198" s="323">
        <v>0</v>
      </c>
      <c r="N198" s="323">
        <v>0</v>
      </c>
      <c r="O198" s="329">
        <v>0</v>
      </c>
      <c r="P198" s="323">
        <f>SUM(H198:O198)</f>
        <v>74182</v>
      </c>
    </row>
    <row r="199" spans="1:16" ht="15" customHeight="1" x14ac:dyDescent="0.3">
      <c r="A199" s="412"/>
      <c r="B199" s="413"/>
      <c r="C199" s="414"/>
      <c r="D199" s="415"/>
      <c r="E199" s="417"/>
      <c r="F199" s="330" t="s">
        <v>634</v>
      </c>
      <c r="G199" s="324" t="s">
        <v>403</v>
      </c>
      <c r="H199" s="325">
        <f>3186+7</f>
        <v>3193</v>
      </c>
      <c r="I199" s="325">
        <f>1991+131</f>
        <v>2122</v>
      </c>
      <c r="J199" s="325">
        <f>1222+81</f>
        <v>1303</v>
      </c>
      <c r="K199" s="325">
        <v>486</v>
      </c>
      <c r="L199" s="325">
        <v>0</v>
      </c>
      <c r="M199" s="325">
        <v>0</v>
      </c>
      <c r="N199" s="325">
        <v>0</v>
      </c>
      <c r="O199" s="331">
        <v>0</v>
      </c>
      <c r="P199" s="325">
        <f>SUM(H199:O199)</f>
        <v>7104</v>
      </c>
    </row>
    <row r="200" spans="1:16" ht="15" customHeight="1" x14ac:dyDescent="0.3">
      <c r="A200" s="412"/>
      <c r="B200" s="425"/>
      <c r="C200" s="427"/>
      <c r="D200" s="418"/>
      <c r="E200" s="421"/>
      <c r="F200" s="333"/>
      <c r="G200" s="333" t="s">
        <v>404</v>
      </c>
      <c r="H200" s="327">
        <f t="shared" ref="H200:P200" si="69">SUM(H198:H199)</f>
        <v>22415</v>
      </c>
      <c r="I200" s="327">
        <f t="shared" si="69"/>
        <v>22110</v>
      </c>
      <c r="J200" s="327">
        <f t="shared" si="69"/>
        <v>21291</v>
      </c>
      <c r="K200" s="327">
        <f t="shared" si="69"/>
        <v>15470</v>
      </c>
      <c r="L200" s="327">
        <f t="shared" si="69"/>
        <v>0</v>
      </c>
      <c r="M200" s="327">
        <f t="shared" si="69"/>
        <v>0</v>
      </c>
      <c r="N200" s="327">
        <f t="shared" si="69"/>
        <v>0</v>
      </c>
      <c r="O200" s="327">
        <f t="shared" si="69"/>
        <v>0</v>
      </c>
      <c r="P200" s="327">
        <f t="shared" si="69"/>
        <v>81286</v>
      </c>
    </row>
    <row r="201" spans="1:16" ht="15" customHeight="1" x14ac:dyDescent="0.3">
      <c r="A201" s="412">
        <f>A198+1</f>
        <v>65</v>
      </c>
      <c r="B201" s="413" t="s">
        <v>398</v>
      </c>
      <c r="C201" s="414" t="s">
        <v>635</v>
      </c>
      <c r="D201" s="415">
        <v>43027</v>
      </c>
      <c r="E201" s="417" t="s">
        <v>636</v>
      </c>
      <c r="F201" s="332" t="s">
        <v>637</v>
      </c>
      <c r="G201" s="322" t="s">
        <v>402</v>
      </c>
      <c r="H201" s="323">
        <f>6192-680</f>
        <v>5512</v>
      </c>
      <c r="I201" s="323">
        <v>6280</v>
      </c>
      <c r="J201" s="323">
        <v>6280</v>
      </c>
      <c r="K201" s="323">
        <v>6280</v>
      </c>
      <c r="L201" s="323">
        <v>6280</v>
      </c>
      <c r="M201" s="323">
        <v>6280</v>
      </c>
      <c r="N201" s="323">
        <v>6280</v>
      </c>
      <c r="O201" s="323">
        <f>18576-6192+152</f>
        <v>12536</v>
      </c>
      <c r="P201" s="323">
        <f>SUM(H201:O201)</f>
        <v>55728</v>
      </c>
    </row>
    <row r="202" spans="1:16" ht="15" customHeight="1" x14ac:dyDescent="0.3">
      <c r="A202" s="412"/>
      <c r="B202" s="413"/>
      <c r="C202" s="414"/>
      <c r="D202" s="415"/>
      <c r="E202" s="417"/>
      <c r="F202" s="330" t="s">
        <v>638</v>
      </c>
      <c r="G202" s="324" t="s">
        <v>403</v>
      </c>
      <c r="H202" s="325">
        <f>2405+6</f>
        <v>2411</v>
      </c>
      <c r="I202" s="325">
        <f>1894+125</f>
        <v>2019</v>
      </c>
      <c r="J202" s="325">
        <f>1646+109</f>
        <v>1755</v>
      </c>
      <c r="K202" s="325">
        <v>1498</v>
      </c>
      <c r="L202" s="325">
        <f>1167+77</f>
        <v>1244</v>
      </c>
      <c r="M202" s="340">
        <f>924+61</f>
        <v>985</v>
      </c>
      <c r="N202" s="340">
        <f>683+45</f>
        <v>728</v>
      </c>
      <c r="O202" s="340">
        <v>692</v>
      </c>
      <c r="P202" s="325">
        <f>SUM(H202:O202)</f>
        <v>11332</v>
      </c>
    </row>
    <row r="203" spans="1:16" ht="15" customHeight="1" x14ac:dyDescent="0.3">
      <c r="A203" s="412"/>
      <c r="B203" s="413"/>
      <c r="C203" s="414"/>
      <c r="D203" s="415"/>
      <c r="E203" s="417"/>
      <c r="F203" s="326"/>
      <c r="G203" s="326" t="s">
        <v>404</v>
      </c>
      <c r="H203" s="327">
        <f t="shared" ref="H203:P203" si="70">SUM(H201:H202)</f>
        <v>7923</v>
      </c>
      <c r="I203" s="327">
        <f t="shared" si="70"/>
        <v>8299</v>
      </c>
      <c r="J203" s="327">
        <f t="shared" si="70"/>
        <v>8035</v>
      </c>
      <c r="K203" s="327">
        <f t="shared" si="70"/>
        <v>7778</v>
      </c>
      <c r="L203" s="327">
        <f t="shared" si="70"/>
        <v>7524</v>
      </c>
      <c r="M203" s="327">
        <f t="shared" si="70"/>
        <v>7265</v>
      </c>
      <c r="N203" s="327">
        <f t="shared" si="70"/>
        <v>7008</v>
      </c>
      <c r="O203" s="327">
        <f t="shared" si="70"/>
        <v>13228</v>
      </c>
      <c r="P203" s="327">
        <f t="shared" si="70"/>
        <v>67060</v>
      </c>
    </row>
    <row r="204" spans="1:16" ht="13.5" customHeight="1" x14ac:dyDescent="0.3">
      <c r="A204" s="412">
        <f>A201+1</f>
        <v>66</v>
      </c>
      <c r="B204" s="413" t="s">
        <v>398</v>
      </c>
      <c r="C204" s="414" t="s">
        <v>639</v>
      </c>
      <c r="D204" s="415">
        <v>43042</v>
      </c>
      <c r="E204" s="417" t="s">
        <v>636</v>
      </c>
      <c r="F204" s="332" t="s">
        <v>640</v>
      </c>
      <c r="G204" s="322" t="s">
        <v>402</v>
      </c>
      <c r="H204" s="323">
        <f>20000-2049</f>
        <v>17951</v>
      </c>
      <c r="I204" s="323">
        <v>20260</v>
      </c>
      <c r="J204" s="323">
        <v>20260</v>
      </c>
      <c r="K204" s="323">
        <v>20260</v>
      </c>
      <c r="L204" s="323">
        <v>20260</v>
      </c>
      <c r="M204" s="323">
        <v>20260</v>
      </c>
      <c r="N204" s="323">
        <v>20260</v>
      </c>
      <c r="O204" s="323">
        <f>60000-20000+489</f>
        <v>40489</v>
      </c>
      <c r="P204" s="323">
        <f>SUM(H204:O204)</f>
        <v>180000</v>
      </c>
    </row>
    <row r="205" spans="1:16" ht="13.5" customHeight="1" x14ac:dyDescent="0.3">
      <c r="A205" s="412"/>
      <c r="B205" s="413"/>
      <c r="C205" s="414"/>
      <c r="D205" s="415"/>
      <c r="E205" s="417"/>
      <c r="F205" s="330" t="s">
        <v>641</v>
      </c>
      <c r="G205" s="324" t="s">
        <v>403</v>
      </c>
      <c r="H205" s="325">
        <f>7285+450+20</f>
        <v>7755</v>
      </c>
      <c r="I205" s="325">
        <f>6135+402</f>
        <v>6537</v>
      </c>
      <c r="J205" s="325">
        <f>5312+352</f>
        <v>5664</v>
      </c>
      <c r="K205" s="325">
        <v>4836</v>
      </c>
      <c r="L205" s="325">
        <f>3768+249</f>
        <v>4017</v>
      </c>
      <c r="M205" s="340">
        <f>2981+197</f>
        <v>3178</v>
      </c>
      <c r="N205" s="340">
        <f>2205+146</f>
        <v>2351</v>
      </c>
      <c r="O205" s="340">
        <v>2237</v>
      </c>
      <c r="P205" s="325">
        <f>SUM(H205:O205)</f>
        <v>36575</v>
      </c>
    </row>
    <row r="206" spans="1:16" ht="13.5" customHeight="1" x14ac:dyDescent="0.3">
      <c r="A206" s="412"/>
      <c r="B206" s="413"/>
      <c r="C206" s="414"/>
      <c r="D206" s="415"/>
      <c r="E206" s="417"/>
      <c r="F206" s="326"/>
      <c r="G206" s="326" t="s">
        <v>404</v>
      </c>
      <c r="H206" s="327">
        <f t="shared" ref="H206:P206" si="71">SUM(H204:H205)</f>
        <v>25706</v>
      </c>
      <c r="I206" s="327">
        <f t="shared" si="71"/>
        <v>26797</v>
      </c>
      <c r="J206" s="327">
        <f t="shared" si="71"/>
        <v>25924</v>
      </c>
      <c r="K206" s="327">
        <f t="shared" si="71"/>
        <v>25096</v>
      </c>
      <c r="L206" s="327">
        <f t="shared" si="71"/>
        <v>24277</v>
      </c>
      <c r="M206" s="327">
        <f t="shared" si="71"/>
        <v>23438</v>
      </c>
      <c r="N206" s="327">
        <f t="shared" si="71"/>
        <v>22611</v>
      </c>
      <c r="O206" s="327">
        <f t="shared" si="71"/>
        <v>42726</v>
      </c>
      <c r="P206" s="327">
        <f t="shared" si="71"/>
        <v>216575</v>
      </c>
    </row>
    <row r="207" spans="1:16" ht="13.5" customHeight="1" x14ac:dyDescent="0.3">
      <c r="A207" s="412">
        <f>A204+1</f>
        <v>67</v>
      </c>
      <c r="B207" s="413" t="s">
        <v>398</v>
      </c>
      <c r="C207" s="414" t="s">
        <v>642</v>
      </c>
      <c r="D207" s="415">
        <v>43089</v>
      </c>
      <c r="E207" s="417" t="s">
        <v>643</v>
      </c>
      <c r="F207" s="332" t="s">
        <v>644</v>
      </c>
      <c r="G207" s="322" t="s">
        <v>402</v>
      </c>
      <c r="H207" s="323">
        <f>33396-8845</f>
        <v>24551</v>
      </c>
      <c r="I207" s="323">
        <v>33888</v>
      </c>
      <c r="J207" s="323">
        <v>33888</v>
      </c>
      <c r="K207" s="323">
        <v>33888</v>
      </c>
      <c r="L207" s="323">
        <v>33888</v>
      </c>
      <c r="M207" s="323">
        <v>33888</v>
      </c>
      <c r="N207" s="323">
        <v>33888</v>
      </c>
      <c r="O207" s="323">
        <f>434148-33396+5893</f>
        <v>406645</v>
      </c>
      <c r="P207" s="323">
        <f>SUM(H207:O207)</f>
        <v>634524</v>
      </c>
    </row>
    <row r="208" spans="1:16" ht="13.5" customHeight="1" x14ac:dyDescent="0.3">
      <c r="A208" s="412"/>
      <c r="B208" s="413"/>
      <c r="C208" s="414"/>
      <c r="D208" s="415"/>
      <c r="E208" s="417"/>
      <c r="F208" s="330" t="s">
        <v>645</v>
      </c>
      <c r="G208" s="324" t="s">
        <v>403</v>
      </c>
      <c r="H208" s="325">
        <f>23933+1600+80</f>
        <v>25613</v>
      </c>
      <c r="I208" s="325">
        <f>23427+1531</f>
        <v>24958</v>
      </c>
      <c r="J208" s="325">
        <f>21868+1447</f>
        <v>23315</v>
      </c>
      <c r="K208" s="325">
        <f>20569+1361</f>
        <v>21930</v>
      </c>
      <c r="L208" s="325">
        <f>19320+1278</f>
        <v>20598</v>
      </c>
      <c r="M208" s="340">
        <f>17969+1189</f>
        <v>19158</v>
      </c>
      <c r="N208" s="340">
        <f>16671+1103</f>
        <v>17774</v>
      </c>
      <c r="O208" s="340">
        <v>105517</v>
      </c>
      <c r="P208" s="325">
        <f>SUM(H208:O208)</f>
        <v>258863</v>
      </c>
    </row>
    <row r="209" spans="1:16" ht="13.5" customHeight="1" x14ac:dyDescent="0.3">
      <c r="A209" s="412"/>
      <c r="B209" s="413"/>
      <c r="C209" s="414"/>
      <c r="D209" s="415"/>
      <c r="E209" s="417"/>
      <c r="F209" s="326"/>
      <c r="G209" s="326" t="s">
        <v>404</v>
      </c>
      <c r="H209" s="327">
        <f t="shared" ref="H209:P209" si="72">SUM(H207:H208)</f>
        <v>50164</v>
      </c>
      <c r="I209" s="327">
        <f t="shared" si="72"/>
        <v>58846</v>
      </c>
      <c r="J209" s="327">
        <f t="shared" si="72"/>
        <v>57203</v>
      </c>
      <c r="K209" s="327">
        <f t="shared" si="72"/>
        <v>55818</v>
      </c>
      <c r="L209" s="327">
        <f t="shared" si="72"/>
        <v>54486</v>
      </c>
      <c r="M209" s="327">
        <f t="shared" si="72"/>
        <v>53046</v>
      </c>
      <c r="N209" s="327">
        <f t="shared" si="72"/>
        <v>51662</v>
      </c>
      <c r="O209" s="327">
        <f t="shared" si="72"/>
        <v>512162</v>
      </c>
      <c r="P209" s="327">
        <f t="shared" si="72"/>
        <v>893387</v>
      </c>
    </row>
    <row r="210" spans="1:16" ht="13.5" customHeight="1" x14ac:dyDescent="0.3">
      <c r="A210" s="412">
        <f>A207+1</f>
        <v>68</v>
      </c>
      <c r="B210" s="413" t="s">
        <v>398</v>
      </c>
      <c r="C210" s="424" t="s">
        <v>646</v>
      </c>
      <c r="D210" s="415">
        <v>43167</v>
      </c>
      <c r="E210" s="417" t="s">
        <v>647</v>
      </c>
      <c r="F210" s="332" t="s">
        <v>648</v>
      </c>
      <c r="G210" s="322" t="s">
        <v>402</v>
      </c>
      <c r="H210" s="323">
        <f>36296-10837</f>
        <v>25459</v>
      </c>
      <c r="I210" s="323">
        <v>36892</v>
      </c>
      <c r="J210" s="323">
        <v>36892</v>
      </c>
      <c r="K210" s="323">
        <v>36892</v>
      </c>
      <c r="L210" s="323">
        <v>36892</v>
      </c>
      <c r="M210" s="323">
        <v>36892</v>
      </c>
      <c r="N210" s="323">
        <v>36892</v>
      </c>
      <c r="O210" s="323">
        <f>480922-36296+7261</f>
        <v>451887</v>
      </c>
      <c r="P210" s="323">
        <f>SUM(H210:O210)</f>
        <v>698698</v>
      </c>
    </row>
    <row r="211" spans="1:16" ht="13.5" customHeight="1" x14ac:dyDescent="0.3">
      <c r="A211" s="412"/>
      <c r="B211" s="413"/>
      <c r="C211" s="414"/>
      <c r="D211" s="415"/>
      <c r="E211" s="417"/>
      <c r="F211" s="330" t="s">
        <v>649</v>
      </c>
      <c r="G211" s="324" t="s">
        <v>403</v>
      </c>
      <c r="H211" s="325">
        <f>26680+1761+289</f>
        <v>28730</v>
      </c>
      <c r="I211" s="325">
        <f>25624+1690</f>
        <v>27314</v>
      </c>
      <c r="J211" s="325">
        <f>24158+1599</f>
        <v>25757</v>
      </c>
      <c r="K211" s="325">
        <f>22744+1505</f>
        <v>24249</v>
      </c>
      <c r="L211" s="325">
        <f>21386+1415</f>
        <v>22801</v>
      </c>
      <c r="M211" s="340">
        <f>19914+1318</f>
        <v>21232</v>
      </c>
      <c r="N211" s="340">
        <f>18501+1224</f>
        <v>19725</v>
      </c>
      <c r="O211" s="340">
        <v>119526</v>
      </c>
      <c r="P211" s="325">
        <f>SUM(H211:O211)</f>
        <v>289334</v>
      </c>
    </row>
    <row r="212" spans="1:16" ht="13.5" customHeight="1" x14ac:dyDescent="0.3">
      <c r="A212" s="412"/>
      <c r="B212" s="413"/>
      <c r="C212" s="414"/>
      <c r="D212" s="415"/>
      <c r="E212" s="417"/>
      <c r="F212" s="326"/>
      <c r="G212" s="326" t="s">
        <v>404</v>
      </c>
      <c r="H212" s="327">
        <f t="shared" ref="H212:P212" si="73">SUM(H210:H211)</f>
        <v>54189</v>
      </c>
      <c r="I212" s="327">
        <f t="shared" si="73"/>
        <v>64206</v>
      </c>
      <c r="J212" s="327">
        <f t="shared" si="73"/>
        <v>62649</v>
      </c>
      <c r="K212" s="327">
        <f t="shared" si="73"/>
        <v>61141</v>
      </c>
      <c r="L212" s="327">
        <f t="shared" si="73"/>
        <v>59693</v>
      </c>
      <c r="M212" s="327">
        <f>SUM(M210:M211)</f>
        <v>58124</v>
      </c>
      <c r="N212" s="327">
        <f>SUM(N210:N211)</f>
        <v>56617</v>
      </c>
      <c r="O212" s="327">
        <f t="shared" si="73"/>
        <v>571413</v>
      </c>
      <c r="P212" s="327">
        <f t="shared" si="73"/>
        <v>988032</v>
      </c>
    </row>
    <row r="213" spans="1:16" ht="15.75" customHeight="1" x14ac:dyDescent="0.3">
      <c r="A213" s="412">
        <f>A210+1</f>
        <v>69</v>
      </c>
      <c r="B213" s="413" t="s">
        <v>398</v>
      </c>
      <c r="C213" s="424" t="s">
        <v>650</v>
      </c>
      <c r="D213" s="415">
        <v>43255</v>
      </c>
      <c r="E213" s="417" t="s">
        <v>651</v>
      </c>
      <c r="F213" s="332" t="s">
        <v>652</v>
      </c>
      <c r="G213" s="322" t="s">
        <v>402</v>
      </c>
      <c r="H213" s="323">
        <f>65820-26126</f>
        <v>39694</v>
      </c>
      <c r="I213" s="338">
        <v>67236</v>
      </c>
      <c r="J213" s="323">
        <v>67236</v>
      </c>
      <c r="K213" s="323">
        <v>67236</v>
      </c>
      <c r="L213" s="323">
        <v>67236</v>
      </c>
      <c r="M213" s="323">
        <v>67236</v>
      </c>
      <c r="N213" s="323">
        <v>67236</v>
      </c>
      <c r="O213" s="323">
        <f>888570-65820+17630</f>
        <v>840380</v>
      </c>
      <c r="P213" s="323">
        <f>SUM(H213:O213)</f>
        <v>1283490</v>
      </c>
    </row>
    <row r="214" spans="1:16" ht="15.75" customHeight="1" x14ac:dyDescent="0.3">
      <c r="A214" s="412"/>
      <c r="B214" s="413"/>
      <c r="C214" s="414"/>
      <c r="D214" s="415"/>
      <c r="E214" s="417"/>
      <c r="F214" s="330" t="s">
        <v>653</v>
      </c>
      <c r="G214" s="324" t="s">
        <v>403</v>
      </c>
      <c r="H214" s="325">
        <f>49901+3236+522-369</f>
        <v>53290</v>
      </c>
      <c r="I214" s="325">
        <f>47185+3122</f>
        <v>50307</v>
      </c>
      <c r="J214" s="325">
        <f>44673+2956</f>
        <v>47629</v>
      </c>
      <c r="K214" s="325">
        <f>42095+2786</f>
        <v>44881</v>
      </c>
      <c r="L214" s="325">
        <f>39622+2622</f>
        <v>42244</v>
      </c>
      <c r="M214" s="340">
        <f>36937+2444</f>
        <v>39381</v>
      </c>
      <c r="N214" s="340">
        <f>34362+2274</f>
        <v>36636</v>
      </c>
      <c r="O214" s="340">
        <v>226568</v>
      </c>
      <c r="P214" s="325">
        <f>SUM(H214:O214)</f>
        <v>540936</v>
      </c>
    </row>
    <row r="215" spans="1:16" ht="15.75" customHeight="1" x14ac:dyDescent="0.3">
      <c r="A215" s="412"/>
      <c r="B215" s="413"/>
      <c r="C215" s="414"/>
      <c r="D215" s="415"/>
      <c r="E215" s="417"/>
      <c r="F215" s="326"/>
      <c r="G215" s="326" t="s">
        <v>404</v>
      </c>
      <c r="H215" s="327">
        <f t="shared" ref="H215:P215" si="74">SUM(H213:H214)</f>
        <v>92984</v>
      </c>
      <c r="I215" s="327">
        <f t="shared" si="74"/>
        <v>117543</v>
      </c>
      <c r="J215" s="327">
        <f t="shared" si="74"/>
        <v>114865</v>
      </c>
      <c r="K215" s="327">
        <f t="shared" si="74"/>
        <v>112117</v>
      </c>
      <c r="L215" s="327">
        <f t="shared" si="74"/>
        <v>109480</v>
      </c>
      <c r="M215" s="327">
        <f t="shared" si="74"/>
        <v>106617</v>
      </c>
      <c r="N215" s="327">
        <f>SUM(N213:N214)</f>
        <v>103872</v>
      </c>
      <c r="O215" s="327">
        <f t="shared" si="74"/>
        <v>1066948</v>
      </c>
      <c r="P215" s="327">
        <f t="shared" si="74"/>
        <v>1824426</v>
      </c>
    </row>
    <row r="216" spans="1:16" ht="15" customHeight="1" x14ac:dyDescent="0.3">
      <c r="A216" s="412">
        <f>A213+1</f>
        <v>70</v>
      </c>
      <c r="B216" s="413" t="s">
        <v>398</v>
      </c>
      <c r="C216" s="414" t="s">
        <v>611</v>
      </c>
      <c r="D216" s="415">
        <v>43285</v>
      </c>
      <c r="E216" s="417" t="s">
        <v>654</v>
      </c>
      <c r="F216" s="332" t="s">
        <v>655</v>
      </c>
      <c r="G216" s="322" t="s">
        <v>402</v>
      </c>
      <c r="H216" s="323">
        <f>10552-3986</f>
        <v>6566</v>
      </c>
      <c r="I216" s="323">
        <v>10768</v>
      </c>
      <c r="J216" s="323">
        <v>10768</v>
      </c>
      <c r="K216" s="323">
        <v>10768</v>
      </c>
      <c r="L216" s="323">
        <v>10768</v>
      </c>
      <c r="M216" s="323">
        <v>10768</v>
      </c>
      <c r="N216" s="323">
        <v>10768</v>
      </c>
      <c r="O216" s="323">
        <f>142452-10552+2690</f>
        <v>134590</v>
      </c>
      <c r="P216" s="323">
        <f>SUM(H216:O216)</f>
        <v>205764</v>
      </c>
    </row>
    <row r="217" spans="1:16" ht="14.25" customHeight="1" x14ac:dyDescent="0.3">
      <c r="A217" s="412"/>
      <c r="B217" s="413"/>
      <c r="C217" s="414"/>
      <c r="D217" s="415"/>
      <c r="E217" s="417"/>
      <c r="F217" s="330" t="s">
        <v>656</v>
      </c>
      <c r="G217" s="324" t="s">
        <v>403</v>
      </c>
      <c r="H217" s="325">
        <f>8366+519+46-41</f>
        <v>8890</v>
      </c>
      <c r="I217" s="325">
        <f>7557+500</f>
        <v>8057</v>
      </c>
      <c r="J217" s="325">
        <f>7155+473</f>
        <v>7628</v>
      </c>
      <c r="K217" s="325">
        <f>6742+446</f>
        <v>7188</v>
      </c>
      <c r="L217" s="325">
        <f>6346+420</f>
        <v>6766</v>
      </c>
      <c r="M217" s="340">
        <f>5916+391</f>
        <v>6307</v>
      </c>
      <c r="N217" s="340">
        <f>5503+364</f>
        <v>5867</v>
      </c>
      <c r="O217" s="340">
        <v>36296</v>
      </c>
      <c r="P217" s="325">
        <f>SUM(H217:O217)</f>
        <v>86999</v>
      </c>
    </row>
    <row r="218" spans="1:16" ht="13.5" customHeight="1" x14ac:dyDescent="0.3">
      <c r="A218" s="412"/>
      <c r="B218" s="425"/>
      <c r="C218" s="427"/>
      <c r="D218" s="418"/>
      <c r="E218" s="421"/>
      <c r="F218" s="333"/>
      <c r="G218" s="333" t="s">
        <v>404</v>
      </c>
      <c r="H218" s="327">
        <f t="shared" ref="H218:P218" si="75">SUM(H216:H217)</f>
        <v>15456</v>
      </c>
      <c r="I218" s="327">
        <f t="shared" si="75"/>
        <v>18825</v>
      </c>
      <c r="J218" s="327">
        <f t="shared" si="75"/>
        <v>18396</v>
      </c>
      <c r="K218" s="327">
        <f t="shared" si="75"/>
        <v>17956</v>
      </c>
      <c r="L218" s="327">
        <f t="shared" si="75"/>
        <v>17534</v>
      </c>
      <c r="M218" s="327">
        <f t="shared" si="75"/>
        <v>17075</v>
      </c>
      <c r="N218" s="327">
        <f>SUM(N216:N217)</f>
        <v>16635</v>
      </c>
      <c r="O218" s="327">
        <f t="shared" si="75"/>
        <v>170886</v>
      </c>
      <c r="P218" s="327">
        <f t="shared" si="75"/>
        <v>292763</v>
      </c>
    </row>
    <row r="219" spans="1:16" ht="15" customHeight="1" x14ac:dyDescent="0.3">
      <c r="A219" s="412">
        <f>A216+1</f>
        <v>71</v>
      </c>
      <c r="B219" s="413" t="s">
        <v>398</v>
      </c>
      <c r="C219" s="438" t="s">
        <v>657</v>
      </c>
      <c r="D219" s="415">
        <v>43285</v>
      </c>
      <c r="E219" s="417" t="s">
        <v>658</v>
      </c>
      <c r="F219" s="332" t="s">
        <v>659</v>
      </c>
      <c r="G219" s="322" t="s">
        <v>402</v>
      </c>
      <c r="H219" s="323">
        <f>21820-5999</f>
        <v>15821</v>
      </c>
      <c r="I219" s="323">
        <v>22268</v>
      </c>
      <c r="J219" s="323">
        <v>22268</v>
      </c>
      <c r="K219" s="323">
        <v>22268</v>
      </c>
      <c r="L219" s="323">
        <v>22268</v>
      </c>
      <c r="M219" s="323">
        <v>22268</v>
      </c>
      <c r="N219" s="323">
        <v>22268</v>
      </c>
      <c r="O219" s="323">
        <f>185470-21820+3310</f>
        <v>166960</v>
      </c>
      <c r="P219" s="323">
        <f>SUM(H219:O219)</f>
        <v>316389</v>
      </c>
    </row>
    <row r="220" spans="1:16" ht="15" customHeight="1" x14ac:dyDescent="0.3">
      <c r="A220" s="412"/>
      <c r="B220" s="413"/>
      <c r="C220" s="438"/>
      <c r="D220" s="415"/>
      <c r="E220" s="417"/>
      <c r="F220" s="330" t="s">
        <v>660</v>
      </c>
      <c r="G220" s="324" t="s">
        <v>403</v>
      </c>
      <c r="H220" s="325">
        <f>12830+795+71-63</f>
        <v>13633</v>
      </c>
      <c r="I220" s="325">
        <f>11367+752</f>
        <v>12119</v>
      </c>
      <c r="J220" s="325">
        <f>10529+697</f>
        <v>11226</v>
      </c>
      <c r="K220" s="325">
        <f>9676+640</f>
        <v>10316</v>
      </c>
      <c r="L220" s="325">
        <f>8845+585</f>
        <v>9430</v>
      </c>
      <c r="M220" s="340">
        <f>7968+527</f>
        <v>8495</v>
      </c>
      <c r="N220" s="340">
        <f>7115+471</f>
        <v>7586</v>
      </c>
      <c r="O220" s="340">
        <v>27986</v>
      </c>
      <c r="P220" s="325">
        <f>SUM(H220:O220)</f>
        <v>100791</v>
      </c>
    </row>
    <row r="221" spans="1:16" ht="15" customHeight="1" x14ac:dyDescent="0.3">
      <c r="A221" s="412"/>
      <c r="B221" s="413"/>
      <c r="C221" s="438"/>
      <c r="D221" s="415"/>
      <c r="E221" s="417"/>
      <c r="F221" s="326"/>
      <c r="G221" s="326" t="s">
        <v>404</v>
      </c>
      <c r="H221" s="327">
        <f t="shared" ref="H221:P221" si="76">SUM(H219:H220)</f>
        <v>29454</v>
      </c>
      <c r="I221" s="327">
        <f t="shared" si="76"/>
        <v>34387</v>
      </c>
      <c r="J221" s="327">
        <f t="shared" si="76"/>
        <v>33494</v>
      </c>
      <c r="K221" s="327">
        <f t="shared" si="76"/>
        <v>32584</v>
      </c>
      <c r="L221" s="327">
        <f t="shared" si="76"/>
        <v>31698</v>
      </c>
      <c r="M221" s="327">
        <f t="shared" si="76"/>
        <v>30763</v>
      </c>
      <c r="N221" s="327">
        <f>SUM(N219:N220)</f>
        <v>29854</v>
      </c>
      <c r="O221" s="327">
        <f t="shared" si="76"/>
        <v>194946</v>
      </c>
      <c r="P221" s="327">
        <f t="shared" si="76"/>
        <v>417180</v>
      </c>
    </row>
    <row r="222" spans="1:16" ht="15" customHeight="1" x14ac:dyDescent="0.3">
      <c r="A222" s="412">
        <f>A219+1</f>
        <v>72</v>
      </c>
      <c r="B222" s="413" t="s">
        <v>398</v>
      </c>
      <c r="C222" s="438" t="s">
        <v>661</v>
      </c>
      <c r="D222" s="415">
        <v>43299</v>
      </c>
      <c r="E222" s="417" t="s">
        <v>662</v>
      </c>
      <c r="F222" s="332" t="s">
        <v>663</v>
      </c>
      <c r="G222" s="322" t="s">
        <v>402</v>
      </c>
      <c r="H222" s="323">
        <f>5304-1075</f>
        <v>4229</v>
      </c>
      <c r="I222" s="323">
        <v>5428</v>
      </c>
      <c r="J222" s="323">
        <v>5428</v>
      </c>
      <c r="K222" s="323">
        <v>5428</v>
      </c>
      <c r="L222" s="323">
        <v>5428</v>
      </c>
      <c r="M222" s="323">
        <v>5428</v>
      </c>
      <c r="N222" s="323">
        <v>5428</v>
      </c>
      <c r="O222" s="323">
        <f>19890-5304+331</f>
        <v>14917</v>
      </c>
      <c r="P222" s="323">
        <f>SUM(H222:O222)</f>
        <v>51714</v>
      </c>
    </row>
    <row r="223" spans="1:16" ht="15" customHeight="1" x14ac:dyDescent="0.3">
      <c r="A223" s="412"/>
      <c r="B223" s="413"/>
      <c r="C223" s="438"/>
      <c r="D223" s="415"/>
      <c r="E223" s="417"/>
      <c r="F223" s="330" t="s">
        <v>664</v>
      </c>
      <c r="G223" s="324" t="s">
        <v>403</v>
      </c>
      <c r="H223" s="325">
        <f>2123+130+11-9</f>
        <v>2255</v>
      </c>
      <c r="I223" s="325">
        <f>1784+118</f>
        <v>1902</v>
      </c>
      <c r="J223" s="325">
        <f>1579+104</f>
        <v>1683</v>
      </c>
      <c r="K223" s="325">
        <f>1371+91</f>
        <v>1462</v>
      </c>
      <c r="L223" s="325">
        <f>1166+77</f>
        <v>1243</v>
      </c>
      <c r="M223" s="340">
        <f>955+63</f>
        <v>1018</v>
      </c>
      <c r="N223" s="340">
        <f>747+49</f>
        <v>796</v>
      </c>
      <c r="O223" s="340">
        <f>986+65</f>
        <v>1051</v>
      </c>
      <c r="P223" s="325">
        <f>SUM(H223:O223)</f>
        <v>11410</v>
      </c>
    </row>
    <row r="224" spans="1:16" ht="15" customHeight="1" x14ac:dyDescent="0.3">
      <c r="A224" s="412"/>
      <c r="B224" s="413"/>
      <c r="C224" s="438"/>
      <c r="D224" s="415"/>
      <c r="E224" s="417"/>
      <c r="F224" s="326"/>
      <c r="G224" s="326" t="s">
        <v>404</v>
      </c>
      <c r="H224" s="327">
        <f t="shared" ref="H224:P224" si="77">SUM(H222:H223)</f>
        <v>6484</v>
      </c>
      <c r="I224" s="327">
        <f t="shared" si="77"/>
        <v>7330</v>
      </c>
      <c r="J224" s="327">
        <f t="shared" si="77"/>
        <v>7111</v>
      </c>
      <c r="K224" s="327">
        <f t="shared" si="77"/>
        <v>6890</v>
      </c>
      <c r="L224" s="327">
        <f t="shared" si="77"/>
        <v>6671</v>
      </c>
      <c r="M224" s="327">
        <f t="shared" si="77"/>
        <v>6446</v>
      </c>
      <c r="N224" s="327">
        <f>SUM(N222:N223)</f>
        <v>6224</v>
      </c>
      <c r="O224" s="327">
        <f t="shared" si="77"/>
        <v>15968</v>
      </c>
      <c r="P224" s="327">
        <f t="shared" si="77"/>
        <v>63124</v>
      </c>
    </row>
    <row r="225" spans="1:17" ht="15.75" customHeight="1" x14ac:dyDescent="0.3">
      <c r="A225" s="412">
        <f>A222+1</f>
        <v>73</v>
      </c>
      <c r="B225" s="413" t="s">
        <v>398</v>
      </c>
      <c r="C225" s="439" t="s">
        <v>665</v>
      </c>
      <c r="D225" s="415">
        <v>43315</v>
      </c>
      <c r="E225" s="417" t="s">
        <v>542</v>
      </c>
      <c r="F225" s="332" t="s">
        <v>666</v>
      </c>
      <c r="G225" s="322" t="s">
        <v>402</v>
      </c>
      <c r="H225" s="338">
        <f>102640-48306</f>
        <v>54334</v>
      </c>
      <c r="I225" s="344">
        <v>105220</v>
      </c>
      <c r="J225" s="323">
        <v>105220</v>
      </c>
      <c r="K225" s="323">
        <v>105220</v>
      </c>
      <c r="L225" s="323">
        <v>105220</v>
      </c>
      <c r="M225" s="323">
        <v>105220</v>
      </c>
      <c r="N225" s="323">
        <v>105220</v>
      </c>
      <c r="O225" s="323">
        <f>1157420+184066</f>
        <v>1341486</v>
      </c>
      <c r="P225" s="323">
        <f>SUM(H225:O225)</f>
        <v>2027140</v>
      </c>
      <c r="Q225" s="3"/>
    </row>
    <row r="226" spans="1:17" ht="15.75" customHeight="1" x14ac:dyDescent="0.3">
      <c r="A226" s="412"/>
      <c r="B226" s="413"/>
      <c r="C226" s="439"/>
      <c r="D226" s="415"/>
      <c r="E226" s="417"/>
      <c r="F226" s="330" t="s">
        <v>667</v>
      </c>
      <c r="G226" s="324" t="s">
        <v>403</v>
      </c>
      <c r="H226" s="325">
        <f>82939+5111+510-846</f>
        <v>87714</v>
      </c>
      <c r="I226" s="325">
        <f>74834+4952</f>
        <v>79786</v>
      </c>
      <c r="J226" s="325">
        <f>70919+4693</f>
        <v>75612</v>
      </c>
      <c r="K226" s="325">
        <f>66886+4426</f>
        <v>71312</v>
      </c>
      <c r="L226" s="325">
        <f>63018+4170</f>
        <v>67188</v>
      </c>
      <c r="M226" s="340">
        <f>58814+3892</f>
        <v>62706</v>
      </c>
      <c r="N226" s="340">
        <f>54784+3625</f>
        <v>58409</v>
      </c>
      <c r="O226" s="340">
        <f>336922+22295+8652+573</f>
        <v>368442</v>
      </c>
      <c r="P226" s="325">
        <f>SUM(H226:O226)</f>
        <v>871169</v>
      </c>
    </row>
    <row r="227" spans="1:17" ht="15.75" customHeight="1" x14ac:dyDescent="0.3">
      <c r="A227" s="412"/>
      <c r="B227" s="413"/>
      <c r="C227" s="439"/>
      <c r="D227" s="415"/>
      <c r="E227" s="417"/>
      <c r="F227" s="326"/>
      <c r="G227" s="326" t="s">
        <v>404</v>
      </c>
      <c r="H227" s="327">
        <f t="shared" ref="H227:P227" si="78">SUM(H225:H226)</f>
        <v>142048</v>
      </c>
      <c r="I227" s="327">
        <f t="shared" si="78"/>
        <v>185006</v>
      </c>
      <c r="J227" s="327">
        <f t="shared" si="78"/>
        <v>180832</v>
      </c>
      <c r="K227" s="327">
        <f t="shared" si="78"/>
        <v>176532</v>
      </c>
      <c r="L227" s="327">
        <f t="shared" si="78"/>
        <v>172408</v>
      </c>
      <c r="M227" s="327">
        <f t="shared" si="78"/>
        <v>167926</v>
      </c>
      <c r="N227" s="327">
        <f t="shared" si="78"/>
        <v>163629</v>
      </c>
      <c r="O227" s="327">
        <f t="shared" si="78"/>
        <v>1709928</v>
      </c>
      <c r="P227" s="327">
        <f t="shared" si="78"/>
        <v>2898309</v>
      </c>
    </row>
    <row r="228" spans="1:17" ht="16.5" customHeight="1" x14ac:dyDescent="0.3">
      <c r="A228" s="412">
        <f>A225+1</f>
        <v>74</v>
      </c>
      <c r="B228" s="413" t="s">
        <v>398</v>
      </c>
      <c r="C228" s="440" t="s">
        <v>668</v>
      </c>
      <c r="D228" s="415">
        <v>43341</v>
      </c>
      <c r="E228" s="417" t="s">
        <v>669</v>
      </c>
      <c r="F228" s="332" t="s">
        <v>670</v>
      </c>
      <c r="G228" s="322" t="s">
        <v>402</v>
      </c>
      <c r="H228" s="323">
        <f>7644-701</f>
        <v>6943</v>
      </c>
      <c r="I228" s="323">
        <v>7832</v>
      </c>
      <c r="J228" s="323">
        <v>7832</v>
      </c>
      <c r="K228" s="323">
        <v>7832</v>
      </c>
      <c r="L228" s="323">
        <f>5733+137</f>
        <v>5870</v>
      </c>
      <c r="M228" s="323">
        <v>0</v>
      </c>
      <c r="N228" s="323">
        <v>0</v>
      </c>
      <c r="O228" s="323">
        <v>0</v>
      </c>
      <c r="P228" s="323">
        <f>SUM(H228:O228)</f>
        <v>36309</v>
      </c>
    </row>
    <row r="229" spans="1:17" ht="14.25" customHeight="1" x14ac:dyDescent="0.3">
      <c r="A229" s="412"/>
      <c r="B229" s="413"/>
      <c r="C229" s="440"/>
      <c r="D229" s="415"/>
      <c r="E229" s="417"/>
      <c r="F229" s="330" t="s">
        <v>671</v>
      </c>
      <c r="G229" s="324" t="s">
        <v>403</v>
      </c>
      <c r="H229" s="325">
        <f>1460+89+7-13</f>
        <v>1543</v>
      </c>
      <c r="I229" s="325">
        <f>1076+71</f>
        <v>1147</v>
      </c>
      <c r="J229" s="325">
        <f>779+52</f>
        <v>831</v>
      </c>
      <c r="K229" s="325">
        <f>479+32</f>
        <v>511</v>
      </c>
      <c r="L229" s="325">
        <f>172+11</f>
        <v>183</v>
      </c>
      <c r="M229" s="325">
        <v>0</v>
      </c>
      <c r="N229" s="325">
        <v>0</v>
      </c>
      <c r="O229" s="325">
        <v>0</v>
      </c>
      <c r="P229" s="325">
        <f>SUM(H229:O229)</f>
        <v>4215</v>
      </c>
    </row>
    <row r="230" spans="1:17" ht="15" customHeight="1" x14ac:dyDescent="0.3">
      <c r="A230" s="412"/>
      <c r="B230" s="413"/>
      <c r="C230" s="440"/>
      <c r="D230" s="415"/>
      <c r="E230" s="417"/>
      <c r="F230" s="326"/>
      <c r="G230" s="326" t="s">
        <v>404</v>
      </c>
      <c r="H230" s="327">
        <f t="shared" ref="H230:P230" si="79">SUM(H228:H229)</f>
        <v>8486</v>
      </c>
      <c r="I230" s="327">
        <f t="shared" si="79"/>
        <v>8979</v>
      </c>
      <c r="J230" s="327">
        <f t="shared" si="79"/>
        <v>8663</v>
      </c>
      <c r="K230" s="327">
        <f t="shared" si="79"/>
        <v>8343</v>
      </c>
      <c r="L230" s="327">
        <f t="shared" si="79"/>
        <v>6053</v>
      </c>
      <c r="M230" s="327">
        <f t="shared" si="79"/>
        <v>0</v>
      </c>
      <c r="N230" s="327">
        <f>SUM(N228:N229)</f>
        <v>0</v>
      </c>
      <c r="O230" s="327">
        <f t="shared" si="79"/>
        <v>0</v>
      </c>
      <c r="P230" s="327">
        <f t="shared" si="79"/>
        <v>40524</v>
      </c>
    </row>
    <row r="231" spans="1:17" ht="16.5" customHeight="1" x14ac:dyDescent="0.3">
      <c r="A231" s="412">
        <f>A228+1</f>
        <v>75</v>
      </c>
      <c r="B231" s="413" t="s">
        <v>398</v>
      </c>
      <c r="C231" s="438" t="s">
        <v>672</v>
      </c>
      <c r="D231" s="415">
        <v>43378</v>
      </c>
      <c r="E231" s="417" t="s">
        <v>673</v>
      </c>
      <c r="F231" s="332" t="s">
        <v>674</v>
      </c>
      <c r="G231" s="322" t="s">
        <v>402</v>
      </c>
      <c r="H231" s="323">
        <f>12660-666</f>
        <v>11994</v>
      </c>
      <c r="I231" s="323">
        <v>12840</v>
      </c>
      <c r="J231" s="323">
        <v>12840</v>
      </c>
      <c r="K231" s="323">
        <v>12840</v>
      </c>
      <c r="L231" s="323">
        <f>9495+126</f>
        <v>9621</v>
      </c>
      <c r="M231" s="323">
        <v>0</v>
      </c>
      <c r="N231" s="323">
        <v>0</v>
      </c>
      <c r="O231" s="323">
        <v>0</v>
      </c>
      <c r="P231" s="323">
        <f>SUM(H231:O231)</f>
        <v>60135</v>
      </c>
    </row>
    <row r="232" spans="1:17" ht="14.25" customHeight="1" x14ac:dyDescent="0.3">
      <c r="A232" s="412"/>
      <c r="B232" s="413"/>
      <c r="C232" s="438"/>
      <c r="D232" s="415"/>
      <c r="E232" s="417"/>
      <c r="F232" s="330" t="s">
        <v>675</v>
      </c>
      <c r="G232" s="324" t="s">
        <v>403</v>
      </c>
      <c r="H232" s="325">
        <f>2471+148+6</f>
        <v>2625</v>
      </c>
      <c r="I232" s="325">
        <f>1768+117</f>
        <v>1885</v>
      </c>
      <c r="J232" s="325">
        <f>1277+84</f>
        <v>1361</v>
      </c>
      <c r="K232" s="325">
        <f>785+52</f>
        <v>837</v>
      </c>
      <c r="L232" s="325">
        <f>292+19</f>
        <v>311</v>
      </c>
      <c r="M232" s="325">
        <v>0</v>
      </c>
      <c r="N232" s="325">
        <v>0</v>
      </c>
      <c r="O232" s="325">
        <v>0</v>
      </c>
      <c r="P232" s="325">
        <f>SUM(H232:O232)</f>
        <v>7019</v>
      </c>
    </row>
    <row r="233" spans="1:17" ht="14.25" customHeight="1" x14ac:dyDescent="0.3">
      <c r="A233" s="412"/>
      <c r="B233" s="425"/>
      <c r="C233" s="441"/>
      <c r="D233" s="418"/>
      <c r="E233" s="421"/>
      <c r="F233" s="333"/>
      <c r="G233" s="333" t="s">
        <v>404</v>
      </c>
      <c r="H233" s="327">
        <f t="shared" ref="H233:P233" si="80">SUM(H231:H232)</f>
        <v>14619</v>
      </c>
      <c r="I233" s="327">
        <f t="shared" si="80"/>
        <v>14725</v>
      </c>
      <c r="J233" s="327">
        <f t="shared" si="80"/>
        <v>14201</v>
      </c>
      <c r="K233" s="327">
        <f t="shared" si="80"/>
        <v>13677</v>
      </c>
      <c r="L233" s="327">
        <f t="shared" si="80"/>
        <v>9932</v>
      </c>
      <c r="M233" s="327">
        <f t="shared" si="80"/>
        <v>0</v>
      </c>
      <c r="N233" s="327">
        <f>SUM(N231:N232)</f>
        <v>0</v>
      </c>
      <c r="O233" s="327">
        <f t="shared" si="80"/>
        <v>0</v>
      </c>
      <c r="P233" s="327">
        <f t="shared" si="80"/>
        <v>67154</v>
      </c>
    </row>
    <row r="234" spans="1:17" ht="14.25" customHeight="1" x14ac:dyDescent="0.3">
      <c r="A234" s="412">
        <f>A231+1</f>
        <v>76</v>
      </c>
      <c r="B234" s="413" t="s">
        <v>398</v>
      </c>
      <c r="C234" s="438" t="s">
        <v>676</v>
      </c>
      <c r="D234" s="415">
        <v>43391</v>
      </c>
      <c r="E234" s="417" t="s">
        <v>677</v>
      </c>
      <c r="F234" s="332" t="s">
        <v>678</v>
      </c>
      <c r="G234" s="322" t="s">
        <v>402</v>
      </c>
      <c r="H234" s="323">
        <f>8292-1040</f>
        <v>7252</v>
      </c>
      <c r="I234" s="323">
        <v>8408</v>
      </c>
      <c r="J234" s="323">
        <v>8408</v>
      </c>
      <c r="K234" s="323">
        <v>8408</v>
      </c>
      <c r="L234" s="323">
        <v>8408</v>
      </c>
      <c r="M234" s="323">
        <v>8408</v>
      </c>
      <c r="N234" s="323">
        <v>8408</v>
      </c>
      <c r="O234" s="323">
        <f>33168-8292+344</f>
        <v>25220</v>
      </c>
      <c r="P234" s="323">
        <f>SUM(H234:O234)</f>
        <v>82920</v>
      </c>
    </row>
    <row r="235" spans="1:17" ht="14.4" customHeight="1" x14ac:dyDescent="0.3">
      <c r="A235" s="412"/>
      <c r="B235" s="413"/>
      <c r="C235" s="438"/>
      <c r="D235" s="415"/>
      <c r="E235" s="417"/>
      <c r="F235" s="330" t="s">
        <v>679</v>
      </c>
      <c r="G235" s="324" t="s">
        <v>403</v>
      </c>
      <c r="H235" s="325">
        <f>3377+208+10</f>
        <v>3595</v>
      </c>
      <c r="I235" s="325">
        <f>2860+188</f>
        <v>3048</v>
      </c>
      <c r="J235" s="325">
        <f>2527+167</f>
        <v>2694</v>
      </c>
      <c r="K235" s="325">
        <f>2205+146</f>
        <v>2351</v>
      </c>
      <c r="L235" s="325">
        <f>1887+125</f>
        <v>2012</v>
      </c>
      <c r="M235" s="340">
        <f>1560+103</f>
        <v>1663</v>
      </c>
      <c r="N235" s="340">
        <f>1238+82</f>
        <v>1320</v>
      </c>
      <c r="O235" s="340">
        <v>1906</v>
      </c>
      <c r="P235" s="325">
        <f>SUM(H235:O235)</f>
        <v>18589</v>
      </c>
    </row>
    <row r="236" spans="1:17" ht="15" customHeight="1" x14ac:dyDescent="0.3">
      <c r="A236" s="412"/>
      <c r="B236" s="413"/>
      <c r="C236" s="438"/>
      <c r="D236" s="415"/>
      <c r="E236" s="417"/>
      <c r="F236" s="326"/>
      <c r="G236" s="326" t="s">
        <v>404</v>
      </c>
      <c r="H236" s="327">
        <f t="shared" ref="H236:P236" si="81">SUM(H234:H235)</f>
        <v>10847</v>
      </c>
      <c r="I236" s="327">
        <f t="shared" si="81"/>
        <v>11456</v>
      </c>
      <c r="J236" s="327">
        <f t="shared" si="81"/>
        <v>11102</v>
      </c>
      <c r="K236" s="327">
        <f t="shared" si="81"/>
        <v>10759</v>
      </c>
      <c r="L236" s="327">
        <f t="shared" si="81"/>
        <v>10420</v>
      </c>
      <c r="M236" s="327">
        <f t="shared" si="81"/>
        <v>10071</v>
      </c>
      <c r="N236" s="327">
        <f t="shared" si="81"/>
        <v>9728</v>
      </c>
      <c r="O236" s="327">
        <f t="shared" si="81"/>
        <v>27126</v>
      </c>
      <c r="P236" s="327">
        <f t="shared" si="81"/>
        <v>101509</v>
      </c>
    </row>
    <row r="237" spans="1:17" ht="16.5" customHeight="1" x14ac:dyDescent="0.3">
      <c r="A237" s="412">
        <f>A234+1</f>
        <v>77</v>
      </c>
      <c r="B237" s="413" t="s">
        <v>398</v>
      </c>
      <c r="C237" s="414" t="s">
        <v>1076</v>
      </c>
      <c r="D237" s="415">
        <v>43416</v>
      </c>
      <c r="E237" s="417" t="s">
        <v>680</v>
      </c>
      <c r="F237" s="332" t="s">
        <v>681</v>
      </c>
      <c r="G237" s="322" t="s">
        <v>402</v>
      </c>
      <c r="H237" s="323">
        <f>9564-400</f>
        <v>9164</v>
      </c>
      <c r="I237" s="323">
        <v>9664</v>
      </c>
      <c r="J237" s="323">
        <v>9664</v>
      </c>
      <c r="K237" s="323">
        <v>9664</v>
      </c>
      <c r="L237" s="323">
        <v>9664</v>
      </c>
      <c r="M237" s="323">
        <v>0</v>
      </c>
      <c r="N237" s="323">
        <v>0</v>
      </c>
      <c r="O237" s="329">
        <v>0</v>
      </c>
      <c r="P237" s="323">
        <f>SUM(H237:O237)</f>
        <v>47820</v>
      </c>
    </row>
    <row r="238" spans="1:17" ht="15" customHeight="1" x14ac:dyDescent="0.3">
      <c r="A238" s="412"/>
      <c r="B238" s="413"/>
      <c r="C238" s="414"/>
      <c r="D238" s="415"/>
      <c r="E238" s="417"/>
      <c r="F238" s="330" t="s">
        <v>682</v>
      </c>
      <c r="G238" s="324" t="s">
        <v>403</v>
      </c>
      <c r="H238" s="325">
        <f>1891+118+4</f>
        <v>2013</v>
      </c>
      <c r="I238" s="325">
        <f>1438+94</f>
        <v>1532</v>
      </c>
      <c r="J238" s="325">
        <f>1054+70</f>
        <v>1124</v>
      </c>
      <c r="K238" s="325">
        <f>683+45</f>
        <v>728</v>
      </c>
      <c r="L238" s="325">
        <v>334</v>
      </c>
      <c r="M238" s="325">
        <v>5</v>
      </c>
      <c r="N238" s="325">
        <v>0</v>
      </c>
      <c r="O238" s="331">
        <v>0</v>
      </c>
      <c r="P238" s="325">
        <f>SUM(H238:O238)</f>
        <v>5736</v>
      </c>
    </row>
    <row r="239" spans="1:17" ht="15.75" customHeight="1" x14ac:dyDescent="0.3">
      <c r="A239" s="412"/>
      <c r="B239" s="413"/>
      <c r="C239" s="414"/>
      <c r="D239" s="415"/>
      <c r="E239" s="417"/>
      <c r="F239" s="326"/>
      <c r="G239" s="326" t="s">
        <v>404</v>
      </c>
      <c r="H239" s="327">
        <f t="shared" ref="H239:P239" si="82">SUM(H237:H238)</f>
        <v>11177</v>
      </c>
      <c r="I239" s="327">
        <f t="shared" si="82"/>
        <v>11196</v>
      </c>
      <c r="J239" s="327">
        <f t="shared" si="82"/>
        <v>10788</v>
      </c>
      <c r="K239" s="327">
        <f t="shared" si="82"/>
        <v>10392</v>
      </c>
      <c r="L239" s="327">
        <f t="shared" si="82"/>
        <v>9998</v>
      </c>
      <c r="M239" s="327">
        <f t="shared" si="82"/>
        <v>5</v>
      </c>
      <c r="N239" s="327">
        <f t="shared" si="82"/>
        <v>0</v>
      </c>
      <c r="O239" s="327">
        <f t="shared" si="82"/>
        <v>0</v>
      </c>
      <c r="P239" s="327">
        <f t="shared" si="82"/>
        <v>53556</v>
      </c>
    </row>
    <row r="240" spans="1:17" ht="16.5" customHeight="1" x14ac:dyDescent="0.3">
      <c r="A240" s="412">
        <f>A237+1</f>
        <v>78</v>
      </c>
      <c r="B240" s="413" t="s">
        <v>398</v>
      </c>
      <c r="C240" s="414" t="s">
        <v>1077</v>
      </c>
      <c r="D240" s="415">
        <v>43431</v>
      </c>
      <c r="E240" s="417" t="s">
        <v>445</v>
      </c>
      <c r="F240" s="332" t="s">
        <v>683</v>
      </c>
      <c r="G240" s="322" t="s">
        <v>402</v>
      </c>
      <c r="H240" s="323">
        <f>16312-821</f>
        <v>15491</v>
      </c>
      <c r="I240" s="323">
        <v>16520</v>
      </c>
      <c r="J240" s="323">
        <v>16520</v>
      </c>
      <c r="K240" s="323">
        <v>16520</v>
      </c>
      <c r="L240" s="323">
        <v>16509</v>
      </c>
      <c r="M240" s="323">
        <v>0</v>
      </c>
      <c r="N240" s="323">
        <v>0</v>
      </c>
      <c r="O240" s="323">
        <v>0</v>
      </c>
      <c r="P240" s="323">
        <f>SUM(H240:O240)</f>
        <v>81560</v>
      </c>
    </row>
    <row r="241" spans="1:16" ht="16.5" customHeight="1" x14ac:dyDescent="0.3">
      <c r="A241" s="412"/>
      <c r="B241" s="413"/>
      <c r="C241" s="414"/>
      <c r="D241" s="415"/>
      <c r="E241" s="417"/>
      <c r="F241" s="330" t="s">
        <v>684</v>
      </c>
      <c r="G241" s="324" t="s">
        <v>403</v>
      </c>
      <c r="H241" s="325">
        <f>3387+8</f>
        <v>3395</v>
      </c>
      <c r="I241" s="325">
        <f>2470+161</f>
        <v>2631</v>
      </c>
      <c r="J241" s="325">
        <f>1801+119</f>
        <v>1920</v>
      </c>
      <c r="K241" s="325">
        <f>1168+77</f>
        <v>1245</v>
      </c>
      <c r="L241" s="325">
        <f>535+35</f>
        <v>570</v>
      </c>
      <c r="M241" s="325">
        <v>23</v>
      </c>
      <c r="N241" s="325">
        <v>0</v>
      </c>
      <c r="O241" s="325">
        <v>0</v>
      </c>
      <c r="P241" s="325">
        <f>SUM(H241:O241)</f>
        <v>9784</v>
      </c>
    </row>
    <row r="242" spans="1:16" ht="16.5" customHeight="1" x14ac:dyDescent="0.3">
      <c r="A242" s="412"/>
      <c r="B242" s="413"/>
      <c r="C242" s="414"/>
      <c r="D242" s="415"/>
      <c r="E242" s="417"/>
      <c r="F242" s="326"/>
      <c r="G242" s="326" t="s">
        <v>404</v>
      </c>
      <c r="H242" s="327">
        <f t="shared" ref="H242:P242" si="83">SUM(H240:H241)</f>
        <v>18886</v>
      </c>
      <c r="I242" s="327">
        <f t="shared" si="83"/>
        <v>19151</v>
      </c>
      <c r="J242" s="327">
        <f t="shared" si="83"/>
        <v>18440</v>
      </c>
      <c r="K242" s="327">
        <f t="shared" si="83"/>
        <v>17765</v>
      </c>
      <c r="L242" s="327">
        <f t="shared" si="83"/>
        <v>17079</v>
      </c>
      <c r="M242" s="327">
        <f t="shared" si="83"/>
        <v>23</v>
      </c>
      <c r="N242" s="327">
        <f t="shared" si="83"/>
        <v>0</v>
      </c>
      <c r="O242" s="327">
        <f t="shared" si="83"/>
        <v>0</v>
      </c>
      <c r="P242" s="327">
        <f t="shared" si="83"/>
        <v>91344</v>
      </c>
    </row>
    <row r="243" spans="1:16" ht="16.5" customHeight="1" x14ac:dyDescent="0.3">
      <c r="A243" s="412">
        <f>A240+1</f>
        <v>79</v>
      </c>
      <c r="B243" s="413" t="s">
        <v>398</v>
      </c>
      <c r="C243" s="414" t="s">
        <v>1078</v>
      </c>
      <c r="D243" s="415">
        <v>43431</v>
      </c>
      <c r="E243" s="417" t="s">
        <v>685</v>
      </c>
      <c r="F243" s="332" t="s">
        <v>686</v>
      </c>
      <c r="G243" s="322" t="s">
        <v>402</v>
      </c>
      <c r="H243" s="323">
        <f>31676-1786</f>
        <v>29890</v>
      </c>
      <c r="I243" s="323">
        <v>31240</v>
      </c>
      <c r="J243" s="323">
        <v>31240</v>
      </c>
      <c r="K243" s="323">
        <v>31240</v>
      </c>
      <c r="L243" s="323">
        <v>31240</v>
      </c>
      <c r="M243" s="323">
        <f>12084+3530</f>
        <v>15614</v>
      </c>
      <c r="N243" s="323">
        <v>0</v>
      </c>
      <c r="O243" s="323">
        <v>0</v>
      </c>
      <c r="P243" s="323">
        <f>SUM(H243:O243)</f>
        <v>170464</v>
      </c>
    </row>
    <row r="244" spans="1:16" ht="15.75" customHeight="1" x14ac:dyDescent="0.3">
      <c r="A244" s="412"/>
      <c r="B244" s="413"/>
      <c r="C244" s="414"/>
      <c r="D244" s="415"/>
      <c r="E244" s="417"/>
      <c r="F244" s="330" t="s">
        <v>687</v>
      </c>
      <c r="G244" s="324" t="s">
        <v>403</v>
      </c>
      <c r="H244" s="325">
        <f>6676+421+16+1</f>
        <v>7114</v>
      </c>
      <c r="I244" s="325">
        <f>5280+344</f>
        <v>5624</v>
      </c>
      <c r="J244" s="325">
        <f>4004+265</f>
        <v>4269</v>
      </c>
      <c r="K244" s="325">
        <f>2807+186</f>
        <v>2993</v>
      </c>
      <c r="L244" s="325">
        <f>1612+107</f>
        <v>1719</v>
      </c>
      <c r="M244" s="340">
        <v>394</v>
      </c>
      <c r="N244" s="325">
        <v>0</v>
      </c>
      <c r="O244" s="325">
        <v>0</v>
      </c>
      <c r="P244" s="325">
        <f>SUM(H244:O244)</f>
        <v>22113</v>
      </c>
    </row>
    <row r="245" spans="1:16" ht="16.5" customHeight="1" x14ac:dyDescent="0.3">
      <c r="A245" s="412"/>
      <c r="B245" s="413"/>
      <c r="C245" s="414"/>
      <c r="D245" s="415"/>
      <c r="E245" s="417"/>
      <c r="F245" s="326"/>
      <c r="G245" s="326" t="s">
        <v>404</v>
      </c>
      <c r="H245" s="327">
        <f t="shared" ref="H245:P245" si="84">SUM(H243:H244)</f>
        <v>37004</v>
      </c>
      <c r="I245" s="327">
        <f t="shared" si="84"/>
        <v>36864</v>
      </c>
      <c r="J245" s="327">
        <f t="shared" si="84"/>
        <v>35509</v>
      </c>
      <c r="K245" s="327">
        <f t="shared" si="84"/>
        <v>34233</v>
      </c>
      <c r="L245" s="327">
        <f t="shared" si="84"/>
        <v>32959</v>
      </c>
      <c r="M245" s="327">
        <f t="shared" si="84"/>
        <v>16008</v>
      </c>
      <c r="N245" s="327">
        <f t="shared" si="84"/>
        <v>0</v>
      </c>
      <c r="O245" s="327">
        <f t="shared" si="84"/>
        <v>0</v>
      </c>
      <c r="P245" s="327">
        <f t="shared" si="84"/>
        <v>192577</v>
      </c>
    </row>
    <row r="246" spans="1:16" ht="15.75" customHeight="1" x14ac:dyDescent="0.3">
      <c r="A246" s="412">
        <f>A243+1</f>
        <v>80</v>
      </c>
      <c r="B246" s="413" t="s">
        <v>398</v>
      </c>
      <c r="C246" s="414" t="s">
        <v>688</v>
      </c>
      <c r="D246" s="415">
        <v>43433</v>
      </c>
      <c r="E246" s="417" t="s">
        <v>689</v>
      </c>
      <c r="F246" s="332" t="s">
        <v>690</v>
      </c>
      <c r="G246" s="322" t="s">
        <v>402</v>
      </c>
      <c r="H246" s="323">
        <v>3072</v>
      </c>
      <c r="I246" s="323">
        <v>3072</v>
      </c>
      <c r="J246" s="329">
        <v>0</v>
      </c>
      <c r="K246" s="329">
        <v>0</v>
      </c>
      <c r="L246" s="329">
        <v>0</v>
      </c>
      <c r="M246" s="329">
        <v>0</v>
      </c>
      <c r="N246" s="323">
        <v>0</v>
      </c>
      <c r="O246" s="329">
        <v>0</v>
      </c>
      <c r="P246" s="323">
        <f>SUM(H246:O246)</f>
        <v>6144</v>
      </c>
    </row>
    <row r="247" spans="1:16" ht="15.75" customHeight="1" x14ac:dyDescent="0.3">
      <c r="A247" s="412"/>
      <c r="B247" s="413"/>
      <c r="C247" s="414"/>
      <c r="D247" s="415"/>
      <c r="E247" s="417"/>
      <c r="F247" s="330" t="s">
        <v>691</v>
      </c>
      <c r="G247" s="324" t="s">
        <v>403</v>
      </c>
      <c r="H247" s="325">
        <v>239</v>
      </c>
      <c r="I247" s="325">
        <v>108</v>
      </c>
      <c r="J247" s="331">
        <v>14</v>
      </c>
      <c r="K247" s="331">
        <v>0</v>
      </c>
      <c r="L247" s="331">
        <v>0</v>
      </c>
      <c r="M247" s="331">
        <v>0</v>
      </c>
      <c r="N247" s="325">
        <v>0</v>
      </c>
      <c r="O247" s="331">
        <v>0</v>
      </c>
      <c r="P247" s="325">
        <f>SUM(H247:O247)</f>
        <v>361</v>
      </c>
    </row>
    <row r="248" spans="1:16" ht="15.75" customHeight="1" x14ac:dyDescent="0.3">
      <c r="A248" s="412"/>
      <c r="B248" s="413"/>
      <c r="C248" s="414"/>
      <c r="D248" s="415"/>
      <c r="E248" s="417"/>
      <c r="F248" s="326"/>
      <c r="G248" s="326" t="s">
        <v>404</v>
      </c>
      <c r="H248" s="327">
        <f t="shared" ref="H248:P248" si="85">SUM(H246:H247)</f>
        <v>3311</v>
      </c>
      <c r="I248" s="327">
        <f t="shared" si="85"/>
        <v>3180</v>
      </c>
      <c r="J248" s="327">
        <f t="shared" si="85"/>
        <v>14</v>
      </c>
      <c r="K248" s="327">
        <f t="shared" si="85"/>
        <v>0</v>
      </c>
      <c r="L248" s="327">
        <f t="shared" si="85"/>
        <v>0</v>
      </c>
      <c r="M248" s="327">
        <f t="shared" si="85"/>
        <v>0</v>
      </c>
      <c r="N248" s="327">
        <f t="shared" si="85"/>
        <v>0</v>
      </c>
      <c r="O248" s="327">
        <f t="shared" si="85"/>
        <v>0</v>
      </c>
      <c r="P248" s="327">
        <f t="shared" si="85"/>
        <v>6505</v>
      </c>
    </row>
    <row r="249" spans="1:16" ht="15.75" customHeight="1" x14ac:dyDescent="0.3">
      <c r="A249" s="412">
        <f>A246+1</f>
        <v>81</v>
      </c>
      <c r="B249" s="413" t="s">
        <v>398</v>
      </c>
      <c r="C249" s="442" t="s">
        <v>692</v>
      </c>
      <c r="D249" s="415">
        <v>43529</v>
      </c>
      <c r="E249" s="417" t="s">
        <v>693</v>
      </c>
      <c r="F249" s="332" t="s">
        <v>694</v>
      </c>
      <c r="G249" s="322" t="s">
        <v>402</v>
      </c>
      <c r="H249" s="323">
        <v>54120</v>
      </c>
      <c r="I249" s="323">
        <v>54120</v>
      </c>
      <c r="J249" s="323">
        <v>54120</v>
      </c>
      <c r="K249" s="323">
        <v>54120</v>
      </c>
      <c r="L249" s="323">
        <v>54120</v>
      </c>
      <c r="M249" s="323">
        <v>54120</v>
      </c>
      <c r="N249" s="323">
        <v>54120</v>
      </c>
      <c r="O249" s="323">
        <f>771210-54120</f>
        <v>717090</v>
      </c>
      <c r="P249" s="323">
        <f>SUM(H249:O249)</f>
        <v>1095930</v>
      </c>
    </row>
    <row r="250" spans="1:16" ht="15.75" customHeight="1" x14ac:dyDescent="0.3">
      <c r="A250" s="412"/>
      <c r="B250" s="413"/>
      <c r="C250" s="442"/>
      <c r="D250" s="415"/>
      <c r="E250" s="417"/>
      <c r="F250" s="330" t="s">
        <v>695</v>
      </c>
      <c r="G250" s="324" t="s">
        <v>696</v>
      </c>
      <c r="H250" s="325">
        <f>2764-708+708</f>
        <v>2764</v>
      </c>
      <c r="I250" s="325">
        <v>2619</v>
      </c>
      <c r="J250" s="325">
        <v>2482</v>
      </c>
      <c r="K250" s="325">
        <v>2345</v>
      </c>
      <c r="L250" s="325">
        <v>2214</v>
      </c>
      <c r="M250" s="340">
        <v>2070</v>
      </c>
      <c r="N250" s="340">
        <v>1933</v>
      </c>
      <c r="O250" s="340">
        <f>12224+462</f>
        <v>12686</v>
      </c>
      <c r="P250" s="325">
        <f>SUM(H250:O250)</f>
        <v>29113</v>
      </c>
    </row>
    <row r="251" spans="1:16" ht="15.75" customHeight="1" x14ac:dyDescent="0.3">
      <c r="A251" s="412"/>
      <c r="B251" s="413"/>
      <c r="C251" s="442"/>
      <c r="D251" s="415"/>
      <c r="E251" s="417"/>
      <c r="F251" s="326"/>
      <c r="G251" s="326" t="s">
        <v>404</v>
      </c>
      <c r="H251" s="327">
        <f t="shared" ref="H251:P251" si="86">SUM(H249:H250)</f>
        <v>56884</v>
      </c>
      <c r="I251" s="327">
        <f t="shared" si="86"/>
        <v>56739</v>
      </c>
      <c r="J251" s="327">
        <f t="shared" si="86"/>
        <v>56602</v>
      </c>
      <c r="K251" s="327">
        <f t="shared" si="86"/>
        <v>56465</v>
      </c>
      <c r="L251" s="327">
        <f t="shared" si="86"/>
        <v>56334</v>
      </c>
      <c r="M251" s="327">
        <f t="shared" si="86"/>
        <v>56190</v>
      </c>
      <c r="N251" s="327">
        <f t="shared" si="86"/>
        <v>56053</v>
      </c>
      <c r="O251" s="327">
        <f t="shared" si="86"/>
        <v>729776</v>
      </c>
      <c r="P251" s="327">
        <f t="shared" si="86"/>
        <v>1125043</v>
      </c>
    </row>
    <row r="252" spans="1:16" ht="15.75" customHeight="1" x14ac:dyDescent="0.3">
      <c r="A252" s="412">
        <f>A249+1</f>
        <v>82</v>
      </c>
      <c r="B252" s="413" t="s">
        <v>398</v>
      </c>
      <c r="C252" s="442" t="s">
        <v>697</v>
      </c>
      <c r="D252" s="435">
        <v>43594</v>
      </c>
      <c r="E252" s="417" t="s">
        <v>685</v>
      </c>
      <c r="F252" s="332" t="s">
        <v>698</v>
      </c>
      <c r="G252" s="322" t="s">
        <v>402</v>
      </c>
      <c r="H252" s="323">
        <f>44476-4357</f>
        <v>40119</v>
      </c>
      <c r="I252" s="323">
        <v>45448</v>
      </c>
      <c r="J252" s="323">
        <v>45448</v>
      </c>
      <c r="K252" s="323">
        <v>45448</v>
      </c>
      <c r="L252" s="323">
        <v>45448</v>
      </c>
      <c r="M252" s="323">
        <f>22238+469</f>
        <v>22707</v>
      </c>
      <c r="N252" s="323">
        <v>0</v>
      </c>
      <c r="O252" s="323">
        <v>0</v>
      </c>
      <c r="P252" s="323">
        <f>SUM(H252:O252)</f>
        <v>244618</v>
      </c>
    </row>
    <row r="253" spans="1:16" ht="15.75" customHeight="1" x14ac:dyDescent="0.3">
      <c r="A253" s="412"/>
      <c r="B253" s="413"/>
      <c r="C253" s="442"/>
      <c r="D253" s="435"/>
      <c r="E253" s="417"/>
      <c r="F253" s="330" t="s">
        <v>699</v>
      </c>
      <c r="G253" s="324" t="s">
        <v>403</v>
      </c>
      <c r="H253" s="325">
        <f>9229+604+58-42</f>
        <v>9849</v>
      </c>
      <c r="I253" s="325">
        <f>7551+500</f>
        <v>8051</v>
      </c>
      <c r="J253" s="325">
        <f>5825+385</f>
        <v>6210</v>
      </c>
      <c r="K253" s="325">
        <f>4083+270</f>
        <v>4353</v>
      </c>
      <c r="L253" s="325">
        <f>2345+155</f>
        <v>2500</v>
      </c>
      <c r="M253" s="340">
        <f>537+36</f>
        <v>573</v>
      </c>
      <c r="N253" s="325">
        <v>0</v>
      </c>
      <c r="O253" s="325">
        <v>0</v>
      </c>
      <c r="P253" s="325">
        <f>SUM(H253:O253)</f>
        <v>31536</v>
      </c>
    </row>
    <row r="254" spans="1:16" ht="16.95" customHeight="1" x14ac:dyDescent="0.3">
      <c r="A254" s="412"/>
      <c r="B254" s="425"/>
      <c r="C254" s="443"/>
      <c r="D254" s="436"/>
      <c r="E254" s="421"/>
      <c r="F254" s="333"/>
      <c r="G254" s="333" t="s">
        <v>404</v>
      </c>
      <c r="H254" s="327">
        <f t="shared" ref="H254:P254" si="87">SUM(H252:H253)</f>
        <v>49968</v>
      </c>
      <c r="I254" s="327">
        <f t="shared" si="87"/>
        <v>53499</v>
      </c>
      <c r="J254" s="327">
        <f t="shared" si="87"/>
        <v>51658</v>
      </c>
      <c r="K254" s="327">
        <f t="shared" si="87"/>
        <v>49801</v>
      </c>
      <c r="L254" s="327">
        <f t="shared" si="87"/>
        <v>47948</v>
      </c>
      <c r="M254" s="327">
        <f t="shared" si="87"/>
        <v>23280</v>
      </c>
      <c r="N254" s="327">
        <f>SUM(N252:N253)</f>
        <v>0</v>
      </c>
      <c r="O254" s="327">
        <f t="shared" si="87"/>
        <v>0</v>
      </c>
      <c r="P254" s="327">
        <f t="shared" si="87"/>
        <v>276154</v>
      </c>
    </row>
    <row r="255" spans="1:16" ht="15.75" customHeight="1" x14ac:dyDescent="0.3">
      <c r="A255" s="412">
        <f>A252+1</f>
        <v>83</v>
      </c>
      <c r="B255" s="413" t="s">
        <v>398</v>
      </c>
      <c r="C255" s="442" t="s">
        <v>700</v>
      </c>
      <c r="D255" s="415">
        <v>43602</v>
      </c>
      <c r="E255" s="417" t="s">
        <v>701</v>
      </c>
      <c r="F255" s="332" t="s">
        <v>702</v>
      </c>
      <c r="G255" s="322" t="s">
        <v>402</v>
      </c>
      <c r="H255" s="323">
        <f>435692-243429</f>
        <v>192263</v>
      </c>
      <c r="I255" s="344">
        <v>445628</v>
      </c>
      <c r="J255" s="323">
        <v>445628</v>
      </c>
      <c r="K255" s="323">
        <v>445628</v>
      </c>
      <c r="L255" s="323">
        <v>445628</v>
      </c>
      <c r="M255" s="323">
        <v>445628</v>
      </c>
      <c r="N255" s="323">
        <v>445628</v>
      </c>
      <c r="O255" s="323">
        <v>8244115</v>
      </c>
      <c r="P255" s="323">
        <f>SUM(H255:O255)</f>
        <v>11110146</v>
      </c>
    </row>
    <row r="256" spans="1:16" ht="14.25" customHeight="1" x14ac:dyDescent="0.3">
      <c r="A256" s="412"/>
      <c r="B256" s="413"/>
      <c r="C256" s="442"/>
      <c r="D256" s="415"/>
      <c r="E256" s="417"/>
      <c r="F256" s="330" t="s">
        <v>703</v>
      </c>
      <c r="G256" s="324" t="s">
        <v>403</v>
      </c>
      <c r="H256" s="325">
        <f>425312+28065+3027-1901</f>
        <v>454503</v>
      </c>
      <c r="I256" s="325">
        <f>415021+27463</f>
        <v>442484</v>
      </c>
      <c r="J256" s="325">
        <f>398518+26371</f>
        <v>424889</v>
      </c>
      <c r="K256" s="325">
        <f>381437+25241</f>
        <v>406678</v>
      </c>
      <c r="L256" s="325">
        <f>365326+24175</f>
        <v>389501</v>
      </c>
      <c r="M256" s="340">
        <f>347250+22978</f>
        <v>370228</v>
      </c>
      <c r="N256" s="340">
        <f>330181+21849</f>
        <v>352030</v>
      </c>
      <c r="O256" s="340">
        <f>3143554+89345</f>
        <v>3232899</v>
      </c>
      <c r="P256" s="325">
        <f>SUM(H256:O256)</f>
        <v>6073212</v>
      </c>
    </row>
    <row r="257" spans="1:16" ht="15.75" customHeight="1" x14ac:dyDescent="0.3">
      <c r="A257" s="412"/>
      <c r="B257" s="413"/>
      <c r="C257" s="442"/>
      <c r="D257" s="415"/>
      <c r="E257" s="417"/>
      <c r="F257" s="326"/>
      <c r="G257" s="326" t="s">
        <v>404</v>
      </c>
      <c r="H257" s="327">
        <f t="shared" ref="H257:P257" si="88">SUM(H255:H256)</f>
        <v>646766</v>
      </c>
      <c r="I257" s="327">
        <f t="shared" si="88"/>
        <v>888112</v>
      </c>
      <c r="J257" s="327">
        <f t="shared" si="88"/>
        <v>870517</v>
      </c>
      <c r="K257" s="327">
        <f t="shared" si="88"/>
        <v>852306</v>
      </c>
      <c r="L257" s="327">
        <f t="shared" si="88"/>
        <v>835129</v>
      </c>
      <c r="M257" s="327">
        <f t="shared" si="88"/>
        <v>815856</v>
      </c>
      <c r="N257" s="327">
        <f t="shared" si="88"/>
        <v>797658</v>
      </c>
      <c r="O257" s="327">
        <f t="shared" si="88"/>
        <v>11477014</v>
      </c>
      <c r="P257" s="327">
        <f t="shared" si="88"/>
        <v>17183358</v>
      </c>
    </row>
    <row r="258" spans="1:16" ht="15.75" customHeight="1" x14ac:dyDescent="0.3">
      <c r="A258" s="412">
        <f>A255+1</f>
        <v>84</v>
      </c>
      <c r="B258" s="413" t="s">
        <v>398</v>
      </c>
      <c r="C258" s="414" t="s">
        <v>704</v>
      </c>
      <c r="D258" s="415">
        <v>43623</v>
      </c>
      <c r="E258" s="417" t="s">
        <v>546</v>
      </c>
      <c r="F258" s="328" t="s">
        <v>705</v>
      </c>
      <c r="G258" s="322" t="s">
        <v>402</v>
      </c>
      <c r="H258" s="329">
        <v>0</v>
      </c>
      <c r="I258" s="329">
        <v>0</v>
      </c>
      <c r="J258" s="329">
        <v>0</v>
      </c>
      <c r="K258" s="329">
        <v>0</v>
      </c>
      <c r="L258" s="329">
        <v>0</v>
      </c>
      <c r="M258" s="329">
        <v>0</v>
      </c>
      <c r="N258" s="323">
        <v>0</v>
      </c>
      <c r="O258" s="329">
        <v>0</v>
      </c>
      <c r="P258" s="323">
        <f>SUM(H258:O258)</f>
        <v>0</v>
      </c>
    </row>
    <row r="259" spans="1:16" ht="12.75" customHeight="1" x14ac:dyDescent="0.3">
      <c r="A259" s="412"/>
      <c r="B259" s="413"/>
      <c r="C259" s="414"/>
      <c r="D259" s="415"/>
      <c r="E259" s="417"/>
      <c r="F259" s="330" t="s">
        <v>706</v>
      </c>
      <c r="G259" s="324" t="s">
        <v>403</v>
      </c>
      <c r="H259" s="341">
        <v>9</v>
      </c>
      <c r="I259" s="331">
        <v>0</v>
      </c>
      <c r="J259" s="331">
        <v>0</v>
      </c>
      <c r="K259" s="331">
        <v>0</v>
      </c>
      <c r="L259" s="331">
        <v>0</v>
      </c>
      <c r="M259" s="331">
        <v>0</v>
      </c>
      <c r="N259" s="325">
        <v>0</v>
      </c>
      <c r="O259" s="331">
        <v>0</v>
      </c>
      <c r="P259" s="325">
        <f>SUM(H259:O259)</f>
        <v>9</v>
      </c>
    </row>
    <row r="260" spans="1:16" ht="13.5" customHeight="1" x14ac:dyDescent="0.3">
      <c r="A260" s="412"/>
      <c r="B260" s="413"/>
      <c r="C260" s="414"/>
      <c r="D260" s="415"/>
      <c r="E260" s="417"/>
      <c r="F260" s="326"/>
      <c r="G260" s="326" t="s">
        <v>404</v>
      </c>
      <c r="H260" s="327">
        <f t="shared" ref="H260:P260" si="89">SUM(H258:H259)</f>
        <v>9</v>
      </c>
      <c r="I260" s="327">
        <f t="shared" si="89"/>
        <v>0</v>
      </c>
      <c r="J260" s="327">
        <f t="shared" si="89"/>
        <v>0</v>
      </c>
      <c r="K260" s="327">
        <f t="shared" si="89"/>
        <v>0</v>
      </c>
      <c r="L260" s="327">
        <f t="shared" si="89"/>
        <v>0</v>
      </c>
      <c r="M260" s="327">
        <f t="shared" si="89"/>
        <v>0</v>
      </c>
      <c r="N260" s="327">
        <f t="shared" si="89"/>
        <v>0</v>
      </c>
      <c r="O260" s="327">
        <f t="shared" si="89"/>
        <v>0</v>
      </c>
      <c r="P260" s="327">
        <f t="shared" si="89"/>
        <v>9</v>
      </c>
    </row>
    <row r="261" spans="1:16" ht="15.75" customHeight="1" x14ac:dyDescent="0.3">
      <c r="A261" s="412">
        <f>A258+1</f>
        <v>85</v>
      </c>
      <c r="B261" s="413" t="s">
        <v>398</v>
      </c>
      <c r="C261" s="414" t="s">
        <v>707</v>
      </c>
      <c r="D261" s="415">
        <v>43623</v>
      </c>
      <c r="E261" s="417" t="s">
        <v>708</v>
      </c>
      <c r="F261" s="332" t="s">
        <v>709</v>
      </c>
      <c r="G261" s="322" t="s">
        <v>402</v>
      </c>
      <c r="H261" s="323">
        <f>7060-2186</f>
        <v>4874</v>
      </c>
      <c r="I261" s="323">
        <v>7212</v>
      </c>
      <c r="J261" s="323">
        <v>7212</v>
      </c>
      <c r="K261" s="323">
        <v>7212</v>
      </c>
      <c r="L261" s="323">
        <v>7212</v>
      </c>
      <c r="M261" s="323">
        <v>7212</v>
      </c>
      <c r="N261" s="323">
        <v>7212</v>
      </c>
      <c r="O261" s="323">
        <f>67070-7060+1274</f>
        <v>61284</v>
      </c>
      <c r="P261" s="323">
        <f>SUM(H261:O261)</f>
        <v>109430</v>
      </c>
    </row>
    <row r="262" spans="1:16" ht="15.75" customHeight="1" x14ac:dyDescent="0.3">
      <c r="A262" s="412"/>
      <c r="B262" s="413"/>
      <c r="C262" s="414"/>
      <c r="D262" s="415"/>
      <c r="E262" s="417"/>
      <c r="F262" s="330" t="s">
        <v>710</v>
      </c>
      <c r="G262" s="324" t="s">
        <v>403</v>
      </c>
      <c r="H262" s="325">
        <f>4246+275+27-5</f>
        <v>4543</v>
      </c>
      <c r="I262" s="325">
        <f>3957+262</f>
        <v>4219</v>
      </c>
      <c r="J262" s="325">
        <f>3686+244</f>
        <v>3930</v>
      </c>
      <c r="K262" s="325">
        <f>3410+226</f>
        <v>3636</v>
      </c>
      <c r="L262" s="325">
        <f>3142+208</f>
        <v>3350</v>
      </c>
      <c r="M262" s="340">
        <f>2857+189</f>
        <v>3046</v>
      </c>
      <c r="N262" s="340">
        <f>2580+171</f>
        <v>2751</v>
      </c>
      <c r="O262" s="340">
        <v>11515</v>
      </c>
      <c r="P262" s="325">
        <f>SUM(H262:O262)</f>
        <v>36990</v>
      </c>
    </row>
    <row r="263" spans="1:16" ht="15.75" customHeight="1" x14ac:dyDescent="0.3">
      <c r="A263" s="412"/>
      <c r="B263" s="413"/>
      <c r="C263" s="414"/>
      <c r="D263" s="415"/>
      <c r="E263" s="417"/>
      <c r="F263" s="326"/>
      <c r="G263" s="326" t="s">
        <v>404</v>
      </c>
      <c r="H263" s="327">
        <f t="shared" ref="H263:P263" si="90">SUM(H261:H262)</f>
        <v>9417</v>
      </c>
      <c r="I263" s="327">
        <f t="shared" si="90"/>
        <v>11431</v>
      </c>
      <c r="J263" s="327">
        <f t="shared" si="90"/>
        <v>11142</v>
      </c>
      <c r="K263" s="327">
        <f t="shared" si="90"/>
        <v>10848</v>
      </c>
      <c r="L263" s="327">
        <f t="shared" si="90"/>
        <v>10562</v>
      </c>
      <c r="M263" s="327">
        <f t="shared" si="90"/>
        <v>10258</v>
      </c>
      <c r="N263" s="327">
        <f t="shared" si="90"/>
        <v>9963</v>
      </c>
      <c r="O263" s="327">
        <f t="shared" si="90"/>
        <v>72799</v>
      </c>
      <c r="P263" s="327">
        <f t="shared" si="90"/>
        <v>146420</v>
      </c>
    </row>
    <row r="264" spans="1:16" ht="16.5" customHeight="1" x14ac:dyDescent="0.3">
      <c r="A264" s="412">
        <f>A261+1</f>
        <v>86</v>
      </c>
      <c r="B264" s="413" t="s">
        <v>398</v>
      </c>
      <c r="C264" s="424" t="s">
        <v>711</v>
      </c>
      <c r="D264" s="415">
        <v>43641</v>
      </c>
      <c r="E264" s="417" t="s">
        <v>712</v>
      </c>
      <c r="F264" s="332" t="s">
        <v>713</v>
      </c>
      <c r="G264" s="322" t="s">
        <v>402</v>
      </c>
      <c r="H264" s="323">
        <f>36755-6130</f>
        <v>30625</v>
      </c>
      <c r="I264" s="323">
        <v>37400</v>
      </c>
      <c r="J264" s="323">
        <v>37400</v>
      </c>
      <c r="K264" s="323">
        <v>37400</v>
      </c>
      <c r="L264" s="323">
        <v>37400</v>
      </c>
      <c r="M264" s="323">
        <v>37400</v>
      </c>
      <c r="N264" s="323">
        <v>37400</v>
      </c>
      <c r="O264" s="323">
        <f>165393-36754+2260</f>
        <v>130899</v>
      </c>
      <c r="P264" s="323">
        <f>SUM(H264:O264)</f>
        <v>385924</v>
      </c>
    </row>
    <row r="265" spans="1:16" ht="16.5" customHeight="1" x14ac:dyDescent="0.3">
      <c r="A265" s="412"/>
      <c r="B265" s="413"/>
      <c r="C265" s="414"/>
      <c r="D265" s="415"/>
      <c r="E265" s="417"/>
      <c r="F265" s="330" t="s">
        <v>714</v>
      </c>
      <c r="G265" s="324" t="s">
        <v>403</v>
      </c>
      <c r="H265" s="325">
        <f>15047+966+77-26</f>
        <v>16064</v>
      </c>
      <c r="I265" s="325">
        <f>13373+885</f>
        <v>14258</v>
      </c>
      <c r="J265" s="325">
        <f>11957+791</f>
        <v>12748</v>
      </c>
      <c r="K265" s="325">
        <f>10524+696</f>
        <v>11220</v>
      </c>
      <c r="L265" s="325">
        <f>9113+603</f>
        <v>9716</v>
      </c>
      <c r="M265" s="340">
        <f>7655+507</f>
        <v>8162</v>
      </c>
      <c r="N265" s="340">
        <f>6222+412</f>
        <v>6634</v>
      </c>
      <c r="O265" s="340">
        <v>11291</v>
      </c>
      <c r="P265" s="325">
        <f>SUM(H265:O265)</f>
        <v>90093</v>
      </c>
    </row>
    <row r="266" spans="1:16" ht="16.5" customHeight="1" x14ac:dyDescent="0.3">
      <c r="A266" s="412"/>
      <c r="B266" s="413"/>
      <c r="C266" s="414"/>
      <c r="D266" s="415"/>
      <c r="E266" s="417"/>
      <c r="F266" s="326"/>
      <c r="G266" s="326" t="s">
        <v>404</v>
      </c>
      <c r="H266" s="327">
        <f t="shared" ref="H266:P266" si="91">SUM(H264:H265)</f>
        <v>46689</v>
      </c>
      <c r="I266" s="327">
        <f t="shared" si="91"/>
        <v>51658</v>
      </c>
      <c r="J266" s="327">
        <f t="shared" si="91"/>
        <v>50148</v>
      </c>
      <c r="K266" s="327">
        <f t="shared" si="91"/>
        <v>48620</v>
      </c>
      <c r="L266" s="327">
        <f t="shared" si="91"/>
        <v>47116</v>
      </c>
      <c r="M266" s="327">
        <f t="shared" si="91"/>
        <v>45562</v>
      </c>
      <c r="N266" s="327">
        <f t="shared" si="91"/>
        <v>44034</v>
      </c>
      <c r="O266" s="327">
        <f t="shared" si="91"/>
        <v>142190</v>
      </c>
      <c r="P266" s="327">
        <f t="shared" si="91"/>
        <v>476017</v>
      </c>
    </row>
    <row r="267" spans="1:16" ht="15.75" customHeight="1" x14ac:dyDescent="0.3">
      <c r="A267" s="412">
        <f>A264+1</f>
        <v>87</v>
      </c>
      <c r="B267" s="413" t="s">
        <v>398</v>
      </c>
      <c r="C267" s="414" t="s">
        <v>715</v>
      </c>
      <c r="D267" s="415">
        <v>43641</v>
      </c>
      <c r="E267" s="417" t="s">
        <v>689</v>
      </c>
      <c r="F267" s="332" t="s">
        <v>716</v>
      </c>
      <c r="G267" s="322" t="s">
        <v>402</v>
      </c>
      <c r="H267" s="323">
        <v>6472</v>
      </c>
      <c r="I267" s="323">
        <v>6472</v>
      </c>
      <c r="J267" s="329">
        <v>0</v>
      </c>
      <c r="K267" s="329">
        <v>0</v>
      </c>
      <c r="L267" s="329">
        <v>0</v>
      </c>
      <c r="M267" s="329">
        <v>0</v>
      </c>
      <c r="N267" s="329">
        <v>0</v>
      </c>
      <c r="O267" s="329">
        <v>0</v>
      </c>
      <c r="P267" s="323">
        <f>SUM(H267:O267)</f>
        <v>12944</v>
      </c>
    </row>
    <row r="268" spans="1:16" ht="15.75" customHeight="1" x14ac:dyDescent="0.3">
      <c r="A268" s="412"/>
      <c r="B268" s="413"/>
      <c r="C268" s="414"/>
      <c r="D268" s="415"/>
      <c r="E268" s="417"/>
      <c r="F268" s="330" t="s">
        <v>717</v>
      </c>
      <c r="G268" s="324" t="s">
        <v>403</v>
      </c>
      <c r="H268" s="325">
        <v>502</v>
      </c>
      <c r="I268" s="325">
        <v>223</v>
      </c>
      <c r="J268" s="331">
        <v>15</v>
      </c>
      <c r="K268" s="331">
        <v>0</v>
      </c>
      <c r="L268" s="331">
        <v>0</v>
      </c>
      <c r="M268" s="331">
        <v>0</v>
      </c>
      <c r="N268" s="331">
        <v>0</v>
      </c>
      <c r="O268" s="331">
        <v>0</v>
      </c>
      <c r="P268" s="325">
        <f>SUM(H268:O268)</f>
        <v>740</v>
      </c>
    </row>
    <row r="269" spans="1:16" ht="15.75" customHeight="1" x14ac:dyDescent="0.3">
      <c r="A269" s="412"/>
      <c r="B269" s="413"/>
      <c r="C269" s="414"/>
      <c r="D269" s="415"/>
      <c r="E269" s="417"/>
      <c r="F269" s="326"/>
      <c r="G269" s="326" t="s">
        <v>404</v>
      </c>
      <c r="H269" s="327">
        <f t="shared" ref="H269:P269" si="92">SUM(H267:H268)</f>
        <v>6974</v>
      </c>
      <c r="I269" s="327">
        <f t="shared" si="92"/>
        <v>6695</v>
      </c>
      <c r="J269" s="327">
        <f t="shared" si="92"/>
        <v>15</v>
      </c>
      <c r="K269" s="327">
        <f t="shared" si="92"/>
        <v>0</v>
      </c>
      <c r="L269" s="327">
        <f t="shared" si="92"/>
        <v>0</v>
      </c>
      <c r="M269" s="327">
        <f t="shared" si="92"/>
        <v>0</v>
      </c>
      <c r="N269" s="327">
        <f>SUM(N267:N268)</f>
        <v>0</v>
      </c>
      <c r="O269" s="327">
        <f t="shared" si="92"/>
        <v>0</v>
      </c>
      <c r="P269" s="327">
        <f t="shared" si="92"/>
        <v>13684</v>
      </c>
    </row>
    <row r="270" spans="1:16" ht="15.75" customHeight="1" x14ac:dyDescent="0.3">
      <c r="A270" s="412">
        <f>A267+1</f>
        <v>88</v>
      </c>
      <c r="B270" s="413" t="s">
        <v>398</v>
      </c>
      <c r="C270" s="414" t="s">
        <v>718</v>
      </c>
      <c r="D270" s="415">
        <v>43658</v>
      </c>
      <c r="E270" s="417" t="s">
        <v>568</v>
      </c>
      <c r="F270" s="332" t="s">
        <v>719</v>
      </c>
      <c r="G270" s="322" t="s">
        <v>402</v>
      </c>
      <c r="H270" s="323">
        <v>6380</v>
      </c>
      <c r="I270" s="329">
        <v>0</v>
      </c>
      <c r="J270" s="329">
        <v>0</v>
      </c>
      <c r="K270" s="329">
        <v>0</v>
      </c>
      <c r="L270" s="329">
        <v>0</v>
      </c>
      <c r="M270" s="329">
        <v>0</v>
      </c>
      <c r="N270" s="329">
        <v>0</v>
      </c>
      <c r="O270" s="329">
        <v>0</v>
      </c>
      <c r="P270" s="323">
        <f>SUM(H270:O270)</f>
        <v>6380</v>
      </c>
    </row>
    <row r="271" spans="1:16" ht="15.75" customHeight="1" x14ac:dyDescent="0.3">
      <c r="A271" s="412"/>
      <c r="B271" s="413"/>
      <c r="C271" s="414"/>
      <c r="D271" s="415"/>
      <c r="E271" s="417"/>
      <c r="F271" s="330" t="s">
        <v>720</v>
      </c>
      <c r="G271" s="324" t="s">
        <v>403</v>
      </c>
      <c r="H271" s="325">
        <v>240</v>
      </c>
      <c r="I271" s="331">
        <v>14</v>
      </c>
      <c r="J271" s="331">
        <v>0</v>
      </c>
      <c r="K271" s="331">
        <v>0</v>
      </c>
      <c r="L271" s="331">
        <v>0</v>
      </c>
      <c r="M271" s="331">
        <v>0</v>
      </c>
      <c r="N271" s="331">
        <v>0</v>
      </c>
      <c r="O271" s="331">
        <v>0</v>
      </c>
      <c r="P271" s="325">
        <f>SUM(H271:O271)</f>
        <v>254</v>
      </c>
    </row>
    <row r="272" spans="1:16" ht="15.75" customHeight="1" x14ac:dyDescent="0.3">
      <c r="A272" s="412"/>
      <c r="B272" s="413"/>
      <c r="C272" s="414"/>
      <c r="D272" s="415"/>
      <c r="E272" s="417"/>
      <c r="F272" s="326"/>
      <c r="G272" s="326" t="s">
        <v>404</v>
      </c>
      <c r="H272" s="327">
        <f t="shared" ref="H272:P272" si="93">SUM(H270:H271)</f>
        <v>6620</v>
      </c>
      <c r="I272" s="327">
        <f t="shared" si="93"/>
        <v>14</v>
      </c>
      <c r="J272" s="327">
        <f t="shared" si="93"/>
        <v>0</v>
      </c>
      <c r="K272" s="327">
        <f t="shared" si="93"/>
        <v>0</v>
      </c>
      <c r="L272" s="327">
        <f t="shared" si="93"/>
        <v>0</v>
      </c>
      <c r="M272" s="327">
        <f t="shared" si="93"/>
        <v>0</v>
      </c>
      <c r="N272" s="327">
        <f t="shared" si="93"/>
        <v>0</v>
      </c>
      <c r="O272" s="327">
        <f t="shared" si="93"/>
        <v>0</v>
      </c>
      <c r="P272" s="327">
        <f t="shared" si="93"/>
        <v>6634</v>
      </c>
    </row>
    <row r="273" spans="1:17" ht="16.5" customHeight="1" x14ac:dyDescent="0.3">
      <c r="A273" s="412">
        <f>A270+1</f>
        <v>89</v>
      </c>
      <c r="B273" s="413" t="s">
        <v>398</v>
      </c>
      <c r="C273" s="414" t="s">
        <v>1062</v>
      </c>
      <c r="D273" s="415">
        <v>43733</v>
      </c>
      <c r="E273" s="417" t="s">
        <v>721</v>
      </c>
      <c r="F273" s="332" t="s">
        <v>722</v>
      </c>
      <c r="G273" s="322" t="s">
        <v>402</v>
      </c>
      <c r="H273" s="323">
        <f>5384-398</f>
        <v>4986</v>
      </c>
      <c r="I273" s="323">
        <v>5468</v>
      </c>
      <c r="J273" s="323">
        <v>5468</v>
      </c>
      <c r="K273" s="323">
        <v>5468</v>
      </c>
      <c r="L273" s="323">
        <v>5468</v>
      </c>
      <c r="M273" s="323">
        <f>4038+62</f>
        <v>4100</v>
      </c>
      <c r="N273" s="329">
        <v>0</v>
      </c>
      <c r="O273" s="323">
        <v>0</v>
      </c>
      <c r="P273" s="323">
        <f>SUM(H273:O273)</f>
        <v>30958</v>
      </c>
    </row>
    <row r="274" spans="1:17" ht="16.5" customHeight="1" x14ac:dyDescent="0.3">
      <c r="A274" s="412"/>
      <c r="B274" s="413"/>
      <c r="C274" s="414"/>
      <c r="D274" s="415"/>
      <c r="E274" s="417"/>
      <c r="F274" s="330" t="s">
        <v>723</v>
      </c>
      <c r="G274" s="324" t="s">
        <v>403</v>
      </c>
      <c r="H274" s="325">
        <f>1291+76+4-2</f>
        <v>1369</v>
      </c>
      <c r="I274" s="325">
        <f>961+64</f>
        <v>1025</v>
      </c>
      <c r="J274" s="325">
        <f>753+50</f>
        <v>803</v>
      </c>
      <c r="K274" s="325">
        <v>580</v>
      </c>
      <c r="L274" s="325">
        <v>357</v>
      </c>
      <c r="M274" s="340">
        <v>132</v>
      </c>
      <c r="N274" s="331">
        <v>0</v>
      </c>
      <c r="O274" s="325">
        <v>0</v>
      </c>
      <c r="P274" s="325">
        <f>SUM(H274:O274)</f>
        <v>4266</v>
      </c>
    </row>
    <row r="275" spans="1:17" ht="16.5" customHeight="1" x14ac:dyDescent="0.3">
      <c r="A275" s="412"/>
      <c r="B275" s="425"/>
      <c r="C275" s="427"/>
      <c r="D275" s="418"/>
      <c r="E275" s="421"/>
      <c r="F275" s="333"/>
      <c r="G275" s="333" t="s">
        <v>404</v>
      </c>
      <c r="H275" s="327">
        <f t="shared" ref="H275:P275" si="94">SUM(H273:H274)</f>
        <v>6355</v>
      </c>
      <c r="I275" s="327">
        <f t="shared" si="94"/>
        <v>6493</v>
      </c>
      <c r="J275" s="327">
        <f t="shared" si="94"/>
        <v>6271</v>
      </c>
      <c r="K275" s="327">
        <f t="shared" si="94"/>
        <v>6048</v>
      </c>
      <c r="L275" s="327">
        <f t="shared" si="94"/>
        <v>5825</v>
      </c>
      <c r="M275" s="327">
        <f t="shared" si="94"/>
        <v>4232</v>
      </c>
      <c r="N275" s="327">
        <f t="shared" si="94"/>
        <v>0</v>
      </c>
      <c r="O275" s="327">
        <f t="shared" si="94"/>
        <v>0</v>
      </c>
      <c r="P275" s="327">
        <f t="shared" si="94"/>
        <v>35224</v>
      </c>
    </row>
    <row r="276" spans="1:17" ht="16.5" customHeight="1" x14ac:dyDescent="0.3">
      <c r="A276" s="412">
        <f>A273+1</f>
        <v>90</v>
      </c>
      <c r="B276" s="413" t="s">
        <v>398</v>
      </c>
      <c r="C276" s="424" t="s">
        <v>724</v>
      </c>
      <c r="D276" s="415">
        <v>43756</v>
      </c>
      <c r="E276" s="417" t="s">
        <v>725</v>
      </c>
      <c r="F276" s="332" t="s">
        <v>726</v>
      </c>
      <c r="G276" s="322" t="s">
        <v>402</v>
      </c>
      <c r="H276" s="323">
        <f>22752-3202</f>
        <v>19550</v>
      </c>
      <c r="I276" s="323">
        <v>23076</v>
      </c>
      <c r="J276" s="323">
        <v>23076</v>
      </c>
      <c r="K276" s="323">
        <v>23076</v>
      </c>
      <c r="L276" s="323">
        <v>23076</v>
      </c>
      <c r="M276" s="323">
        <v>23076</v>
      </c>
      <c r="N276" s="323">
        <v>23076</v>
      </c>
      <c r="O276" s="323">
        <f>113760-22752+1258</f>
        <v>92266</v>
      </c>
      <c r="P276" s="323">
        <f>SUM(H276:O276)</f>
        <v>250272</v>
      </c>
    </row>
    <row r="277" spans="1:17" ht="16.5" customHeight="1" x14ac:dyDescent="0.3">
      <c r="A277" s="412"/>
      <c r="B277" s="413"/>
      <c r="C277" s="414"/>
      <c r="D277" s="415"/>
      <c r="E277" s="417"/>
      <c r="F277" s="330" t="s">
        <v>727</v>
      </c>
      <c r="G277" s="324" t="s">
        <v>403</v>
      </c>
      <c r="H277" s="325">
        <f>10846+31</f>
        <v>10877</v>
      </c>
      <c r="I277" s="325">
        <f>8734+575</f>
        <v>9309</v>
      </c>
      <c r="J277" s="325">
        <f>7818+517</f>
        <v>8335</v>
      </c>
      <c r="K277" s="325">
        <f>6934+459</f>
        <v>7393</v>
      </c>
      <c r="L277" s="325">
        <f>6064+401</f>
        <v>6465</v>
      </c>
      <c r="M277" s="340">
        <f>5163+342</f>
        <v>5505</v>
      </c>
      <c r="N277" s="340">
        <f>4280+283</f>
        <v>4563</v>
      </c>
      <c r="O277" s="340">
        <v>8852</v>
      </c>
      <c r="P277" s="325">
        <f>SUM(H277:O277)</f>
        <v>61299</v>
      </c>
    </row>
    <row r="278" spans="1:17" ht="16.5" customHeight="1" x14ac:dyDescent="0.3">
      <c r="A278" s="412"/>
      <c r="B278" s="413"/>
      <c r="C278" s="414"/>
      <c r="D278" s="415"/>
      <c r="E278" s="417"/>
      <c r="F278" s="326"/>
      <c r="G278" s="326" t="s">
        <v>404</v>
      </c>
      <c r="H278" s="327">
        <f t="shared" ref="H278:P278" si="95">SUM(H276:H277)</f>
        <v>30427</v>
      </c>
      <c r="I278" s="327">
        <f t="shared" si="95"/>
        <v>32385</v>
      </c>
      <c r="J278" s="327">
        <f t="shared" si="95"/>
        <v>31411</v>
      </c>
      <c r="K278" s="327">
        <f t="shared" si="95"/>
        <v>30469</v>
      </c>
      <c r="L278" s="327">
        <f t="shared" si="95"/>
        <v>29541</v>
      </c>
      <c r="M278" s="327">
        <f t="shared" si="95"/>
        <v>28581</v>
      </c>
      <c r="N278" s="327">
        <f t="shared" si="95"/>
        <v>27639</v>
      </c>
      <c r="O278" s="327">
        <f t="shared" si="95"/>
        <v>101118</v>
      </c>
      <c r="P278" s="327">
        <f t="shared" si="95"/>
        <v>311571</v>
      </c>
    </row>
    <row r="279" spans="1:17" ht="16.5" customHeight="1" x14ac:dyDescent="0.3">
      <c r="A279" s="412">
        <f>A276+1</f>
        <v>91</v>
      </c>
      <c r="B279" s="413" t="s">
        <v>398</v>
      </c>
      <c r="C279" s="414" t="s">
        <v>728</v>
      </c>
      <c r="D279" s="415">
        <v>43812</v>
      </c>
      <c r="E279" s="417" t="s">
        <v>579</v>
      </c>
      <c r="F279" s="332" t="s">
        <v>729</v>
      </c>
      <c r="G279" s="322" t="s">
        <v>402</v>
      </c>
      <c r="H279" s="323">
        <f>54872-3032</f>
        <v>51840</v>
      </c>
      <c r="I279" s="323">
        <v>55040</v>
      </c>
      <c r="J279" s="323">
        <v>55040</v>
      </c>
      <c r="K279" s="323">
        <v>55040</v>
      </c>
      <c r="L279" s="323">
        <v>55040</v>
      </c>
      <c r="M279" s="323">
        <f>25159+2359</f>
        <v>27518</v>
      </c>
      <c r="N279" s="329">
        <v>0</v>
      </c>
      <c r="O279" s="323">
        <v>0</v>
      </c>
      <c r="P279" s="323">
        <f>SUM(H279:O279)</f>
        <v>299518</v>
      </c>
    </row>
    <row r="280" spans="1:17" ht="16.5" customHeight="1" x14ac:dyDescent="0.3">
      <c r="A280" s="412"/>
      <c r="B280" s="413"/>
      <c r="C280" s="414"/>
      <c r="D280" s="415"/>
      <c r="E280" s="417"/>
      <c r="F280" s="330" t="s">
        <v>730</v>
      </c>
      <c r="G280" s="324" t="s">
        <v>403</v>
      </c>
      <c r="H280" s="325">
        <f>11841+27</f>
        <v>11868</v>
      </c>
      <c r="I280" s="325">
        <f>9264+606</f>
        <v>9870</v>
      </c>
      <c r="J280" s="325">
        <f>7055+467</f>
        <v>7522</v>
      </c>
      <c r="K280" s="325">
        <f>4946+327</f>
        <v>5273</v>
      </c>
      <c r="L280" s="325">
        <f>2840+188</f>
        <v>3028</v>
      </c>
      <c r="M280" s="325">
        <f>739+49</f>
        <v>788</v>
      </c>
      <c r="N280" s="331">
        <v>0</v>
      </c>
      <c r="O280" s="325">
        <v>0</v>
      </c>
      <c r="P280" s="325">
        <f>SUM(H280:O280)</f>
        <v>38349</v>
      </c>
    </row>
    <row r="281" spans="1:17" ht="16.5" customHeight="1" x14ac:dyDescent="0.3">
      <c r="A281" s="412"/>
      <c r="B281" s="413"/>
      <c r="C281" s="414"/>
      <c r="D281" s="415"/>
      <c r="E281" s="417"/>
      <c r="F281" s="326"/>
      <c r="G281" s="326" t="s">
        <v>404</v>
      </c>
      <c r="H281" s="327">
        <f t="shared" ref="H281:P281" si="96">SUM(H279:H280)</f>
        <v>63708</v>
      </c>
      <c r="I281" s="327">
        <f t="shared" si="96"/>
        <v>64910</v>
      </c>
      <c r="J281" s="327">
        <f t="shared" si="96"/>
        <v>62562</v>
      </c>
      <c r="K281" s="327">
        <f t="shared" si="96"/>
        <v>60313</v>
      </c>
      <c r="L281" s="327">
        <f t="shared" si="96"/>
        <v>58068</v>
      </c>
      <c r="M281" s="327">
        <f t="shared" si="96"/>
        <v>28306</v>
      </c>
      <c r="N281" s="327">
        <f t="shared" si="96"/>
        <v>0</v>
      </c>
      <c r="O281" s="327">
        <f t="shared" si="96"/>
        <v>0</v>
      </c>
      <c r="P281" s="327">
        <f t="shared" si="96"/>
        <v>337867</v>
      </c>
    </row>
    <row r="282" spans="1:17" ht="16.95" customHeight="1" x14ac:dyDescent="0.3">
      <c r="A282" s="412">
        <f>A279+1</f>
        <v>92</v>
      </c>
      <c r="B282" s="413" t="s">
        <v>398</v>
      </c>
      <c r="C282" s="442" t="s">
        <v>731</v>
      </c>
      <c r="D282" s="415">
        <v>44012</v>
      </c>
      <c r="E282" s="417" t="s">
        <v>732</v>
      </c>
      <c r="F282" s="332" t="s">
        <v>733</v>
      </c>
      <c r="G282" s="322" t="s">
        <v>402</v>
      </c>
      <c r="H282" s="323">
        <f>28927*4-1-51753</f>
        <v>63954</v>
      </c>
      <c r="I282" s="344">
        <v>118232</v>
      </c>
      <c r="J282" s="323">
        <v>118232</v>
      </c>
      <c r="K282" s="323">
        <v>118232</v>
      </c>
      <c r="L282" s="323">
        <v>118232</v>
      </c>
      <c r="M282" s="323">
        <v>118232</v>
      </c>
      <c r="N282" s="323">
        <v>118232</v>
      </c>
      <c r="O282" s="323">
        <f>1793464-115707+36603</f>
        <v>1714360</v>
      </c>
      <c r="P282" s="323">
        <f>SUM(H282:O282)</f>
        <v>2487706</v>
      </c>
      <c r="Q282" s="345"/>
    </row>
    <row r="283" spans="1:17" ht="16.2" customHeight="1" x14ac:dyDescent="0.3">
      <c r="A283" s="412"/>
      <c r="B283" s="413"/>
      <c r="C283" s="442"/>
      <c r="D283" s="415"/>
      <c r="E283" s="417"/>
      <c r="F283" s="330" t="s">
        <v>734</v>
      </c>
      <c r="G283" s="324" t="s">
        <v>403</v>
      </c>
      <c r="H283" s="325">
        <f>123251+1096-1077</f>
        <v>123270</v>
      </c>
      <c r="I283" s="325">
        <v>113628</v>
      </c>
      <c r="J283" s="325">
        <v>108188</v>
      </c>
      <c r="K283" s="325">
        <v>102592</v>
      </c>
      <c r="L283" s="325">
        <v>97253</v>
      </c>
      <c r="M283" s="325">
        <v>91393</v>
      </c>
      <c r="N283" s="325">
        <v>85801</v>
      </c>
      <c r="O283" s="325">
        <f>575240+41327</f>
        <v>616567</v>
      </c>
      <c r="P283" s="325">
        <f>SUM(H283:O283)</f>
        <v>1338692</v>
      </c>
    </row>
    <row r="284" spans="1:17" ht="16.5" customHeight="1" x14ac:dyDescent="0.3">
      <c r="A284" s="412"/>
      <c r="B284" s="413"/>
      <c r="C284" s="442"/>
      <c r="D284" s="415"/>
      <c r="E284" s="417"/>
      <c r="F284" s="326"/>
      <c r="G284" s="326" t="s">
        <v>404</v>
      </c>
      <c r="H284" s="327">
        <f t="shared" ref="H284:O284" si="97">SUM(H282:H283)</f>
        <v>187224</v>
      </c>
      <c r="I284" s="327">
        <f t="shared" si="97"/>
        <v>231860</v>
      </c>
      <c r="J284" s="327">
        <f t="shared" si="97"/>
        <v>226420</v>
      </c>
      <c r="K284" s="327">
        <f t="shared" si="97"/>
        <v>220824</v>
      </c>
      <c r="L284" s="327">
        <f t="shared" si="97"/>
        <v>215485</v>
      </c>
      <c r="M284" s="327">
        <f t="shared" si="97"/>
        <v>209625</v>
      </c>
      <c r="N284" s="327">
        <f t="shared" si="97"/>
        <v>204033</v>
      </c>
      <c r="O284" s="327">
        <f t="shared" si="97"/>
        <v>2330927</v>
      </c>
      <c r="P284" s="327">
        <f>SUM(H284:O284)</f>
        <v>3826398</v>
      </c>
    </row>
    <row r="285" spans="1:17" ht="17.25" customHeight="1" x14ac:dyDescent="0.3">
      <c r="A285" s="412">
        <f>A282+1</f>
        <v>93</v>
      </c>
      <c r="B285" s="413" t="s">
        <v>398</v>
      </c>
      <c r="C285" s="424" t="s">
        <v>735</v>
      </c>
      <c r="D285" s="415">
        <v>44034</v>
      </c>
      <c r="E285" s="417" t="s">
        <v>736</v>
      </c>
      <c r="F285" s="332" t="s">
        <v>737</v>
      </c>
      <c r="G285" s="322" t="s">
        <v>402</v>
      </c>
      <c r="H285" s="323">
        <f>18780-9272</f>
        <v>9508</v>
      </c>
      <c r="I285" s="323">
        <v>19228</v>
      </c>
      <c r="J285" s="323">
        <v>19228</v>
      </c>
      <c r="K285" s="323">
        <v>19228</v>
      </c>
      <c r="L285" s="323">
        <v>19228</v>
      </c>
      <c r="M285" s="323">
        <v>19228</v>
      </c>
      <c r="N285" s="323">
        <v>19228</v>
      </c>
      <c r="O285" s="323">
        <f>295785-18780+6584</f>
        <v>283589</v>
      </c>
      <c r="P285" s="323">
        <f>SUM(H285:O285)</f>
        <v>408465</v>
      </c>
    </row>
    <row r="286" spans="1:17" ht="15" customHeight="1" x14ac:dyDescent="0.3">
      <c r="A286" s="412"/>
      <c r="B286" s="413"/>
      <c r="C286" s="424"/>
      <c r="D286" s="415"/>
      <c r="E286" s="417"/>
      <c r="F286" s="330" t="s">
        <v>738</v>
      </c>
      <c r="G286" s="324" t="s">
        <v>403</v>
      </c>
      <c r="H286" s="325">
        <f>20268+166-196</f>
        <v>20238</v>
      </c>
      <c r="I286" s="325">
        <v>18435</v>
      </c>
      <c r="J286" s="325">
        <v>17565</v>
      </c>
      <c r="K286" s="325">
        <v>16668</v>
      </c>
      <c r="L286" s="325">
        <v>15813</v>
      </c>
      <c r="M286" s="340">
        <v>14873</v>
      </c>
      <c r="N286" s="340">
        <v>13976</v>
      </c>
      <c r="O286" s="340">
        <f>97818+4317</f>
        <v>102135</v>
      </c>
      <c r="P286" s="325">
        <f>SUM(H286:O286)</f>
        <v>219703</v>
      </c>
    </row>
    <row r="287" spans="1:17" ht="16.2" customHeight="1" x14ac:dyDescent="0.3">
      <c r="A287" s="412"/>
      <c r="B287" s="425"/>
      <c r="C287" s="426"/>
      <c r="D287" s="418"/>
      <c r="E287" s="421"/>
      <c r="F287" s="333"/>
      <c r="G287" s="333" t="s">
        <v>404</v>
      </c>
      <c r="H287" s="327">
        <f t="shared" ref="H287:P287" si="98">SUM(H285:H286)</f>
        <v>29746</v>
      </c>
      <c r="I287" s="327">
        <f t="shared" si="98"/>
        <v>37663</v>
      </c>
      <c r="J287" s="327">
        <f t="shared" si="98"/>
        <v>36793</v>
      </c>
      <c r="K287" s="327">
        <f t="shared" si="98"/>
        <v>35896</v>
      </c>
      <c r="L287" s="327">
        <f t="shared" si="98"/>
        <v>35041</v>
      </c>
      <c r="M287" s="327">
        <f t="shared" si="98"/>
        <v>34101</v>
      </c>
      <c r="N287" s="327">
        <f t="shared" si="98"/>
        <v>33204</v>
      </c>
      <c r="O287" s="327">
        <f t="shared" si="98"/>
        <v>385724</v>
      </c>
      <c r="P287" s="327">
        <f t="shared" si="98"/>
        <v>628168</v>
      </c>
    </row>
    <row r="288" spans="1:17" ht="17.399999999999999" customHeight="1" x14ac:dyDescent="0.3">
      <c r="A288" s="412">
        <f>A285+1</f>
        <v>94</v>
      </c>
      <c r="B288" s="413" t="s">
        <v>398</v>
      </c>
      <c r="C288" s="444" t="s">
        <v>1070</v>
      </c>
      <c r="D288" s="417" t="s">
        <v>739</v>
      </c>
      <c r="E288" s="417" t="s">
        <v>483</v>
      </c>
      <c r="F288" s="332" t="s">
        <v>740</v>
      </c>
      <c r="G288" s="322" t="s">
        <v>402</v>
      </c>
      <c r="H288" s="323">
        <f>5002*4</f>
        <v>20008</v>
      </c>
      <c r="I288" s="323">
        <f>5002*3</f>
        <v>15006</v>
      </c>
      <c r="J288" s="323">
        <v>0</v>
      </c>
      <c r="K288" s="323">
        <v>0</v>
      </c>
      <c r="L288" s="323">
        <v>0</v>
      </c>
      <c r="M288" s="323">
        <v>0</v>
      </c>
      <c r="N288" s="323">
        <v>0</v>
      </c>
      <c r="O288" s="323">
        <v>0</v>
      </c>
      <c r="P288" s="323">
        <f>SUM(H288:O288)</f>
        <v>35014</v>
      </c>
    </row>
    <row r="289" spans="1:16" ht="16.2" customHeight="1" x14ac:dyDescent="0.3">
      <c r="A289" s="412"/>
      <c r="B289" s="413"/>
      <c r="C289" s="444"/>
      <c r="D289" s="417"/>
      <c r="E289" s="417"/>
      <c r="F289" s="330" t="s">
        <v>741</v>
      </c>
      <c r="G289" s="324" t="s">
        <v>403</v>
      </c>
      <c r="H289" s="325">
        <v>81</v>
      </c>
      <c r="I289" s="325">
        <v>28</v>
      </c>
      <c r="J289" s="325">
        <v>0</v>
      </c>
      <c r="K289" s="325">
        <v>0</v>
      </c>
      <c r="L289" s="325">
        <v>0</v>
      </c>
      <c r="M289" s="325">
        <v>0</v>
      </c>
      <c r="N289" s="325">
        <v>0</v>
      </c>
      <c r="O289" s="325">
        <v>0</v>
      </c>
      <c r="P289" s="325">
        <f>SUM(H289:O289)</f>
        <v>109</v>
      </c>
    </row>
    <row r="290" spans="1:16" ht="16.5" customHeight="1" x14ac:dyDescent="0.3">
      <c r="A290" s="412"/>
      <c r="B290" s="413"/>
      <c r="C290" s="444"/>
      <c r="D290" s="417"/>
      <c r="E290" s="417"/>
      <c r="F290" s="326"/>
      <c r="G290" s="326" t="s">
        <v>404</v>
      </c>
      <c r="H290" s="327">
        <f t="shared" ref="H290:P290" si="99">SUM(H288:H289)</f>
        <v>20089</v>
      </c>
      <c r="I290" s="327">
        <f t="shared" si="99"/>
        <v>15034</v>
      </c>
      <c r="J290" s="327">
        <f t="shared" si="99"/>
        <v>0</v>
      </c>
      <c r="K290" s="327">
        <f t="shared" si="99"/>
        <v>0</v>
      </c>
      <c r="L290" s="327">
        <f t="shared" si="99"/>
        <v>0</v>
      </c>
      <c r="M290" s="327">
        <f t="shared" si="99"/>
        <v>0</v>
      </c>
      <c r="N290" s="327">
        <f>SUM(N288:N289)</f>
        <v>0</v>
      </c>
      <c r="O290" s="327">
        <f t="shared" si="99"/>
        <v>0</v>
      </c>
      <c r="P290" s="327">
        <f t="shared" si="99"/>
        <v>35123</v>
      </c>
    </row>
    <row r="291" spans="1:16" ht="16.5" customHeight="1" x14ac:dyDescent="0.3">
      <c r="A291" s="412">
        <f>A288+1</f>
        <v>95</v>
      </c>
      <c r="B291" s="413" t="s">
        <v>398</v>
      </c>
      <c r="C291" s="424" t="s">
        <v>742</v>
      </c>
      <c r="D291" s="415">
        <v>44053</v>
      </c>
      <c r="E291" s="417" t="s">
        <v>591</v>
      </c>
      <c r="F291" s="332" t="s">
        <v>743</v>
      </c>
      <c r="G291" s="322" t="s">
        <v>402</v>
      </c>
      <c r="H291" s="323">
        <f>22112-6030</f>
        <v>16082</v>
      </c>
      <c r="I291" s="323">
        <v>22676</v>
      </c>
      <c r="J291" s="323">
        <v>22676</v>
      </c>
      <c r="K291" s="323">
        <v>22676</v>
      </c>
      <c r="L291" s="323">
        <v>22676</v>
      </c>
      <c r="M291" s="323">
        <v>22676</v>
      </c>
      <c r="N291" s="323">
        <v>22676</v>
      </c>
      <c r="O291" s="323">
        <f>127144-22112+2646</f>
        <v>107678</v>
      </c>
      <c r="P291" s="323">
        <f>SUM(H291:O291)</f>
        <v>259816</v>
      </c>
    </row>
    <row r="292" spans="1:16" ht="16.5" customHeight="1" x14ac:dyDescent="0.3">
      <c r="A292" s="412"/>
      <c r="B292" s="413"/>
      <c r="C292" s="424"/>
      <c r="D292" s="415"/>
      <c r="E292" s="417"/>
      <c r="F292" s="330" t="s">
        <v>744</v>
      </c>
      <c r="G292" s="324" t="s">
        <v>403</v>
      </c>
      <c r="H292" s="325">
        <f>11994+91-208</f>
        <v>11877</v>
      </c>
      <c r="I292" s="325">
        <v>10581</v>
      </c>
      <c r="J292" s="325">
        <v>9598</v>
      </c>
      <c r="K292" s="325">
        <v>8597</v>
      </c>
      <c r="L292" s="325">
        <v>7615</v>
      </c>
      <c r="M292" s="340">
        <v>6594</v>
      </c>
      <c r="N292" s="340">
        <v>5594</v>
      </c>
      <c r="O292" s="340">
        <v>12936</v>
      </c>
      <c r="P292" s="325">
        <f>SUM(H292:O292)</f>
        <v>73392</v>
      </c>
    </row>
    <row r="293" spans="1:16" ht="16.5" customHeight="1" x14ac:dyDescent="0.3">
      <c r="A293" s="412"/>
      <c r="B293" s="413"/>
      <c r="C293" s="424"/>
      <c r="D293" s="415"/>
      <c r="E293" s="417"/>
      <c r="F293" s="326"/>
      <c r="G293" s="326" t="s">
        <v>404</v>
      </c>
      <c r="H293" s="327">
        <f t="shared" ref="H293:P293" si="100">SUM(H291:H292)</f>
        <v>27959</v>
      </c>
      <c r="I293" s="327">
        <f t="shared" si="100"/>
        <v>33257</v>
      </c>
      <c r="J293" s="327">
        <f t="shared" si="100"/>
        <v>32274</v>
      </c>
      <c r="K293" s="327">
        <f t="shared" si="100"/>
        <v>31273</v>
      </c>
      <c r="L293" s="327">
        <f t="shared" si="100"/>
        <v>30291</v>
      </c>
      <c r="M293" s="327">
        <f t="shared" si="100"/>
        <v>29270</v>
      </c>
      <c r="N293" s="327">
        <f t="shared" si="100"/>
        <v>28270</v>
      </c>
      <c r="O293" s="327">
        <f t="shared" si="100"/>
        <v>120614</v>
      </c>
      <c r="P293" s="327">
        <f t="shared" si="100"/>
        <v>333208</v>
      </c>
    </row>
    <row r="294" spans="1:16" ht="16.5" customHeight="1" x14ac:dyDescent="0.3">
      <c r="A294" s="412">
        <f>A291+1</f>
        <v>96</v>
      </c>
      <c r="B294" s="413" t="s">
        <v>398</v>
      </c>
      <c r="C294" s="424" t="s">
        <v>745</v>
      </c>
      <c r="D294" s="415">
        <v>44053</v>
      </c>
      <c r="E294" s="417" t="s">
        <v>591</v>
      </c>
      <c r="F294" s="332" t="s">
        <v>746</v>
      </c>
      <c r="G294" s="322" t="s">
        <v>402</v>
      </c>
      <c r="H294" s="323">
        <f>39248-10703</f>
        <v>28545</v>
      </c>
      <c r="I294" s="323">
        <v>40244</v>
      </c>
      <c r="J294" s="323">
        <v>40244</v>
      </c>
      <c r="K294" s="323">
        <v>40244</v>
      </c>
      <c r="L294" s="323">
        <v>40244</v>
      </c>
      <c r="M294" s="323">
        <v>40244</v>
      </c>
      <c r="N294" s="323">
        <v>40244</v>
      </c>
      <c r="O294" s="323">
        <f>225676-39248+4727</f>
        <v>191155</v>
      </c>
      <c r="P294" s="323">
        <f>SUM(H294:O294)</f>
        <v>461164</v>
      </c>
    </row>
    <row r="295" spans="1:16" ht="16.5" customHeight="1" x14ac:dyDescent="0.3">
      <c r="A295" s="412"/>
      <c r="B295" s="413"/>
      <c r="C295" s="424"/>
      <c r="D295" s="415"/>
      <c r="E295" s="417"/>
      <c r="F295" s="330" t="s">
        <v>747</v>
      </c>
      <c r="G295" s="324" t="s">
        <v>403</v>
      </c>
      <c r="H295" s="325">
        <f>21288+162-368</f>
        <v>21082</v>
      </c>
      <c r="I295" s="325">
        <v>18780</v>
      </c>
      <c r="J295" s="325">
        <v>17037</v>
      </c>
      <c r="K295" s="325">
        <v>15260</v>
      </c>
      <c r="L295" s="325">
        <v>13518</v>
      </c>
      <c r="M295" s="340">
        <v>11705</v>
      </c>
      <c r="N295" s="340">
        <v>9930</v>
      </c>
      <c r="O295" s="340">
        <v>22970</v>
      </c>
      <c r="P295" s="325">
        <f>SUM(H295:O295)</f>
        <v>130282</v>
      </c>
    </row>
    <row r="296" spans="1:16" ht="16.5" customHeight="1" x14ac:dyDescent="0.3">
      <c r="A296" s="412"/>
      <c r="B296" s="413"/>
      <c r="C296" s="424"/>
      <c r="D296" s="415"/>
      <c r="E296" s="417"/>
      <c r="F296" s="326"/>
      <c r="G296" s="326" t="s">
        <v>404</v>
      </c>
      <c r="H296" s="327">
        <f t="shared" ref="H296:P296" si="101">SUM(H294:H295)</f>
        <v>49627</v>
      </c>
      <c r="I296" s="327">
        <f t="shared" si="101"/>
        <v>59024</v>
      </c>
      <c r="J296" s="327">
        <f t="shared" si="101"/>
        <v>57281</v>
      </c>
      <c r="K296" s="327">
        <f t="shared" si="101"/>
        <v>55504</v>
      </c>
      <c r="L296" s="327">
        <f t="shared" si="101"/>
        <v>53762</v>
      </c>
      <c r="M296" s="327">
        <f t="shared" si="101"/>
        <v>51949</v>
      </c>
      <c r="N296" s="327">
        <f t="shared" si="101"/>
        <v>50174</v>
      </c>
      <c r="O296" s="327">
        <f t="shared" si="101"/>
        <v>214125</v>
      </c>
      <c r="P296" s="327">
        <f t="shared" si="101"/>
        <v>591446</v>
      </c>
    </row>
    <row r="297" spans="1:16" ht="16.5" customHeight="1" x14ac:dyDescent="0.3">
      <c r="A297" s="412">
        <f>A294+1</f>
        <v>97</v>
      </c>
      <c r="B297" s="413" t="s">
        <v>398</v>
      </c>
      <c r="C297" s="442" t="s">
        <v>748</v>
      </c>
      <c r="D297" s="415">
        <v>44076</v>
      </c>
      <c r="E297" s="417" t="s">
        <v>749</v>
      </c>
      <c r="F297" s="332" t="s">
        <v>750</v>
      </c>
      <c r="G297" s="322" t="s">
        <v>402</v>
      </c>
      <c r="H297" s="323">
        <f>21616-4476</f>
        <v>17140</v>
      </c>
      <c r="I297" s="323">
        <v>22036</v>
      </c>
      <c r="J297" s="323">
        <v>22036</v>
      </c>
      <c r="K297" s="323">
        <v>22036</v>
      </c>
      <c r="L297" s="323">
        <v>22036</v>
      </c>
      <c r="M297" s="323">
        <v>22036</v>
      </c>
      <c r="N297" s="323">
        <v>22036</v>
      </c>
      <c r="O297" s="323">
        <f>124292-21616+1956</f>
        <v>104632</v>
      </c>
      <c r="P297" s="323">
        <f>SUM(H297:O297)</f>
        <v>253988</v>
      </c>
    </row>
    <row r="298" spans="1:16" ht="16.5" customHeight="1" x14ac:dyDescent="0.3">
      <c r="A298" s="412"/>
      <c r="B298" s="413"/>
      <c r="C298" s="442"/>
      <c r="D298" s="415"/>
      <c r="E298" s="417"/>
      <c r="F298" s="330" t="s">
        <v>751</v>
      </c>
      <c r="G298" s="324" t="s">
        <v>403</v>
      </c>
      <c r="H298" s="325">
        <f>11704+61-128</f>
        <v>11637</v>
      </c>
      <c r="I298" s="325">
        <v>10203</v>
      </c>
      <c r="J298" s="325">
        <v>9252</v>
      </c>
      <c r="K298" s="325">
        <v>8287</v>
      </c>
      <c r="L298" s="325">
        <v>7341</v>
      </c>
      <c r="M298" s="340">
        <v>6356</v>
      </c>
      <c r="N298" s="340">
        <v>5392</v>
      </c>
      <c r="O298" s="340">
        <v>12489</v>
      </c>
      <c r="P298" s="325">
        <f>SUM(H298:O298)</f>
        <v>70957</v>
      </c>
    </row>
    <row r="299" spans="1:16" ht="16.5" customHeight="1" x14ac:dyDescent="0.3">
      <c r="A299" s="412"/>
      <c r="B299" s="413"/>
      <c r="C299" s="442"/>
      <c r="D299" s="415"/>
      <c r="E299" s="417"/>
      <c r="F299" s="326"/>
      <c r="G299" s="326" t="s">
        <v>404</v>
      </c>
      <c r="H299" s="327">
        <f t="shared" ref="H299:P299" si="102">SUM(H297:H298)</f>
        <v>28777</v>
      </c>
      <c r="I299" s="327">
        <f t="shared" si="102"/>
        <v>32239</v>
      </c>
      <c r="J299" s="327">
        <f t="shared" si="102"/>
        <v>31288</v>
      </c>
      <c r="K299" s="327">
        <f t="shared" si="102"/>
        <v>30323</v>
      </c>
      <c r="L299" s="327">
        <f t="shared" si="102"/>
        <v>29377</v>
      </c>
      <c r="M299" s="343">
        <f t="shared" si="102"/>
        <v>28392</v>
      </c>
      <c r="N299" s="343">
        <f t="shared" si="102"/>
        <v>27428</v>
      </c>
      <c r="O299" s="343">
        <f t="shared" si="102"/>
        <v>117121</v>
      </c>
      <c r="P299" s="327">
        <f t="shared" si="102"/>
        <v>324945</v>
      </c>
    </row>
    <row r="300" spans="1:16" ht="16.5" customHeight="1" x14ac:dyDescent="0.3">
      <c r="A300" s="412">
        <f>A297+1</f>
        <v>98</v>
      </c>
      <c r="B300" s="413" t="s">
        <v>398</v>
      </c>
      <c r="C300" s="414" t="s">
        <v>752</v>
      </c>
      <c r="D300" s="415">
        <v>44111</v>
      </c>
      <c r="E300" s="417" t="s">
        <v>753</v>
      </c>
      <c r="F300" s="332" t="s">
        <v>754</v>
      </c>
      <c r="G300" s="322" t="s">
        <v>402</v>
      </c>
      <c r="H300" s="323">
        <f>29196-10286</f>
        <v>18910</v>
      </c>
      <c r="I300" s="323">
        <v>29692</v>
      </c>
      <c r="J300" s="323">
        <v>29692</v>
      </c>
      <c r="K300" s="323">
        <v>29692</v>
      </c>
      <c r="L300" s="323">
        <v>29692</v>
      </c>
      <c r="M300" s="323">
        <v>29692</v>
      </c>
      <c r="N300" s="323">
        <v>29692</v>
      </c>
      <c r="O300" s="323">
        <f>459837-29196+7310</f>
        <v>437951</v>
      </c>
      <c r="P300" s="323">
        <f>SUM(H300:O300)</f>
        <v>635013</v>
      </c>
    </row>
    <row r="301" spans="1:16" ht="16.5" customHeight="1" x14ac:dyDescent="0.3">
      <c r="A301" s="412"/>
      <c r="B301" s="413"/>
      <c r="C301" s="414"/>
      <c r="D301" s="415"/>
      <c r="E301" s="417"/>
      <c r="F301" s="330" t="s">
        <v>755</v>
      </c>
      <c r="G301" s="324" t="s">
        <v>403</v>
      </c>
      <c r="H301" s="325">
        <f>31831+110</f>
        <v>31941</v>
      </c>
      <c r="I301" s="325">
        <v>28222</v>
      </c>
      <c r="J301" s="325">
        <v>26836</v>
      </c>
      <c r="K301" s="325">
        <v>25466</v>
      </c>
      <c r="L301" s="325">
        <v>24159</v>
      </c>
      <c r="M301" s="340">
        <v>22723</v>
      </c>
      <c r="N301" s="340">
        <v>21354</v>
      </c>
      <c r="O301" s="340">
        <v>156116</v>
      </c>
      <c r="P301" s="325">
        <f>SUM(H301:O301)</f>
        <v>336817</v>
      </c>
    </row>
    <row r="302" spans="1:16" ht="16.5" customHeight="1" x14ac:dyDescent="0.3">
      <c r="A302" s="412"/>
      <c r="B302" s="413"/>
      <c r="C302" s="414"/>
      <c r="D302" s="415"/>
      <c r="E302" s="417"/>
      <c r="F302" s="326"/>
      <c r="G302" s="326" t="s">
        <v>404</v>
      </c>
      <c r="H302" s="327">
        <f t="shared" ref="H302:P302" si="103">SUM(H300:H301)</f>
        <v>50851</v>
      </c>
      <c r="I302" s="327">
        <f t="shared" si="103"/>
        <v>57914</v>
      </c>
      <c r="J302" s="327">
        <f t="shared" si="103"/>
        <v>56528</v>
      </c>
      <c r="K302" s="327">
        <f t="shared" si="103"/>
        <v>55158</v>
      </c>
      <c r="L302" s="327">
        <f t="shared" si="103"/>
        <v>53851</v>
      </c>
      <c r="M302" s="327">
        <f t="shared" si="103"/>
        <v>52415</v>
      </c>
      <c r="N302" s="327">
        <f t="shared" si="103"/>
        <v>51046</v>
      </c>
      <c r="O302" s="327">
        <f t="shared" si="103"/>
        <v>594067</v>
      </c>
      <c r="P302" s="327">
        <f t="shared" si="103"/>
        <v>971830</v>
      </c>
    </row>
    <row r="303" spans="1:16" ht="16.5" customHeight="1" x14ac:dyDescent="0.3">
      <c r="A303" s="412">
        <f>A300+1</f>
        <v>99</v>
      </c>
      <c r="B303" s="413" t="s">
        <v>398</v>
      </c>
      <c r="C303" s="414" t="s">
        <v>756</v>
      </c>
      <c r="D303" s="415">
        <v>44118</v>
      </c>
      <c r="E303" s="417" t="s">
        <v>487</v>
      </c>
      <c r="F303" s="332" t="s">
        <v>757</v>
      </c>
      <c r="G303" s="322" t="s">
        <v>402</v>
      </c>
      <c r="H303" s="323">
        <f>7928-589</f>
        <v>7339</v>
      </c>
      <c r="I303" s="323">
        <v>8032</v>
      </c>
      <c r="J303" s="323">
        <v>8032</v>
      </c>
      <c r="K303" s="323">
        <v>8032</v>
      </c>
      <c r="L303" s="323">
        <v>8032</v>
      </c>
      <c r="M303" s="323">
        <v>8032</v>
      </c>
      <c r="N303" s="323">
        <f>5946+69</f>
        <v>6015</v>
      </c>
      <c r="O303" s="323">
        <v>0</v>
      </c>
      <c r="P303" s="323">
        <f>SUM(H303:O303)</f>
        <v>53514</v>
      </c>
    </row>
    <row r="304" spans="1:16" ht="16.5" customHeight="1" x14ac:dyDescent="0.3">
      <c r="A304" s="412"/>
      <c r="B304" s="413"/>
      <c r="C304" s="414"/>
      <c r="D304" s="415"/>
      <c r="E304" s="417"/>
      <c r="F304" s="330" t="s">
        <v>758</v>
      </c>
      <c r="G304" s="324" t="s">
        <v>403</v>
      </c>
      <c r="H304" s="325">
        <f>2453+6</f>
        <v>2459</v>
      </c>
      <c r="I304" s="325">
        <v>1942</v>
      </c>
      <c r="J304" s="325">
        <v>1591</v>
      </c>
      <c r="K304" s="325">
        <v>1244</v>
      </c>
      <c r="L304" s="325">
        <v>900</v>
      </c>
      <c r="M304" s="340">
        <v>551</v>
      </c>
      <c r="N304" s="340">
        <v>205</v>
      </c>
      <c r="O304" s="340">
        <v>0</v>
      </c>
      <c r="P304" s="325">
        <f>SUM(H304:O304)</f>
        <v>8892</v>
      </c>
    </row>
    <row r="305" spans="1:16" ht="16.5" customHeight="1" x14ac:dyDescent="0.3">
      <c r="A305" s="412"/>
      <c r="B305" s="413"/>
      <c r="C305" s="414"/>
      <c r="D305" s="415"/>
      <c r="E305" s="417"/>
      <c r="F305" s="326"/>
      <c r="G305" s="326" t="s">
        <v>404</v>
      </c>
      <c r="H305" s="327">
        <f t="shared" ref="H305:P305" si="104">SUM(H303:H304)</f>
        <v>9798</v>
      </c>
      <c r="I305" s="327">
        <f t="shared" si="104"/>
        <v>9974</v>
      </c>
      <c r="J305" s="327">
        <f t="shared" si="104"/>
        <v>9623</v>
      </c>
      <c r="K305" s="327">
        <f t="shared" si="104"/>
        <v>9276</v>
      </c>
      <c r="L305" s="327">
        <f t="shared" si="104"/>
        <v>8932</v>
      </c>
      <c r="M305" s="327">
        <f t="shared" si="104"/>
        <v>8583</v>
      </c>
      <c r="N305" s="327">
        <f t="shared" si="104"/>
        <v>6220</v>
      </c>
      <c r="O305" s="327">
        <f t="shared" si="104"/>
        <v>0</v>
      </c>
      <c r="P305" s="327">
        <f t="shared" si="104"/>
        <v>62406</v>
      </c>
    </row>
    <row r="306" spans="1:16" ht="16.5" customHeight="1" x14ac:dyDescent="0.3">
      <c r="A306" s="412">
        <f>A303+1</f>
        <v>100</v>
      </c>
      <c r="B306" s="413" t="s">
        <v>398</v>
      </c>
      <c r="C306" s="424" t="s">
        <v>759</v>
      </c>
      <c r="D306" s="415">
        <v>44169</v>
      </c>
      <c r="E306" s="417" t="s">
        <v>760</v>
      </c>
      <c r="F306" s="332" t="s">
        <v>761</v>
      </c>
      <c r="G306" s="322" t="s">
        <v>402</v>
      </c>
      <c r="H306" s="323">
        <f>25156-3719</f>
        <v>21437</v>
      </c>
      <c r="I306" s="323">
        <v>25496</v>
      </c>
      <c r="J306" s="323">
        <v>25496</v>
      </c>
      <c r="K306" s="323">
        <v>25496</v>
      </c>
      <c r="L306" s="323">
        <v>25496</v>
      </c>
      <c r="M306" s="323">
        <v>25496</v>
      </c>
      <c r="N306" s="323">
        <v>25496</v>
      </c>
      <c r="O306" s="323">
        <f>150936-25156+1679</f>
        <v>127459</v>
      </c>
      <c r="P306" s="323">
        <f>SUM(H306:O306)</f>
        <v>301872</v>
      </c>
    </row>
    <row r="307" spans="1:16" ht="16.5" customHeight="1" x14ac:dyDescent="0.3">
      <c r="A307" s="412"/>
      <c r="B307" s="413"/>
      <c r="C307" s="414"/>
      <c r="D307" s="415"/>
      <c r="E307" s="417"/>
      <c r="F307" s="330" t="s">
        <v>762</v>
      </c>
      <c r="G307" s="324" t="s">
        <v>403</v>
      </c>
      <c r="H307" s="325">
        <f>12863+36</f>
        <v>12899</v>
      </c>
      <c r="I307" s="325">
        <v>12094</v>
      </c>
      <c r="J307" s="325">
        <v>10919</v>
      </c>
      <c r="K307" s="325">
        <v>9809</v>
      </c>
      <c r="L307" s="325">
        <v>8721</v>
      </c>
      <c r="M307" s="340">
        <v>7588</v>
      </c>
      <c r="N307" s="340">
        <v>6479</v>
      </c>
      <c r="O307" s="340">
        <v>15816</v>
      </c>
      <c r="P307" s="325">
        <f>SUM(H307:O307)</f>
        <v>84325</v>
      </c>
    </row>
    <row r="308" spans="1:16" ht="16.5" customHeight="1" x14ac:dyDescent="0.3">
      <c r="A308" s="412"/>
      <c r="B308" s="413"/>
      <c r="C308" s="414"/>
      <c r="D308" s="415"/>
      <c r="E308" s="417"/>
      <c r="F308" s="326"/>
      <c r="G308" s="326" t="s">
        <v>404</v>
      </c>
      <c r="H308" s="327">
        <f t="shared" ref="H308:P308" si="105">SUM(H306:H307)</f>
        <v>34336</v>
      </c>
      <c r="I308" s="327">
        <f t="shared" si="105"/>
        <v>37590</v>
      </c>
      <c r="J308" s="327">
        <f t="shared" si="105"/>
        <v>36415</v>
      </c>
      <c r="K308" s="327">
        <f t="shared" si="105"/>
        <v>35305</v>
      </c>
      <c r="L308" s="327">
        <f t="shared" si="105"/>
        <v>34217</v>
      </c>
      <c r="M308" s="327">
        <f t="shared" si="105"/>
        <v>33084</v>
      </c>
      <c r="N308" s="327">
        <f t="shared" si="105"/>
        <v>31975</v>
      </c>
      <c r="O308" s="327">
        <f t="shared" si="105"/>
        <v>143275</v>
      </c>
      <c r="P308" s="327">
        <f t="shared" si="105"/>
        <v>386197</v>
      </c>
    </row>
    <row r="309" spans="1:16" ht="16.5" customHeight="1" x14ac:dyDescent="0.3">
      <c r="A309" s="412">
        <f>A306+1</f>
        <v>101</v>
      </c>
      <c r="B309" s="413" t="s">
        <v>398</v>
      </c>
      <c r="C309" s="424" t="s">
        <v>763</v>
      </c>
      <c r="D309" s="415">
        <v>44169</v>
      </c>
      <c r="E309" s="417" t="s">
        <v>764</v>
      </c>
      <c r="F309" s="332" t="s">
        <v>765</v>
      </c>
      <c r="G309" s="322" t="s">
        <v>402</v>
      </c>
      <c r="H309" s="338">
        <f>35656-5457</f>
        <v>30199</v>
      </c>
      <c r="I309" s="338">
        <v>36000</v>
      </c>
      <c r="J309" s="338">
        <v>36000</v>
      </c>
      <c r="K309" s="338">
        <v>36000</v>
      </c>
      <c r="L309" s="338">
        <v>36000</v>
      </c>
      <c r="M309" s="338">
        <v>36000</v>
      </c>
      <c r="N309" s="338">
        <v>36000</v>
      </c>
      <c r="O309" s="338">
        <f>392217-35656+3393</f>
        <v>359954</v>
      </c>
      <c r="P309" s="323">
        <f>SUM(H309:O309)</f>
        <v>606153</v>
      </c>
    </row>
    <row r="310" spans="1:16" ht="16.5" customHeight="1" x14ac:dyDescent="0.3">
      <c r="A310" s="412"/>
      <c r="B310" s="413"/>
      <c r="C310" s="414"/>
      <c r="D310" s="415"/>
      <c r="E310" s="417"/>
      <c r="F310" s="330" t="s">
        <v>766</v>
      </c>
      <c r="G310" s="324" t="s">
        <v>403</v>
      </c>
      <c r="H310" s="325">
        <f>27286+54</f>
        <v>27340</v>
      </c>
      <c r="I310" s="325">
        <v>25434</v>
      </c>
      <c r="J310" s="325">
        <v>23695</v>
      </c>
      <c r="K310" s="334">
        <v>22098</v>
      </c>
      <c r="L310" s="334">
        <v>20554</v>
      </c>
      <c r="M310" s="346">
        <v>18901</v>
      </c>
      <c r="N310" s="346">
        <v>17305</v>
      </c>
      <c r="O310" s="346">
        <v>85406</v>
      </c>
      <c r="P310" s="325">
        <f>SUM(H310:O310)</f>
        <v>240733</v>
      </c>
    </row>
    <row r="311" spans="1:16" ht="16.5" customHeight="1" x14ac:dyDescent="0.3">
      <c r="A311" s="412"/>
      <c r="B311" s="413"/>
      <c r="C311" s="414"/>
      <c r="D311" s="415"/>
      <c r="E311" s="417"/>
      <c r="F311" s="326"/>
      <c r="G311" s="326" t="s">
        <v>404</v>
      </c>
      <c r="H311" s="327">
        <f t="shared" ref="H311:N311" si="106">SUM(H309:H310)</f>
        <v>57539</v>
      </c>
      <c r="I311" s="327">
        <f t="shared" si="106"/>
        <v>61434</v>
      </c>
      <c r="J311" s="327">
        <f t="shared" si="106"/>
        <v>59695</v>
      </c>
      <c r="K311" s="327">
        <f t="shared" si="106"/>
        <v>58098</v>
      </c>
      <c r="L311" s="327">
        <f t="shared" si="106"/>
        <v>56554</v>
      </c>
      <c r="M311" s="327">
        <f t="shared" si="106"/>
        <v>54901</v>
      </c>
      <c r="N311" s="327">
        <f t="shared" si="106"/>
        <v>53305</v>
      </c>
      <c r="O311" s="327">
        <f>SUM(O309:O310)</f>
        <v>445360</v>
      </c>
      <c r="P311" s="327">
        <f>SUM(P309:P310)</f>
        <v>846886</v>
      </c>
    </row>
    <row r="312" spans="1:16" ht="16.2" customHeight="1" x14ac:dyDescent="0.3">
      <c r="A312" s="412">
        <f>A309+1</f>
        <v>102</v>
      </c>
      <c r="B312" s="413" t="s">
        <v>398</v>
      </c>
      <c r="C312" s="414" t="s">
        <v>767</v>
      </c>
      <c r="D312" s="415">
        <v>44176</v>
      </c>
      <c r="E312" s="417" t="s">
        <v>760</v>
      </c>
      <c r="F312" s="332" t="s">
        <v>768</v>
      </c>
      <c r="G312" s="322" t="s">
        <v>402</v>
      </c>
      <c r="H312" s="323">
        <f>5476-723</f>
        <v>4753</v>
      </c>
      <c r="I312" s="323">
        <v>5544</v>
      </c>
      <c r="J312" s="323">
        <v>5544</v>
      </c>
      <c r="K312" s="323">
        <v>5544</v>
      </c>
      <c r="L312" s="323">
        <v>5544</v>
      </c>
      <c r="M312" s="323">
        <v>5544</v>
      </c>
      <c r="N312" s="323">
        <v>5544</v>
      </c>
      <c r="O312" s="323">
        <f>32856-5476+315</f>
        <v>27695</v>
      </c>
      <c r="P312" s="323">
        <f>SUM(H312:O312)</f>
        <v>65712</v>
      </c>
    </row>
    <row r="313" spans="1:16" ht="16.2" customHeight="1" x14ac:dyDescent="0.3">
      <c r="A313" s="412"/>
      <c r="B313" s="413"/>
      <c r="C313" s="414"/>
      <c r="D313" s="415"/>
      <c r="E313" s="417"/>
      <c r="F313" s="330" t="s">
        <v>769</v>
      </c>
      <c r="G313" s="324" t="s">
        <v>403</v>
      </c>
      <c r="H313" s="325">
        <f>2690+7</f>
        <v>2697</v>
      </c>
      <c r="I313" s="325">
        <v>2601</v>
      </c>
      <c r="J313" s="325">
        <v>2366</v>
      </c>
      <c r="K313" s="325">
        <v>2125</v>
      </c>
      <c r="L313" s="325">
        <v>1889</v>
      </c>
      <c r="M313" s="340">
        <v>1644</v>
      </c>
      <c r="N313" s="340">
        <v>1403</v>
      </c>
      <c r="O313" s="340">
        <v>3423</v>
      </c>
      <c r="P313" s="325">
        <f>SUM(H313:O313)</f>
        <v>18148</v>
      </c>
    </row>
    <row r="314" spans="1:16" ht="16.2" customHeight="1" x14ac:dyDescent="0.3">
      <c r="A314" s="412"/>
      <c r="B314" s="413"/>
      <c r="C314" s="414"/>
      <c r="D314" s="415"/>
      <c r="E314" s="417"/>
      <c r="F314" s="326"/>
      <c r="G314" s="326" t="s">
        <v>404</v>
      </c>
      <c r="H314" s="327">
        <f t="shared" ref="H314:N314" si="107">SUM(H312:H313)</f>
        <v>7450</v>
      </c>
      <c r="I314" s="327">
        <f t="shared" si="107"/>
        <v>8145</v>
      </c>
      <c r="J314" s="327">
        <f t="shared" si="107"/>
        <v>7910</v>
      </c>
      <c r="K314" s="327">
        <f t="shared" si="107"/>
        <v>7669</v>
      </c>
      <c r="L314" s="327">
        <f t="shared" si="107"/>
        <v>7433</v>
      </c>
      <c r="M314" s="327">
        <f t="shared" si="107"/>
        <v>7188</v>
      </c>
      <c r="N314" s="327">
        <f t="shared" si="107"/>
        <v>6947</v>
      </c>
      <c r="O314" s="327">
        <f>SUM(O312:O313)</f>
        <v>31118</v>
      </c>
      <c r="P314" s="327">
        <f>SUM(P312:P313)</f>
        <v>83860</v>
      </c>
    </row>
    <row r="315" spans="1:16" ht="16.2" customHeight="1" x14ac:dyDescent="0.3">
      <c r="A315" s="412">
        <f>A312+1</f>
        <v>103</v>
      </c>
      <c r="B315" s="413" t="s">
        <v>398</v>
      </c>
      <c r="C315" s="414" t="s">
        <v>770</v>
      </c>
      <c r="D315" s="415">
        <v>44182</v>
      </c>
      <c r="E315" s="417" t="s">
        <v>771</v>
      </c>
      <c r="F315" s="332" t="s">
        <v>772</v>
      </c>
      <c r="G315" s="322" t="s">
        <v>402</v>
      </c>
      <c r="H315" s="323">
        <v>13460</v>
      </c>
      <c r="I315" s="323">
        <v>13460</v>
      </c>
      <c r="J315" s="323">
        <v>13460</v>
      </c>
      <c r="K315" s="323">
        <v>13460</v>
      </c>
      <c r="L315" s="323">
        <v>13460</v>
      </c>
      <c r="M315" s="323">
        <v>13460</v>
      </c>
      <c r="N315" s="323">
        <v>13460</v>
      </c>
      <c r="O315" s="323">
        <v>0</v>
      </c>
      <c r="P315" s="323">
        <f>SUM(H315:O315)</f>
        <v>94220</v>
      </c>
    </row>
    <row r="316" spans="1:16" ht="16.2" customHeight="1" x14ac:dyDescent="0.3">
      <c r="A316" s="412"/>
      <c r="B316" s="413"/>
      <c r="C316" s="414"/>
      <c r="D316" s="415"/>
      <c r="E316" s="417"/>
      <c r="F316" s="330" t="s">
        <v>773</v>
      </c>
      <c r="G316" s="324" t="s">
        <v>403</v>
      </c>
      <c r="H316" s="325">
        <v>234</v>
      </c>
      <c r="I316" s="325">
        <v>199</v>
      </c>
      <c r="J316" s="325">
        <v>165</v>
      </c>
      <c r="K316" s="325">
        <v>131</v>
      </c>
      <c r="L316" s="325">
        <v>97</v>
      </c>
      <c r="M316" s="340">
        <v>63</v>
      </c>
      <c r="N316" s="340">
        <v>29</v>
      </c>
      <c r="O316" s="340">
        <v>1</v>
      </c>
      <c r="P316" s="325">
        <f>SUM(H316:O316)</f>
        <v>919</v>
      </c>
    </row>
    <row r="317" spans="1:16" ht="16.2" customHeight="1" x14ac:dyDescent="0.3">
      <c r="A317" s="412"/>
      <c r="B317" s="413"/>
      <c r="C317" s="414"/>
      <c r="D317" s="415"/>
      <c r="E317" s="417"/>
      <c r="F317" s="326"/>
      <c r="G317" s="326" t="s">
        <v>404</v>
      </c>
      <c r="H317" s="327">
        <f t="shared" ref="H317:P317" si="108">SUM(H315:H316)</f>
        <v>13694</v>
      </c>
      <c r="I317" s="327">
        <f t="shared" si="108"/>
        <v>13659</v>
      </c>
      <c r="J317" s="327">
        <f t="shared" si="108"/>
        <v>13625</v>
      </c>
      <c r="K317" s="327">
        <f t="shared" si="108"/>
        <v>13591</v>
      </c>
      <c r="L317" s="327">
        <f t="shared" si="108"/>
        <v>13557</v>
      </c>
      <c r="M317" s="327">
        <f t="shared" si="108"/>
        <v>13523</v>
      </c>
      <c r="N317" s="327">
        <f t="shared" si="108"/>
        <v>13489</v>
      </c>
      <c r="O317" s="327">
        <f t="shared" si="108"/>
        <v>1</v>
      </c>
      <c r="P317" s="327">
        <f t="shared" si="108"/>
        <v>95139</v>
      </c>
    </row>
    <row r="318" spans="1:16" ht="16.2" customHeight="1" x14ac:dyDescent="0.3">
      <c r="A318" s="412">
        <f>A315+1</f>
        <v>104</v>
      </c>
      <c r="B318" s="413" t="s">
        <v>398</v>
      </c>
      <c r="C318" s="414" t="s">
        <v>774</v>
      </c>
      <c r="D318" s="415">
        <v>44182</v>
      </c>
      <c r="E318" s="417" t="s">
        <v>771</v>
      </c>
      <c r="F318" s="332" t="s">
        <v>775</v>
      </c>
      <c r="G318" s="322" t="s">
        <v>402</v>
      </c>
      <c r="H318" s="338">
        <v>7628</v>
      </c>
      <c r="I318" s="338">
        <v>7628</v>
      </c>
      <c r="J318" s="338">
        <v>7628</v>
      </c>
      <c r="K318" s="338">
        <v>7628</v>
      </c>
      <c r="L318" s="338">
        <v>7628</v>
      </c>
      <c r="M318" s="338">
        <v>7628</v>
      </c>
      <c r="N318" s="338">
        <v>7628</v>
      </c>
      <c r="O318" s="338">
        <v>0</v>
      </c>
      <c r="P318" s="323">
        <f>SUM(H318:O318)</f>
        <v>53396</v>
      </c>
    </row>
    <row r="319" spans="1:16" ht="16.2" customHeight="1" x14ac:dyDescent="0.3">
      <c r="A319" s="412"/>
      <c r="B319" s="413"/>
      <c r="C319" s="414"/>
      <c r="D319" s="415"/>
      <c r="E319" s="417"/>
      <c r="F319" s="330" t="s">
        <v>776</v>
      </c>
      <c r="G319" s="324" t="s">
        <v>403</v>
      </c>
      <c r="H319" s="325">
        <v>132</v>
      </c>
      <c r="I319" s="325">
        <v>113</v>
      </c>
      <c r="J319" s="325">
        <v>94</v>
      </c>
      <c r="K319" s="325">
        <v>74</v>
      </c>
      <c r="L319" s="325">
        <v>55</v>
      </c>
      <c r="M319" s="340">
        <v>36</v>
      </c>
      <c r="N319" s="340">
        <v>16</v>
      </c>
      <c r="O319" s="340">
        <v>1</v>
      </c>
      <c r="P319" s="325">
        <f>SUM(H319:O319)</f>
        <v>521</v>
      </c>
    </row>
    <row r="320" spans="1:16" ht="16.2" customHeight="1" x14ac:dyDescent="0.3">
      <c r="A320" s="412"/>
      <c r="B320" s="413"/>
      <c r="C320" s="414"/>
      <c r="D320" s="415"/>
      <c r="E320" s="417"/>
      <c r="F320" s="326"/>
      <c r="G320" s="326" t="s">
        <v>404</v>
      </c>
      <c r="H320" s="327">
        <f t="shared" ref="H320:P320" si="109">SUM(H318:H319)</f>
        <v>7760</v>
      </c>
      <c r="I320" s="327">
        <f t="shared" si="109"/>
        <v>7741</v>
      </c>
      <c r="J320" s="327">
        <f t="shared" si="109"/>
        <v>7722</v>
      </c>
      <c r="K320" s="327">
        <f t="shared" si="109"/>
        <v>7702</v>
      </c>
      <c r="L320" s="327">
        <f t="shared" si="109"/>
        <v>7683</v>
      </c>
      <c r="M320" s="327">
        <f t="shared" si="109"/>
        <v>7664</v>
      </c>
      <c r="N320" s="327">
        <f t="shared" si="109"/>
        <v>7644</v>
      </c>
      <c r="O320" s="327">
        <f t="shared" si="109"/>
        <v>1</v>
      </c>
      <c r="P320" s="327">
        <f t="shared" si="109"/>
        <v>53917</v>
      </c>
    </row>
    <row r="321" spans="1:16" ht="16.2" customHeight="1" x14ac:dyDescent="0.3">
      <c r="A321" s="412">
        <f>A318+1</f>
        <v>105</v>
      </c>
      <c r="B321" s="413" t="s">
        <v>398</v>
      </c>
      <c r="C321" s="424" t="s">
        <v>777</v>
      </c>
      <c r="D321" s="415">
        <v>44224</v>
      </c>
      <c r="E321" s="417" t="s">
        <v>778</v>
      </c>
      <c r="F321" s="332" t="s">
        <v>779</v>
      </c>
      <c r="G321" s="322" t="s">
        <v>402</v>
      </c>
      <c r="H321" s="338">
        <f>94448-22971</f>
        <v>71477</v>
      </c>
      <c r="I321" s="323">
        <f>94448+1416</f>
        <v>95864</v>
      </c>
      <c r="J321" s="323">
        <f>94448+1416</f>
        <v>95864</v>
      </c>
      <c r="K321" s="323">
        <f t="shared" ref="K321:N321" si="110">94448+1416</f>
        <v>95864</v>
      </c>
      <c r="L321" s="323">
        <f t="shared" si="110"/>
        <v>95864</v>
      </c>
      <c r="M321" s="323">
        <f t="shared" si="110"/>
        <v>95864</v>
      </c>
      <c r="N321" s="323">
        <f t="shared" si="110"/>
        <v>95864</v>
      </c>
      <c r="O321" s="323">
        <f>1109735-47195-94448+14475</f>
        <v>982567</v>
      </c>
      <c r="P321" s="323">
        <f>SUM(H321:O321)</f>
        <v>1629228</v>
      </c>
    </row>
    <row r="322" spans="1:16" ht="16.2" customHeight="1" x14ac:dyDescent="0.3">
      <c r="A322" s="412"/>
      <c r="B322" s="413"/>
      <c r="C322" s="414"/>
      <c r="D322" s="415"/>
      <c r="E322" s="417"/>
      <c r="F322" s="330" t="s">
        <v>780</v>
      </c>
      <c r="G322" s="324" t="s">
        <v>403</v>
      </c>
      <c r="H322" s="325">
        <f>67577+208</f>
        <v>67785</v>
      </c>
      <c r="I322" s="325">
        <v>67172</v>
      </c>
      <c r="J322" s="325">
        <v>63797</v>
      </c>
      <c r="K322" s="325">
        <v>59568</v>
      </c>
      <c r="L322" s="325">
        <v>55484</v>
      </c>
      <c r="M322" s="340">
        <v>51105</v>
      </c>
      <c r="N322" s="340">
        <v>46879</v>
      </c>
      <c r="O322" s="340">
        <v>237148</v>
      </c>
      <c r="P322" s="325">
        <f>SUM(H322:O322)</f>
        <v>648938</v>
      </c>
    </row>
    <row r="323" spans="1:16" ht="16.2" customHeight="1" x14ac:dyDescent="0.3">
      <c r="A323" s="412"/>
      <c r="B323" s="413"/>
      <c r="C323" s="414"/>
      <c r="D323" s="415"/>
      <c r="E323" s="417"/>
      <c r="F323" s="326"/>
      <c r="G323" s="326" t="s">
        <v>404</v>
      </c>
      <c r="H323" s="327">
        <f t="shared" ref="H323:P323" si="111">SUM(H321:H322)</f>
        <v>139262</v>
      </c>
      <c r="I323" s="327">
        <f t="shared" si="111"/>
        <v>163036</v>
      </c>
      <c r="J323" s="327">
        <f t="shared" si="111"/>
        <v>159661</v>
      </c>
      <c r="K323" s="327">
        <f t="shared" si="111"/>
        <v>155432</v>
      </c>
      <c r="L323" s="327">
        <f t="shared" si="111"/>
        <v>151348</v>
      </c>
      <c r="M323" s="327">
        <f t="shared" si="111"/>
        <v>146969</v>
      </c>
      <c r="N323" s="327">
        <f t="shared" si="111"/>
        <v>142743</v>
      </c>
      <c r="O323" s="327">
        <f t="shared" si="111"/>
        <v>1219715</v>
      </c>
      <c r="P323" s="327">
        <f t="shared" si="111"/>
        <v>2278166</v>
      </c>
    </row>
    <row r="324" spans="1:16" ht="16.2" customHeight="1" x14ac:dyDescent="0.3">
      <c r="A324" s="412">
        <f>A321+1</f>
        <v>106</v>
      </c>
      <c r="B324" s="413" t="s">
        <v>398</v>
      </c>
      <c r="C324" s="424" t="s">
        <v>781</v>
      </c>
      <c r="D324" s="415">
        <v>44237</v>
      </c>
      <c r="E324" s="417" t="s">
        <v>782</v>
      </c>
      <c r="F324" s="332" t="s">
        <v>783</v>
      </c>
      <c r="G324" s="322" t="s">
        <v>402</v>
      </c>
      <c r="H324" s="323">
        <f>880448-242512</f>
        <v>637936</v>
      </c>
      <c r="I324" s="344">
        <f>880448+12764</f>
        <v>893212</v>
      </c>
      <c r="J324" s="323">
        <f t="shared" ref="J324:N324" si="112">880448+12764</f>
        <v>893212</v>
      </c>
      <c r="K324" s="323">
        <f t="shared" si="112"/>
        <v>893212</v>
      </c>
      <c r="L324" s="323">
        <f t="shared" si="112"/>
        <v>893212</v>
      </c>
      <c r="M324" s="323">
        <f t="shared" si="112"/>
        <v>893212</v>
      </c>
      <c r="N324" s="323">
        <f t="shared" si="112"/>
        <v>893212</v>
      </c>
      <c r="O324" s="323">
        <f>12326241-880448+165928</f>
        <v>11611721</v>
      </c>
      <c r="P324" s="323">
        <f>SUM(H324:O324)</f>
        <v>17608929</v>
      </c>
    </row>
    <row r="325" spans="1:16" ht="16.2" customHeight="1" x14ac:dyDescent="0.3">
      <c r="A325" s="412"/>
      <c r="B325" s="413"/>
      <c r="C325" s="414"/>
      <c r="D325" s="415"/>
      <c r="E325" s="417"/>
      <c r="F325" s="330" t="s">
        <v>784</v>
      </c>
      <c r="G325" s="324" t="s">
        <v>403</v>
      </c>
      <c r="H325" s="325">
        <f>732344+2179</f>
        <v>734523</v>
      </c>
      <c r="I325" s="325">
        <v>723499</v>
      </c>
      <c r="J325" s="325">
        <v>691093</v>
      </c>
      <c r="K325" s="325">
        <v>652342</v>
      </c>
      <c r="L325" s="325">
        <v>615210</v>
      </c>
      <c r="M325" s="340">
        <v>574788</v>
      </c>
      <c r="N325" s="340">
        <v>536064</v>
      </c>
      <c r="O325" s="340">
        <v>3449512</v>
      </c>
      <c r="P325" s="325">
        <f>SUM(H325:O325)</f>
        <v>7977031</v>
      </c>
    </row>
    <row r="326" spans="1:16" ht="16.2" customHeight="1" x14ac:dyDescent="0.3">
      <c r="A326" s="412"/>
      <c r="B326" s="413"/>
      <c r="C326" s="414"/>
      <c r="D326" s="415"/>
      <c r="E326" s="417"/>
      <c r="F326" s="326"/>
      <c r="G326" s="326" t="s">
        <v>404</v>
      </c>
      <c r="H326" s="327">
        <f t="shared" ref="H326:P326" si="113">SUM(H324:H325)</f>
        <v>1372459</v>
      </c>
      <c r="I326" s="327">
        <f t="shared" si="113"/>
        <v>1616711</v>
      </c>
      <c r="J326" s="327">
        <f t="shared" si="113"/>
        <v>1584305</v>
      </c>
      <c r="K326" s="327">
        <f t="shared" si="113"/>
        <v>1545554</v>
      </c>
      <c r="L326" s="327">
        <f t="shared" si="113"/>
        <v>1508422</v>
      </c>
      <c r="M326" s="327">
        <f t="shared" si="113"/>
        <v>1468000</v>
      </c>
      <c r="N326" s="327">
        <f t="shared" si="113"/>
        <v>1429276</v>
      </c>
      <c r="O326" s="327">
        <f t="shared" si="113"/>
        <v>15061233</v>
      </c>
      <c r="P326" s="327">
        <f t="shared" si="113"/>
        <v>25585960</v>
      </c>
    </row>
    <row r="327" spans="1:16" ht="15.75" customHeight="1" x14ac:dyDescent="0.3">
      <c r="A327" s="412">
        <f>A324+1</f>
        <v>107</v>
      </c>
      <c r="B327" s="413" t="s">
        <v>398</v>
      </c>
      <c r="C327" s="424" t="s">
        <v>785</v>
      </c>
      <c r="D327" s="415">
        <v>44251</v>
      </c>
      <c r="E327" s="417" t="s">
        <v>786</v>
      </c>
      <c r="F327" s="332" t="s">
        <v>787</v>
      </c>
      <c r="G327" s="322" t="s">
        <v>402</v>
      </c>
      <c r="H327" s="323">
        <f>25484-6579</f>
        <v>18905</v>
      </c>
      <c r="I327" s="323">
        <v>25892</v>
      </c>
      <c r="J327" s="323">
        <v>25892</v>
      </c>
      <c r="K327" s="323">
        <v>25892</v>
      </c>
      <c r="L327" s="323">
        <v>25892</v>
      </c>
      <c r="M327" s="323">
        <v>25892</v>
      </c>
      <c r="N327" s="323">
        <v>25892</v>
      </c>
      <c r="O327" s="323">
        <f>286695-25484+4131</f>
        <v>265342</v>
      </c>
      <c r="P327" s="323">
        <f>SUM(H327:O327)</f>
        <v>439599</v>
      </c>
    </row>
    <row r="328" spans="1:16" ht="15.75" customHeight="1" x14ac:dyDescent="0.3">
      <c r="A328" s="412"/>
      <c r="B328" s="413"/>
      <c r="C328" s="424"/>
      <c r="D328" s="415"/>
      <c r="E328" s="417"/>
      <c r="F328" s="330" t="s">
        <v>788</v>
      </c>
      <c r="G328" s="324" t="s">
        <v>403</v>
      </c>
      <c r="H328" s="325">
        <f>18253+270</f>
        <v>18523</v>
      </c>
      <c r="I328" s="325">
        <v>17786</v>
      </c>
      <c r="J328" s="325">
        <v>16714</v>
      </c>
      <c r="K328" s="325">
        <v>15606</v>
      </c>
      <c r="L328" s="325">
        <v>14536</v>
      </c>
      <c r="M328" s="340">
        <v>13389</v>
      </c>
      <c r="N328" s="340">
        <v>12281</v>
      </c>
      <c r="O328" s="340">
        <v>62141</v>
      </c>
      <c r="P328" s="325">
        <f>SUM(H328:O328)</f>
        <v>170976</v>
      </c>
    </row>
    <row r="329" spans="1:16" ht="15.75" customHeight="1" x14ac:dyDescent="0.3">
      <c r="A329" s="412"/>
      <c r="B329" s="413"/>
      <c r="C329" s="424"/>
      <c r="D329" s="415"/>
      <c r="E329" s="417"/>
      <c r="F329" s="326"/>
      <c r="G329" s="326" t="s">
        <v>404</v>
      </c>
      <c r="H329" s="327">
        <f t="shared" ref="H329:P329" si="114">SUM(H327:H328)</f>
        <v>37428</v>
      </c>
      <c r="I329" s="327">
        <f t="shared" si="114"/>
        <v>43678</v>
      </c>
      <c r="J329" s="327">
        <f t="shared" si="114"/>
        <v>42606</v>
      </c>
      <c r="K329" s="327">
        <f t="shared" si="114"/>
        <v>41498</v>
      </c>
      <c r="L329" s="327">
        <f t="shared" si="114"/>
        <v>40428</v>
      </c>
      <c r="M329" s="327">
        <f t="shared" si="114"/>
        <v>39281</v>
      </c>
      <c r="N329" s="327">
        <f t="shared" si="114"/>
        <v>38173</v>
      </c>
      <c r="O329" s="327">
        <f t="shared" si="114"/>
        <v>327483</v>
      </c>
      <c r="P329" s="327">
        <f t="shared" si="114"/>
        <v>610575</v>
      </c>
    </row>
    <row r="330" spans="1:16" ht="15.75" customHeight="1" x14ac:dyDescent="0.3">
      <c r="A330" s="412">
        <f>A327+1</f>
        <v>108</v>
      </c>
      <c r="B330" s="413" t="s">
        <v>398</v>
      </c>
      <c r="C330" s="424" t="s">
        <v>789</v>
      </c>
      <c r="D330" s="415">
        <v>44280</v>
      </c>
      <c r="E330" s="417" t="s">
        <v>790</v>
      </c>
      <c r="F330" s="332" t="s">
        <v>791</v>
      </c>
      <c r="G330" s="322" t="s">
        <v>402</v>
      </c>
      <c r="H330" s="323">
        <f>751*4-639</f>
        <v>2365</v>
      </c>
      <c r="I330" s="323">
        <v>3064</v>
      </c>
      <c r="J330" s="323">
        <v>3064</v>
      </c>
      <c r="K330" s="323">
        <v>3064</v>
      </c>
      <c r="L330" s="323">
        <v>3064</v>
      </c>
      <c r="M330" s="323">
        <v>3064</v>
      </c>
      <c r="N330" s="323">
        <v>3064</v>
      </c>
      <c r="O330" s="323">
        <f>18775-3004+279</f>
        <v>16050</v>
      </c>
      <c r="P330" s="323">
        <f>SUM(H330:O330)</f>
        <v>36799</v>
      </c>
    </row>
    <row r="331" spans="1:16" ht="15.75" customHeight="1" x14ac:dyDescent="0.3">
      <c r="A331" s="412"/>
      <c r="B331" s="413"/>
      <c r="C331" s="424"/>
      <c r="D331" s="415"/>
      <c r="E331" s="417"/>
      <c r="F331" s="330" t="s">
        <v>792</v>
      </c>
      <c r="G331" s="324" t="s">
        <v>403</v>
      </c>
      <c r="H331" s="325">
        <f>1473+11</f>
        <v>1484</v>
      </c>
      <c r="I331" s="325">
        <v>1413</v>
      </c>
      <c r="J331" s="325">
        <v>1297</v>
      </c>
      <c r="K331" s="325">
        <v>1169</v>
      </c>
      <c r="L331" s="325">
        <v>1043</v>
      </c>
      <c r="M331" s="325">
        <v>911</v>
      </c>
      <c r="N331" s="325">
        <v>782</v>
      </c>
      <c r="O331" s="325">
        <v>2006</v>
      </c>
      <c r="P331" s="325">
        <f>SUM(H331:O331)</f>
        <v>10105</v>
      </c>
    </row>
    <row r="332" spans="1:16" ht="15.75" customHeight="1" x14ac:dyDescent="0.3">
      <c r="A332" s="412"/>
      <c r="B332" s="413"/>
      <c r="C332" s="424"/>
      <c r="D332" s="415"/>
      <c r="E332" s="417"/>
      <c r="F332" s="326"/>
      <c r="G332" s="326" t="s">
        <v>404</v>
      </c>
      <c r="H332" s="327">
        <f t="shared" ref="H332:P332" si="115">SUM(H330:H331)</f>
        <v>3849</v>
      </c>
      <c r="I332" s="327">
        <f t="shared" si="115"/>
        <v>4477</v>
      </c>
      <c r="J332" s="327">
        <f t="shared" si="115"/>
        <v>4361</v>
      </c>
      <c r="K332" s="327">
        <f t="shared" si="115"/>
        <v>4233</v>
      </c>
      <c r="L332" s="327">
        <f t="shared" si="115"/>
        <v>4107</v>
      </c>
      <c r="M332" s="327">
        <f t="shared" si="115"/>
        <v>3975</v>
      </c>
      <c r="N332" s="327">
        <f t="shared" si="115"/>
        <v>3846</v>
      </c>
      <c r="O332" s="327">
        <f t="shared" si="115"/>
        <v>18056</v>
      </c>
      <c r="P332" s="327">
        <f t="shared" si="115"/>
        <v>46904</v>
      </c>
    </row>
    <row r="333" spans="1:16" ht="24" customHeight="1" x14ac:dyDescent="0.3">
      <c r="A333" s="412">
        <f>A330+1</f>
        <v>109</v>
      </c>
      <c r="B333" s="413" t="s">
        <v>398</v>
      </c>
      <c r="C333" s="442" t="s">
        <v>1063</v>
      </c>
      <c r="D333" s="415">
        <v>44315</v>
      </c>
      <c r="E333" s="417" t="s">
        <v>793</v>
      </c>
      <c r="F333" s="332" t="s">
        <v>794</v>
      </c>
      <c r="G333" s="322" t="s">
        <v>402</v>
      </c>
      <c r="H333" s="323">
        <f>19604-6948</f>
        <v>12656</v>
      </c>
      <c r="I333" s="323">
        <v>20028</v>
      </c>
      <c r="J333" s="323">
        <v>20028</v>
      </c>
      <c r="K333" s="323">
        <v>20028</v>
      </c>
      <c r="L333" s="323">
        <v>20028</v>
      </c>
      <c r="M333" s="323">
        <v>20028</v>
      </c>
      <c r="N333" s="323">
        <v>20028</v>
      </c>
      <c r="O333" s="323">
        <f>225446-19604+4404</f>
        <v>210246</v>
      </c>
      <c r="P333" s="323">
        <f>SUM(H333:O333)</f>
        <v>343070</v>
      </c>
    </row>
    <row r="334" spans="1:16" ht="18" customHeight="1" x14ac:dyDescent="0.3">
      <c r="A334" s="412"/>
      <c r="B334" s="413"/>
      <c r="C334" s="442"/>
      <c r="D334" s="415"/>
      <c r="E334" s="417"/>
      <c r="F334" s="330" t="s">
        <v>795</v>
      </c>
      <c r="G334" s="324" t="s">
        <v>403</v>
      </c>
      <c r="H334" s="325">
        <f>14630+193-35</f>
        <v>14788</v>
      </c>
      <c r="I334" s="325">
        <v>13897</v>
      </c>
      <c r="J334" s="325">
        <v>13065</v>
      </c>
      <c r="K334" s="325">
        <v>12213</v>
      </c>
      <c r="L334" s="325">
        <v>11390</v>
      </c>
      <c r="M334" s="340">
        <v>10507</v>
      </c>
      <c r="N334" s="340">
        <v>9656</v>
      </c>
      <c r="O334" s="340">
        <v>50044</v>
      </c>
      <c r="P334" s="325">
        <f>SUM(H334:O334)</f>
        <v>135560</v>
      </c>
    </row>
    <row r="335" spans="1:16" ht="20.399999999999999" customHeight="1" x14ac:dyDescent="0.3">
      <c r="A335" s="412"/>
      <c r="B335" s="413"/>
      <c r="C335" s="442"/>
      <c r="D335" s="415"/>
      <c r="E335" s="417"/>
      <c r="F335" s="326"/>
      <c r="G335" s="326" t="s">
        <v>404</v>
      </c>
      <c r="H335" s="327">
        <f t="shared" ref="H335:P335" si="116">SUM(H333:H334)</f>
        <v>27444</v>
      </c>
      <c r="I335" s="327">
        <f t="shared" si="116"/>
        <v>33925</v>
      </c>
      <c r="J335" s="327">
        <f t="shared" si="116"/>
        <v>33093</v>
      </c>
      <c r="K335" s="327">
        <f t="shared" si="116"/>
        <v>32241</v>
      </c>
      <c r="L335" s="327">
        <f t="shared" si="116"/>
        <v>31418</v>
      </c>
      <c r="M335" s="327">
        <f t="shared" si="116"/>
        <v>30535</v>
      </c>
      <c r="N335" s="327">
        <f t="shared" si="116"/>
        <v>29684</v>
      </c>
      <c r="O335" s="327">
        <f t="shared" si="116"/>
        <v>260290</v>
      </c>
      <c r="P335" s="327">
        <f t="shared" si="116"/>
        <v>478630</v>
      </c>
    </row>
    <row r="336" spans="1:16" ht="15.75" customHeight="1" x14ac:dyDescent="0.3">
      <c r="A336" s="412">
        <f>A333+1</f>
        <v>110</v>
      </c>
      <c r="B336" s="413" t="s">
        <v>398</v>
      </c>
      <c r="C336" s="424" t="s">
        <v>796</v>
      </c>
      <c r="D336" s="415">
        <v>44326</v>
      </c>
      <c r="E336" s="417" t="s">
        <v>425</v>
      </c>
      <c r="F336" s="332" t="s">
        <v>797</v>
      </c>
      <c r="G336" s="322" t="s">
        <v>402</v>
      </c>
      <c r="H336" s="323">
        <f>142756-2479</f>
        <v>140277</v>
      </c>
      <c r="I336" s="323">
        <v>68564</v>
      </c>
      <c r="J336" s="323">
        <v>44236</v>
      </c>
      <c r="K336" s="323">
        <f>21622+495</f>
        <v>22117</v>
      </c>
      <c r="L336" s="323">
        <v>0</v>
      </c>
      <c r="M336" s="323">
        <v>0</v>
      </c>
      <c r="N336" s="323">
        <v>0</v>
      </c>
      <c r="O336" s="323">
        <v>0</v>
      </c>
      <c r="P336" s="323">
        <f>SUM(H336:O336)</f>
        <v>275194</v>
      </c>
    </row>
    <row r="337" spans="1:16" ht="15.75" customHeight="1" x14ac:dyDescent="0.3">
      <c r="A337" s="412"/>
      <c r="B337" s="413"/>
      <c r="C337" s="414"/>
      <c r="D337" s="415"/>
      <c r="E337" s="417"/>
      <c r="F337" s="330" t="s">
        <v>798</v>
      </c>
      <c r="G337" s="324" t="s">
        <v>403</v>
      </c>
      <c r="H337" s="325">
        <f>9818+646+43-5</f>
        <v>10502</v>
      </c>
      <c r="I337" s="325">
        <f>4910+325</f>
        <v>5235</v>
      </c>
      <c r="J337" s="325">
        <f>2334+154</f>
        <v>2488</v>
      </c>
      <c r="K337" s="325">
        <f>562+37</f>
        <v>599</v>
      </c>
      <c r="L337" s="325">
        <v>0</v>
      </c>
      <c r="M337" s="325">
        <v>0</v>
      </c>
      <c r="N337" s="325">
        <v>0</v>
      </c>
      <c r="O337" s="325">
        <v>0</v>
      </c>
      <c r="P337" s="325">
        <f>SUM(H337:O337)</f>
        <v>18824</v>
      </c>
    </row>
    <row r="338" spans="1:16" ht="15.75" customHeight="1" x14ac:dyDescent="0.3">
      <c r="A338" s="412"/>
      <c r="B338" s="413"/>
      <c r="C338" s="414"/>
      <c r="D338" s="415"/>
      <c r="E338" s="417"/>
      <c r="F338" s="326"/>
      <c r="G338" s="326" t="s">
        <v>404</v>
      </c>
      <c r="H338" s="327">
        <f t="shared" ref="H338:P338" si="117">SUM(H336:H337)</f>
        <v>150779</v>
      </c>
      <c r="I338" s="327">
        <f t="shared" si="117"/>
        <v>73799</v>
      </c>
      <c r="J338" s="327">
        <f t="shared" si="117"/>
        <v>46724</v>
      </c>
      <c r="K338" s="327">
        <f t="shared" si="117"/>
        <v>22716</v>
      </c>
      <c r="L338" s="327">
        <f t="shared" si="117"/>
        <v>0</v>
      </c>
      <c r="M338" s="327">
        <f t="shared" si="117"/>
        <v>0</v>
      </c>
      <c r="N338" s="327">
        <f>SUM(N336:N337)</f>
        <v>0</v>
      </c>
      <c r="O338" s="327">
        <f t="shared" si="117"/>
        <v>0</v>
      </c>
      <c r="P338" s="327">
        <f t="shared" si="117"/>
        <v>294018</v>
      </c>
    </row>
    <row r="339" spans="1:16" ht="15.75" customHeight="1" x14ac:dyDescent="0.3">
      <c r="A339" s="412">
        <f>A336+1</f>
        <v>111</v>
      </c>
      <c r="B339" s="413" t="s">
        <v>398</v>
      </c>
      <c r="C339" s="414" t="s">
        <v>799</v>
      </c>
      <c r="D339" s="415">
        <v>44358</v>
      </c>
      <c r="E339" s="417" t="s">
        <v>800</v>
      </c>
      <c r="F339" s="332" t="s">
        <v>801</v>
      </c>
      <c r="G339" s="322" t="s">
        <v>402</v>
      </c>
      <c r="H339" s="323">
        <f>15592-3365</f>
        <v>12227</v>
      </c>
      <c r="I339" s="323">
        <v>16112</v>
      </c>
      <c r="J339" s="323">
        <v>16112</v>
      </c>
      <c r="K339" s="323">
        <v>16112</v>
      </c>
      <c r="L339" s="323">
        <v>16112</v>
      </c>
      <c r="M339" s="323">
        <v>16112</v>
      </c>
      <c r="N339" s="323">
        <v>16112</v>
      </c>
      <c r="O339" s="323">
        <f>23388-15592+245</f>
        <v>8041</v>
      </c>
      <c r="P339" s="323">
        <f>SUM(H339:O339)</f>
        <v>116940</v>
      </c>
    </row>
    <row r="340" spans="1:16" ht="15.75" customHeight="1" x14ac:dyDescent="0.3">
      <c r="A340" s="412"/>
      <c r="B340" s="413"/>
      <c r="C340" s="414"/>
      <c r="D340" s="415"/>
      <c r="E340" s="417"/>
      <c r="F340" s="330" t="s">
        <v>802</v>
      </c>
      <c r="G340" s="324" t="s">
        <v>403</v>
      </c>
      <c r="H340" s="325">
        <f>4098+61-8</f>
        <v>4151</v>
      </c>
      <c r="I340" s="325">
        <v>4259</v>
      </c>
      <c r="J340" s="325">
        <v>3596</v>
      </c>
      <c r="K340" s="325">
        <v>2923</v>
      </c>
      <c r="L340" s="342">
        <v>2255</v>
      </c>
      <c r="M340" s="340">
        <v>1576</v>
      </c>
      <c r="N340" s="340">
        <v>903</v>
      </c>
      <c r="O340" s="340">
        <v>221</v>
      </c>
      <c r="P340" s="325">
        <f>SUM(H340:O340)</f>
        <v>19884</v>
      </c>
    </row>
    <row r="341" spans="1:16" ht="15.75" customHeight="1" x14ac:dyDescent="0.3">
      <c r="A341" s="412"/>
      <c r="B341" s="413"/>
      <c r="C341" s="414"/>
      <c r="D341" s="415"/>
      <c r="E341" s="417"/>
      <c r="F341" s="326"/>
      <c r="G341" s="326" t="s">
        <v>404</v>
      </c>
      <c r="H341" s="327">
        <f t="shared" ref="H341:P341" si="118">SUM(H339:H340)</f>
        <v>16378</v>
      </c>
      <c r="I341" s="327">
        <f t="shared" si="118"/>
        <v>20371</v>
      </c>
      <c r="J341" s="327">
        <f t="shared" si="118"/>
        <v>19708</v>
      </c>
      <c r="K341" s="327">
        <f t="shared" si="118"/>
        <v>19035</v>
      </c>
      <c r="L341" s="327">
        <f t="shared" si="118"/>
        <v>18367</v>
      </c>
      <c r="M341" s="327">
        <f t="shared" si="118"/>
        <v>17688</v>
      </c>
      <c r="N341" s="327">
        <f t="shared" si="118"/>
        <v>17015</v>
      </c>
      <c r="O341" s="327">
        <f t="shared" si="118"/>
        <v>8262</v>
      </c>
      <c r="P341" s="327">
        <f t="shared" si="118"/>
        <v>136824</v>
      </c>
    </row>
    <row r="342" spans="1:16" ht="15.75" customHeight="1" x14ac:dyDescent="0.3">
      <c r="A342" s="412">
        <f>A339+1</f>
        <v>112</v>
      </c>
      <c r="B342" s="413" t="s">
        <v>398</v>
      </c>
      <c r="C342" s="414" t="s">
        <v>803</v>
      </c>
      <c r="D342" s="415">
        <v>44358</v>
      </c>
      <c r="E342" s="417" t="s">
        <v>804</v>
      </c>
      <c r="F342" s="332" t="s">
        <v>805</v>
      </c>
      <c r="G342" s="322" t="s">
        <v>402</v>
      </c>
      <c r="H342" s="323">
        <f>27632-10193</f>
        <v>17439</v>
      </c>
      <c r="I342" s="323">
        <v>28252</v>
      </c>
      <c r="J342" s="323">
        <v>28252</v>
      </c>
      <c r="K342" s="323">
        <v>28252</v>
      </c>
      <c r="L342" s="323">
        <v>28252</v>
      </c>
      <c r="M342" s="323">
        <v>28252</v>
      </c>
      <c r="N342" s="323">
        <v>28252</v>
      </c>
      <c r="O342" s="323">
        <f>317768-27632+6473</f>
        <v>296609</v>
      </c>
      <c r="P342" s="323">
        <f>SUM(H342:O342)</f>
        <v>483560</v>
      </c>
    </row>
    <row r="343" spans="1:16" ht="15.75" customHeight="1" x14ac:dyDescent="0.3">
      <c r="A343" s="412"/>
      <c r="B343" s="413"/>
      <c r="C343" s="414"/>
      <c r="D343" s="415"/>
      <c r="E343" s="417"/>
      <c r="F343" s="330" t="s">
        <v>806</v>
      </c>
      <c r="G343" s="324" t="s">
        <v>403</v>
      </c>
      <c r="H343" s="325">
        <f>21302+225-33</f>
        <v>21494</v>
      </c>
      <c r="I343" s="325">
        <v>19978</v>
      </c>
      <c r="J343" s="325">
        <v>18782</v>
      </c>
      <c r="K343" s="325">
        <v>17557</v>
      </c>
      <c r="L343" s="340">
        <v>16375</v>
      </c>
      <c r="M343" s="340">
        <v>15106</v>
      </c>
      <c r="N343" s="340">
        <v>13882</v>
      </c>
      <c r="O343" s="340">
        <v>71977</v>
      </c>
      <c r="P343" s="325">
        <f>SUM(H343:O343)</f>
        <v>195151</v>
      </c>
    </row>
    <row r="344" spans="1:16" ht="15.75" customHeight="1" x14ac:dyDescent="0.3">
      <c r="A344" s="412"/>
      <c r="B344" s="413"/>
      <c r="C344" s="414"/>
      <c r="D344" s="415"/>
      <c r="E344" s="417"/>
      <c r="F344" s="326"/>
      <c r="G344" s="326" t="s">
        <v>404</v>
      </c>
      <c r="H344" s="327">
        <f t="shared" ref="H344:P344" si="119">SUM(H342:H343)</f>
        <v>38933</v>
      </c>
      <c r="I344" s="327">
        <f t="shared" si="119"/>
        <v>48230</v>
      </c>
      <c r="J344" s="327">
        <f t="shared" si="119"/>
        <v>47034</v>
      </c>
      <c r="K344" s="327">
        <f t="shared" si="119"/>
        <v>45809</v>
      </c>
      <c r="L344" s="327">
        <f t="shared" si="119"/>
        <v>44627</v>
      </c>
      <c r="M344" s="327">
        <f t="shared" si="119"/>
        <v>43358</v>
      </c>
      <c r="N344" s="327">
        <f t="shared" si="119"/>
        <v>42134</v>
      </c>
      <c r="O344" s="327">
        <f t="shared" si="119"/>
        <v>368586</v>
      </c>
      <c r="P344" s="327">
        <f t="shared" si="119"/>
        <v>678711</v>
      </c>
    </row>
    <row r="345" spans="1:16" ht="15.75" customHeight="1" x14ac:dyDescent="0.3">
      <c r="A345" s="412">
        <f>A342+1</f>
        <v>113</v>
      </c>
      <c r="B345" s="413" t="s">
        <v>398</v>
      </c>
      <c r="C345" s="414" t="s">
        <v>807</v>
      </c>
      <c r="D345" s="415">
        <v>44375</v>
      </c>
      <c r="E345" s="445" t="s">
        <v>808</v>
      </c>
      <c r="F345" s="332" t="s">
        <v>809</v>
      </c>
      <c r="G345" s="322" t="s">
        <v>402</v>
      </c>
      <c r="H345" s="323">
        <f>27588-7228</f>
        <v>20360</v>
      </c>
      <c r="I345" s="323">
        <v>28220</v>
      </c>
      <c r="J345" s="323">
        <v>28220</v>
      </c>
      <c r="K345" s="323">
        <v>28220</v>
      </c>
      <c r="L345" s="323">
        <v>28220</v>
      </c>
      <c r="M345" s="323">
        <v>28220</v>
      </c>
      <c r="N345" s="323">
        <v>28220</v>
      </c>
      <c r="O345" s="323">
        <f>179322-27588+3436</f>
        <v>155170</v>
      </c>
      <c r="P345" s="323">
        <f>SUM(H345:O345)</f>
        <v>344850</v>
      </c>
    </row>
    <row r="346" spans="1:16" ht="15.75" customHeight="1" x14ac:dyDescent="0.3">
      <c r="A346" s="412"/>
      <c r="B346" s="413"/>
      <c r="C346" s="414"/>
      <c r="D346" s="415"/>
      <c r="E346" s="445"/>
      <c r="F346" s="330" t="s">
        <v>810</v>
      </c>
      <c r="G346" s="324" t="s">
        <v>403</v>
      </c>
      <c r="H346" s="325">
        <f>15345+145-152</f>
        <v>15338</v>
      </c>
      <c r="I346" s="325">
        <v>13600</v>
      </c>
      <c r="J346" s="325">
        <v>12420</v>
      </c>
      <c r="K346" s="325">
        <v>11219</v>
      </c>
      <c r="L346" s="340">
        <v>10043</v>
      </c>
      <c r="M346" s="340">
        <v>8814</v>
      </c>
      <c r="N346" s="340">
        <v>7614</v>
      </c>
      <c r="O346" s="340">
        <v>20503</v>
      </c>
      <c r="P346" s="325">
        <f>SUM(H346:O346)</f>
        <v>99551</v>
      </c>
    </row>
    <row r="347" spans="1:16" ht="18" customHeight="1" x14ac:dyDescent="0.3">
      <c r="A347" s="412"/>
      <c r="B347" s="413"/>
      <c r="C347" s="414"/>
      <c r="D347" s="415"/>
      <c r="E347" s="445"/>
      <c r="F347" s="326"/>
      <c r="G347" s="326" t="s">
        <v>404</v>
      </c>
      <c r="H347" s="327">
        <f t="shared" ref="H347:P347" si="120">SUM(H345:H346)</f>
        <v>35698</v>
      </c>
      <c r="I347" s="327">
        <f t="shared" si="120"/>
        <v>41820</v>
      </c>
      <c r="J347" s="327">
        <f t="shared" si="120"/>
        <v>40640</v>
      </c>
      <c r="K347" s="327">
        <f t="shared" si="120"/>
        <v>39439</v>
      </c>
      <c r="L347" s="327">
        <f t="shared" si="120"/>
        <v>38263</v>
      </c>
      <c r="M347" s="327">
        <f t="shared" si="120"/>
        <v>37034</v>
      </c>
      <c r="N347" s="327">
        <f t="shared" si="120"/>
        <v>35834</v>
      </c>
      <c r="O347" s="327">
        <f t="shared" si="120"/>
        <v>175673</v>
      </c>
      <c r="P347" s="327">
        <f t="shared" si="120"/>
        <v>444401</v>
      </c>
    </row>
    <row r="348" spans="1:16" ht="15.75" customHeight="1" x14ac:dyDescent="0.3">
      <c r="A348" s="412">
        <f>A345+1</f>
        <v>114</v>
      </c>
      <c r="B348" s="413" t="s">
        <v>398</v>
      </c>
      <c r="C348" s="424" t="s">
        <v>811</v>
      </c>
      <c r="D348" s="415">
        <v>44376</v>
      </c>
      <c r="E348" s="417" t="s">
        <v>812</v>
      </c>
      <c r="F348" s="332" t="s">
        <v>813</v>
      </c>
      <c r="G348" s="322" t="s">
        <v>402</v>
      </c>
      <c r="H348" s="323">
        <f>29092-7485</f>
        <v>21607</v>
      </c>
      <c r="I348" s="323">
        <v>29744</v>
      </c>
      <c r="J348" s="323">
        <v>29744</v>
      </c>
      <c r="K348" s="323">
        <v>29744</v>
      </c>
      <c r="L348" s="323">
        <v>29744</v>
      </c>
      <c r="M348" s="323">
        <v>29744</v>
      </c>
      <c r="N348" s="323">
        <v>29744</v>
      </c>
      <c r="O348" s="323">
        <f>189098-29092+3573</f>
        <v>163579</v>
      </c>
      <c r="P348" s="323">
        <f>SUM(H348:O348)</f>
        <v>363650</v>
      </c>
    </row>
    <row r="349" spans="1:16" ht="15.75" customHeight="1" x14ac:dyDescent="0.3">
      <c r="A349" s="412"/>
      <c r="B349" s="413"/>
      <c r="C349" s="414"/>
      <c r="D349" s="415"/>
      <c r="E349" s="417"/>
      <c r="F349" s="330" t="s">
        <v>814</v>
      </c>
      <c r="G349" s="324" t="s">
        <v>403</v>
      </c>
      <c r="H349" s="325">
        <f>16254+152-157</f>
        <v>16249</v>
      </c>
      <c r="I349" s="325">
        <v>14336</v>
      </c>
      <c r="J349" s="325">
        <v>13092</v>
      </c>
      <c r="K349" s="325">
        <v>11826</v>
      </c>
      <c r="L349" s="340">
        <v>10586</v>
      </c>
      <c r="M349" s="340">
        <v>9291</v>
      </c>
      <c r="N349" s="340">
        <v>8026</v>
      </c>
      <c r="O349" s="340">
        <v>21617</v>
      </c>
      <c r="P349" s="325">
        <f>SUM(H349:O349)</f>
        <v>105023</v>
      </c>
    </row>
    <row r="350" spans="1:16" ht="15.75" customHeight="1" x14ac:dyDescent="0.3">
      <c r="A350" s="412"/>
      <c r="B350" s="413"/>
      <c r="C350" s="414"/>
      <c r="D350" s="415"/>
      <c r="E350" s="417"/>
      <c r="F350" s="326"/>
      <c r="G350" s="326" t="s">
        <v>404</v>
      </c>
      <c r="H350" s="327">
        <f t="shared" ref="H350:P350" si="121">SUM(H348:H349)</f>
        <v>37856</v>
      </c>
      <c r="I350" s="327">
        <f t="shared" si="121"/>
        <v>44080</v>
      </c>
      <c r="J350" s="327">
        <f t="shared" si="121"/>
        <v>42836</v>
      </c>
      <c r="K350" s="327">
        <f t="shared" si="121"/>
        <v>41570</v>
      </c>
      <c r="L350" s="327">
        <f t="shared" si="121"/>
        <v>40330</v>
      </c>
      <c r="M350" s="327">
        <f t="shared" si="121"/>
        <v>39035</v>
      </c>
      <c r="N350" s="327">
        <f t="shared" si="121"/>
        <v>37770</v>
      </c>
      <c r="O350" s="327">
        <f t="shared" si="121"/>
        <v>185196</v>
      </c>
      <c r="P350" s="327">
        <f t="shared" si="121"/>
        <v>468673</v>
      </c>
    </row>
    <row r="351" spans="1:16" ht="15.75" customHeight="1" x14ac:dyDescent="0.3">
      <c r="A351" s="412">
        <f>A348+1</f>
        <v>115</v>
      </c>
      <c r="B351" s="413" t="s">
        <v>398</v>
      </c>
      <c r="C351" s="424" t="s">
        <v>815</v>
      </c>
      <c r="D351" s="415">
        <v>44412</v>
      </c>
      <c r="E351" s="417" t="s">
        <v>816</v>
      </c>
      <c r="F351" s="332" t="s">
        <v>817</v>
      </c>
      <c r="G351" s="322" t="s">
        <v>402</v>
      </c>
      <c r="H351" s="323">
        <f>16967-16967</f>
        <v>0</v>
      </c>
      <c r="I351" s="323">
        <v>34784</v>
      </c>
      <c r="J351" s="323">
        <v>34784</v>
      </c>
      <c r="K351" s="323">
        <v>34784</v>
      </c>
      <c r="L351" s="323">
        <v>34784</v>
      </c>
      <c r="M351" s="323">
        <v>34784</v>
      </c>
      <c r="N351" s="323">
        <v>34784</v>
      </c>
      <c r="O351" s="323">
        <f>8696*82+8650</f>
        <v>721722</v>
      </c>
      <c r="P351" s="323">
        <f>SUM(H351:O351)</f>
        <v>930426</v>
      </c>
    </row>
    <row r="352" spans="1:16" ht="15.75" customHeight="1" x14ac:dyDescent="0.3">
      <c r="A352" s="412"/>
      <c r="B352" s="413"/>
      <c r="C352" s="414"/>
      <c r="D352" s="415"/>
      <c r="E352" s="417"/>
      <c r="F352" s="330" t="s">
        <v>818</v>
      </c>
      <c r="G352" s="324" t="s">
        <v>403</v>
      </c>
      <c r="H352" s="325">
        <f>45462+168-641</f>
        <v>44989</v>
      </c>
      <c r="I352" s="325">
        <v>42753</v>
      </c>
      <c r="J352" s="325">
        <v>41234</v>
      </c>
      <c r="K352" s="325">
        <v>39622</v>
      </c>
      <c r="L352" s="325">
        <v>38111</v>
      </c>
      <c r="M352" s="325">
        <v>36395</v>
      </c>
      <c r="N352" s="325">
        <v>34784</v>
      </c>
      <c r="O352" s="325">
        <v>358356</v>
      </c>
      <c r="P352" s="325">
        <f>SUM(H352:O352)</f>
        <v>636244</v>
      </c>
    </row>
    <row r="353" spans="1:16" ht="15.75" customHeight="1" x14ac:dyDescent="0.3">
      <c r="A353" s="412"/>
      <c r="B353" s="413"/>
      <c r="C353" s="414"/>
      <c r="D353" s="415"/>
      <c r="E353" s="417"/>
      <c r="F353" s="326"/>
      <c r="G353" s="326" t="s">
        <v>404</v>
      </c>
      <c r="H353" s="327">
        <f t="shared" ref="H353:P353" si="122">SUM(H351:H352)</f>
        <v>44989</v>
      </c>
      <c r="I353" s="327">
        <f t="shared" si="122"/>
        <v>77537</v>
      </c>
      <c r="J353" s="327">
        <f t="shared" si="122"/>
        <v>76018</v>
      </c>
      <c r="K353" s="327">
        <f t="shared" si="122"/>
        <v>74406</v>
      </c>
      <c r="L353" s="327">
        <f t="shared" si="122"/>
        <v>72895</v>
      </c>
      <c r="M353" s="327">
        <f t="shared" si="122"/>
        <v>71179</v>
      </c>
      <c r="N353" s="327">
        <f t="shared" si="122"/>
        <v>69568</v>
      </c>
      <c r="O353" s="327">
        <f t="shared" si="122"/>
        <v>1080078</v>
      </c>
      <c r="P353" s="327">
        <f t="shared" si="122"/>
        <v>1566670</v>
      </c>
    </row>
    <row r="354" spans="1:16" ht="15.75" customHeight="1" x14ac:dyDescent="0.3">
      <c r="A354" s="412">
        <f>A351+1</f>
        <v>116</v>
      </c>
      <c r="B354" s="413" t="s">
        <v>398</v>
      </c>
      <c r="C354" s="446" t="s">
        <v>819</v>
      </c>
      <c r="D354" s="417" t="s">
        <v>820</v>
      </c>
      <c r="E354" s="417" t="s">
        <v>821</v>
      </c>
      <c r="F354" s="332" t="s">
        <v>822</v>
      </c>
      <c r="G354" s="322" t="s">
        <v>402</v>
      </c>
      <c r="H354" s="323">
        <f>9996-582</f>
        <v>9414</v>
      </c>
      <c r="I354" s="323">
        <v>9868</v>
      </c>
      <c r="J354" s="323">
        <v>9868</v>
      </c>
      <c r="K354" s="323">
        <v>9868</v>
      </c>
      <c r="L354" s="323">
        <v>7399</v>
      </c>
      <c r="M354" s="323">
        <v>0</v>
      </c>
      <c r="N354" s="323">
        <v>0</v>
      </c>
      <c r="O354" s="323">
        <v>0</v>
      </c>
      <c r="P354" s="323">
        <f>SUM(H354:O354)</f>
        <v>46417</v>
      </c>
    </row>
    <row r="355" spans="1:16" ht="15.75" customHeight="1" x14ac:dyDescent="0.3">
      <c r="A355" s="412"/>
      <c r="B355" s="413"/>
      <c r="C355" s="446"/>
      <c r="D355" s="417"/>
      <c r="E355" s="417"/>
      <c r="F355" s="330" t="s">
        <v>823</v>
      </c>
      <c r="G355" s="324" t="s">
        <v>403</v>
      </c>
      <c r="H355" s="325">
        <f>2053+6</f>
        <v>2059</v>
      </c>
      <c r="I355" s="325">
        <v>1463</v>
      </c>
      <c r="J355" s="325">
        <v>1056</v>
      </c>
      <c r="K355" s="325">
        <v>649</v>
      </c>
      <c r="L355" s="340">
        <v>242</v>
      </c>
      <c r="M355" s="325">
        <v>0</v>
      </c>
      <c r="N355" s="325">
        <v>0</v>
      </c>
      <c r="O355" s="325">
        <v>0</v>
      </c>
      <c r="P355" s="325">
        <f>SUM(H355:O355)</f>
        <v>5469</v>
      </c>
    </row>
    <row r="356" spans="1:16" ht="15.75" customHeight="1" x14ac:dyDescent="0.3">
      <c r="A356" s="412"/>
      <c r="B356" s="413"/>
      <c r="C356" s="446"/>
      <c r="D356" s="417"/>
      <c r="E356" s="417"/>
      <c r="F356" s="326"/>
      <c r="G356" s="326" t="s">
        <v>404</v>
      </c>
      <c r="H356" s="327">
        <f t="shared" ref="H356:P356" si="123">SUM(H354:H355)</f>
        <v>11473</v>
      </c>
      <c r="I356" s="327">
        <f t="shared" si="123"/>
        <v>11331</v>
      </c>
      <c r="J356" s="327">
        <f t="shared" si="123"/>
        <v>10924</v>
      </c>
      <c r="K356" s="327">
        <f t="shared" si="123"/>
        <v>10517</v>
      </c>
      <c r="L356" s="327">
        <f t="shared" si="123"/>
        <v>7641</v>
      </c>
      <c r="M356" s="327">
        <f t="shared" si="123"/>
        <v>0</v>
      </c>
      <c r="N356" s="327">
        <f>SUM(N354:N355)</f>
        <v>0</v>
      </c>
      <c r="O356" s="327">
        <f t="shared" si="123"/>
        <v>0</v>
      </c>
      <c r="P356" s="327">
        <f t="shared" si="123"/>
        <v>51886</v>
      </c>
    </row>
    <row r="357" spans="1:16" ht="15" customHeight="1" x14ac:dyDescent="0.3">
      <c r="A357" s="412">
        <f>A354+1</f>
        <v>117</v>
      </c>
      <c r="B357" s="413" t="s">
        <v>398</v>
      </c>
      <c r="C357" s="446" t="s">
        <v>824</v>
      </c>
      <c r="D357" s="417" t="s">
        <v>820</v>
      </c>
      <c r="E357" s="417" t="s">
        <v>821</v>
      </c>
      <c r="F357" s="332" t="s">
        <v>825</v>
      </c>
      <c r="G357" s="322" t="s">
        <v>402</v>
      </c>
      <c r="H357" s="323">
        <f>6072-468</f>
        <v>5604</v>
      </c>
      <c r="I357" s="323">
        <v>6032</v>
      </c>
      <c r="J357" s="323">
        <v>6032</v>
      </c>
      <c r="K357" s="323">
        <v>6032</v>
      </c>
      <c r="L357" s="323">
        <v>6032</v>
      </c>
      <c r="M357" s="323">
        <v>4520</v>
      </c>
      <c r="N357" s="323">
        <v>0</v>
      </c>
      <c r="O357" s="323">
        <v>0</v>
      </c>
      <c r="P357" s="323">
        <f>SUM(H357:O357)</f>
        <v>34252</v>
      </c>
    </row>
    <row r="358" spans="1:16" ht="15" customHeight="1" x14ac:dyDescent="0.3">
      <c r="A358" s="412"/>
      <c r="B358" s="413"/>
      <c r="C358" s="446"/>
      <c r="D358" s="417"/>
      <c r="E358" s="417"/>
      <c r="F358" s="330" t="s">
        <v>826</v>
      </c>
      <c r="G358" s="324" t="s">
        <v>403</v>
      </c>
      <c r="H358" s="325">
        <f>1524+4</f>
        <v>1528</v>
      </c>
      <c r="I358" s="325">
        <v>1143</v>
      </c>
      <c r="J358" s="325">
        <v>894</v>
      </c>
      <c r="K358" s="325">
        <v>645</v>
      </c>
      <c r="L358" s="325">
        <v>397</v>
      </c>
      <c r="M358" s="340">
        <v>147</v>
      </c>
      <c r="N358" s="325">
        <v>0</v>
      </c>
      <c r="O358" s="325">
        <v>0</v>
      </c>
      <c r="P358" s="325">
        <f>SUM(H358:O358)</f>
        <v>4754</v>
      </c>
    </row>
    <row r="359" spans="1:16" ht="15" customHeight="1" x14ac:dyDescent="0.3">
      <c r="A359" s="412"/>
      <c r="B359" s="413"/>
      <c r="C359" s="446"/>
      <c r="D359" s="417"/>
      <c r="E359" s="417"/>
      <c r="F359" s="326"/>
      <c r="G359" s="326" t="s">
        <v>404</v>
      </c>
      <c r="H359" s="327">
        <f t="shared" ref="H359:P359" si="124">SUM(H357:H358)</f>
        <v>7132</v>
      </c>
      <c r="I359" s="327">
        <f t="shared" si="124"/>
        <v>7175</v>
      </c>
      <c r="J359" s="327">
        <f t="shared" si="124"/>
        <v>6926</v>
      </c>
      <c r="K359" s="327">
        <f t="shared" si="124"/>
        <v>6677</v>
      </c>
      <c r="L359" s="327">
        <f t="shared" si="124"/>
        <v>6429</v>
      </c>
      <c r="M359" s="327">
        <f t="shared" si="124"/>
        <v>4667</v>
      </c>
      <c r="N359" s="327">
        <f t="shared" si="124"/>
        <v>0</v>
      </c>
      <c r="O359" s="327">
        <f t="shared" si="124"/>
        <v>0</v>
      </c>
      <c r="P359" s="327">
        <f t="shared" si="124"/>
        <v>39006</v>
      </c>
    </row>
    <row r="360" spans="1:16" ht="15.75" customHeight="1" x14ac:dyDescent="0.3">
      <c r="A360" s="412">
        <f>A357+1</f>
        <v>118</v>
      </c>
      <c r="B360" s="413" t="s">
        <v>398</v>
      </c>
      <c r="C360" s="447" t="s">
        <v>827</v>
      </c>
      <c r="D360" s="417" t="s">
        <v>820</v>
      </c>
      <c r="E360" s="417" t="s">
        <v>828</v>
      </c>
      <c r="F360" s="332" t="s">
        <v>829</v>
      </c>
      <c r="G360" s="322" t="s">
        <v>402</v>
      </c>
      <c r="H360" s="323">
        <f>13200-4037</f>
        <v>9163</v>
      </c>
      <c r="I360" s="323">
        <v>13444</v>
      </c>
      <c r="J360" s="323">
        <v>13444</v>
      </c>
      <c r="K360" s="323">
        <v>13444</v>
      </c>
      <c r="L360" s="323">
        <v>13444</v>
      </c>
      <c r="M360" s="323">
        <v>13444</v>
      </c>
      <c r="N360" s="323">
        <v>13444</v>
      </c>
      <c r="O360" s="323">
        <v>144473</v>
      </c>
      <c r="P360" s="323">
        <f>SUM(H360:O360)</f>
        <v>234300</v>
      </c>
    </row>
    <row r="361" spans="1:16" ht="15.75" customHeight="1" x14ac:dyDescent="0.3">
      <c r="A361" s="412"/>
      <c r="B361" s="413"/>
      <c r="C361" s="447"/>
      <c r="D361" s="417"/>
      <c r="E361" s="417"/>
      <c r="F361" s="330" t="s">
        <v>830</v>
      </c>
      <c r="G361" s="324" t="s">
        <v>403</v>
      </c>
      <c r="H361" s="325">
        <f>10923+40</f>
        <v>10963</v>
      </c>
      <c r="I361" s="325">
        <v>9476</v>
      </c>
      <c r="J361" s="325">
        <v>8901</v>
      </c>
      <c r="K361" s="325">
        <v>8330</v>
      </c>
      <c r="L361" s="340">
        <v>7779</v>
      </c>
      <c r="M361" s="340">
        <v>7187</v>
      </c>
      <c r="N361" s="340">
        <v>6616</v>
      </c>
      <c r="O361" s="340">
        <v>35133</v>
      </c>
      <c r="P361" s="325">
        <f>SUM(H361:O361)</f>
        <v>94385</v>
      </c>
    </row>
    <row r="362" spans="1:16" ht="15.75" customHeight="1" x14ac:dyDescent="0.3">
      <c r="A362" s="412"/>
      <c r="B362" s="413"/>
      <c r="C362" s="447"/>
      <c r="D362" s="417"/>
      <c r="E362" s="417"/>
      <c r="F362" s="326"/>
      <c r="G362" s="326" t="s">
        <v>404</v>
      </c>
      <c r="H362" s="327">
        <f t="shared" ref="H362:P362" si="125">SUM(H360:H361)</f>
        <v>20126</v>
      </c>
      <c r="I362" s="327">
        <f t="shared" si="125"/>
        <v>22920</v>
      </c>
      <c r="J362" s="327">
        <f t="shared" si="125"/>
        <v>22345</v>
      </c>
      <c r="K362" s="327">
        <f t="shared" si="125"/>
        <v>21774</v>
      </c>
      <c r="L362" s="327">
        <f t="shared" si="125"/>
        <v>21223</v>
      </c>
      <c r="M362" s="327">
        <f t="shared" si="125"/>
        <v>20631</v>
      </c>
      <c r="N362" s="327">
        <f t="shared" si="125"/>
        <v>20060</v>
      </c>
      <c r="O362" s="327">
        <f t="shared" si="125"/>
        <v>179606</v>
      </c>
      <c r="P362" s="327">
        <f t="shared" si="125"/>
        <v>328685</v>
      </c>
    </row>
    <row r="363" spans="1:16" ht="17.25" customHeight="1" x14ac:dyDescent="0.3">
      <c r="A363" s="412">
        <f>A360+1</f>
        <v>119</v>
      </c>
      <c r="B363" s="413" t="s">
        <v>398</v>
      </c>
      <c r="C363" s="448" t="s">
        <v>831</v>
      </c>
      <c r="D363" s="417" t="s">
        <v>832</v>
      </c>
      <c r="E363" s="417" t="s">
        <v>833</v>
      </c>
      <c r="F363" s="332" t="s">
        <v>834</v>
      </c>
      <c r="G363" s="322" t="s">
        <v>402</v>
      </c>
      <c r="H363" s="323">
        <v>18336</v>
      </c>
      <c r="I363" s="323">
        <v>0</v>
      </c>
      <c r="J363" s="323">
        <v>0</v>
      </c>
      <c r="K363" s="323">
        <v>0</v>
      </c>
      <c r="L363" s="323">
        <v>0</v>
      </c>
      <c r="M363" s="323">
        <v>0</v>
      </c>
      <c r="N363" s="323">
        <v>0</v>
      </c>
      <c r="O363" s="323">
        <v>0</v>
      </c>
      <c r="P363" s="323">
        <f>SUM(H363:O363)</f>
        <v>18336</v>
      </c>
    </row>
    <row r="364" spans="1:16" ht="17.25" customHeight="1" x14ac:dyDescent="0.3">
      <c r="A364" s="412"/>
      <c r="B364" s="413"/>
      <c r="C364" s="448"/>
      <c r="D364" s="417"/>
      <c r="E364" s="417"/>
      <c r="F364" s="330" t="s">
        <v>835</v>
      </c>
      <c r="G364" s="324" t="s">
        <v>403</v>
      </c>
      <c r="H364" s="325">
        <v>37</v>
      </c>
      <c r="I364" s="325">
        <v>0</v>
      </c>
      <c r="J364" s="325">
        <v>0</v>
      </c>
      <c r="K364" s="325">
        <v>0</v>
      </c>
      <c r="L364" s="325">
        <v>0</v>
      </c>
      <c r="M364" s="325">
        <v>0</v>
      </c>
      <c r="N364" s="325">
        <v>0</v>
      </c>
      <c r="O364" s="325">
        <v>0</v>
      </c>
      <c r="P364" s="325">
        <f>SUM(H364:O364)</f>
        <v>37</v>
      </c>
    </row>
    <row r="365" spans="1:16" ht="17.25" customHeight="1" x14ac:dyDescent="0.3">
      <c r="A365" s="412"/>
      <c r="B365" s="413"/>
      <c r="C365" s="448"/>
      <c r="D365" s="417"/>
      <c r="E365" s="417"/>
      <c r="F365" s="326"/>
      <c r="G365" s="326" t="s">
        <v>404</v>
      </c>
      <c r="H365" s="327">
        <f t="shared" ref="H365:P365" si="126">SUM(H363:H364)</f>
        <v>18373</v>
      </c>
      <c r="I365" s="327">
        <f t="shared" si="126"/>
        <v>0</v>
      </c>
      <c r="J365" s="327">
        <f t="shared" si="126"/>
        <v>0</v>
      </c>
      <c r="K365" s="327">
        <f t="shared" si="126"/>
        <v>0</v>
      </c>
      <c r="L365" s="327">
        <f t="shared" si="126"/>
        <v>0</v>
      </c>
      <c r="M365" s="327">
        <f t="shared" si="126"/>
        <v>0</v>
      </c>
      <c r="N365" s="327">
        <f t="shared" si="126"/>
        <v>0</v>
      </c>
      <c r="O365" s="327">
        <f t="shared" si="126"/>
        <v>0</v>
      </c>
      <c r="P365" s="327">
        <f t="shared" si="126"/>
        <v>18373</v>
      </c>
    </row>
    <row r="366" spans="1:16" ht="15.75" customHeight="1" x14ac:dyDescent="0.3">
      <c r="A366" s="412">
        <f>A363+1</f>
        <v>120</v>
      </c>
      <c r="B366" s="413" t="s">
        <v>398</v>
      </c>
      <c r="C366" s="447" t="s">
        <v>836</v>
      </c>
      <c r="D366" s="417" t="s">
        <v>837</v>
      </c>
      <c r="E366" s="417" t="s">
        <v>838</v>
      </c>
      <c r="F366" s="332" t="s">
        <v>839</v>
      </c>
      <c r="G366" s="322" t="s">
        <v>402</v>
      </c>
      <c r="H366" s="338">
        <f>69368-22888</f>
        <v>46480</v>
      </c>
      <c r="I366" s="323">
        <v>70412</v>
      </c>
      <c r="J366" s="323">
        <v>70412</v>
      </c>
      <c r="K366" s="323">
        <v>70412</v>
      </c>
      <c r="L366" s="323">
        <v>70412</v>
      </c>
      <c r="M366" s="323">
        <v>70412</v>
      </c>
      <c r="N366" s="323">
        <v>70412</v>
      </c>
      <c r="O366" s="323">
        <f>1179256-69368+16624</f>
        <v>1126512</v>
      </c>
      <c r="P366" s="323">
        <f>SUM(H366:O366)</f>
        <v>1595464</v>
      </c>
    </row>
    <row r="367" spans="1:16" ht="15.75" customHeight="1" x14ac:dyDescent="0.3">
      <c r="A367" s="412"/>
      <c r="B367" s="413"/>
      <c r="C367" s="447"/>
      <c r="D367" s="417"/>
      <c r="E367" s="417"/>
      <c r="F367" s="330" t="s">
        <v>840</v>
      </c>
      <c r="G367" s="324" t="s">
        <v>403</v>
      </c>
      <c r="H367" s="325">
        <f>69306+219</f>
        <v>69525</v>
      </c>
      <c r="I367" s="325">
        <v>69790</v>
      </c>
      <c r="J367" s="325">
        <v>66714</v>
      </c>
      <c r="K367" s="325">
        <v>63511</v>
      </c>
      <c r="L367" s="325">
        <v>60469</v>
      </c>
      <c r="M367" s="325">
        <v>57102</v>
      </c>
      <c r="N367" s="325">
        <v>53901</v>
      </c>
      <c r="O367" s="325">
        <f>427654</f>
        <v>427654</v>
      </c>
      <c r="P367" s="325">
        <f>SUM(H367:O367)</f>
        <v>868666</v>
      </c>
    </row>
    <row r="368" spans="1:16" ht="15.75" customHeight="1" x14ac:dyDescent="0.3">
      <c r="A368" s="412"/>
      <c r="B368" s="413"/>
      <c r="C368" s="447"/>
      <c r="D368" s="417"/>
      <c r="E368" s="417"/>
      <c r="F368" s="326"/>
      <c r="G368" s="326" t="s">
        <v>404</v>
      </c>
      <c r="H368" s="327">
        <f t="shared" ref="H368:P368" si="127">SUM(H366:H367)</f>
        <v>116005</v>
      </c>
      <c r="I368" s="327">
        <f t="shared" si="127"/>
        <v>140202</v>
      </c>
      <c r="J368" s="327">
        <f t="shared" si="127"/>
        <v>137126</v>
      </c>
      <c r="K368" s="327">
        <f t="shared" si="127"/>
        <v>133923</v>
      </c>
      <c r="L368" s="327">
        <f t="shared" si="127"/>
        <v>130881</v>
      </c>
      <c r="M368" s="327">
        <f t="shared" si="127"/>
        <v>127514</v>
      </c>
      <c r="N368" s="327">
        <f t="shared" si="127"/>
        <v>124313</v>
      </c>
      <c r="O368" s="327">
        <f t="shared" si="127"/>
        <v>1554166</v>
      </c>
      <c r="P368" s="327">
        <f t="shared" si="127"/>
        <v>2464130</v>
      </c>
    </row>
    <row r="369" spans="1:16" ht="16.5" customHeight="1" x14ac:dyDescent="0.3">
      <c r="A369" s="412">
        <f>A366+1</f>
        <v>121</v>
      </c>
      <c r="B369" s="413" t="s">
        <v>398</v>
      </c>
      <c r="C369" s="449" t="s">
        <v>1071</v>
      </c>
      <c r="D369" s="417" t="s">
        <v>841</v>
      </c>
      <c r="E369" s="417" t="s">
        <v>842</v>
      </c>
      <c r="F369" s="332" t="s">
        <v>843</v>
      </c>
      <c r="G369" s="322" t="s">
        <v>402</v>
      </c>
      <c r="H369" s="338">
        <f>15764-3044</f>
        <v>12720</v>
      </c>
      <c r="I369" s="338">
        <v>15944</v>
      </c>
      <c r="J369" s="338">
        <v>15944</v>
      </c>
      <c r="K369" s="338">
        <v>15944</v>
      </c>
      <c r="L369" s="338">
        <v>15944</v>
      </c>
      <c r="M369" s="338">
        <v>15944</v>
      </c>
      <c r="N369" s="338">
        <v>15944</v>
      </c>
      <c r="O369" s="338">
        <f>189168-15764+1964</f>
        <v>175368</v>
      </c>
      <c r="P369" s="338">
        <f>SUM(H369:O369)</f>
        <v>283752</v>
      </c>
    </row>
    <row r="370" spans="1:16" ht="16.5" customHeight="1" x14ac:dyDescent="0.3">
      <c r="A370" s="412"/>
      <c r="B370" s="413"/>
      <c r="C370" s="449"/>
      <c r="D370" s="417"/>
      <c r="E370" s="417"/>
      <c r="F370" s="330" t="s">
        <v>844</v>
      </c>
      <c r="G370" s="324" t="s">
        <v>403</v>
      </c>
      <c r="H370" s="325">
        <f>11718+1716+31</f>
        <v>13465</v>
      </c>
      <c r="I370" s="325">
        <f>11745+1633</f>
        <v>13378</v>
      </c>
      <c r="J370" s="325">
        <f>11155+1537</f>
        <v>12692</v>
      </c>
      <c r="K370" s="325">
        <f>10451+1440</f>
        <v>11891</v>
      </c>
      <c r="L370" s="325">
        <f>9772+1346</f>
        <v>11118</v>
      </c>
      <c r="M370" s="340">
        <f>9041+1246</f>
        <v>10287</v>
      </c>
      <c r="N370" s="340">
        <f>8337+1149</f>
        <v>9486</v>
      </c>
      <c r="O370" s="340">
        <f>51568</f>
        <v>51568</v>
      </c>
      <c r="P370" s="325">
        <f>SUM(H370:O370)</f>
        <v>133885</v>
      </c>
    </row>
    <row r="371" spans="1:16" ht="16.5" customHeight="1" x14ac:dyDescent="0.3">
      <c r="A371" s="412"/>
      <c r="B371" s="413"/>
      <c r="C371" s="449"/>
      <c r="D371" s="417"/>
      <c r="E371" s="417"/>
      <c r="F371" s="326"/>
      <c r="G371" s="326" t="s">
        <v>404</v>
      </c>
      <c r="H371" s="327">
        <f t="shared" ref="H371:P371" si="128">SUM(H369:H370)</f>
        <v>26185</v>
      </c>
      <c r="I371" s="327">
        <f t="shared" si="128"/>
        <v>29322</v>
      </c>
      <c r="J371" s="327">
        <f t="shared" si="128"/>
        <v>28636</v>
      </c>
      <c r="K371" s="327">
        <f t="shared" si="128"/>
        <v>27835</v>
      </c>
      <c r="L371" s="327">
        <f t="shared" si="128"/>
        <v>27062</v>
      </c>
      <c r="M371" s="327">
        <f t="shared" si="128"/>
        <v>26231</v>
      </c>
      <c r="N371" s="327">
        <f t="shared" si="128"/>
        <v>25430</v>
      </c>
      <c r="O371" s="327">
        <f t="shared" si="128"/>
        <v>226936</v>
      </c>
      <c r="P371" s="327">
        <f t="shared" si="128"/>
        <v>417637</v>
      </c>
    </row>
    <row r="372" spans="1:16" ht="14.25" customHeight="1" x14ac:dyDescent="0.3">
      <c r="A372" s="412">
        <f>A369+1</f>
        <v>122</v>
      </c>
      <c r="B372" s="413" t="s">
        <v>398</v>
      </c>
      <c r="C372" s="449" t="s">
        <v>845</v>
      </c>
      <c r="D372" s="417" t="s">
        <v>841</v>
      </c>
      <c r="E372" s="417" t="s">
        <v>842</v>
      </c>
      <c r="F372" s="332" t="s">
        <v>846</v>
      </c>
      <c r="G372" s="322" t="s">
        <v>402</v>
      </c>
      <c r="H372" s="338">
        <f>29576-4449</f>
        <v>25127</v>
      </c>
      <c r="I372" s="338">
        <v>29836</v>
      </c>
      <c r="J372" s="338">
        <v>29836</v>
      </c>
      <c r="K372" s="338">
        <v>29836</v>
      </c>
      <c r="L372" s="338">
        <v>29836</v>
      </c>
      <c r="M372" s="338">
        <v>29836</v>
      </c>
      <c r="N372" s="338">
        <v>29836</v>
      </c>
      <c r="O372" s="338">
        <f>354867-29576+2889</f>
        <v>328180</v>
      </c>
      <c r="P372" s="338">
        <f>SUM(H372:O372)</f>
        <v>532323</v>
      </c>
    </row>
    <row r="373" spans="1:16" ht="14.25" customHeight="1" x14ac:dyDescent="0.3">
      <c r="A373" s="412"/>
      <c r="B373" s="413"/>
      <c r="C373" s="449"/>
      <c r="D373" s="417"/>
      <c r="E373" s="417"/>
      <c r="F373" s="330" t="s">
        <v>847</v>
      </c>
      <c r="G373" s="324" t="s">
        <v>403</v>
      </c>
      <c r="H373" s="325">
        <f>21984+40</f>
        <v>22024</v>
      </c>
      <c r="I373" s="325">
        <v>21981</v>
      </c>
      <c r="J373" s="325">
        <v>20876</v>
      </c>
      <c r="K373" s="325">
        <v>19557</v>
      </c>
      <c r="L373" s="325">
        <v>18287</v>
      </c>
      <c r="M373" s="340">
        <v>16919</v>
      </c>
      <c r="N373" s="340">
        <v>15602</v>
      </c>
      <c r="O373" s="340">
        <f>84823</f>
        <v>84823</v>
      </c>
      <c r="P373" s="325">
        <f>SUM(H373:O373)</f>
        <v>220069</v>
      </c>
    </row>
    <row r="374" spans="1:16" ht="14.25" customHeight="1" x14ac:dyDescent="0.3">
      <c r="A374" s="412"/>
      <c r="B374" s="413"/>
      <c r="C374" s="449"/>
      <c r="D374" s="417"/>
      <c r="E374" s="417"/>
      <c r="F374" s="326"/>
      <c r="G374" s="326" t="s">
        <v>404</v>
      </c>
      <c r="H374" s="327">
        <f t="shared" ref="H374:P374" si="129">SUM(H372:H373)</f>
        <v>47151</v>
      </c>
      <c r="I374" s="327">
        <f t="shared" si="129"/>
        <v>51817</v>
      </c>
      <c r="J374" s="327">
        <f t="shared" si="129"/>
        <v>50712</v>
      </c>
      <c r="K374" s="327">
        <f t="shared" si="129"/>
        <v>49393</v>
      </c>
      <c r="L374" s="327">
        <f t="shared" si="129"/>
        <v>48123</v>
      </c>
      <c r="M374" s="327">
        <f t="shared" si="129"/>
        <v>46755</v>
      </c>
      <c r="N374" s="327">
        <f t="shared" si="129"/>
        <v>45438</v>
      </c>
      <c r="O374" s="327">
        <f t="shared" si="129"/>
        <v>413003</v>
      </c>
      <c r="P374" s="327">
        <f t="shared" si="129"/>
        <v>752392</v>
      </c>
    </row>
    <row r="375" spans="1:16" ht="15" customHeight="1" x14ac:dyDescent="0.3">
      <c r="A375" s="412">
        <f>A372+1</f>
        <v>123</v>
      </c>
      <c r="B375" s="413" t="s">
        <v>398</v>
      </c>
      <c r="C375" s="414" t="s">
        <v>1072</v>
      </c>
      <c r="D375" s="417" t="s">
        <v>848</v>
      </c>
      <c r="E375" s="417" t="s">
        <v>849</v>
      </c>
      <c r="F375" s="328" t="s">
        <v>850</v>
      </c>
      <c r="G375" s="322" t="s">
        <v>402</v>
      </c>
      <c r="H375" s="323">
        <f>60596-49115</f>
        <v>11481</v>
      </c>
      <c r="I375" s="323">
        <v>123520</v>
      </c>
      <c r="J375" s="323">
        <v>123520</v>
      </c>
      <c r="K375" s="323">
        <v>123520</v>
      </c>
      <c r="L375" s="323">
        <v>123520</v>
      </c>
      <c r="M375" s="323">
        <v>123520</v>
      </c>
      <c r="N375" s="323">
        <v>123520</v>
      </c>
      <c r="O375" s="323">
        <f>2092632-121312+35867</f>
        <v>2007187</v>
      </c>
      <c r="P375" s="323">
        <f>SUM(H375:O375)</f>
        <v>2759788</v>
      </c>
    </row>
    <row r="376" spans="1:16" ht="15" customHeight="1" x14ac:dyDescent="0.3">
      <c r="A376" s="412"/>
      <c r="B376" s="413"/>
      <c r="C376" s="414"/>
      <c r="D376" s="417"/>
      <c r="E376" s="417"/>
      <c r="F376" s="330" t="s">
        <v>851</v>
      </c>
      <c r="G376" s="324" t="s">
        <v>403</v>
      </c>
      <c r="H376" s="325">
        <f>130442+1358</f>
        <v>131800</v>
      </c>
      <c r="I376" s="325">
        <v>130609</v>
      </c>
      <c r="J376" s="325">
        <v>125047</v>
      </c>
      <c r="K376" s="325">
        <v>119116</v>
      </c>
      <c r="L376" s="325">
        <v>113485</v>
      </c>
      <c r="M376" s="340">
        <v>107245</v>
      </c>
      <c r="N376" s="340">
        <v>101317</v>
      </c>
      <c r="O376" s="340">
        <v>816570</v>
      </c>
      <c r="P376" s="325">
        <f>SUM(H376:O376)</f>
        <v>1645189</v>
      </c>
    </row>
    <row r="377" spans="1:16" ht="15" customHeight="1" x14ac:dyDescent="0.3">
      <c r="A377" s="412"/>
      <c r="B377" s="413"/>
      <c r="C377" s="414"/>
      <c r="D377" s="417"/>
      <c r="E377" s="417"/>
      <c r="F377" s="326"/>
      <c r="G377" s="326" t="s">
        <v>404</v>
      </c>
      <c r="H377" s="327">
        <f t="shared" ref="H377:P377" si="130">SUM(H375:H376)</f>
        <v>143281</v>
      </c>
      <c r="I377" s="327">
        <f t="shared" si="130"/>
        <v>254129</v>
      </c>
      <c r="J377" s="327">
        <f t="shared" si="130"/>
        <v>248567</v>
      </c>
      <c r="K377" s="327">
        <f t="shared" si="130"/>
        <v>242636</v>
      </c>
      <c r="L377" s="327">
        <f t="shared" si="130"/>
        <v>237005</v>
      </c>
      <c r="M377" s="327">
        <f t="shared" si="130"/>
        <v>230765</v>
      </c>
      <c r="N377" s="327">
        <f t="shared" si="130"/>
        <v>224837</v>
      </c>
      <c r="O377" s="327">
        <f t="shared" si="130"/>
        <v>2823757</v>
      </c>
      <c r="P377" s="327">
        <f t="shared" si="130"/>
        <v>4404977</v>
      </c>
    </row>
    <row r="378" spans="1:16" ht="15.6" customHeight="1" x14ac:dyDescent="0.3">
      <c r="A378" s="412">
        <f>A375+1</f>
        <v>124</v>
      </c>
      <c r="B378" s="413" t="s">
        <v>398</v>
      </c>
      <c r="C378" s="414" t="s">
        <v>852</v>
      </c>
      <c r="D378" s="417" t="s">
        <v>848</v>
      </c>
      <c r="E378" s="417" t="s">
        <v>853</v>
      </c>
      <c r="F378" s="328" t="s">
        <v>854</v>
      </c>
      <c r="G378" s="322" t="s">
        <v>402</v>
      </c>
      <c r="H378" s="338">
        <f>54035-16448</f>
        <v>37587</v>
      </c>
      <c r="I378" s="338">
        <v>55016</v>
      </c>
      <c r="J378" s="338">
        <v>55016</v>
      </c>
      <c r="K378" s="338">
        <v>55016</v>
      </c>
      <c r="L378" s="338">
        <v>55016</v>
      </c>
      <c r="M378" s="338">
        <v>55016</v>
      </c>
      <c r="N378" s="338">
        <v>55016</v>
      </c>
      <c r="O378" s="338">
        <f>662235.45-54060+10712</f>
        <v>618887.44999999995</v>
      </c>
      <c r="P378" s="323">
        <f>SUM(H378:O378)</f>
        <v>986570.45</v>
      </c>
    </row>
    <row r="379" spans="1:16" ht="15.6" customHeight="1" x14ac:dyDescent="0.3">
      <c r="A379" s="412"/>
      <c r="B379" s="413"/>
      <c r="C379" s="414"/>
      <c r="D379" s="417"/>
      <c r="E379" s="417"/>
      <c r="F379" s="330" t="s">
        <v>855</v>
      </c>
      <c r="G379" s="324" t="s">
        <v>403</v>
      </c>
      <c r="H379" s="325">
        <f>44817+541</f>
        <v>45358</v>
      </c>
      <c r="I379" s="325">
        <v>43781</v>
      </c>
      <c r="J379" s="325">
        <v>41327</v>
      </c>
      <c r="K379" s="325">
        <v>38758</v>
      </c>
      <c r="L379" s="325">
        <v>36283</v>
      </c>
      <c r="M379" s="340">
        <v>33615</v>
      </c>
      <c r="N379" s="340">
        <v>31048</v>
      </c>
      <c r="O379" s="340">
        <f>172625</f>
        <v>172625</v>
      </c>
      <c r="P379" s="325">
        <f>SUM(H379:O379)</f>
        <v>442795</v>
      </c>
    </row>
    <row r="380" spans="1:16" ht="15.6" customHeight="1" x14ac:dyDescent="0.3">
      <c r="A380" s="412"/>
      <c r="B380" s="413"/>
      <c r="C380" s="414"/>
      <c r="D380" s="417"/>
      <c r="E380" s="417"/>
      <c r="F380" s="326"/>
      <c r="G380" s="326" t="s">
        <v>404</v>
      </c>
      <c r="H380" s="327">
        <f t="shared" ref="H380:P380" si="131">SUM(H378:H379)</f>
        <v>82945</v>
      </c>
      <c r="I380" s="327">
        <f t="shared" si="131"/>
        <v>98797</v>
      </c>
      <c r="J380" s="327">
        <f t="shared" si="131"/>
        <v>96343</v>
      </c>
      <c r="K380" s="327">
        <f t="shared" si="131"/>
        <v>93774</v>
      </c>
      <c r="L380" s="327">
        <f t="shared" si="131"/>
        <v>91299</v>
      </c>
      <c r="M380" s="327">
        <f t="shared" si="131"/>
        <v>88631</v>
      </c>
      <c r="N380" s="327">
        <f t="shared" si="131"/>
        <v>86064</v>
      </c>
      <c r="O380" s="327">
        <f t="shared" si="131"/>
        <v>791512.45</v>
      </c>
      <c r="P380" s="327">
        <f t="shared" si="131"/>
        <v>1429365.45</v>
      </c>
    </row>
    <row r="381" spans="1:16" ht="16.5" customHeight="1" x14ac:dyDescent="0.3">
      <c r="A381" s="412">
        <f>A378+1</f>
        <v>125</v>
      </c>
      <c r="B381" s="413" t="s">
        <v>398</v>
      </c>
      <c r="C381" s="424" t="s">
        <v>856</v>
      </c>
      <c r="D381" s="417" t="s">
        <v>857</v>
      </c>
      <c r="E381" s="417" t="s">
        <v>858</v>
      </c>
      <c r="F381" s="328" t="s">
        <v>859</v>
      </c>
      <c r="G381" s="322" t="s">
        <v>402</v>
      </c>
      <c r="H381" s="323">
        <f>24878-24878</f>
        <v>0</v>
      </c>
      <c r="I381" s="323">
        <f t="shared" ref="I381:N381" si="132">51280-2880</f>
        <v>48400</v>
      </c>
      <c r="J381" s="323">
        <f t="shared" si="132"/>
        <v>48400</v>
      </c>
      <c r="K381" s="323">
        <f t="shared" si="132"/>
        <v>48400</v>
      </c>
      <c r="L381" s="323">
        <f t="shared" si="132"/>
        <v>48400</v>
      </c>
      <c r="M381" s="323">
        <f t="shared" si="132"/>
        <v>48400</v>
      </c>
      <c r="N381" s="323">
        <f t="shared" si="132"/>
        <v>48400</v>
      </c>
      <c r="O381" s="323">
        <f>12820*45+12778-33081</f>
        <v>556597</v>
      </c>
      <c r="P381" s="323">
        <f>SUM(H381:O381)</f>
        <v>846997</v>
      </c>
    </row>
    <row r="382" spans="1:16" ht="16.5" customHeight="1" x14ac:dyDescent="0.3">
      <c r="A382" s="412"/>
      <c r="B382" s="413"/>
      <c r="C382" s="424"/>
      <c r="D382" s="417"/>
      <c r="E382" s="417"/>
      <c r="F382" s="330" t="s">
        <v>860</v>
      </c>
      <c r="G382" s="324" t="s">
        <v>403</v>
      </c>
      <c r="H382" s="325">
        <f>49180-1331-174</f>
        <v>47675</v>
      </c>
      <c r="I382" s="325">
        <v>43423</v>
      </c>
      <c r="J382" s="325">
        <v>41055</v>
      </c>
      <c r="K382" s="325">
        <v>38541</v>
      </c>
      <c r="L382" s="325">
        <v>36123</v>
      </c>
      <c r="M382" s="340">
        <v>33511</v>
      </c>
      <c r="N382" s="340">
        <v>31000</v>
      </c>
      <c r="O382" s="340">
        <v>176288</v>
      </c>
      <c r="P382" s="325">
        <f>SUM(H382:O382)</f>
        <v>447616</v>
      </c>
    </row>
    <row r="383" spans="1:16" ht="16.5" customHeight="1" x14ac:dyDescent="0.3">
      <c r="A383" s="412"/>
      <c r="B383" s="413"/>
      <c r="C383" s="424"/>
      <c r="D383" s="417"/>
      <c r="E383" s="417"/>
      <c r="F383" s="326"/>
      <c r="G383" s="326" t="s">
        <v>404</v>
      </c>
      <c r="H383" s="327">
        <f t="shared" ref="H383:P383" si="133">SUM(H381:H382)</f>
        <v>47675</v>
      </c>
      <c r="I383" s="327">
        <f t="shared" si="133"/>
        <v>91823</v>
      </c>
      <c r="J383" s="327">
        <f t="shared" si="133"/>
        <v>89455</v>
      </c>
      <c r="K383" s="327">
        <f t="shared" si="133"/>
        <v>86941</v>
      </c>
      <c r="L383" s="327">
        <f t="shared" si="133"/>
        <v>84523</v>
      </c>
      <c r="M383" s="327">
        <f t="shared" si="133"/>
        <v>81911</v>
      </c>
      <c r="N383" s="327">
        <f t="shared" si="133"/>
        <v>79400</v>
      </c>
      <c r="O383" s="327">
        <f t="shared" si="133"/>
        <v>732885</v>
      </c>
      <c r="P383" s="327">
        <f t="shared" si="133"/>
        <v>1294613</v>
      </c>
    </row>
    <row r="384" spans="1:16" ht="16.2" customHeight="1" x14ac:dyDescent="0.3">
      <c r="A384" s="412">
        <f>A381+1</f>
        <v>126</v>
      </c>
      <c r="B384" s="413" t="s">
        <v>398</v>
      </c>
      <c r="C384" s="414" t="s">
        <v>861</v>
      </c>
      <c r="D384" s="417" t="s">
        <v>862</v>
      </c>
      <c r="E384" s="417" t="s">
        <v>863</v>
      </c>
      <c r="F384" s="328" t="s">
        <v>864</v>
      </c>
      <c r="G384" s="322" t="s">
        <v>402</v>
      </c>
      <c r="H384" s="323">
        <f>9461-3640</f>
        <v>5821</v>
      </c>
      <c r="I384" s="323">
        <v>9788</v>
      </c>
      <c r="J384" s="323">
        <v>9788</v>
      </c>
      <c r="K384" s="323">
        <v>9788</v>
      </c>
      <c r="L384" s="323">
        <v>9788</v>
      </c>
      <c r="M384" s="323">
        <v>9788</v>
      </c>
      <c r="N384" s="323">
        <v>9788</v>
      </c>
      <c r="O384" s="323">
        <f>73625-9500+1912</f>
        <v>66037</v>
      </c>
      <c r="P384" s="323">
        <f>SUM(H384:O384)</f>
        <v>130586</v>
      </c>
    </row>
    <row r="385" spans="1:16" ht="16.2" customHeight="1" x14ac:dyDescent="0.3">
      <c r="A385" s="412"/>
      <c r="B385" s="413"/>
      <c r="C385" s="414"/>
      <c r="D385" s="415"/>
      <c r="E385" s="415"/>
      <c r="F385" s="330" t="s">
        <v>865</v>
      </c>
      <c r="G385" s="324" t="s">
        <v>403</v>
      </c>
      <c r="H385" s="325">
        <f>7431+43-97</f>
        <v>7377</v>
      </c>
      <c r="I385" s="325">
        <v>6700</v>
      </c>
      <c r="J385" s="325">
        <v>6182</v>
      </c>
      <c r="K385" s="325">
        <v>5648</v>
      </c>
      <c r="L385" s="325">
        <v>5128</v>
      </c>
      <c r="M385" s="340">
        <v>4580</v>
      </c>
      <c r="N385" s="340">
        <v>4047</v>
      </c>
      <c r="O385" s="340">
        <v>13393</v>
      </c>
      <c r="P385" s="325">
        <f>SUM(H385:O385)</f>
        <v>53055</v>
      </c>
    </row>
    <row r="386" spans="1:16" ht="16.2" customHeight="1" x14ac:dyDescent="0.3">
      <c r="A386" s="412"/>
      <c r="B386" s="413"/>
      <c r="C386" s="414"/>
      <c r="D386" s="415"/>
      <c r="E386" s="415"/>
      <c r="F386" s="326"/>
      <c r="G386" s="326" t="s">
        <v>404</v>
      </c>
      <c r="H386" s="327">
        <f t="shared" ref="H386:P386" si="134">SUM(H384:H385)</f>
        <v>13198</v>
      </c>
      <c r="I386" s="327">
        <f t="shared" si="134"/>
        <v>16488</v>
      </c>
      <c r="J386" s="327">
        <f t="shared" si="134"/>
        <v>15970</v>
      </c>
      <c r="K386" s="327">
        <f t="shared" si="134"/>
        <v>15436</v>
      </c>
      <c r="L386" s="327">
        <f t="shared" si="134"/>
        <v>14916</v>
      </c>
      <c r="M386" s="327">
        <f t="shared" si="134"/>
        <v>14368</v>
      </c>
      <c r="N386" s="327">
        <f t="shared" si="134"/>
        <v>13835</v>
      </c>
      <c r="O386" s="327">
        <f t="shared" si="134"/>
        <v>79430</v>
      </c>
      <c r="P386" s="327">
        <f t="shared" si="134"/>
        <v>183641</v>
      </c>
    </row>
    <row r="387" spans="1:16" ht="16.2" customHeight="1" x14ac:dyDescent="0.3">
      <c r="A387" s="412">
        <f>A384+1</f>
        <v>127</v>
      </c>
      <c r="B387" s="413" t="s">
        <v>398</v>
      </c>
      <c r="C387" s="414" t="s">
        <v>866</v>
      </c>
      <c r="D387" s="417" t="s">
        <v>862</v>
      </c>
      <c r="E387" s="417" t="s">
        <v>616</v>
      </c>
      <c r="F387" s="328" t="s">
        <v>867</v>
      </c>
      <c r="G387" s="322" t="s">
        <v>402</v>
      </c>
      <c r="H387" s="323">
        <f>15434-3685</f>
        <v>11749</v>
      </c>
      <c r="I387" s="323">
        <v>15944</v>
      </c>
      <c r="J387" s="323">
        <v>15944</v>
      </c>
      <c r="K387" s="323">
        <v>15944</v>
      </c>
      <c r="L387" s="323">
        <v>15944</v>
      </c>
      <c r="M387" s="323">
        <v>15944</v>
      </c>
      <c r="N387" s="323">
        <v>15944</v>
      </c>
      <c r="O387" s="323">
        <f>42537-15468+829</f>
        <v>27898</v>
      </c>
      <c r="P387" s="323">
        <f>SUM(H387:O387)</f>
        <v>135311</v>
      </c>
    </row>
    <row r="388" spans="1:16" ht="16.2" customHeight="1" x14ac:dyDescent="0.3">
      <c r="A388" s="412"/>
      <c r="B388" s="413"/>
      <c r="C388" s="414"/>
      <c r="D388" s="415"/>
      <c r="E388" s="415"/>
      <c r="F388" s="330" t="s">
        <v>868</v>
      </c>
      <c r="G388" s="324" t="s">
        <v>403</v>
      </c>
      <c r="H388" s="325">
        <f>7395+34-98</f>
        <v>7331</v>
      </c>
      <c r="I388" s="325">
        <v>6366</v>
      </c>
      <c r="J388" s="325">
        <v>5543</v>
      </c>
      <c r="K388" s="325">
        <v>4702</v>
      </c>
      <c r="L388" s="325">
        <v>3870</v>
      </c>
      <c r="M388" s="340">
        <v>3019</v>
      </c>
      <c r="N388" s="340">
        <v>2179</v>
      </c>
      <c r="O388" s="340">
        <v>1807</v>
      </c>
      <c r="P388" s="325">
        <f>SUM(H388:O388)</f>
        <v>34817</v>
      </c>
    </row>
    <row r="389" spans="1:16" ht="15" customHeight="1" x14ac:dyDescent="0.3">
      <c r="A389" s="412"/>
      <c r="B389" s="413"/>
      <c r="C389" s="414"/>
      <c r="D389" s="415"/>
      <c r="E389" s="415"/>
      <c r="F389" s="326"/>
      <c r="G389" s="326" t="s">
        <v>404</v>
      </c>
      <c r="H389" s="327">
        <f t="shared" ref="H389:P389" si="135">SUM(H387:H388)</f>
        <v>19080</v>
      </c>
      <c r="I389" s="327">
        <f t="shared" si="135"/>
        <v>22310</v>
      </c>
      <c r="J389" s="327">
        <f t="shared" si="135"/>
        <v>21487</v>
      </c>
      <c r="K389" s="327">
        <f t="shared" si="135"/>
        <v>20646</v>
      </c>
      <c r="L389" s="327">
        <f t="shared" si="135"/>
        <v>19814</v>
      </c>
      <c r="M389" s="327">
        <f t="shared" si="135"/>
        <v>18963</v>
      </c>
      <c r="N389" s="327">
        <f t="shared" si="135"/>
        <v>18123</v>
      </c>
      <c r="O389" s="327">
        <f t="shared" si="135"/>
        <v>29705</v>
      </c>
      <c r="P389" s="327">
        <f t="shared" si="135"/>
        <v>170128</v>
      </c>
    </row>
    <row r="390" spans="1:16" ht="15" customHeight="1" x14ac:dyDescent="0.3">
      <c r="A390" s="412">
        <f>A387+1</f>
        <v>128</v>
      </c>
      <c r="B390" s="413" t="s">
        <v>398</v>
      </c>
      <c r="C390" s="450" t="s">
        <v>869</v>
      </c>
      <c r="D390" s="417" t="s">
        <v>862</v>
      </c>
      <c r="E390" s="417" t="s">
        <v>863</v>
      </c>
      <c r="F390" s="328" t="s">
        <v>870</v>
      </c>
      <c r="G390" s="322" t="s">
        <v>402</v>
      </c>
      <c r="H390" s="323">
        <f>13564-4760</f>
        <v>8804</v>
      </c>
      <c r="I390" s="323">
        <v>13992</v>
      </c>
      <c r="J390" s="323">
        <v>13992</v>
      </c>
      <c r="K390" s="323">
        <v>13992</v>
      </c>
      <c r="L390" s="323">
        <v>13992</v>
      </c>
      <c r="M390" s="323">
        <v>13992</v>
      </c>
      <c r="N390" s="323">
        <v>13992</v>
      </c>
      <c r="O390" s="323">
        <f>105524-13616+2504</f>
        <v>94412</v>
      </c>
      <c r="P390" s="323">
        <f>SUM(H390:O390)</f>
        <v>187168</v>
      </c>
    </row>
    <row r="391" spans="1:16" ht="17.25" customHeight="1" x14ac:dyDescent="0.3">
      <c r="A391" s="412"/>
      <c r="B391" s="413"/>
      <c r="C391" s="450"/>
      <c r="D391" s="415"/>
      <c r="E391" s="415"/>
      <c r="F391" s="330" t="s">
        <v>871</v>
      </c>
      <c r="G391" s="324" t="s">
        <v>403</v>
      </c>
      <c r="H391" s="325">
        <f>10650+56-138</f>
        <v>10568</v>
      </c>
      <c r="I391" s="325">
        <v>9579</v>
      </c>
      <c r="J391" s="325">
        <v>8837</v>
      </c>
      <c r="K391" s="325">
        <v>8075</v>
      </c>
      <c r="L391" s="325">
        <v>7331</v>
      </c>
      <c r="M391" s="340">
        <v>6548</v>
      </c>
      <c r="N391" s="340">
        <v>5786</v>
      </c>
      <c r="O391" s="340">
        <v>19150</v>
      </c>
      <c r="P391" s="325">
        <f>SUM(H391:O391)</f>
        <v>75874</v>
      </c>
    </row>
    <row r="392" spans="1:16" x14ac:dyDescent="0.3">
      <c r="A392" s="412"/>
      <c r="B392" s="413"/>
      <c r="C392" s="450"/>
      <c r="D392" s="415"/>
      <c r="E392" s="415"/>
      <c r="F392" s="60"/>
      <c r="G392" s="326" t="s">
        <v>404</v>
      </c>
      <c r="H392" s="327">
        <f t="shared" ref="H392:P392" si="136">SUM(H390:H391)</f>
        <v>19372</v>
      </c>
      <c r="I392" s="327">
        <f t="shared" si="136"/>
        <v>23571</v>
      </c>
      <c r="J392" s="327">
        <f t="shared" si="136"/>
        <v>22829</v>
      </c>
      <c r="K392" s="327">
        <f t="shared" si="136"/>
        <v>22067</v>
      </c>
      <c r="L392" s="327">
        <f t="shared" si="136"/>
        <v>21323</v>
      </c>
      <c r="M392" s="327">
        <f t="shared" si="136"/>
        <v>20540</v>
      </c>
      <c r="N392" s="327">
        <f t="shared" si="136"/>
        <v>19778</v>
      </c>
      <c r="O392" s="327">
        <f t="shared" si="136"/>
        <v>113562</v>
      </c>
      <c r="P392" s="327">
        <f t="shared" si="136"/>
        <v>263042</v>
      </c>
    </row>
    <row r="393" spans="1:16" ht="15.6" customHeight="1" x14ac:dyDescent="0.3">
      <c r="A393" s="412">
        <f>A390+1</f>
        <v>129</v>
      </c>
      <c r="B393" s="413" t="s">
        <v>398</v>
      </c>
      <c r="C393" s="424" t="s">
        <v>872</v>
      </c>
      <c r="D393" s="417" t="s">
        <v>862</v>
      </c>
      <c r="E393" s="417" t="s">
        <v>863</v>
      </c>
      <c r="F393" s="328" t="s">
        <v>873</v>
      </c>
      <c r="G393" s="322" t="s">
        <v>402</v>
      </c>
      <c r="H393" s="347">
        <f>9488-3385</f>
        <v>6103</v>
      </c>
      <c r="I393" s="347">
        <v>9780</v>
      </c>
      <c r="J393" s="347">
        <v>9780</v>
      </c>
      <c r="K393" s="347">
        <v>9780</v>
      </c>
      <c r="L393" s="347">
        <v>9780</v>
      </c>
      <c r="M393" s="347">
        <v>9780</v>
      </c>
      <c r="N393" s="347">
        <v>9780</v>
      </c>
      <c r="O393" s="347">
        <f>73718-9512+1777</f>
        <v>65983</v>
      </c>
      <c r="P393" s="323">
        <f>SUM(H393:O393)</f>
        <v>130766</v>
      </c>
    </row>
    <row r="394" spans="1:16" ht="15" customHeight="1" x14ac:dyDescent="0.3">
      <c r="A394" s="412"/>
      <c r="B394" s="413"/>
      <c r="C394" s="424"/>
      <c r="D394" s="415"/>
      <c r="E394" s="415"/>
      <c r="F394" s="330" t="s">
        <v>874</v>
      </c>
      <c r="G394" s="324" t="s">
        <v>403</v>
      </c>
      <c r="H394" s="348">
        <f>7440+41-97</f>
        <v>7384</v>
      </c>
      <c r="I394" s="348">
        <v>6695</v>
      </c>
      <c r="J394" s="348">
        <v>6177</v>
      </c>
      <c r="K394" s="348">
        <v>5644</v>
      </c>
      <c r="L394" s="348">
        <v>5123</v>
      </c>
      <c r="M394" s="183">
        <v>4577</v>
      </c>
      <c r="N394" s="183">
        <v>4044</v>
      </c>
      <c r="O394" s="183">
        <v>13382</v>
      </c>
      <c r="P394" s="325">
        <f>SUM(H394:O394)</f>
        <v>53026</v>
      </c>
    </row>
    <row r="395" spans="1:16" x14ac:dyDescent="0.3">
      <c r="A395" s="412"/>
      <c r="B395" s="413"/>
      <c r="C395" s="424"/>
      <c r="D395" s="415"/>
      <c r="E395" s="415"/>
      <c r="F395" s="60"/>
      <c r="G395" s="326" t="s">
        <v>404</v>
      </c>
      <c r="H395" s="327">
        <f t="shared" ref="H395:P395" si="137">SUM(H393:H394)</f>
        <v>13487</v>
      </c>
      <c r="I395" s="327">
        <f t="shared" si="137"/>
        <v>16475</v>
      </c>
      <c r="J395" s="327">
        <f t="shared" si="137"/>
        <v>15957</v>
      </c>
      <c r="K395" s="327">
        <f t="shared" si="137"/>
        <v>15424</v>
      </c>
      <c r="L395" s="327">
        <f t="shared" si="137"/>
        <v>14903</v>
      </c>
      <c r="M395" s="327">
        <f t="shared" si="137"/>
        <v>14357</v>
      </c>
      <c r="N395" s="327">
        <f t="shared" si="137"/>
        <v>13824</v>
      </c>
      <c r="O395" s="327">
        <f t="shared" si="137"/>
        <v>79365</v>
      </c>
      <c r="P395" s="327">
        <f t="shared" si="137"/>
        <v>183792</v>
      </c>
    </row>
    <row r="396" spans="1:16" ht="15.75" customHeight="1" x14ac:dyDescent="0.3">
      <c r="A396" s="412">
        <f>A393+1</f>
        <v>130</v>
      </c>
      <c r="B396" s="413" t="s">
        <v>398</v>
      </c>
      <c r="C396" s="414" t="s">
        <v>875</v>
      </c>
      <c r="D396" s="417" t="s">
        <v>862</v>
      </c>
      <c r="E396" s="417" t="s">
        <v>863</v>
      </c>
      <c r="F396" s="328" t="s">
        <v>876</v>
      </c>
      <c r="G396" s="322" t="s">
        <v>402</v>
      </c>
      <c r="H396" s="347">
        <f>35127-19101</f>
        <v>16026</v>
      </c>
      <c r="I396" s="347">
        <v>36680</v>
      </c>
      <c r="J396" s="347">
        <v>36680</v>
      </c>
      <c r="K396" s="347">
        <v>36680</v>
      </c>
      <c r="L396" s="347">
        <v>36680</v>
      </c>
      <c r="M396" s="347">
        <v>36680</v>
      </c>
      <c r="N396" s="347">
        <v>36680</v>
      </c>
      <c r="O396" s="347">
        <f>483672-211027-35180+10101</f>
        <v>247566</v>
      </c>
      <c r="P396" s="323">
        <f>SUM(H396:O396)</f>
        <v>483672</v>
      </c>
    </row>
    <row r="397" spans="1:16" ht="14.25" customHeight="1" x14ac:dyDescent="0.3">
      <c r="A397" s="412"/>
      <c r="B397" s="413"/>
      <c r="C397" s="414"/>
      <c r="D397" s="415"/>
      <c r="E397" s="415"/>
      <c r="F397" s="330" t="s">
        <v>877</v>
      </c>
      <c r="G397" s="324" t="s">
        <v>403</v>
      </c>
      <c r="H397" s="348">
        <f>27520+227-360</f>
        <v>27387</v>
      </c>
      <c r="I397" s="348">
        <v>25095</v>
      </c>
      <c r="J397" s="348">
        <v>23171</v>
      </c>
      <c r="K397" s="348">
        <v>21171</v>
      </c>
      <c r="L397" s="348">
        <v>19221</v>
      </c>
      <c r="M397" s="348">
        <v>17169</v>
      </c>
      <c r="N397" s="348">
        <v>15171</v>
      </c>
      <c r="O397" s="348">
        <v>50225</v>
      </c>
      <c r="P397" s="325">
        <f>SUM(H397:O397)</f>
        <v>198610</v>
      </c>
    </row>
    <row r="398" spans="1:16" ht="14.25" customHeight="1" x14ac:dyDescent="0.3">
      <c r="A398" s="412"/>
      <c r="B398" s="413"/>
      <c r="C398" s="414"/>
      <c r="D398" s="415"/>
      <c r="E398" s="415"/>
      <c r="F398" s="60"/>
      <c r="G398" s="326" t="s">
        <v>404</v>
      </c>
      <c r="H398" s="327">
        <f t="shared" ref="H398:P398" si="138">SUM(H396:H397)</f>
        <v>43413</v>
      </c>
      <c r="I398" s="327">
        <f t="shared" si="138"/>
        <v>61775</v>
      </c>
      <c r="J398" s="327">
        <f t="shared" si="138"/>
        <v>59851</v>
      </c>
      <c r="K398" s="327">
        <f t="shared" si="138"/>
        <v>57851</v>
      </c>
      <c r="L398" s="327">
        <f t="shared" si="138"/>
        <v>55901</v>
      </c>
      <c r="M398" s="327">
        <f t="shared" si="138"/>
        <v>53849</v>
      </c>
      <c r="N398" s="327">
        <f t="shared" si="138"/>
        <v>51851</v>
      </c>
      <c r="O398" s="327">
        <f t="shared" si="138"/>
        <v>297791</v>
      </c>
      <c r="P398" s="327">
        <f t="shared" si="138"/>
        <v>682282</v>
      </c>
    </row>
    <row r="399" spans="1:16" ht="15.6" customHeight="1" x14ac:dyDescent="0.3">
      <c r="A399" s="412">
        <f>A396+1</f>
        <v>131</v>
      </c>
      <c r="B399" s="413" t="s">
        <v>398</v>
      </c>
      <c r="C399" s="414" t="s">
        <v>878</v>
      </c>
      <c r="D399" s="437" t="s">
        <v>879</v>
      </c>
      <c r="E399" s="437" t="s">
        <v>523</v>
      </c>
      <c r="F399" s="328" t="s">
        <v>880</v>
      </c>
      <c r="G399" s="322" t="s">
        <v>402</v>
      </c>
      <c r="H399" s="347">
        <f>14397-6047</f>
        <v>8350</v>
      </c>
      <c r="I399" s="347">
        <v>14752</v>
      </c>
      <c r="J399" s="347">
        <v>14752</v>
      </c>
      <c r="K399" s="347">
        <v>14752</v>
      </c>
      <c r="L399" s="347">
        <v>14752</v>
      </c>
      <c r="M399" s="347">
        <v>14752</v>
      </c>
      <c r="N399" s="347">
        <v>14752</v>
      </c>
      <c r="O399" s="347">
        <f>183702-14408+3983</f>
        <v>173277</v>
      </c>
      <c r="P399" s="323">
        <f>SUM(H399:O399)</f>
        <v>270139</v>
      </c>
    </row>
    <row r="400" spans="1:16" ht="14.25" customHeight="1" x14ac:dyDescent="0.3">
      <c r="A400" s="412"/>
      <c r="B400" s="413"/>
      <c r="C400" s="414"/>
      <c r="D400" s="412"/>
      <c r="E400" s="412"/>
      <c r="F400" s="330" t="s">
        <v>881</v>
      </c>
      <c r="G400" s="324" t="s">
        <v>403</v>
      </c>
      <c r="H400" s="348">
        <f>14820+62-110</f>
        <v>14772</v>
      </c>
      <c r="I400" s="348">
        <v>13523</v>
      </c>
      <c r="J400" s="348">
        <v>12776</v>
      </c>
      <c r="K400" s="348">
        <v>12005</v>
      </c>
      <c r="L400" s="348">
        <v>11265</v>
      </c>
      <c r="M400" s="348">
        <v>10463</v>
      </c>
      <c r="N400" s="348">
        <v>9693</v>
      </c>
      <c r="O400" s="348">
        <v>56300</v>
      </c>
      <c r="P400" s="325">
        <f>SUM(H400:O400)</f>
        <v>140797</v>
      </c>
    </row>
    <row r="401" spans="1:16" ht="14.25" customHeight="1" x14ac:dyDescent="0.3">
      <c r="A401" s="412"/>
      <c r="B401" s="413"/>
      <c r="C401" s="414"/>
      <c r="D401" s="412"/>
      <c r="E401" s="412"/>
      <c r="F401" s="60"/>
      <c r="G401" s="326" t="s">
        <v>404</v>
      </c>
      <c r="H401" s="327">
        <f t="shared" ref="H401:P401" si="139">SUM(H399:H400)</f>
        <v>23122</v>
      </c>
      <c r="I401" s="327">
        <f t="shared" si="139"/>
        <v>28275</v>
      </c>
      <c r="J401" s="327">
        <f t="shared" si="139"/>
        <v>27528</v>
      </c>
      <c r="K401" s="327">
        <f t="shared" si="139"/>
        <v>26757</v>
      </c>
      <c r="L401" s="327">
        <f t="shared" si="139"/>
        <v>26017</v>
      </c>
      <c r="M401" s="327">
        <f t="shared" si="139"/>
        <v>25215</v>
      </c>
      <c r="N401" s="327">
        <f t="shared" si="139"/>
        <v>24445</v>
      </c>
      <c r="O401" s="327">
        <f t="shared" si="139"/>
        <v>229577</v>
      </c>
      <c r="P401" s="327">
        <f t="shared" si="139"/>
        <v>410936</v>
      </c>
    </row>
    <row r="402" spans="1:16" ht="14.4" customHeight="1" x14ac:dyDescent="0.3">
      <c r="A402" s="412">
        <f>A399+1</f>
        <v>132</v>
      </c>
      <c r="B402" s="413" t="s">
        <v>398</v>
      </c>
      <c r="C402" s="424" t="s">
        <v>1064</v>
      </c>
      <c r="D402" s="437" t="s">
        <v>882</v>
      </c>
      <c r="E402" s="437" t="s">
        <v>883</v>
      </c>
      <c r="F402" s="328" t="s">
        <v>884</v>
      </c>
      <c r="G402" s="322" t="s">
        <v>402</v>
      </c>
      <c r="H402" s="347">
        <f>13242-3803</f>
        <v>9439</v>
      </c>
      <c r="I402" s="347">
        <v>17952</v>
      </c>
      <c r="J402" s="347">
        <v>17952</v>
      </c>
      <c r="K402" s="347">
        <v>17952</v>
      </c>
      <c r="L402" s="347">
        <v>17952</v>
      </c>
      <c r="M402" s="347">
        <v>17952</v>
      </c>
      <c r="N402" s="347">
        <v>17952</v>
      </c>
      <c r="O402" s="347">
        <f>141280-17660+2051</f>
        <v>125671</v>
      </c>
      <c r="P402" s="323">
        <f>SUM(H402:O402)</f>
        <v>242822</v>
      </c>
    </row>
    <row r="403" spans="1:16" ht="15.75" customHeight="1" x14ac:dyDescent="0.3">
      <c r="A403" s="412"/>
      <c r="B403" s="413"/>
      <c r="C403" s="424"/>
      <c r="D403" s="412"/>
      <c r="E403" s="412"/>
      <c r="F403" s="330" t="s">
        <v>885</v>
      </c>
      <c r="G403" s="324" t="s">
        <v>403</v>
      </c>
      <c r="H403" s="348">
        <f>13815+36</f>
        <v>13851</v>
      </c>
      <c r="I403" s="348">
        <v>12489</v>
      </c>
      <c r="J403" s="348">
        <v>11478</v>
      </c>
      <c r="K403" s="348">
        <v>10508</v>
      </c>
      <c r="L403" s="348">
        <v>9564</v>
      </c>
      <c r="M403" s="348">
        <v>8568</v>
      </c>
      <c r="N403" s="348">
        <v>7599</v>
      </c>
      <c r="O403" s="348">
        <v>26111</v>
      </c>
      <c r="P403" s="325">
        <f>SUM(H403:O403)</f>
        <v>100168</v>
      </c>
    </row>
    <row r="404" spans="1:16" ht="15.75" customHeight="1" x14ac:dyDescent="0.3">
      <c r="A404" s="412"/>
      <c r="B404" s="413"/>
      <c r="C404" s="424"/>
      <c r="D404" s="412"/>
      <c r="E404" s="412"/>
      <c r="F404" s="60"/>
      <c r="G404" s="326" t="s">
        <v>404</v>
      </c>
      <c r="H404" s="327">
        <f t="shared" ref="H404:P404" si="140">SUM(H402:H403)</f>
        <v>23290</v>
      </c>
      <c r="I404" s="327">
        <f t="shared" si="140"/>
        <v>30441</v>
      </c>
      <c r="J404" s="327">
        <f t="shared" si="140"/>
        <v>29430</v>
      </c>
      <c r="K404" s="327">
        <f t="shared" si="140"/>
        <v>28460</v>
      </c>
      <c r="L404" s="327">
        <f t="shared" si="140"/>
        <v>27516</v>
      </c>
      <c r="M404" s="327">
        <f t="shared" si="140"/>
        <v>26520</v>
      </c>
      <c r="N404" s="327">
        <f t="shared" si="140"/>
        <v>25551</v>
      </c>
      <c r="O404" s="327">
        <f t="shared" si="140"/>
        <v>151782</v>
      </c>
      <c r="P404" s="327">
        <f t="shared" si="140"/>
        <v>342990</v>
      </c>
    </row>
    <row r="405" spans="1:16" ht="15.75" customHeight="1" x14ac:dyDescent="0.3">
      <c r="A405" s="412">
        <f>A402+1</f>
        <v>133</v>
      </c>
      <c r="B405" s="413" t="s">
        <v>398</v>
      </c>
      <c r="C405" s="447" t="s">
        <v>886</v>
      </c>
      <c r="D405" s="437" t="s">
        <v>887</v>
      </c>
      <c r="E405" s="437" t="s">
        <v>651</v>
      </c>
      <c r="F405" s="328" t="s">
        <v>888</v>
      </c>
      <c r="G405" s="349" t="s">
        <v>402</v>
      </c>
      <c r="H405" s="350">
        <f>29571-28171</f>
        <v>1400</v>
      </c>
      <c r="I405" s="350">
        <v>40952</v>
      </c>
      <c r="J405" s="350">
        <v>40952</v>
      </c>
      <c r="K405" s="350">
        <v>40952</v>
      </c>
      <c r="L405" s="350">
        <v>40952</v>
      </c>
      <c r="M405" s="350">
        <v>40952</v>
      </c>
      <c r="N405" s="350">
        <v>40952</v>
      </c>
      <c r="O405" s="350">
        <f>10238*49+10207</f>
        <v>511869</v>
      </c>
      <c r="P405" s="351">
        <f>SUM(H405:O405)</f>
        <v>758981</v>
      </c>
    </row>
    <row r="406" spans="1:16" ht="15.75" customHeight="1" x14ac:dyDescent="0.3">
      <c r="A406" s="412"/>
      <c r="B406" s="413"/>
      <c r="C406" s="447"/>
      <c r="D406" s="437"/>
      <c r="E406" s="437"/>
      <c r="F406" s="330" t="s">
        <v>889</v>
      </c>
      <c r="G406" s="352" t="s">
        <v>403</v>
      </c>
      <c r="H406" s="183">
        <f>35282+144</f>
        <v>35426</v>
      </c>
      <c r="I406" s="183">
        <v>34877</v>
      </c>
      <c r="J406" s="183">
        <v>33065</v>
      </c>
      <c r="K406" s="183">
        <v>31157</v>
      </c>
      <c r="L406" s="183">
        <v>29327</v>
      </c>
      <c r="M406" s="183">
        <v>27340</v>
      </c>
      <c r="N406" s="183">
        <v>25434</v>
      </c>
      <c r="O406" s="183">
        <v>157293</v>
      </c>
      <c r="P406" s="340">
        <f>SUM(H406:O406)</f>
        <v>373919</v>
      </c>
    </row>
    <row r="407" spans="1:16" ht="15.75" customHeight="1" x14ac:dyDescent="0.3">
      <c r="A407" s="412"/>
      <c r="B407" s="413"/>
      <c r="C407" s="447"/>
      <c r="D407" s="437"/>
      <c r="E407" s="437"/>
      <c r="F407" s="60"/>
      <c r="G407" s="353" t="s">
        <v>404</v>
      </c>
      <c r="H407" s="343">
        <f t="shared" ref="H407:P407" si="141">SUM(H405:H406)</f>
        <v>36826</v>
      </c>
      <c r="I407" s="343">
        <f t="shared" si="141"/>
        <v>75829</v>
      </c>
      <c r="J407" s="343">
        <f t="shared" si="141"/>
        <v>74017</v>
      </c>
      <c r="K407" s="343">
        <f t="shared" si="141"/>
        <v>72109</v>
      </c>
      <c r="L407" s="343">
        <f t="shared" si="141"/>
        <v>70279</v>
      </c>
      <c r="M407" s="343">
        <f t="shared" si="141"/>
        <v>68292</v>
      </c>
      <c r="N407" s="343">
        <f t="shared" si="141"/>
        <v>66386</v>
      </c>
      <c r="O407" s="343">
        <f t="shared" si="141"/>
        <v>669162</v>
      </c>
      <c r="P407" s="343">
        <f t="shared" si="141"/>
        <v>1132900</v>
      </c>
    </row>
    <row r="408" spans="1:16" ht="15.75" customHeight="1" x14ac:dyDescent="0.3">
      <c r="A408" s="412">
        <f>A405+1</f>
        <v>134</v>
      </c>
      <c r="B408" s="413" t="s">
        <v>398</v>
      </c>
      <c r="C408" s="424" t="s">
        <v>1065</v>
      </c>
      <c r="D408" s="451" t="s">
        <v>890</v>
      </c>
      <c r="E408" s="451" t="s">
        <v>891</v>
      </c>
      <c r="F408" s="328" t="s">
        <v>892</v>
      </c>
      <c r="G408" s="349" t="s">
        <v>402</v>
      </c>
      <c r="H408" s="350">
        <f>2481-2481</f>
        <v>0</v>
      </c>
      <c r="I408" s="350">
        <v>10148</v>
      </c>
      <c r="J408" s="350">
        <v>10148</v>
      </c>
      <c r="K408" s="350">
        <v>10148</v>
      </c>
      <c r="L408" s="350">
        <v>10148</v>
      </c>
      <c r="M408" s="350">
        <v>10148</v>
      </c>
      <c r="N408" s="350">
        <v>10148</v>
      </c>
      <c r="O408" s="350">
        <f>2537*8+2510</f>
        <v>22806</v>
      </c>
      <c r="P408" s="351">
        <f>SUM(H408:O408)</f>
        <v>83694</v>
      </c>
    </row>
    <row r="409" spans="1:16" ht="15.75" customHeight="1" x14ac:dyDescent="0.3">
      <c r="A409" s="412"/>
      <c r="B409" s="413"/>
      <c r="C409" s="424"/>
      <c r="D409" s="452"/>
      <c r="E409" s="452"/>
      <c r="F409" s="330" t="s">
        <v>893</v>
      </c>
      <c r="G409" s="352" t="s">
        <v>403</v>
      </c>
      <c r="H409" s="183">
        <v>3209</v>
      </c>
      <c r="I409" s="183">
        <v>3471</v>
      </c>
      <c r="J409" s="183">
        <v>3064</v>
      </c>
      <c r="K409" s="183">
        <v>2632</v>
      </c>
      <c r="L409" s="183">
        <v>2205</v>
      </c>
      <c r="M409" s="183">
        <v>1767</v>
      </c>
      <c r="N409" s="183">
        <v>1335</v>
      </c>
      <c r="O409" s="183">
        <v>1451</v>
      </c>
      <c r="P409" s="340">
        <f>SUM(H409:O409)</f>
        <v>19134</v>
      </c>
    </row>
    <row r="410" spans="1:16" ht="15.75" customHeight="1" x14ac:dyDescent="0.3">
      <c r="A410" s="412"/>
      <c r="B410" s="413"/>
      <c r="C410" s="424"/>
      <c r="D410" s="452"/>
      <c r="E410" s="452"/>
      <c r="F410" s="60"/>
      <c r="G410" s="353" t="s">
        <v>404</v>
      </c>
      <c r="H410" s="343">
        <f t="shared" ref="H410:P410" si="142">SUM(H408:H409)</f>
        <v>3209</v>
      </c>
      <c r="I410" s="343">
        <f t="shared" si="142"/>
        <v>13619</v>
      </c>
      <c r="J410" s="343">
        <f t="shared" si="142"/>
        <v>13212</v>
      </c>
      <c r="K410" s="343">
        <f t="shared" si="142"/>
        <v>12780</v>
      </c>
      <c r="L410" s="343">
        <f t="shared" si="142"/>
        <v>12353</v>
      </c>
      <c r="M410" s="343">
        <f t="shared" si="142"/>
        <v>11915</v>
      </c>
      <c r="N410" s="343">
        <f t="shared" si="142"/>
        <v>11483</v>
      </c>
      <c r="O410" s="343">
        <f t="shared" si="142"/>
        <v>24257</v>
      </c>
      <c r="P410" s="343">
        <f t="shared" si="142"/>
        <v>102828</v>
      </c>
    </row>
    <row r="411" spans="1:16" ht="15.75" customHeight="1" x14ac:dyDescent="0.3">
      <c r="A411" s="412">
        <f>A408+1</f>
        <v>135</v>
      </c>
      <c r="B411" s="413" t="s">
        <v>398</v>
      </c>
      <c r="C411" s="424" t="s">
        <v>1066</v>
      </c>
      <c r="D411" s="451" t="s">
        <v>890</v>
      </c>
      <c r="E411" s="451" t="s">
        <v>651</v>
      </c>
      <c r="F411" s="328" t="s">
        <v>894</v>
      </c>
      <c r="G411" s="349" t="s">
        <v>402</v>
      </c>
      <c r="H411" s="350">
        <f>4164-4164</f>
        <v>0</v>
      </c>
      <c r="I411" s="350">
        <v>16880</v>
      </c>
      <c r="J411" s="350">
        <v>16880</v>
      </c>
      <c r="K411" s="350">
        <v>16880</v>
      </c>
      <c r="L411" s="350">
        <v>16880</v>
      </c>
      <c r="M411" s="350">
        <v>16880</v>
      </c>
      <c r="N411" s="350">
        <v>16880</v>
      </c>
      <c r="O411" s="350">
        <f>4220*49+4170</f>
        <v>210950</v>
      </c>
      <c r="P411" s="351">
        <f>SUM(H411:O411)</f>
        <v>312230</v>
      </c>
    </row>
    <row r="412" spans="1:16" ht="15.75" customHeight="1" x14ac:dyDescent="0.3">
      <c r="A412" s="412"/>
      <c r="B412" s="413"/>
      <c r="C412" s="424"/>
      <c r="D412" s="452"/>
      <c r="E412" s="452"/>
      <c r="F412" s="330" t="s">
        <v>895</v>
      </c>
      <c r="G412" s="352" t="s">
        <v>403</v>
      </c>
      <c r="H412" s="183">
        <v>13269</v>
      </c>
      <c r="I412" s="183">
        <v>14343</v>
      </c>
      <c r="J412" s="183">
        <v>13604</v>
      </c>
      <c r="K412" s="183">
        <v>12819</v>
      </c>
      <c r="L412" s="183">
        <v>12065</v>
      </c>
      <c r="M412" s="183">
        <v>11248</v>
      </c>
      <c r="N412" s="183">
        <v>10463</v>
      </c>
      <c r="O412" s="183">
        <v>63829</v>
      </c>
      <c r="P412" s="340">
        <f>SUM(H412:O412)</f>
        <v>151640</v>
      </c>
    </row>
    <row r="413" spans="1:16" ht="15.75" customHeight="1" x14ac:dyDescent="0.3">
      <c r="A413" s="412"/>
      <c r="B413" s="413"/>
      <c r="C413" s="424"/>
      <c r="D413" s="452"/>
      <c r="E413" s="452"/>
      <c r="F413" s="60"/>
      <c r="G413" s="353" t="s">
        <v>404</v>
      </c>
      <c r="H413" s="343">
        <f t="shared" ref="H413:P413" si="143">SUM(H411:H412)</f>
        <v>13269</v>
      </c>
      <c r="I413" s="343">
        <f t="shared" si="143"/>
        <v>31223</v>
      </c>
      <c r="J413" s="343">
        <f t="shared" si="143"/>
        <v>30484</v>
      </c>
      <c r="K413" s="343">
        <f t="shared" si="143"/>
        <v>29699</v>
      </c>
      <c r="L413" s="343">
        <f t="shared" si="143"/>
        <v>28945</v>
      </c>
      <c r="M413" s="343">
        <f t="shared" si="143"/>
        <v>28128</v>
      </c>
      <c r="N413" s="343">
        <f t="shared" si="143"/>
        <v>27343</v>
      </c>
      <c r="O413" s="343">
        <f t="shared" si="143"/>
        <v>274779</v>
      </c>
      <c r="P413" s="343">
        <f t="shared" si="143"/>
        <v>463870</v>
      </c>
    </row>
    <row r="414" spans="1:16" ht="14.25" customHeight="1" x14ac:dyDescent="0.3">
      <c r="A414" s="412">
        <f>A411+1</f>
        <v>136</v>
      </c>
      <c r="B414" s="453" t="s">
        <v>398</v>
      </c>
      <c r="C414" s="442" t="s">
        <v>1067</v>
      </c>
      <c r="D414" s="437" t="s">
        <v>896</v>
      </c>
      <c r="E414" s="437" t="s">
        <v>897</v>
      </c>
      <c r="F414" s="328" t="s">
        <v>898</v>
      </c>
      <c r="G414" s="349" t="s">
        <v>402</v>
      </c>
      <c r="H414" s="350">
        <v>0</v>
      </c>
      <c r="I414" s="350">
        <v>23064</v>
      </c>
      <c r="J414" s="350">
        <v>30752</v>
      </c>
      <c r="K414" s="350">
        <v>30752</v>
      </c>
      <c r="L414" s="350">
        <v>30752</v>
      </c>
      <c r="M414" s="350">
        <v>30752</v>
      </c>
      <c r="N414" s="350">
        <v>30752</v>
      </c>
      <c r="O414" s="350">
        <f>422794-146072-30752</f>
        <v>245970</v>
      </c>
      <c r="P414" s="351">
        <f>SUM(H414:O414)</f>
        <v>422794</v>
      </c>
    </row>
    <row r="415" spans="1:16" ht="13.5" customHeight="1" x14ac:dyDescent="0.3">
      <c r="A415" s="412"/>
      <c r="B415" s="453"/>
      <c r="C415" s="442"/>
      <c r="D415" s="412"/>
      <c r="E415" s="412"/>
      <c r="F415" s="330" t="s">
        <v>899</v>
      </c>
      <c r="G415" s="352" t="s">
        <v>403</v>
      </c>
      <c r="H415" s="183">
        <v>15766</v>
      </c>
      <c r="I415" s="183">
        <v>19204</v>
      </c>
      <c r="J415" s="183">
        <v>18042</v>
      </c>
      <c r="K415" s="354">
        <v>16637</v>
      </c>
      <c r="L415" s="354">
        <v>15270</v>
      </c>
      <c r="M415" s="354">
        <v>13824</v>
      </c>
      <c r="N415" s="354">
        <v>12419</v>
      </c>
      <c r="O415" s="354">
        <v>48893</v>
      </c>
      <c r="P415" s="340">
        <f>SUM(H415:O415)</f>
        <v>160055</v>
      </c>
    </row>
    <row r="416" spans="1:16" ht="15.75" customHeight="1" x14ac:dyDescent="0.3">
      <c r="A416" s="412"/>
      <c r="B416" s="453"/>
      <c r="C416" s="442"/>
      <c r="D416" s="412"/>
      <c r="E416" s="412"/>
      <c r="F416" s="60"/>
      <c r="G416" s="353" t="s">
        <v>404</v>
      </c>
      <c r="H416" s="343">
        <f t="shared" ref="H416:P416" si="144">SUM(H414:H415)</f>
        <v>15766</v>
      </c>
      <c r="I416" s="343">
        <f t="shared" si="144"/>
        <v>42268</v>
      </c>
      <c r="J416" s="343">
        <f t="shared" si="144"/>
        <v>48794</v>
      </c>
      <c r="K416" s="343">
        <f t="shared" si="144"/>
        <v>47389</v>
      </c>
      <c r="L416" s="343">
        <f t="shared" si="144"/>
        <v>46022</v>
      </c>
      <c r="M416" s="343">
        <f t="shared" si="144"/>
        <v>44576</v>
      </c>
      <c r="N416" s="343">
        <f t="shared" si="144"/>
        <v>43171</v>
      </c>
      <c r="O416" s="343">
        <f t="shared" si="144"/>
        <v>294863</v>
      </c>
      <c r="P416" s="343">
        <f t="shared" si="144"/>
        <v>582849</v>
      </c>
    </row>
    <row r="417" spans="1:16" ht="15" customHeight="1" x14ac:dyDescent="0.3">
      <c r="A417" s="412">
        <f>A414+1</f>
        <v>137</v>
      </c>
      <c r="B417" s="413" t="s">
        <v>398</v>
      </c>
      <c r="C417" s="454" t="s">
        <v>1068</v>
      </c>
      <c r="D417" s="437" t="s">
        <v>900</v>
      </c>
      <c r="E417" s="437" t="s">
        <v>901</v>
      </c>
      <c r="F417" s="328" t="s">
        <v>902</v>
      </c>
      <c r="G417" s="349" t="s">
        <v>402</v>
      </c>
      <c r="H417" s="355">
        <f>41704+41704-83408</f>
        <v>0</v>
      </c>
      <c r="I417" s="350">
        <v>172884</v>
      </c>
      <c r="J417" s="350">
        <v>172884</v>
      </c>
      <c r="K417" s="350">
        <v>172884</v>
      </c>
      <c r="L417" s="350">
        <v>172884</v>
      </c>
      <c r="M417" s="350">
        <v>172884</v>
      </c>
      <c r="N417" s="350">
        <v>172884</v>
      </c>
      <c r="O417" s="350">
        <f>43221*30+43168</f>
        <v>1339798</v>
      </c>
      <c r="P417" s="351">
        <f>SUM(H417:O417)</f>
        <v>2377102</v>
      </c>
    </row>
    <row r="418" spans="1:16" ht="15.75" customHeight="1" x14ac:dyDescent="0.3">
      <c r="A418" s="412"/>
      <c r="B418" s="413"/>
      <c r="C418" s="454"/>
      <c r="D418" s="412"/>
      <c r="E418" s="412"/>
      <c r="F418" s="330" t="s">
        <v>903</v>
      </c>
      <c r="G418" s="352" t="s">
        <v>403</v>
      </c>
      <c r="H418" s="183">
        <f>95521+56</f>
        <v>95577</v>
      </c>
      <c r="I418" s="183">
        <v>104590</v>
      </c>
      <c r="J418" s="183">
        <v>97304</v>
      </c>
      <c r="K418" s="183">
        <v>89574</v>
      </c>
      <c r="L418" s="183">
        <v>82055</v>
      </c>
      <c r="M418" s="183">
        <v>74103</v>
      </c>
      <c r="N418" s="183">
        <v>66378</v>
      </c>
      <c r="O418" s="183">
        <v>252906</v>
      </c>
      <c r="P418" s="340">
        <f>SUM(H418:O418)</f>
        <v>862487</v>
      </c>
    </row>
    <row r="419" spans="1:16" ht="15.75" customHeight="1" x14ac:dyDescent="0.3">
      <c r="A419" s="412"/>
      <c r="B419" s="413"/>
      <c r="C419" s="454"/>
      <c r="D419" s="412"/>
      <c r="E419" s="412"/>
      <c r="F419" s="60"/>
      <c r="G419" s="353" t="s">
        <v>404</v>
      </c>
      <c r="H419" s="343">
        <f t="shared" ref="H419:P419" si="145">SUM(H417:H418)</f>
        <v>95577</v>
      </c>
      <c r="I419" s="343">
        <f t="shared" si="145"/>
        <v>277474</v>
      </c>
      <c r="J419" s="343">
        <f t="shared" si="145"/>
        <v>270188</v>
      </c>
      <c r="K419" s="343">
        <f t="shared" si="145"/>
        <v>262458</v>
      </c>
      <c r="L419" s="343">
        <f t="shared" si="145"/>
        <v>254939</v>
      </c>
      <c r="M419" s="343">
        <f t="shared" si="145"/>
        <v>246987</v>
      </c>
      <c r="N419" s="343">
        <f t="shared" si="145"/>
        <v>239262</v>
      </c>
      <c r="O419" s="343">
        <f t="shared" si="145"/>
        <v>1592704</v>
      </c>
      <c r="P419" s="343">
        <f t="shared" si="145"/>
        <v>3239589</v>
      </c>
    </row>
    <row r="420" spans="1:16" ht="14.25" customHeight="1" x14ac:dyDescent="0.3">
      <c r="A420" s="412">
        <f>A417+1</f>
        <v>138</v>
      </c>
      <c r="B420" s="455" t="s">
        <v>398</v>
      </c>
      <c r="C420" s="424" t="s">
        <v>904</v>
      </c>
      <c r="D420" s="437" t="s">
        <v>905</v>
      </c>
      <c r="E420" s="437" t="s">
        <v>906</v>
      </c>
      <c r="F420" s="322" t="s">
        <v>907</v>
      </c>
      <c r="G420" s="349" t="s">
        <v>402</v>
      </c>
      <c r="H420" s="350">
        <v>3482</v>
      </c>
      <c r="I420" s="350">
        <v>13928</v>
      </c>
      <c r="J420" s="350">
        <v>13928</v>
      </c>
      <c r="K420" s="350">
        <v>13928</v>
      </c>
      <c r="L420" s="350">
        <v>13928</v>
      </c>
      <c r="M420" s="350">
        <v>13928</v>
      </c>
      <c r="N420" s="350">
        <v>13928</v>
      </c>
      <c r="O420" s="350">
        <f>308507-73122-13928</f>
        <v>221457</v>
      </c>
      <c r="P420" s="351">
        <f>SUM(H420:O420)</f>
        <v>308507</v>
      </c>
    </row>
    <row r="421" spans="1:16" ht="14.25" customHeight="1" x14ac:dyDescent="0.3">
      <c r="A421" s="412"/>
      <c r="B421" s="455"/>
      <c r="C421" s="414"/>
      <c r="D421" s="412"/>
      <c r="E421" s="412"/>
      <c r="F421" s="324" t="s">
        <v>908</v>
      </c>
      <c r="G421" s="352" t="s">
        <v>403</v>
      </c>
      <c r="H421" s="183">
        <f>9864-1681-280</f>
        <v>7903</v>
      </c>
      <c r="I421" s="183">
        <v>14840</v>
      </c>
      <c r="J421" s="183">
        <v>12290</v>
      </c>
      <c r="K421" s="183">
        <v>11333</v>
      </c>
      <c r="L421" s="183">
        <v>10759</v>
      </c>
      <c r="M421" s="183">
        <v>10185</v>
      </c>
      <c r="N421" s="183">
        <v>9611</v>
      </c>
      <c r="O421" s="183">
        <v>82693</v>
      </c>
      <c r="P421" s="340">
        <f>SUM(H421:O421)</f>
        <v>159614</v>
      </c>
    </row>
    <row r="422" spans="1:16" ht="14.25" customHeight="1" x14ac:dyDescent="0.3">
      <c r="A422" s="412"/>
      <c r="B422" s="455"/>
      <c r="C422" s="414"/>
      <c r="D422" s="412"/>
      <c r="E422" s="412"/>
      <c r="F422" s="60"/>
      <c r="G422" s="326" t="s">
        <v>404</v>
      </c>
      <c r="H422" s="343">
        <f t="shared" ref="H422:P422" si="146">SUM(H420:H421)</f>
        <v>11385</v>
      </c>
      <c r="I422" s="343">
        <f t="shared" si="146"/>
        <v>28768</v>
      </c>
      <c r="J422" s="343">
        <f t="shared" si="146"/>
        <v>26218</v>
      </c>
      <c r="K422" s="343">
        <f t="shared" si="146"/>
        <v>25261</v>
      </c>
      <c r="L422" s="343">
        <f t="shared" si="146"/>
        <v>24687</v>
      </c>
      <c r="M422" s="343">
        <f t="shared" si="146"/>
        <v>24113</v>
      </c>
      <c r="N422" s="343">
        <f t="shared" si="146"/>
        <v>23539</v>
      </c>
      <c r="O422" s="343">
        <f t="shared" si="146"/>
        <v>304150</v>
      </c>
      <c r="P422" s="343">
        <f t="shared" si="146"/>
        <v>468121</v>
      </c>
    </row>
    <row r="423" spans="1:16" ht="14.25" customHeight="1" x14ac:dyDescent="0.3">
      <c r="A423" s="412">
        <f>A420+1</f>
        <v>139</v>
      </c>
      <c r="B423" s="413" t="s">
        <v>398</v>
      </c>
      <c r="C423" s="447" t="s">
        <v>909</v>
      </c>
      <c r="D423" s="437" t="s">
        <v>910</v>
      </c>
      <c r="E423" s="437" t="s">
        <v>658</v>
      </c>
      <c r="F423" s="322" t="s">
        <v>911</v>
      </c>
      <c r="G423" s="349" t="s">
        <v>402</v>
      </c>
      <c r="H423" s="350">
        <f>17806-17806</f>
        <v>0</v>
      </c>
      <c r="I423" s="350">
        <v>36932</v>
      </c>
      <c r="J423" s="350">
        <v>36932</v>
      </c>
      <c r="K423" s="350">
        <v>36932</v>
      </c>
      <c r="L423" s="350">
        <v>36932</v>
      </c>
      <c r="M423" s="350">
        <v>36932</v>
      </c>
      <c r="N423" s="350">
        <v>36932</v>
      </c>
      <c r="O423" s="350">
        <f>9233*29+9191</f>
        <v>276948</v>
      </c>
      <c r="P423" s="351">
        <f>SUM(H423:O423)</f>
        <v>498540</v>
      </c>
    </row>
    <row r="424" spans="1:16" ht="14.25" customHeight="1" x14ac:dyDescent="0.3">
      <c r="A424" s="412"/>
      <c r="B424" s="413"/>
      <c r="C424" s="456"/>
      <c r="D424" s="412"/>
      <c r="E424" s="412"/>
      <c r="F424" s="324" t="s">
        <v>912</v>
      </c>
      <c r="G424" s="352" t="s">
        <v>403</v>
      </c>
      <c r="H424" s="183">
        <f>21436+12</f>
        <v>21448</v>
      </c>
      <c r="I424" s="183">
        <v>21824</v>
      </c>
      <c r="J424" s="183">
        <v>20275</v>
      </c>
      <c r="K424" s="183">
        <v>18632</v>
      </c>
      <c r="L424" s="183">
        <v>17032</v>
      </c>
      <c r="M424" s="183">
        <v>15343</v>
      </c>
      <c r="N424" s="183">
        <v>13700</v>
      </c>
      <c r="O424" s="183">
        <v>50554</v>
      </c>
      <c r="P424" s="340">
        <f>SUM(H424:O424)</f>
        <v>178808</v>
      </c>
    </row>
    <row r="425" spans="1:16" ht="14.25" customHeight="1" x14ac:dyDescent="0.3">
      <c r="A425" s="412"/>
      <c r="B425" s="413"/>
      <c r="C425" s="456"/>
      <c r="D425" s="412"/>
      <c r="E425" s="412"/>
      <c r="F425" s="60"/>
      <c r="G425" s="326" t="s">
        <v>404</v>
      </c>
      <c r="H425" s="343">
        <f t="shared" ref="H425:P425" si="147">SUM(H423:H424)</f>
        <v>21448</v>
      </c>
      <c r="I425" s="343">
        <f t="shared" si="147"/>
        <v>58756</v>
      </c>
      <c r="J425" s="343">
        <f t="shared" si="147"/>
        <v>57207</v>
      </c>
      <c r="K425" s="343">
        <f t="shared" si="147"/>
        <v>55564</v>
      </c>
      <c r="L425" s="343">
        <f t="shared" si="147"/>
        <v>53964</v>
      </c>
      <c r="M425" s="343">
        <f t="shared" si="147"/>
        <v>52275</v>
      </c>
      <c r="N425" s="343">
        <f t="shared" si="147"/>
        <v>50632</v>
      </c>
      <c r="O425" s="343">
        <f t="shared" si="147"/>
        <v>327502</v>
      </c>
      <c r="P425" s="343">
        <f t="shared" si="147"/>
        <v>677348</v>
      </c>
    </row>
    <row r="426" spans="1:16" ht="14.25" customHeight="1" x14ac:dyDescent="0.3">
      <c r="A426" s="412">
        <f>A423+1</f>
        <v>140</v>
      </c>
      <c r="B426" s="453" t="s">
        <v>398</v>
      </c>
      <c r="C426" s="447" t="s">
        <v>1060</v>
      </c>
      <c r="D426" s="437" t="s">
        <v>913</v>
      </c>
      <c r="E426" s="437" t="s">
        <v>914</v>
      </c>
      <c r="F426" s="322" t="s">
        <v>915</v>
      </c>
      <c r="G426" s="349" t="s">
        <v>402</v>
      </c>
      <c r="H426" s="350">
        <v>0</v>
      </c>
      <c r="I426" s="350">
        <v>26012</v>
      </c>
      <c r="J426" s="350">
        <v>26012</v>
      </c>
      <c r="K426" s="350">
        <v>26012</v>
      </c>
      <c r="L426" s="350">
        <v>26012</v>
      </c>
      <c r="M426" s="350">
        <v>26012</v>
      </c>
      <c r="N426" s="350">
        <v>26012</v>
      </c>
      <c r="O426" s="350">
        <f>357622-130060-26012</f>
        <v>201550</v>
      </c>
      <c r="P426" s="351">
        <f>SUM(H426:O426)</f>
        <v>357622</v>
      </c>
    </row>
    <row r="427" spans="1:16" ht="14.25" customHeight="1" x14ac:dyDescent="0.3">
      <c r="A427" s="412"/>
      <c r="B427" s="453"/>
      <c r="C427" s="456"/>
      <c r="D427" s="412"/>
      <c r="E427" s="412"/>
      <c r="F427" s="324" t="s">
        <v>916</v>
      </c>
      <c r="G427" s="352" t="s">
        <v>403</v>
      </c>
      <c r="H427" s="183">
        <f>13923-536-2188</f>
        <v>11199</v>
      </c>
      <c r="I427" s="183">
        <v>15084</v>
      </c>
      <c r="J427" s="183">
        <v>12120</v>
      </c>
      <c r="K427" s="183">
        <v>11158</v>
      </c>
      <c r="L427" s="183">
        <v>10196</v>
      </c>
      <c r="M427" s="183">
        <v>9233</v>
      </c>
      <c r="N427" s="183">
        <v>8270</v>
      </c>
      <c r="O427" s="183">
        <f>112413-72644-8270</f>
        <v>31499</v>
      </c>
      <c r="P427" s="340">
        <f>SUM(H427:O427)</f>
        <v>108759</v>
      </c>
    </row>
    <row r="428" spans="1:16" ht="14.25" customHeight="1" x14ac:dyDescent="0.3">
      <c r="A428" s="412"/>
      <c r="B428" s="453"/>
      <c r="C428" s="456"/>
      <c r="D428" s="412"/>
      <c r="E428" s="412"/>
      <c r="F428" s="60"/>
      <c r="G428" s="326" t="s">
        <v>404</v>
      </c>
      <c r="H428" s="343">
        <f t="shared" ref="H428:P428" si="148">SUM(H426:H427)</f>
        <v>11199</v>
      </c>
      <c r="I428" s="343">
        <f t="shared" si="148"/>
        <v>41096</v>
      </c>
      <c r="J428" s="343">
        <f t="shared" si="148"/>
        <v>38132</v>
      </c>
      <c r="K428" s="343">
        <f t="shared" si="148"/>
        <v>37170</v>
      </c>
      <c r="L428" s="343">
        <f t="shared" si="148"/>
        <v>36208</v>
      </c>
      <c r="M428" s="343">
        <f t="shared" si="148"/>
        <v>35245</v>
      </c>
      <c r="N428" s="343">
        <f t="shared" si="148"/>
        <v>34282</v>
      </c>
      <c r="O428" s="343">
        <f t="shared" si="148"/>
        <v>233049</v>
      </c>
      <c r="P428" s="343">
        <f t="shared" si="148"/>
        <v>466381</v>
      </c>
    </row>
    <row r="429" spans="1:16" ht="14.25" customHeight="1" x14ac:dyDescent="0.3">
      <c r="A429" s="452">
        <f>A426+1</f>
        <v>141</v>
      </c>
      <c r="B429" s="453" t="s">
        <v>398</v>
      </c>
      <c r="C429" s="447" t="s">
        <v>917</v>
      </c>
      <c r="D429" s="437" t="s">
        <v>913</v>
      </c>
      <c r="E429" s="437" t="s">
        <v>918</v>
      </c>
      <c r="F429" s="322" t="s">
        <v>919</v>
      </c>
      <c r="G429" s="349" t="s">
        <v>402</v>
      </c>
      <c r="H429" s="350">
        <v>6092</v>
      </c>
      <c r="I429" s="350">
        <v>12184</v>
      </c>
      <c r="J429" s="350">
        <v>12184</v>
      </c>
      <c r="K429" s="350">
        <v>12184</v>
      </c>
      <c r="L429" s="350">
        <v>12184</v>
      </c>
      <c r="M429" s="350">
        <v>12184</v>
      </c>
      <c r="N429" s="350">
        <v>12184</v>
      </c>
      <c r="O429" s="350">
        <f>112667-67012-12184</f>
        <v>33471</v>
      </c>
      <c r="P429" s="351">
        <f>SUM(H429:O429)</f>
        <v>112667</v>
      </c>
    </row>
    <row r="430" spans="1:16" ht="14.25" customHeight="1" x14ac:dyDescent="0.3">
      <c r="A430" s="452"/>
      <c r="B430" s="453"/>
      <c r="C430" s="456"/>
      <c r="D430" s="412"/>
      <c r="E430" s="412"/>
      <c r="F430" s="324" t="s">
        <v>920</v>
      </c>
      <c r="G430" s="352" t="s">
        <v>403</v>
      </c>
      <c r="H430" s="183">
        <v>4138</v>
      </c>
      <c r="I430" s="183">
        <v>4518</v>
      </c>
      <c r="J430" s="183">
        <v>3993</v>
      </c>
      <c r="K430" s="183">
        <v>3467</v>
      </c>
      <c r="L430" s="183">
        <v>2948</v>
      </c>
      <c r="M430" s="183">
        <v>2414</v>
      </c>
      <c r="N430" s="183">
        <v>1888</v>
      </c>
      <c r="O430" s="183">
        <f>1363+841+300</f>
        <v>2504</v>
      </c>
      <c r="P430" s="340">
        <f>SUM(H430:O430)</f>
        <v>25870</v>
      </c>
    </row>
    <row r="431" spans="1:16" ht="14.25" customHeight="1" x14ac:dyDescent="0.3">
      <c r="A431" s="452"/>
      <c r="B431" s="453"/>
      <c r="C431" s="456"/>
      <c r="D431" s="412"/>
      <c r="E431" s="412"/>
      <c r="F431" s="60"/>
      <c r="G431" s="326" t="s">
        <v>404</v>
      </c>
      <c r="H431" s="343">
        <f t="shared" ref="H431:P431" si="149">SUM(H429:H430)</f>
        <v>10230</v>
      </c>
      <c r="I431" s="343">
        <f t="shared" si="149"/>
        <v>16702</v>
      </c>
      <c r="J431" s="343">
        <f t="shared" si="149"/>
        <v>16177</v>
      </c>
      <c r="K431" s="343">
        <f t="shared" si="149"/>
        <v>15651</v>
      </c>
      <c r="L431" s="343">
        <f t="shared" si="149"/>
        <v>15132</v>
      </c>
      <c r="M431" s="343">
        <f t="shared" si="149"/>
        <v>14598</v>
      </c>
      <c r="N431" s="343">
        <f t="shared" si="149"/>
        <v>14072</v>
      </c>
      <c r="O431" s="343">
        <f t="shared" si="149"/>
        <v>35975</v>
      </c>
      <c r="P431" s="343">
        <f t="shared" si="149"/>
        <v>138537</v>
      </c>
    </row>
    <row r="432" spans="1:16" ht="14.25" customHeight="1" x14ac:dyDescent="0.3">
      <c r="A432" s="412">
        <f>A429+1</f>
        <v>142</v>
      </c>
      <c r="B432" s="453" t="s">
        <v>398</v>
      </c>
      <c r="C432" s="447" t="s">
        <v>921</v>
      </c>
      <c r="D432" s="437" t="s">
        <v>913</v>
      </c>
      <c r="E432" s="437" t="s">
        <v>918</v>
      </c>
      <c r="F432" s="322" t="s">
        <v>922</v>
      </c>
      <c r="G432" s="349" t="s">
        <v>402</v>
      </c>
      <c r="H432" s="350">
        <f>11266-8296</f>
        <v>2970</v>
      </c>
      <c r="I432" s="350">
        <v>23480</v>
      </c>
      <c r="J432" s="350">
        <v>23480</v>
      </c>
      <c r="K432" s="350">
        <v>23480</v>
      </c>
      <c r="L432" s="350">
        <v>23480</v>
      </c>
      <c r="M432" s="350">
        <v>23480</v>
      </c>
      <c r="N432" s="350">
        <v>23480</v>
      </c>
      <c r="O432" s="350">
        <f>208393-123926-22532+2608</f>
        <v>64543</v>
      </c>
      <c r="P432" s="351">
        <f>SUM(H432:O432)</f>
        <v>208393</v>
      </c>
    </row>
    <row r="433" spans="1:16" ht="14.25" customHeight="1" x14ac:dyDescent="0.3">
      <c r="A433" s="412"/>
      <c r="B433" s="453"/>
      <c r="C433" s="456"/>
      <c r="D433" s="412"/>
      <c r="E433" s="412"/>
      <c r="F433" s="324" t="s">
        <v>923</v>
      </c>
      <c r="G433" s="352" t="s">
        <v>403</v>
      </c>
      <c r="H433" s="183">
        <f>8426+7</f>
        <v>8433</v>
      </c>
      <c r="I433" s="183">
        <v>8681</v>
      </c>
      <c r="J433" s="183">
        <v>7697</v>
      </c>
      <c r="K433" s="183">
        <v>6683</v>
      </c>
      <c r="L433" s="183">
        <v>5683</v>
      </c>
      <c r="M433" s="183">
        <v>4654</v>
      </c>
      <c r="N433" s="183">
        <v>3640</v>
      </c>
      <c r="O433" s="183">
        <v>4831</v>
      </c>
      <c r="P433" s="340">
        <f>SUM(H433:O433)</f>
        <v>50302</v>
      </c>
    </row>
    <row r="434" spans="1:16" ht="14.25" customHeight="1" x14ac:dyDescent="0.3">
      <c r="A434" s="412"/>
      <c r="B434" s="453"/>
      <c r="C434" s="456"/>
      <c r="D434" s="412"/>
      <c r="E434" s="412"/>
      <c r="F434" s="60"/>
      <c r="G434" s="326" t="s">
        <v>404</v>
      </c>
      <c r="H434" s="343">
        <f t="shared" ref="H434:P434" si="150">SUM(H432:H433)</f>
        <v>11403</v>
      </c>
      <c r="I434" s="343">
        <f t="shared" si="150"/>
        <v>32161</v>
      </c>
      <c r="J434" s="343">
        <f t="shared" si="150"/>
        <v>31177</v>
      </c>
      <c r="K434" s="343">
        <f t="shared" si="150"/>
        <v>30163</v>
      </c>
      <c r="L434" s="343">
        <f t="shared" si="150"/>
        <v>29163</v>
      </c>
      <c r="M434" s="343">
        <f t="shared" si="150"/>
        <v>28134</v>
      </c>
      <c r="N434" s="343">
        <f t="shared" si="150"/>
        <v>27120</v>
      </c>
      <c r="O434" s="343">
        <f t="shared" si="150"/>
        <v>69374</v>
      </c>
      <c r="P434" s="343">
        <f t="shared" si="150"/>
        <v>258695</v>
      </c>
    </row>
    <row r="435" spans="1:16" ht="14.25" customHeight="1" x14ac:dyDescent="0.3">
      <c r="A435" s="412">
        <f>A432+1</f>
        <v>143</v>
      </c>
      <c r="B435" s="413" t="s">
        <v>398</v>
      </c>
      <c r="C435" s="447" t="s">
        <v>924</v>
      </c>
      <c r="D435" s="437" t="s">
        <v>925</v>
      </c>
      <c r="E435" s="437" t="s">
        <v>926</v>
      </c>
      <c r="F435" s="322" t="s">
        <v>927</v>
      </c>
      <c r="G435" s="349" t="s">
        <v>402</v>
      </c>
      <c r="H435" s="350">
        <f>4327*2</f>
        <v>8654</v>
      </c>
      <c r="I435" s="350">
        <f t="shared" ref="I435:N435" si="151">4327*4</f>
        <v>17308</v>
      </c>
      <c r="J435" s="350">
        <f t="shared" si="151"/>
        <v>17308</v>
      </c>
      <c r="K435" s="350">
        <f t="shared" si="151"/>
        <v>17308</v>
      </c>
      <c r="L435" s="350">
        <f t="shared" si="151"/>
        <v>17308</v>
      </c>
      <c r="M435" s="350">
        <f t="shared" si="151"/>
        <v>17308</v>
      </c>
      <c r="N435" s="350">
        <f t="shared" si="151"/>
        <v>17308</v>
      </c>
      <c r="O435" s="350">
        <f>155761-95194-17308</f>
        <v>43259</v>
      </c>
      <c r="P435" s="351">
        <f>SUM(H435:O435)</f>
        <v>155761</v>
      </c>
    </row>
    <row r="436" spans="1:16" ht="14.25" customHeight="1" x14ac:dyDescent="0.3">
      <c r="A436" s="412"/>
      <c r="B436" s="413"/>
      <c r="C436" s="456"/>
      <c r="D436" s="412"/>
      <c r="E436" s="412"/>
      <c r="F436" s="324" t="s">
        <v>928</v>
      </c>
      <c r="G436" s="352" t="s">
        <v>403</v>
      </c>
      <c r="H436" s="183">
        <v>5824</v>
      </c>
      <c r="I436" s="183">
        <v>6115</v>
      </c>
      <c r="J436" s="183">
        <v>5383</v>
      </c>
      <c r="K436" s="183">
        <v>4650</v>
      </c>
      <c r="L436" s="183">
        <v>3926</v>
      </c>
      <c r="M436" s="183">
        <v>3128</v>
      </c>
      <c r="N436" s="183">
        <v>2449</v>
      </c>
      <c r="O436" s="183">
        <v>2964</v>
      </c>
      <c r="P436" s="340">
        <f>SUM(H436:O436)</f>
        <v>34439</v>
      </c>
    </row>
    <row r="437" spans="1:16" ht="14.25" customHeight="1" x14ac:dyDescent="0.3">
      <c r="A437" s="412"/>
      <c r="B437" s="413"/>
      <c r="C437" s="456"/>
      <c r="D437" s="412"/>
      <c r="E437" s="412"/>
      <c r="F437" s="60"/>
      <c r="G437" s="326" t="s">
        <v>404</v>
      </c>
      <c r="H437" s="343">
        <f t="shared" ref="H437:P437" si="152">SUM(H435:H436)</f>
        <v>14478</v>
      </c>
      <c r="I437" s="343">
        <f t="shared" si="152"/>
        <v>23423</v>
      </c>
      <c r="J437" s="343">
        <f t="shared" si="152"/>
        <v>22691</v>
      </c>
      <c r="K437" s="343">
        <f t="shared" si="152"/>
        <v>21958</v>
      </c>
      <c r="L437" s="343">
        <f t="shared" si="152"/>
        <v>21234</v>
      </c>
      <c r="M437" s="343">
        <f t="shared" si="152"/>
        <v>20436</v>
      </c>
      <c r="N437" s="343">
        <f t="shared" si="152"/>
        <v>19757</v>
      </c>
      <c r="O437" s="343">
        <f t="shared" si="152"/>
        <v>46223</v>
      </c>
      <c r="P437" s="343">
        <f t="shared" si="152"/>
        <v>190200</v>
      </c>
    </row>
    <row r="438" spans="1:16" ht="15.75" customHeight="1" x14ac:dyDescent="0.3">
      <c r="A438" s="412">
        <f>A435+1</f>
        <v>144</v>
      </c>
      <c r="B438" s="413" t="s">
        <v>398</v>
      </c>
      <c r="C438" s="457" t="s">
        <v>1073</v>
      </c>
      <c r="D438" s="437" t="s">
        <v>925</v>
      </c>
      <c r="E438" s="437" t="s">
        <v>926</v>
      </c>
      <c r="F438" s="322" t="s">
        <v>929</v>
      </c>
      <c r="G438" s="349" t="s">
        <v>402</v>
      </c>
      <c r="H438" s="350">
        <f>5372*2-10744</f>
        <v>0</v>
      </c>
      <c r="I438" s="350">
        <v>22280</v>
      </c>
      <c r="J438" s="350">
        <v>22280</v>
      </c>
      <c r="K438" s="350">
        <v>22280</v>
      </c>
      <c r="L438" s="350">
        <v>22280</v>
      </c>
      <c r="M438" s="350">
        <v>22280</v>
      </c>
      <c r="N438" s="350">
        <v>22280</v>
      </c>
      <c r="O438" s="350">
        <f>5570*30-1</f>
        <v>167099</v>
      </c>
      <c r="P438" s="351">
        <f>SUM(H438:O438)</f>
        <v>300779</v>
      </c>
    </row>
    <row r="439" spans="1:16" ht="14.25" customHeight="1" x14ac:dyDescent="0.3">
      <c r="A439" s="412"/>
      <c r="B439" s="413"/>
      <c r="C439" s="457"/>
      <c r="D439" s="412"/>
      <c r="E439" s="412"/>
      <c r="F439" s="352" t="s">
        <v>930</v>
      </c>
      <c r="G439" s="352" t="s">
        <v>403</v>
      </c>
      <c r="H439" s="183">
        <f>12275+7</f>
        <v>12282</v>
      </c>
      <c r="I439" s="183">
        <v>13167</v>
      </c>
      <c r="J439" s="183">
        <v>12233</v>
      </c>
      <c r="K439" s="183">
        <v>11241</v>
      </c>
      <c r="L439" s="183">
        <v>10276</v>
      </c>
      <c r="M439" s="183">
        <v>9257</v>
      </c>
      <c r="N439" s="183">
        <v>8266</v>
      </c>
      <c r="O439" s="183">
        <v>30506</v>
      </c>
      <c r="P439" s="340">
        <f>SUM(H439:O439)</f>
        <v>107228</v>
      </c>
    </row>
    <row r="440" spans="1:16" ht="15.75" customHeight="1" x14ac:dyDescent="0.3">
      <c r="A440" s="412"/>
      <c r="B440" s="413"/>
      <c r="C440" s="457"/>
      <c r="D440" s="412"/>
      <c r="E440" s="412"/>
      <c r="F440" s="60"/>
      <c r="G440" s="326" t="s">
        <v>404</v>
      </c>
      <c r="H440" s="343">
        <f t="shared" ref="H440:P440" si="153">SUM(H438:H439)</f>
        <v>12282</v>
      </c>
      <c r="I440" s="343">
        <f t="shared" si="153"/>
        <v>35447</v>
      </c>
      <c r="J440" s="343">
        <f t="shared" si="153"/>
        <v>34513</v>
      </c>
      <c r="K440" s="343">
        <f t="shared" si="153"/>
        <v>33521</v>
      </c>
      <c r="L440" s="343">
        <f t="shared" si="153"/>
        <v>32556</v>
      </c>
      <c r="M440" s="343">
        <f t="shared" si="153"/>
        <v>31537</v>
      </c>
      <c r="N440" s="343">
        <f t="shared" si="153"/>
        <v>30546</v>
      </c>
      <c r="O440" s="343">
        <f t="shared" si="153"/>
        <v>197605</v>
      </c>
      <c r="P440" s="343">
        <f t="shared" si="153"/>
        <v>408007</v>
      </c>
    </row>
    <row r="441" spans="1:16" ht="14.25" customHeight="1" x14ac:dyDescent="0.3">
      <c r="A441" s="412">
        <f>A438+1</f>
        <v>145</v>
      </c>
      <c r="B441" s="453" t="s">
        <v>398</v>
      </c>
      <c r="C441" s="447" t="s">
        <v>931</v>
      </c>
      <c r="D441" s="437" t="s">
        <v>913</v>
      </c>
      <c r="E441" s="437" t="s">
        <v>918</v>
      </c>
      <c r="F441" s="322" t="s">
        <v>932</v>
      </c>
      <c r="G441" s="349" t="s">
        <v>402</v>
      </c>
      <c r="H441" s="350">
        <v>2720</v>
      </c>
      <c r="I441" s="350">
        <v>5440</v>
      </c>
      <c r="J441" s="350">
        <v>5440</v>
      </c>
      <c r="K441" s="350">
        <v>5440</v>
      </c>
      <c r="L441" s="350">
        <v>5440</v>
      </c>
      <c r="M441" s="350">
        <v>5440</v>
      </c>
      <c r="N441" s="350">
        <v>5440</v>
      </c>
      <c r="O441" s="350">
        <f>50294-29920-5440</f>
        <v>14934</v>
      </c>
      <c r="P441" s="351">
        <f>SUM(H441:O441)</f>
        <v>50294</v>
      </c>
    </row>
    <row r="442" spans="1:16" ht="14.25" customHeight="1" x14ac:dyDescent="0.3">
      <c r="A442" s="412"/>
      <c r="B442" s="453"/>
      <c r="C442" s="456"/>
      <c r="D442" s="412"/>
      <c r="E442" s="412"/>
      <c r="F442" s="324" t="s">
        <v>933</v>
      </c>
      <c r="G442" s="352" t="s">
        <v>403</v>
      </c>
      <c r="H442" s="183">
        <v>2020</v>
      </c>
      <c r="I442" s="183">
        <v>2017</v>
      </c>
      <c r="J442" s="183">
        <v>1782</v>
      </c>
      <c r="K442" s="183">
        <v>1547</v>
      </c>
      <c r="L442" s="183">
        <v>1315</v>
      </c>
      <c r="M442" s="183">
        <v>1078</v>
      </c>
      <c r="N442" s="183">
        <v>843</v>
      </c>
      <c r="O442" s="183">
        <v>1117</v>
      </c>
      <c r="P442" s="340">
        <f>SUM(H442:O442)</f>
        <v>11719</v>
      </c>
    </row>
    <row r="443" spans="1:16" ht="14.25" customHeight="1" x14ac:dyDescent="0.3">
      <c r="A443" s="412"/>
      <c r="B443" s="453"/>
      <c r="C443" s="456"/>
      <c r="D443" s="412"/>
      <c r="E443" s="412"/>
      <c r="F443" s="60"/>
      <c r="G443" s="326" t="s">
        <v>404</v>
      </c>
      <c r="H443" s="343">
        <f t="shared" ref="H443:P443" si="154">SUM(H441:H442)</f>
        <v>4740</v>
      </c>
      <c r="I443" s="343">
        <f t="shared" si="154"/>
        <v>7457</v>
      </c>
      <c r="J443" s="343">
        <f t="shared" si="154"/>
        <v>7222</v>
      </c>
      <c r="K443" s="343">
        <f t="shared" si="154"/>
        <v>6987</v>
      </c>
      <c r="L443" s="343">
        <f t="shared" si="154"/>
        <v>6755</v>
      </c>
      <c r="M443" s="343">
        <f t="shared" si="154"/>
        <v>6518</v>
      </c>
      <c r="N443" s="343">
        <f t="shared" si="154"/>
        <v>6283</v>
      </c>
      <c r="O443" s="343">
        <f t="shared" si="154"/>
        <v>16051</v>
      </c>
      <c r="P443" s="343">
        <f t="shared" si="154"/>
        <v>62013</v>
      </c>
    </row>
    <row r="444" spans="1:16" ht="14.25" customHeight="1" x14ac:dyDescent="0.3">
      <c r="A444" s="412">
        <f>A441+1</f>
        <v>146</v>
      </c>
      <c r="B444" s="453" t="s">
        <v>398</v>
      </c>
      <c r="C444" s="447" t="s">
        <v>934</v>
      </c>
      <c r="D444" s="437" t="s">
        <v>913</v>
      </c>
      <c r="E444" s="437" t="s">
        <v>918</v>
      </c>
      <c r="F444" s="322" t="s">
        <v>935</v>
      </c>
      <c r="G444" s="349" t="s">
        <v>402</v>
      </c>
      <c r="H444" s="350">
        <v>9428</v>
      </c>
      <c r="I444" s="350">
        <v>18856</v>
      </c>
      <c r="J444" s="350">
        <v>18856</v>
      </c>
      <c r="K444" s="350">
        <v>18856</v>
      </c>
      <c r="L444" s="350">
        <v>18856</v>
      </c>
      <c r="M444" s="350">
        <v>18856</v>
      </c>
      <c r="N444" s="350">
        <v>18856</v>
      </c>
      <c r="O444" s="350">
        <f>174418-103708-18856-3</f>
        <v>51851</v>
      </c>
      <c r="P444" s="351">
        <f>SUM(H444:O444)</f>
        <v>174415</v>
      </c>
    </row>
    <row r="445" spans="1:16" ht="14.25" customHeight="1" x14ac:dyDescent="0.3">
      <c r="A445" s="412"/>
      <c r="B445" s="453"/>
      <c r="C445" s="456"/>
      <c r="D445" s="412"/>
      <c r="E445" s="412"/>
      <c r="F445" s="324" t="s">
        <v>936</v>
      </c>
      <c r="G445" s="352" t="s">
        <v>403</v>
      </c>
      <c r="H445" s="183">
        <v>6597</v>
      </c>
      <c r="I445" s="183">
        <v>6995</v>
      </c>
      <c r="J445" s="183">
        <v>6182</v>
      </c>
      <c r="K445" s="183">
        <v>5368</v>
      </c>
      <c r="L445" s="183">
        <v>4565</v>
      </c>
      <c r="M445" s="183">
        <v>3738</v>
      </c>
      <c r="N445" s="183">
        <v>2924</v>
      </c>
      <c r="O445" s="183">
        <f>2111+1303+467</f>
        <v>3881</v>
      </c>
      <c r="P445" s="340">
        <f>SUM(H445:O445)</f>
        <v>40250</v>
      </c>
    </row>
    <row r="446" spans="1:16" ht="14.25" customHeight="1" x14ac:dyDescent="0.3">
      <c r="A446" s="412"/>
      <c r="B446" s="453"/>
      <c r="C446" s="456"/>
      <c r="D446" s="412"/>
      <c r="E446" s="412"/>
      <c r="F446" s="60"/>
      <c r="G446" s="326" t="s">
        <v>404</v>
      </c>
      <c r="H446" s="343">
        <f t="shared" ref="H446:P446" si="155">SUM(H444:H445)</f>
        <v>16025</v>
      </c>
      <c r="I446" s="343">
        <f t="shared" si="155"/>
        <v>25851</v>
      </c>
      <c r="J446" s="343">
        <f t="shared" si="155"/>
        <v>25038</v>
      </c>
      <c r="K446" s="343">
        <f t="shared" si="155"/>
        <v>24224</v>
      </c>
      <c r="L446" s="343">
        <f t="shared" si="155"/>
        <v>23421</v>
      </c>
      <c r="M446" s="343">
        <f t="shared" si="155"/>
        <v>22594</v>
      </c>
      <c r="N446" s="343">
        <f t="shared" si="155"/>
        <v>21780</v>
      </c>
      <c r="O446" s="343">
        <f t="shared" si="155"/>
        <v>55732</v>
      </c>
      <c r="P446" s="343">
        <f t="shared" si="155"/>
        <v>214665</v>
      </c>
    </row>
    <row r="447" spans="1:16" ht="14.25" customHeight="1" x14ac:dyDescent="0.3">
      <c r="A447" s="412">
        <f>A444+1</f>
        <v>147</v>
      </c>
      <c r="B447" s="413" t="s">
        <v>398</v>
      </c>
      <c r="C447" s="447" t="s">
        <v>937</v>
      </c>
      <c r="D447" s="437" t="s">
        <v>925</v>
      </c>
      <c r="E447" s="437" t="s">
        <v>449</v>
      </c>
      <c r="F447" s="322" t="s">
        <v>938</v>
      </c>
      <c r="G447" s="349" t="s">
        <v>402</v>
      </c>
      <c r="H447" s="350">
        <f>3808*2</f>
        <v>7616</v>
      </c>
      <c r="I447" s="350">
        <f t="shared" ref="I447:N447" si="156">3808*4</f>
        <v>15232</v>
      </c>
      <c r="J447" s="350">
        <f t="shared" si="156"/>
        <v>15232</v>
      </c>
      <c r="K447" s="350">
        <f t="shared" si="156"/>
        <v>15232</v>
      </c>
      <c r="L447" s="350">
        <f t="shared" si="156"/>
        <v>15232</v>
      </c>
      <c r="M447" s="350">
        <f t="shared" si="156"/>
        <v>15232</v>
      </c>
      <c r="N447" s="350">
        <f t="shared" si="156"/>
        <v>15232</v>
      </c>
      <c r="O447" s="350">
        <f>137087-83776-15232</f>
        <v>38079</v>
      </c>
      <c r="P447" s="351">
        <f>SUM(H447:O447)</f>
        <v>137087</v>
      </c>
    </row>
    <row r="448" spans="1:16" ht="14.25" customHeight="1" x14ac:dyDescent="0.3">
      <c r="A448" s="412"/>
      <c r="B448" s="413"/>
      <c r="C448" s="456"/>
      <c r="D448" s="412"/>
      <c r="E448" s="412"/>
      <c r="F448" s="324" t="s">
        <v>939</v>
      </c>
      <c r="G448" s="352" t="s">
        <v>403</v>
      </c>
      <c r="H448" s="183">
        <v>5402</v>
      </c>
      <c r="I448" s="183">
        <v>5381</v>
      </c>
      <c r="J448" s="183">
        <v>4738</v>
      </c>
      <c r="K448" s="183">
        <v>4092</v>
      </c>
      <c r="L448" s="183">
        <v>3456</v>
      </c>
      <c r="M448" s="183">
        <v>2801</v>
      </c>
      <c r="N448" s="183">
        <v>2156</v>
      </c>
      <c r="O448" s="183">
        <f>1512+871+227</f>
        <v>2610</v>
      </c>
      <c r="P448" s="340">
        <f>SUM(H448:O448)</f>
        <v>30636</v>
      </c>
    </row>
    <row r="449" spans="1:16" ht="14.25" customHeight="1" x14ac:dyDescent="0.3">
      <c r="A449" s="412"/>
      <c r="B449" s="413"/>
      <c r="C449" s="456"/>
      <c r="D449" s="412"/>
      <c r="E449" s="412"/>
      <c r="F449" s="60"/>
      <c r="G449" s="326" t="s">
        <v>404</v>
      </c>
      <c r="H449" s="343">
        <f t="shared" ref="H449:P449" si="157">SUM(H447:H448)</f>
        <v>13018</v>
      </c>
      <c r="I449" s="343">
        <f t="shared" si="157"/>
        <v>20613</v>
      </c>
      <c r="J449" s="343">
        <f t="shared" si="157"/>
        <v>19970</v>
      </c>
      <c r="K449" s="343">
        <f t="shared" si="157"/>
        <v>19324</v>
      </c>
      <c r="L449" s="343">
        <f t="shared" si="157"/>
        <v>18688</v>
      </c>
      <c r="M449" s="343">
        <f t="shared" si="157"/>
        <v>18033</v>
      </c>
      <c r="N449" s="343">
        <f t="shared" si="157"/>
        <v>17388</v>
      </c>
      <c r="O449" s="343">
        <f t="shared" si="157"/>
        <v>40689</v>
      </c>
      <c r="P449" s="343">
        <f t="shared" si="157"/>
        <v>167723</v>
      </c>
    </row>
    <row r="450" spans="1:16" ht="14.25" customHeight="1" x14ac:dyDescent="0.3">
      <c r="A450" s="412">
        <f>A447+1</f>
        <v>148</v>
      </c>
      <c r="B450" s="413" t="s">
        <v>398</v>
      </c>
      <c r="C450" s="447" t="s">
        <v>940</v>
      </c>
      <c r="D450" s="437" t="s">
        <v>925</v>
      </c>
      <c r="E450" s="437" t="s">
        <v>926</v>
      </c>
      <c r="F450" s="322" t="s">
        <v>941</v>
      </c>
      <c r="G450" s="349" t="s">
        <v>402</v>
      </c>
      <c r="H450" s="350">
        <v>0</v>
      </c>
      <c r="I450" s="350">
        <f t="shared" ref="I450:N450" si="158">12331*4</f>
        <v>49324</v>
      </c>
      <c r="J450" s="350">
        <f t="shared" si="158"/>
        <v>49324</v>
      </c>
      <c r="K450" s="350">
        <f t="shared" si="158"/>
        <v>49324</v>
      </c>
      <c r="L450" s="350">
        <f t="shared" si="158"/>
        <v>49324</v>
      </c>
      <c r="M450" s="350">
        <f t="shared" si="158"/>
        <v>49324</v>
      </c>
      <c r="N450" s="350">
        <f t="shared" si="158"/>
        <v>49324</v>
      </c>
      <c r="O450" s="350">
        <f>665838-246620-49324</f>
        <v>369894</v>
      </c>
      <c r="P450" s="351">
        <f>SUM(H450:O450)</f>
        <v>665838</v>
      </c>
    </row>
    <row r="451" spans="1:16" ht="14.25" customHeight="1" x14ac:dyDescent="0.3">
      <c r="A451" s="412"/>
      <c r="B451" s="413"/>
      <c r="C451" s="456"/>
      <c r="D451" s="412"/>
      <c r="E451" s="412"/>
      <c r="F451" s="324" t="s">
        <v>942</v>
      </c>
      <c r="G451" s="352" t="s">
        <v>403</v>
      </c>
      <c r="H451" s="183">
        <f>8635-709-910+33</f>
        <v>7049</v>
      </c>
      <c r="I451" s="183">
        <v>29145</v>
      </c>
      <c r="J451" s="183">
        <v>24691</v>
      </c>
      <c r="K451" s="183">
        <v>20703</v>
      </c>
      <c r="L451" s="183">
        <v>18879</v>
      </c>
      <c r="M451" s="183">
        <v>17053</v>
      </c>
      <c r="N451" s="183">
        <v>15228</v>
      </c>
      <c r="O451" s="183">
        <f>192481-121126-15228</f>
        <v>56127</v>
      </c>
      <c r="P451" s="340">
        <f>SUM(H451:O451)</f>
        <v>188875</v>
      </c>
    </row>
    <row r="452" spans="1:16" ht="14.25" customHeight="1" x14ac:dyDescent="0.3">
      <c r="A452" s="412"/>
      <c r="B452" s="413"/>
      <c r="C452" s="456"/>
      <c r="D452" s="412"/>
      <c r="E452" s="412"/>
      <c r="F452" s="60"/>
      <c r="G452" s="326" t="s">
        <v>404</v>
      </c>
      <c r="H452" s="343">
        <f t="shared" ref="H452:P452" si="159">SUM(H450:H451)</f>
        <v>7049</v>
      </c>
      <c r="I452" s="343">
        <f t="shared" si="159"/>
        <v>78469</v>
      </c>
      <c r="J452" s="343">
        <f t="shared" si="159"/>
        <v>74015</v>
      </c>
      <c r="K452" s="343">
        <f t="shared" si="159"/>
        <v>70027</v>
      </c>
      <c r="L452" s="343">
        <f t="shared" si="159"/>
        <v>68203</v>
      </c>
      <c r="M452" s="343">
        <f t="shared" si="159"/>
        <v>66377</v>
      </c>
      <c r="N452" s="343">
        <f t="shared" si="159"/>
        <v>64552</v>
      </c>
      <c r="O452" s="343">
        <f t="shared" si="159"/>
        <v>426021</v>
      </c>
      <c r="P452" s="343">
        <f t="shared" si="159"/>
        <v>854713</v>
      </c>
    </row>
    <row r="453" spans="1:16" ht="14.25" customHeight="1" x14ac:dyDescent="0.3">
      <c r="A453" s="412">
        <f>A450+1</f>
        <v>149</v>
      </c>
      <c r="B453" s="413" t="s">
        <v>398</v>
      </c>
      <c r="C453" s="447" t="s">
        <v>943</v>
      </c>
      <c r="D453" s="437" t="s">
        <v>925</v>
      </c>
      <c r="E453" s="437" t="s">
        <v>926</v>
      </c>
      <c r="F453" s="322" t="s">
        <v>944</v>
      </c>
      <c r="G453" s="349" t="s">
        <v>402</v>
      </c>
      <c r="H453" s="350">
        <v>0</v>
      </c>
      <c r="I453" s="350">
        <f t="shared" ref="I453:N453" si="160">11045*4</f>
        <v>44180</v>
      </c>
      <c r="J453" s="350">
        <f t="shared" si="160"/>
        <v>44180</v>
      </c>
      <c r="K453" s="350">
        <f t="shared" si="160"/>
        <v>44180</v>
      </c>
      <c r="L453" s="350">
        <f t="shared" si="160"/>
        <v>44180</v>
      </c>
      <c r="M453" s="350">
        <f t="shared" si="160"/>
        <v>44180</v>
      </c>
      <c r="N453" s="350">
        <f t="shared" si="160"/>
        <v>44180</v>
      </c>
      <c r="O453" s="350">
        <f>596420-220900-44180</f>
        <v>331340</v>
      </c>
      <c r="P453" s="351">
        <f>SUM(H453:O453)</f>
        <v>596420</v>
      </c>
    </row>
    <row r="454" spans="1:16" ht="14.25" customHeight="1" x14ac:dyDescent="0.3">
      <c r="A454" s="412"/>
      <c r="B454" s="413"/>
      <c r="C454" s="456"/>
      <c r="D454" s="412"/>
      <c r="E454" s="412"/>
      <c r="F454" s="324" t="s">
        <v>945</v>
      </c>
      <c r="G454" s="352" t="s">
        <v>403</v>
      </c>
      <c r="H454" s="183">
        <f>10364-1600-855+251</f>
        <v>8160</v>
      </c>
      <c r="I454" s="183">
        <v>26106</v>
      </c>
      <c r="J454" s="183">
        <v>24250</v>
      </c>
      <c r="K454" s="183">
        <v>19840</v>
      </c>
      <c r="L454" s="183">
        <v>16910</v>
      </c>
      <c r="M454" s="183">
        <v>15275</v>
      </c>
      <c r="N454" s="183">
        <v>13640</v>
      </c>
      <c r="O454" s="183">
        <v>50276</v>
      </c>
      <c r="P454" s="340">
        <f>SUM(H454:O454)</f>
        <v>174457</v>
      </c>
    </row>
    <row r="455" spans="1:16" ht="14.25" customHeight="1" x14ac:dyDescent="0.3">
      <c r="A455" s="412"/>
      <c r="B455" s="413"/>
      <c r="C455" s="456"/>
      <c r="D455" s="412"/>
      <c r="E455" s="412"/>
      <c r="F455" s="60"/>
      <c r="G455" s="326" t="s">
        <v>404</v>
      </c>
      <c r="H455" s="343">
        <f t="shared" ref="H455:P455" si="161">SUM(H453:H454)</f>
        <v>8160</v>
      </c>
      <c r="I455" s="343">
        <f t="shared" si="161"/>
        <v>70286</v>
      </c>
      <c r="J455" s="343">
        <f t="shared" si="161"/>
        <v>68430</v>
      </c>
      <c r="K455" s="343">
        <f t="shared" si="161"/>
        <v>64020</v>
      </c>
      <c r="L455" s="343">
        <f t="shared" si="161"/>
        <v>61090</v>
      </c>
      <c r="M455" s="343">
        <f t="shared" si="161"/>
        <v>59455</v>
      </c>
      <c r="N455" s="343">
        <f t="shared" si="161"/>
        <v>57820</v>
      </c>
      <c r="O455" s="343">
        <f t="shared" si="161"/>
        <v>381616</v>
      </c>
      <c r="P455" s="343">
        <f t="shared" si="161"/>
        <v>770877</v>
      </c>
    </row>
    <row r="456" spans="1:16" ht="14.25" customHeight="1" x14ac:dyDescent="0.3">
      <c r="A456" s="412">
        <f>A453+1</f>
        <v>150</v>
      </c>
      <c r="B456" s="413" t="s">
        <v>398</v>
      </c>
      <c r="C456" s="447" t="s">
        <v>1074</v>
      </c>
      <c r="D456" s="437" t="s">
        <v>925</v>
      </c>
      <c r="E456" s="437" t="s">
        <v>926</v>
      </c>
      <c r="F456" s="322" t="s">
        <v>946</v>
      </c>
      <c r="G456" s="349" t="s">
        <v>402</v>
      </c>
      <c r="H456" s="350">
        <v>0</v>
      </c>
      <c r="I456" s="350">
        <f>3683*4</f>
        <v>14732</v>
      </c>
      <c r="J456" s="350">
        <f>3683*4</f>
        <v>14732</v>
      </c>
      <c r="K456" s="350">
        <f>3683*4</f>
        <v>14732</v>
      </c>
      <c r="L456" s="350">
        <f>3683*4</f>
        <v>14732</v>
      </c>
      <c r="M456" s="350">
        <f>3683*4</f>
        <v>14732</v>
      </c>
      <c r="N456" s="350">
        <v>14732</v>
      </c>
      <c r="O456" s="350">
        <f>198835-73660-14732</f>
        <v>110443</v>
      </c>
      <c r="P456" s="351">
        <f>SUM(H456:O456)</f>
        <v>198835</v>
      </c>
    </row>
    <row r="457" spans="1:16" ht="13.5" customHeight="1" x14ac:dyDescent="0.3">
      <c r="A457" s="412"/>
      <c r="B457" s="413"/>
      <c r="C457" s="456"/>
      <c r="D457" s="412"/>
      <c r="E457" s="412"/>
      <c r="F457" s="324" t="s">
        <v>947</v>
      </c>
      <c r="G457" s="352" t="s">
        <v>403</v>
      </c>
      <c r="H457" s="183">
        <f>5756-631-114</f>
        <v>5011</v>
      </c>
      <c r="I457" s="183">
        <v>8703</v>
      </c>
      <c r="J457" s="183">
        <v>7976</v>
      </c>
      <c r="K457" s="183">
        <v>6182</v>
      </c>
      <c r="L457" s="183">
        <v>5637</v>
      </c>
      <c r="M457" s="183">
        <v>5092</v>
      </c>
      <c r="N457" s="183">
        <v>4421</v>
      </c>
      <c r="O457" s="183">
        <v>16752</v>
      </c>
      <c r="P457" s="340">
        <f>SUM(H457:O457)</f>
        <v>59774</v>
      </c>
    </row>
    <row r="458" spans="1:16" ht="14.25" customHeight="1" x14ac:dyDescent="0.3">
      <c r="A458" s="412"/>
      <c r="B458" s="413"/>
      <c r="C458" s="456"/>
      <c r="D458" s="412"/>
      <c r="E458" s="412"/>
      <c r="F458" s="60"/>
      <c r="G458" s="326" t="s">
        <v>404</v>
      </c>
      <c r="H458" s="343">
        <f t="shared" ref="H458:P458" si="162">SUM(H456:H457)</f>
        <v>5011</v>
      </c>
      <c r="I458" s="343">
        <f t="shared" si="162"/>
        <v>23435</v>
      </c>
      <c r="J458" s="343">
        <f t="shared" si="162"/>
        <v>22708</v>
      </c>
      <c r="K458" s="343">
        <f t="shared" si="162"/>
        <v>20914</v>
      </c>
      <c r="L458" s="343">
        <f t="shared" si="162"/>
        <v>20369</v>
      </c>
      <c r="M458" s="343">
        <f t="shared" si="162"/>
        <v>19824</v>
      </c>
      <c r="N458" s="343">
        <f t="shared" si="162"/>
        <v>19153</v>
      </c>
      <c r="O458" s="343">
        <f t="shared" si="162"/>
        <v>127195</v>
      </c>
      <c r="P458" s="343">
        <f t="shared" si="162"/>
        <v>258609</v>
      </c>
    </row>
    <row r="459" spans="1:16" ht="14.25" customHeight="1" x14ac:dyDescent="0.3">
      <c r="A459" s="412">
        <f>A456+1</f>
        <v>151</v>
      </c>
      <c r="B459" s="453" t="s">
        <v>398</v>
      </c>
      <c r="C459" s="447" t="s">
        <v>948</v>
      </c>
      <c r="D459" s="437" t="s">
        <v>913</v>
      </c>
      <c r="E459" s="437" t="s">
        <v>914</v>
      </c>
      <c r="F459" s="322" t="s">
        <v>949</v>
      </c>
      <c r="G459" s="349" t="s">
        <v>402</v>
      </c>
      <c r="H459" s="350">
        <v>0</v>
      </c>
      <c r="I459" s="350">
        <v>43916</v>
      </c>
      <c r="J459" s="350">
        <v>43916</v>
      </c>
      <c r="K459" s="350">
        <v>43916</v>
      </c>
      <c r="L459" s="350">
        <v>43916</v>
      </c>
      <c r="M459" s="350">
        <v>43916</v>
      </c>
      <c r="N459" s="350">
        <v>43916</v>
      </c>
      <c r="O459" s="350">
        <f>603825-219580-43916</f>
        <v>340329</v>
      </c>
      <c r="P459" s="351">
        <f>SUM(H459:O459)</f>
        <v>603825</v>
      </c>
    </row>
    <row r="460" spans="1:16" ht="14.25" customHeight="1" x14ac:dyDescent="0.3">
      <c r="A460" s="412"/>
      <c r="B460" s="453"/>
      <c r="C460" s="456"/>
      <c r="D460" s="412"/>
      <c r="E460" s="412"/>
      <c r="F460" s="324" t="s">
        <v>950</v>
      </c>
      <c r="G460" s="352" t="s">
        <v>403</v>
      </c>
      <c r="H460" s="183">
        <f>6411-400-1380+1641</f>
        <v>6272</v>
      </c>
      <c r="I460" s="183">
        <v>26440</v>
      </c>
      <c r="J460" s="183">
        <v>25439</v>
      </c>
      <c r="K460" s="183">
        <v>19632</v>
      </c>
      <c r="L460" s="183">
        <v>17215</v>
      </c>
      <c r="M460" s="183">
        <v>15590</v>
      </c>
      <c r="N460" s="183">
        <v>13964</v>
      </c>
      <c r="O460" s="183">
        <f>178172-110993-13964</f>
        <v>53215</v>
      </c>
      <c r="P460" s="340">
        <f>SUM(H460:O460)</f>
        <v>177767</v>
      </c>
    </row>
    <row r="461" spans="1:16" ht="14.25" customHeight="1" x14ac:dyDescent="0.3">
      <c r="A461" s="412"/>
      <c r="B461" s="453"/>
      <c r="C461" s="456"/>
      <c r="D461" s="412"/>
      <c r="E461" s="412"/>
      <c r="F461" s="60"/>
      <c r="G461" s="326" t="s">
        <v>404</v>
      </c>
      <c r="H461" s="343">
        <f t="shared" ref="H461:P461" si="163">SUM(H459:H460)</f>
        <v>6272</v>
      </c>
      <c r="I461" s="343">
        <f t="shared" si="163"/>
        <v>70356</v>
      </c>
      <c r="J461" s="343">
        <f t="shared" si="163"/>
        <v>69355</v>
      </c>
      <c r="K461" s="343">
        <f t="shared" si="163"/>
        <v>63548</v>
      </c>
      <c r="L461" s="343">
        <f t="shared" si="163"/>
        <v>61131</v>
      </c>
      <c r="M461" s="343">
        <f t="shared" si="163"/>
        <v>59506</v>
      </c>
      <c r="N461" s="343">
        <f t="shared" si="163"/>
        <v>57880</v>
      </c>
      <c r="O461" s="343">
        <f t="shared" si="163"/>
        <v>393544</v>
      </c>
      <c r="P461" s="343">
        <f t="shared" si="163"/>
        <v>781592</v>
      </c>
    </row>
    <row r="462" spans="1:16" ht="14.25" customHeight="1" x14ac:dyDescent="0.3">
      <c r="A462" s="412">
        <f>A459+1</f>
        <v>152</v>
      </c>
      <c r="B462" s="453" t="s">
        <v>398</v>
      </c>
      <c r="C462" s="424" t="s">
        <v>951</v>
      </c>
      <c r="D462" s="437" t="s">
        <v>952</v>
      </c>
      <c r="E462" s="437" t="s">
        <v>677</v>
      </c>
      <c r="F462" s="322" t="s">
        <v>953</v>
      </c>
      <c r="G462" s="349" t="s">
        <v>402</v>
      </c>
      <c r="H462" s="350">
        <f>5110-2624</f>
        <v>2486</v>
      </c>
      <c r="I462" s="350">
        <v>9944</v>
      </c>
      <c r="J462" s="350">
        <v>9944</v>
      </c>
      <c r="K462" s="350">
        <v>9944</v>
      </c>
      <c r="L462" s="350">
        <v>9944</v>
      </c>
      <c r="M462" s="350">
        <v>9944</v>
      </c>
      <c r="N462" s="350">
        <v>9944</v>
      </c>
      <c r="O462" s="350">
        <f>91981-62150-2624</f>
        <v>27207</v>
      </c>
      <c r="P462" s="351">
        <f>SUM(H462:O462)</f>
        <v>89357</v>
      </c>
    </row>
    <row r="463" spans="1:16" ht="14.25" customHeight="1" x14ac:dyDescent="0.3">
      <c r="A463" s="412"/>
      <c r="B463" s="453"/>
      <c r="C463" s="414"/>
      <c r="D463" s="412"/>
      <c r="E463" s="412"/>
      <c r="F463" s="324" t="s">
        <v>954</v>
      </c>
      <c r="G463" s="352" t="s">
        <v>403</v>
      </c>
      <c r="H463" s="183">
        <v>3301</v>
      </c>
      <c r="I463" s="183">
        <v>4029</v>
      </c>
      <c r="J463" s="183">
        <v>3574</v>
      </c>
      <c r="K463" s="183">
        <v>3118</v>
      </c>
      <c r="L463" s="183">
        <v>2669</v>
      </c>
      <c r="M463" s="183">
        <v>2206</v>
      </c>
      <c r="N463" s="183">
        <v>1750</v>
      </c>
      <c r="O463" s="183">
        <f>2530</f>
        <v>2530</v>
      </c>
      <c r="P463" s="340">
        <f>SUM(H463:O463)</f>
        <v>23177</v>
      </c>
    </row>
    <row r="464" spans="1:16" ht="14.25" customHeight="1" x14ac:dyDescent="0.3">
      <c r="A464" s="412"/>
      <c r="B464" s="453"/>
      <c r="C464" s="414"/>
      <c r="D464" s="412"/>
      <c r="E464" s="412"/>
      <c r="F464" s="60"/>
      <c r="G464" s="326" t="s">
        <v>404</v>
      </c>
      <c r="H464" s="343">
        <f t="shared" ref="H464:P464" si="164">SUM(H462:H463)</f>
        <v>5787</v>
      </c>
      <c r="I464" s="343">
        <f t="shared" si="164"/>
        <v>13973</v>
      </c>
      <c r="J464" s="343">
        <f t="shared" si="164"/>
        <v>13518</v>
      </c>
      <c r="K464" s="343">
        <f t="shared" si="164"/>
        <v>13062</v>
      </c>
      <c r="L464" s="343">
        <f t="shared" si="164"/>
        <v>12613</v>
      </c>
      <c r="M464" s="343">
        <f t="shared" si="164"/>
        <v>12150</v>
      </c>
      <c r="N464" s="343">
        <f t="shared" si="164"/>
        <v>11694</v>
      </c>
      <c r="O464" s="343">
        <f t="shared" si="164"/>
        <v>29737</v>
      </c>
      <c r="P464" s="343">
        <f t="shared" si="164"/>
        <v>112534</v>
      </c>
    </row>
    <row r="465" spans="1:16" ht="14.25" customHeight="1" x14ac:dyDescent="0.3">
      <c r="A465" s="412">
        <f>A462+1</f>
        <v>153</v>
      </c>
      <c r="B465" s="413" t="s">
        <v>398</v>
      </c>
      <c r="C465" s="424" t="s">
        <v>955</v>
      </c>
      <c r="D465" s="437" t="s">
        <v>956</v>
      </c>
      <c r="E465" s="437" t="s">
        <v>712</v>
      </c>
      <c r="F465" s="322" t="s">
        <v>957</v>
      </c>
      <c r="G465" s="349" t="s">
        <v>402</v>
      </c>
      <c r="H465" s="350">
        <v>0</v>
      </c>
      <c r="I465" s="355">
        <v>6420</v>
      </c>
      <c r="J465" s="350">
        <v>8560</v>
      </c>
      <c r="K465" s="350">
        <v>8560</v>
      </c>
      <c r="L465" s="350">
        <v>8560</v>
      </c>
      <c r="M465" s="350">
        <v>8560</v>
      </c>
      <c r="N465" s="350">
        <v>8560</v>
      </c>
      <c r="O465" s="350">
        <f>79176-49220</f>
        <v>29956</v>
      </c>
      <c r="P465" s="351">
        <f>SUM(H465:O465)</f>
        <v>79176</v>
      </c>
    </row>
    <row r="466" spans="1:16" ht="14.25" customHeight="1" x14ac:dyDescent="0.3">
      <c r="A466" s="412"/>
      <c r="B466" s="413"/>
      <c r="C466" s="414"/>
      <c r="D466" s="412"/>
      <c r="E466" s="412"/>
      <c r="F466" s="324" t="s">
        <v>958</v>
      </c>
      <c r="G466" s="352" t="s">
        <v>403</v>
      </c>
      <c r="H466" s="183">
        <f>546-210-61-211</f>
        <v>64</v>
      </c>
      <c r="I466" s="183">
        <v>3096</v>
      </c>
      <c r="J466" s="183">
        <v>2848</v>
      </c>
      <c r="K466" s="183">
        <v>2507</v>
      </c>
      <c r="L466" s="183">
        <v>2166</v>
      </c>
      <c r="M466" s="183">
        <v>1824</v>
      </c>
      <c r="N466" s="183">
        <v>1483</v>
      </c>
      <c r="O466" s="183">
        <f>16718-14199</f>
        <v>2519</v>
      </c>
      <c r="P466" s="340">
        <f>SUM(H466:O466)</f>
        <v>16507</v>
      </c>
    </row>
    <row r="467" spans="1:16" ht="14.25" customHeight="1" x14ac:dyDescent="0.3">
      <c r="A467" s="412"/>
      <c r="B467" s="413"/>
      <c r="C467" s="414"/>
      <c r="D467" s="412"/>
      <c r="E467" s="412"/>
      <c r="F467" s="60"/>
      <c r="G467" s="326" t="s">
        <v>404</v>
      </c>
      <c r="H467" s="343">
        <f t="shared" ref="H467:P467" si="165">SUM(H465:H466)</f>
        <v>64</v>
      </c>
      <c r="I467" s="343">
        <f t="shared" si="165"/>
        <v>9516</v>
      </c>
      <c r="J467" s="343">
        <f t="shared" si="165"/>
        <v>11408</v>
      </c>
      <c r="K467" s="343">
        <f t="shared" si="165"/>
        <v>11067</v>
      </c>
      <c r="L467" s="343">
        <f t="shared" si="165"/>
        <v>10726</v>
      </c>
      <c r="M467" s="343">
        <f t="shared" si="165"/>
        <v>10384</v>
      </c>
      <c r="N467" s="343">
        <f t="shared" si="165"/>
        <v>10043</v>
      </c>
      <c r="O467" s="343">
        <f t="shared" si="165"/>
        <v>32475</v>
      </c>
      <c r="P467" s="343">
        <f t="shared" si="165"/>
        <v>95683</v>
      </c>
    </row>
    <row r="468" spans="1:16" ht="13.5" customHeight="1" x14ac:dyDescent="0.3">
      <c r="A468" s="412">
        <f>A465+1</f>
        <v>154</v>
      </c>
      <c r="B468" s="413" t="s">
        <v>398</v>
      </c>
      <c r="C468" s="447" t="s">
        <v>959</v>
      </c>
      <c r="D468" s="437" t="s">
        <v>960</v>
      </c>
      <c r="E468" s="437" t="s">
        <v>961</v>
      </c>
      <c r="F468" s="322" t="s">
        <v>962</v>
      </c>
      <c r="G468" s="349" t="s">
        <v>402</v>
      </c>
      <c r="H468" s="350">
        <v>0</v>
      </c>
      <c r="I468" s="355">
        <v>0</v>
      </c>
      <c r="J468" s="350">
        <v>56868</v>
      </c>
      <c r="K468" s="350">
        <v>56868</v>
      </c>
      <c r="L468" s="350">
        <v>56868</v>
      </c>
      <c r="M468" s="350">
        <v>56868</v>
      </c>
      <c r="N468" s="350">
        <v>56868</v>
      </c>
      <c r="O468" s="350">
        <f>781926-284340</f>
        <v>497586</v>
      </c>
      <c r="P468" s="351">
        <f>SUM(H468:O468)</f>
        <v>781926</v>
      </c>
    </row>
    <row r="469" spans="1:16" ht="14.25" customHeight="1" x14ac:dyDescent="0.3">
      <c r="A469" s="412"/>
      <c r="B469" s="413"/>
      <c r="C469" s="456"/>
      <c r="D469" s="412"/>
      <c r="E469" s="412"/>
      <c r="F469" s="324" t="s">
        <v>963</v>
      </c>
      <c r="G469" s="352" t="s">
        <v>403</v>
      </c>
      <c r="H469" s="183">
        <f>4532-2935-1086+64</f>
        <v>575</v>
      </c>
      <c r="I469" s="183">
        <v>28330</v>
      </c>
      <c r="J469" s="183">
        <v>30708</v>
      </c>
      <c r="K469" s="183">
        <v>28564</v>
      </c>
      <c r="L469" s="183">
        <v>26296</v>
      </c>
      <c r="M469" s="183">
        <v>24028</v>
      </c>
      <c r="N469" s="183">
        <v>21759</v>
      </c>
      <c r="O469" s="183">
        <f>253959-160196</f>
        <v>93763</v>
      </c>
      <c r="P469" s="340">
        <f>SUM(H469:O469)</f>
        <v>254023</v>
      </c>
    </row>
    <row r="470" spans="1:16" ht="14.25" customHeight="1" x14ac:dyDescent="0.3">
      <c r="A470" s="412"/>
      <c r="B470" s="413"/>
      <c r="C470" s="456"/>
      <c r="D470" s="412"/>
      <c r="E470" s="412"/>
      <c r="F470" s="60"/>
      <c r="G470" s="326" t="s">
        <v>404</v>
      </c>
      <c r="H470" s="343">
        <f t="shared" ref="H470:P470" si="166">SUM(H468:H469)</f>
        <v>575</v>
      </c>
      <c r="I470" s="343">
        <f t="shared" si="166"/>
        <v>28330</v>
      </c>
      <c r="J470" s="343">
        <f t="shared" si="166"/>
        <v>87576</v>
      </c>
      <c r="K470" s="343">
        <f t="shared" si="166"/>
        <v>85432</v>
      </c>
      <c r="L470" s="343">
        <f t="shared" si="166"/>
        <v>83164</v>
      </c>
      <c r="M470" s="343">
        <f t="shared" si="166"/>
        <v>80896</v>
      </c>
      <c r="N470" s="343">
        <f t="shared" si="166"/>
        <v>78627</v>
      </c>
      <c r="O470" s="343">
        <f t="shared" si="166"/>
        <v>591349</v>
      </c>
      <c r="P470" s="343">
        <f t="shared" si="166"/>
        <v>1035949</v>
      </c>
    </row>
    <row r="471" spans="1:16" ht="14.25" customHeight="1" x14ac:dyDescent="0.3">
      <c r="A471" s="412">
        <f>A468+1</f>
        <v>155</v>
      </c>
      <c r="B471" s="413" t="s">
        <v>398</v>
      </c>
      <c r="C471" s="424" t="s">
        <v>1061</v>
      </c>
      <c r="D471" s="437" t="s">
        <v>960</v>
      </c>
      <c r="E471" s="437" t="s">
        <v>961</v>
      </c>
      <c r="F471" s="322" t="s">
        <v>964</v>
      </c>
      <c r="G471" s="349" t="s">
        <v>402</v>
      </c>
      <c r="H471" s="350">
        <v>0</v>
      </c>
      <c r="I471" s="355">
        <v>0</v>
      </c>
      <c r="J471" s="350">
        <v>25776</v>
      </c>
      <c r="K471" s="350">
        <v>25776</v>
      </c>
      <c r="L471" s="350">
        <v>25776</v>
      </c>
      <c r="M471" s="350">
        <v>25776</v>
      </c>
      <c r="N471" s="350">
        <v>25776</v>
      </c>
      <c r="O471" s="350">
        <f>354406-128880</f>
        <v>225526</v>
      </c>
      <c r="P471" s="351">
        <f>SUM(H471:O471)</f>
        <v>354406</v>
      </c>
    </row>
    <row r="472" spans="1:16" ht="14.25" customHeight="1" x14ac:dyDescent="0.3">
      <c r="A472" s="412"/>
      <c r="B472" s="413"/>
      <c r="C472" s="414"/>
      <c r="D472" s="412"/>
      <c r="E472" s="412"/>
      <c r="F472" s="324" t="s">
        <v>965</v>
      </c>
      <c r="G472" s="352" t="s">
        <v>403</v>
      </c>
      <c r="H472" s="183">
        <f>853-486</f>
        <v>367</v>
      </c>
      <c r="I472" s="183">
        <v>13880</v>
      </c>
      <c r="J472" s="183">
        <v>13142</v>
      </c>
      <c r="K472" s="183">
        <v>12012</v>
      </c>
      <c r="L472" s="183">
        <v>11058</v>
      </c>
      <c r="M472" s="183">
        <v>10104</v>
      </c>
      <c r="N472" s="183">
        <v>9150</v>
      </c>
      <c r="O472" s="183">
        <f>109626-70199</f>
        <v>39427</v>
      </c>
      <c r="P472" s="340">
        <f>SUM(H472:O472)</f>
        <v>109140</v>
      </c>
    </row>
    <row r="473" spans="1:16" ht="14.25" customHeight="1" x14ac:dyDescent="0.3">
      <c r="A473" s="412"/>
      <c r="B473" s="413"/>
      <c r="C473" s="414"/>
      <c r="D473" s="412"/>
      <c r="E473" s="412"/>
      <c r="F473" s="60"/>
      <c r="G473" s="326" t="s">
        <v>404</v>
      </c>
      <c r="H473" s="343">
        <f t="shared" ref="H473:P473" si="167">SUM(H471:H472)</f>
        <v>367</v>
      </c>
      <c r="I473" s="343">
        <f t="shared" si="167"/>
        <v>13880</v>
      </c>
      <c r="J473" s="343">
        <f t="shared" si="167"/>
        <v>38918</v>
      </c>
      <c r="K473" s="343">
        <f t="shared" si="167"/>
        <v>37788</v>
      </c>
      <c r="L473" s="343">
        <f t="shared" si="167"/>
        <v>36834</v>
      </c>
      <c r="M473" s="343">
        <f t="shared" si="167"/>
        <v>35880</v>
      </c>
      <c r="N473" s="343">
        <f t="shared" si="167"/>
        <v>34926</v>
      </c>
      <c r="O473" s="343">
        <f t="shared" si="167"/>
        <v>264953</v>
      </c>
      <c r="P473" s="343">
        <f t="shared" si="167"/>
        <v>463546</v>
      </c>
    </row>
    <row r="474" spans="1:16" ht="14.25" customHeight="1" x14ac:dyDescent="0.3">
      <c r="A474" s="412">
        <f>A471+1</f>
        <v>156</v>
      </c>
      <c r="B474" s="413" t="s">
        <v>398</v>
      </c>
      <c r="C474" s="424" t="s">
        <v>966</v>
      </c>
      <c r="D474" s="437" t="s">
        <v>960</v>
      </c>
      <c r="E474" s="437" t="s">
        <v>967</v>
      </c>
      <c r="F474" s="322" t="s">
        <v>968</v>
      </c>
      <c r="G474" s="322" t="s">
        <v>402</v>
      </c>
      <c r="H474" s="350">
        <v>0</v>
      </c>
      <c r="I474" s="355">
        <v>443778</v>
      </c>
      <c r="J474" s="350">
        <v>887556</v>
      </c>
      <c r="K474" s="350">
        <v>665666</v>
      </c>
      <c r="L474" s="356">
        <v>0</v>
      </c>
      <c r="M474" s="356">
        <v>0</v>
      </c>
      <c r="N474" s="356">
        <v>0</v>
      </c>
      <c r="O474" s="356">
        <v>0</v>
      </c>
      <c r="P474" s="351">
        <f>SUM(H474:O474)</f>
        <v>1997000</v>
      </c>
    </row>
    <row r="475" spans="1:16" ht="14.25" customHeight="1" x14ac:dyDescent="0.3">
      <c r="A475" s="412"/>
      <c r="B475" s="413"/>
      <c r="C475" s="414"/>
      <c r="D475" s="412"/>
      <c r="E475" s="412"/>
      <c r="F475" s="324" t="s">
        <v>969</v>
      </c>
      <c r="G475" s="324" t="s">
        <v>403</v>
      </c>
      <c r="H475" s="183">
        <f>4867-1951</f>
        <v>2916</v>
      </c>
      <c r="I475" s="183">
        <v>71468</v>
      </c>
      <c r="J475" s="183">
        <v>51955</v>
      </c>
      <c r="K475" s="183">
        <v>19344</v>
      </c>
      <c r="L475" s="357">
        <v>0</v>
      </c>
      <c r="M475" s="357">
        <v>0</v>
      </c>
      <c r="N475" s="357">
        <v>0</v>
      </c>
      <c r="O475" s="357">
        <v>0</v>
      </c>
      <c r="P475" s="340">
        <f>SUM(H475:O475)</f>
        <v>145683</v>
      </c>
    </row>
    <row r="476" spans="1:16" ht="14.25" customHeight="1" x14ac:dyDescent="0.3">
      <c r="A476" s="412"/>
      <c r="B476" s="413"/>
      <c r="C476" s="414"/>
      <c r="D476" s="412"/>
      <c r="E476" s="412"/>
      <c r="F476" s="60"/>
      <c r="G476" s="326" t="s">
        <v>404</v>
      </c>
      <c r="H476" s="343">
        <f t="shared" ref="H476:P476" si="168">SUM(H474:H475)</f>
        <v>2916</v>
      </c>
      <c r="I476" s="343">
        <f t="shared" si="168"/>
        <v>515246</v>
      </c>
      <c r="J476" s="343">
        <f t="shared" si="168"/>
        <v>939511</v>
      </c>
      <c r="K476" s="343">
        <f t="shared" si="168"/>
        <v>685010</v>
      </c>
      <c r="L476" s="343">
        <f t="shared" si="168"/>
        <v>0</v>
      </c>
      <c r="M476" s="343">
        <f t="shared" si="168"/>
        <v>0</v>
      </c>
      <c r="N476" s="343">
        <f t="shared" si="168"/>
        <v>0</v>
      </c>
      <c r="O476" s="343">
        <f t="shared" si="168"/>
        <v>0</v>
      </c>
      <c r="P476" s="343">
        <f t="shared" si="168"/>
        <v>2142683</v>
      </c>
    </row>
    <row r="477" spans="1:16" ht="14.25" customHeight="1" x14ac:dyDescent="0.3">
      <c r="A477" s="412">
        <f>A474+1</f>
        <v>157</v>
      </c>
      <c r="B477" s="413" t="s">
        <v>398</v>
      </c>
      <c r="C477" s="424" t="s">
        <v>970</v>
      </c>
      <c r="D477" s="437" t="s">
        <v>971</v>
      </c>
      <c r="E477" s="437" t="s">
        <v>972</v>
      </c>
      <c r="F477" s="322" t="s">
        <v>973</v>
      </c>
      <c r="G477" s="349" t="s">
        <v>402</v>
      </c>
      <c r="H477" s="350">
        <v>0</v>
      </c>
      <c r="I477" s="355">
        <v>0</v>
      </c>
      <c r="J477" s="350">
        <v>86612</v>
      </c>
      <c r="K477" s="350">
        <v>86612</v>
      </c>
      <c r="L477" s="350">
        <v>86612</v>
      </c>
      <c r="M477" s="350">
        <v>86612</v>
      </c>
      <c r="N477" s="350">
        <v>86612</v>
      </c>
      <c r="O477" s="350">
        <f>1190873-433060</f>
        <v>757813</v>
      </c>
      <c r="P477" s="351">
        <f>SUM(H477:O477)</f>
        <v>1190873</v>
      </c>
    </row>
    <row r="478" spans="1:16" ht="14.25" customHeight="1" x14ac:dyDescent="0.3">
      <c r="A478" s="412"/>
      <c r="B478" s="413"/>
      <c r="C478" s="414"/>
      <c r="D478" s="412"/>
      <c r="E478" s="412"/>
      <c r="F478" s="324" t="s">
        <v>974</v>
      </c>
      <c r="G478" s="352" t="s">
        <v>403</v>
      </c>
      <c r="H478" s="183">
        <v>0</v>
      </c>
      <c r="I478" s="183">
        <v>20530</v>
      </c>
      <c r="J478" s="183">
        <v>46430</v>
      </c>
      <c r="K478" s="183">
        <v>37819</v>
      </c>
      <c r="L478" s="183">
        <v>34816</v>
      </c>
      <c r="M478" s="183">
        <v>31813</v>
      </c>
      <c r="N478" s="183">
        <v>28809</v>
      </c>
      <c r="O478" s="183">
        <f>324316-200217</f>
        <v>124099</v>
      </c>
      <c r="P478" s="340">
        <f>SUM(H478:O478)</f>
        <v>324316</v>
      </c>
    </row>
    <row r="479" spans="1:16" ht="14.25" customHeight="1" x14ac:dyDescent="0.3">
      <c r="A479" s="412"/>
      <c r="B479" s="413"/>
      <c r="C479" s="414"/>
      <c r="D479" s="412"/>
      <c r="E479" s="412"/>
      <c r="F479" s="60"/>
      <c r="G479" s="326" t="s">
        <v>404</v>
      </c>
      <c r="H479" s="343">
        <f t="shared" ref="H479:P479" si="169">SUM(H477:H478)</f>
        <v>0</v>
      </c>
      <c r="I479" s="343">
        <f t="shared" si="169"/>
        <v>20530</v>
      </c>
      <c r="J479" s="343">
        <f t="shared" si="169"/>
        <v>133042</v>
      </c>
      <c r="K479" s="343">
        <f t="shared" si="169"/>
        <v>124431</v>
      </c>
      <c r="L479" s="343">
        <f t="shared" si="169"/>
        <v>121428</v>
      </c>
      <c r="M479" s="343">
        <f t="shared" si="169"/>
        <v>118425</v>
      </c>
      <c r="N479" s="343">
        <f t="shared" si="169"/>
        <v>115421</v>
      </c>
      <c r="O479" s="343">
        <f t="shared" si="169"/>
        <v>881912</v>
      </c>
      <c r="P479" s="343">
        <f t="shared" si="169"/>
        <v>1515189</v>
      </c>
    </row>
    <row r="480" spans="1:16" ht="14.25" customHeight="1" x14ac:dyDescent="0.3">
      <c r="A480" s="412">
        <f>A477+1</f>
        <v>158</v>
      </c>
      <c r="B480" s="413" t="s">
        <v>398</v>
      </c>
      <c r="C480" s="424" t="s">
        <v>975</v>
      </c>
      <c r="D480" s="437" t="s">
        <v>971</v>
      </c>
      <c r="E480" s="437" t="s">
        <v>972</v>
      </c>
      <c r="F480" s="322" t="s">
        <v>976</v>
      </c>
      <c r="G480" s="349" t="s">
        <v>402</v>
      </c>
      <c r="H480" s="350">
        <v>0</v>
      </c>
      <c r="I480" s="355">
        <v>4254</v>
      </c>
      <c r="J480" s="350">
        <v>8508</v>
      </c>
      <c r="K480" s="350">
        <v>8508</v>
      </c>
      <c r="L480" s="350">
        <v>8508</v>
      </c>
      <c r="M480" s="350">
        <v>8508</v>
      </c>
      <c r="N480" s="350">
        <v>8508</v>
      </c>
      <c r="O480" s="356">
        <f>121188-46794</f>
        <v>74394</v>
      </c>
      <c r="P480" s="351">
        <f>SUM(H480:O480)</f>
        <v>121188</v>
      </c>
    </row>
    <row r="481" spans="1:16" ht="14.25" customHeight="1" x14ac:dyDescent="0.3">
      <c r="A481" s="412"/>
      <c r="B481" s="413"/>
      <c r="C481" s="414"/>
      <c r="D481" s="412"/>
      <c r="E481" s="412"/>
      <c r="F481" s="324" t="s">
        <v>977</v>
      </c>
      <c r="G481" s="352" t="s">
        <v>403</v>
      </c>
      <c r="H481" s="183">
        <v>0</v>
      </c>
      <c r="I481" s="183">
        <v>4561</v>
      </c>
      <c r="J481" s="183">
        <v>4583</v>
      </c>
      <c r="K481" s="183">
        <v>4128</v>
      </c>
      <c r="L481" s="357">
        <v>3800</v>
      </c>
      <c r="M481" s="357">
        <v>3472</v>
      </c>
      <c r="N481" s="357">
        <v>3144</v>
      </c>
      <c r="O481" s="357">
        <f>37284-23747</f>
        <v>13537</v>
      </c>
      <c r="P481" s="340">
        <f>SUM(H481:O481)</f>
        <v>37225</v>
      </c>
    </row>
    <row r="482" spans="1:16" ht="14.25" customHeight="1" x14ac:dyDescent="0.3">
      <c r="A482" s="412"/>
      <c r="B482" s="413"/>
      <c r="C482" s="414"/>
      <c r="D482" s="412"/>
      <c r="E482" s="412"/>
      <c r="F482" s="60"/>
      <c r="G482" s="326" t="s">
        <v>404</v>
      </c>
      <c r="H482" s="343">
        <f t="shared" ref="H482:P482" si="170">SUM(H480:H481)</f>
        <v>0</v>
      </c>
      <c r="I482" s="343">
        <f t="shared" si="170"/>
        <v>8815</v>
      </c>
      <c r="J482" s="343">
        <f t="shared" si="170"/>
        <v>13091</v>
      </c>
      <c r="K482" s="343">
        <f t="shared" si="170"/>
        <v>12636</v>
      </c>
      <c r="L482" s="343">
        <f t="shared" si="170"/>
        <v>12308</v>
      </c>
      <c r="M482" s="343">
        <f t="shared" si="170"/>
        <v>11980</v>
      </c>
      <c r="N482" s="343">
        <f t="shared" si="170"/>
        <v>11652</v>
      </c>
      <c r="O482" s="343">
        <f t="shared" si="170"/>
        <v>87931</v>
      </c>
      <c r="P482" s="343">
        <f t="shared" si="170"/>
        <v>158413</v>
      </c>
    </row>
    <row r="483" spans="1:16" ht="14.25" customHeight="1" x14ac:dyDescent="0.3">
      <c r="A483" s="412">
        <f>A480+1</f>
        <v>159</v>
      </c>
      <c r="B483" s="413" t="s">
        <v>398</v>
      </c>
      <c r="C483" s="442" t="s">
        <v>978</v>
      </c>
      <c r="D483" s="437" t="s">
        <v>971</v>
      </c>
      <c r="E483" s="437" t="s">
        <v>972</v>
      </c>
      <c r="F483" s="322" t="s">
        <v>979</v>
      </c>
      <c r="G483" s="349" t="s">
        <v>402</v>
      </c>
      <c r="H483" s="350">
        <v>0</v>
      </c>
      <c r="I483" s="355">
        <v>3226</v>
      </c>
      <c r="J483" s="350">
        <v>6452</v>
      </c>
      <c r="K483" s="350">
        <v>6452</v>
      </c>
      <c r="L483" s="350">
        <v>6452</v>
      </c>
      <c r="M483" s="350">
        <v>6452</v>
      </c>
      <c r="N483" s="350">
        <v>6452</v>
      </c>
      <c r="O483" s="350">
        <f>91916-35486</f>
        <v>56430</v>
      </c>
      <c r="P483" s="351">
        <f>SUM(H483:O483)</f>
        <v>91916</v>
      </c>
    </row>
    <row r="484" spans="1:16" ht="14.25" customHeight="1" x14ac:dyDescent="0.3">
      <c r="A484" s="412"/>
      <c r="B484" s="413"/>
      <c r="C484" s="442"/>
      <c r="D484" s="412"/>
      <c r="E484" s="412"/>
      <c r="F484" s="324" t="s">
        <v>980</v>
      </c>
      <c r="G484" s="352" t="s">
        <v>403</v>
      </c>
      <c r="H484" s="183">
        <v>0</v>
      </c>
      <c r="I484" s="183">
        <v>3539</v>
      </c>
      <c r="J484" s="183">
        <v>3468</v>
      </c>
      <c r="K484" s="183">
        <v>3131</v>
      </c>
      <c r="L484" s="183">
        <v>2882</v>
      </c>
      <c r="M484" s="183">
        <v>2634</v>
      </c>
      <c r="N484" s="183">
        <v>2385</v>
      </c>
      <c r="O484" s="183">
        <f>28363-18094</f>
        <v>10269</v>
      </c>
      <c r="P484" s="340">
        <f>SUM(H484:O484)</f>
        <v>28308</v>
      </c>
    </row>
    <row r="485" spans="1:16" ht="14.25" customHeight="1" x14ac:dyDescent="0.3">
      <c r="A485" s="412"/>
      <c r="B485" s="413"/>
      <c r="C485" s="442"/>
      <c r="D485" s="412"/>
      <c r="E485" s="412"/>
      <c r="F485" s="60"/>
      <c r="G485" s="326" t="s">
        <v>404</v>
      </c>
      <c r="H485" s="343">
        <f t="shared" ref="H485:P485" si="171">SUM(H483:H484)</f>
        <v>0</v>
      </c>
      <c r="I485" s="343">
        <f t="shared" si="171"/>
        <v>6765</v>
      </c>
      <c r="J485" s="343">
        <f t="shared" si="171"/>
        <v>9920</v>
      </c>
      <c r="K485" s="343">
        <f t="shared" si="171"/>
        <v>9583</v>
      </c>
      <c r="L485" s="343">
        <f t="shared" si="171"/>
        <v>9334</v>
      </c>
      <c r="M485" s="343">
        <f t="shared" si="171"/>
        <v>9086</v>
      </c>
      <c r="N485" s="343">
        <f t="shared" si="171"/>
        <v>8837</v>
      </c>
      <c r="O485" s="343">
        <f t="shared" si="171"/>
        <v>66699</v>
      </c>
      <c r="P485" s="343">
        <f t="shared" si="171"/>
        <v>120224</v>
      </c>
    </row>
    <row r="486" spans="1:16" ht="14.25" customHeight="1" x14ac:dyDescent="0.3">
      <c r="A486" s="412">
        <f>A483+1</f>
        <v>160</v>
      </c>
      <c r="B486" s="413" t="s">
        <v>398</v>
      </c>
      <c r="C486" s="424" t="s">
        <v>981</v>
      </c>
      <c r="D486" s="437" t="s">
        <v>971</v>
      </c>
      <c r="E486" s="437" t="s">
        <v>972</v>
      </c>
      <c r="F486" s="322" t="s">
        <v>982</v>
      </c>
      <c r="G486" s="349" t="s">
        <v>402</v>
      </c>
      <c r="H486" s="350">
        <v>0</v>
      </c>
      <c r="I486" s="355">
        <v>4688</v>
      </c>
      <c r="J486" s="355">
        <v>9376</v>
      </c>
      <c r="K486" s="355">
        <v>9376</v>
      </c>
      <c r="L486" s="355">
        <v>9376</v>
      </c>
      <c r="M486" s="355">
        <v>9376</v>
      </c>
      <c r="N486" s="355">
        <v>9376</v>
      </c>
      <c r="O486" s="355">
        <f>133597-51568</f>
        <v>82029</v>
      </c>
      <c r="P486" s="351">
        <f>SUM(H486:O486)</f>
        <v>133597</v>
      </c>
    </row>
    <row r="487" spans="1:16" ht="14.25" customHeight="1" x14ac:dyDescent="0.3">
      <c r="A487" s="412"/>
      <c r="B487" s="413"/>
      <c r="C487" s="414"/>
      <c r="D487" s="412"/>
      <c r="E487" s="412"/>
      <c r="F487" s="324" t="s">
        <v>983</v>
      </c>
      <c r="G487" s="352" t="s">
        <v>403</v>
      </c>
      <c r="H487" s="183">
        <v>0</v>
      </c>
      <c r="I487" s="354">
        <v>5001</v>
      </c>
      <c r="J487" s="354">
        <v>5053</v>
      </c>
      <c r="K487" s="354">
        <v>4551</v>
      </c>
      <c r="L487" s="354">
        <v>4190</v>
      </c>
      <c r="M487" s="354">
        <v>3828</v>
      </c>
      <c r="N487" s="354">
        <v>3467</v>
      </c>
      <c r="O487" s="354">
        <f>41085-26152</f>
        <v>14933</v>
      </c>
      <c r="P487" s="340">
        <f>SUM(H487:O487)</f>
        <v>41023</v>
      </c>
    </row>
    <row r="488" spans="1:16" ht="14.25" customHeight="1" x14ac:dyDescent="0.3">
      <c r="A488" s="412"/>
      <c r="B488" s="413"/>
      <c r="C488" s="414"/>
      <c r="D488" s="412"/>
      <c r="E488" s="412"/>
      <c r="F488" s="60"/>
      <c r="G488" s="326" t="s">
        <v>404</v>
      </c>
      <c r="H488" s="343">
        <f t="shared" ref="H488:P488" si="172">SUM(H486:H487)</f>
        <v>0</v>
      </c>
      <c r="I488" s="343">
        <f t="shared" si="172"/>
        <v>9689</v>
      </c>
      <c r="J488" s="343">
        <f t="shared" si="172"/>
        <v>14429</v>
      </c>
      <c r="K488" s="343">
        <f t="shared" si="172"/>
        <v>13927</v>
      </c>
      <c r="L488" s="343">
        <f t="shared" si="172"/>
        <v>13566</v>
      </c>
      <c r="M488" s="343">
        <f t="shared" si="172"/>
        <v>13204</v>
      </c>
      <c r="N488" s="343">
        <f t="shared" si="172"/>
        <v>12843</v>
      </c>
      <c r="O488" s="343">
        <f t="shared" si="172"/>
        <v>96962</v>
      </c>
      <c r="P488" s="343">
        <f t="shared" si="172"/>
        <v>174620</v>
      </c>
    </row>
    <row r="489" spans="1:16" ht="14.25" customHeight="1" x14ac:dyDescent="0.3">
      <c r="A489" s="412">
        <f t="shared" ref="A489" si="173">A486+1</f>
        <v>161</v>
      </c>
      <c r="B489" s="413" t="s">
        <v>398</v>
      </c>
      <c r="C489" s="424" t="s">
        <v>1069</v>
      </c>
      <c r="D489" s="437" t="s">
        <v>971</v>
      </c>
      <c r="E489" s="437" t="s">
        <v>984</v>
      </c>
      <c r="F489" s="322" t="s">
        <v>985</v>
      </c>
      <c r="G489" s="349" t="s">
        <v>402</v>
      </c>
      <c r="H489" s="350">
        <v>0</v>
      </c>
      <c r="I489" s="355">
        <v>4040</v>
      </c>
      <c r="J489" s="350">
        <v>8080</v>
      </c>
      <c r="K489" s="350">
        <v>8080</v>
      </c>
      <c r="L489" s="350">
        <v>8080</v>
      </c>
      <c r="M489" s="350">
        <v>8080</v>
      </c>
      <c r="N489" s="350">
        <v>8080</v>
      </c>
      <c r="O489" s="350">
        <f>74723-44440</f>
        <v>30283</v>
      </c>
      <c r="P489" s="351">
        <f>SUM(H489:O489)</f>
        <v>74723</v>
      </c>
    </row>
    <row r="490" spans="1:16" ht="14.25" customHeight="1" x14ac:dyDescent="0.3">
      <c r="A490" s="412"/>
      <c r="B490" s="413"/>
      <c r="C490" s="414"/>
      <c r="D490" s="412"/>
      <c r="E490" s="412"/>
      <c r="F490" s="324" t="s">
        <v>986</v>
      </c>
      <c r="G490" s="352" t="s">
        <v>403</v>
      </c>
      <c r="H490" s="183">
        <v>0</v>
      </c>
      <c r="I490" s="183">
        <v>2560</v>
      </c>
      <c r="J490" s="183">
        <v>2564</v>
      </c>
      <c r="K490" s="183">
        <v>2265</v>
      </c>
      <c r="L490" s="183">
        <v>1967</v>
      </c>
      <c r="M490" s="183">
        <v>1669</v>
      </c>
      <c r="N490" s="183">
        <v>1370</v>
      </c>
      <c r="O490" s="183">
        <f>14921-12425</f>
        <v>2496</v>
      </c>
      <c r="P490" s="340">
        <f>SUM(H490:O490)</f>
        <v>14891</v>
      </c>
    </row>
    <row r="491" spans="1:16" ht="14.25" customHeight="1" x14ac:dyDescent="0.3">
      <c r="A491" s="412"/>
      <c r="B491" s="413"/>
      <c r="C491" s="414"/>
      <c r="D491" s="412"/>
      <c r="E491" s="412"/>
      <c r="F491" s="60"/>
      <c r="G491" s="326" t="s">
        <v>404</v>
      </c>
      <c r="H491" s="343">
        <f t="shared" ref="H491:P491" si="174">SUM(H489:H490)</f>
        <v>0</v>
      </c>
      <c r="I491" s="343">
        <f t="shared" si="174"/>
        <v>6600</v>
      </c>
      <c r="J491" s="343">
        <f t="shared" si="174"/>
        <v>10644</v>
      </c>
      <c r="K491" s="343">
        <f t="shared" si="174"/>
        <v>10345</v>
      </c>
      <c r="L491" s="343">
        <f t="shared" si="174"/>
        <v>10047</v>
      </c>
      <c r="M491" s="343">
        <f t="shared" si="174"/>
        <v>9749</v>
      </c>
      <c r="N491" s="343">
        <f t="shared" si="174"/>
        <v>9450</v>
      </c>
      <c r="O491" s="343">
        <f t="shared" si="174"/>
        <v>32779</v>
      </c>
      <c r="P491" s="343">
        <f t="shared" si="174"/>
        <v>89614</v>
      </c>
    </row>
    <row r="492" spans="1:16" ht="14.25" customHeight="1" x14ac:dyDescent="0.3">
      <c r="A492" s="412">
        <f t="shared" ref="A492:A498" si="175">A489+1</f>
        <v>162</v>
      </c>
      <c r="B492" s="413" t="s">
        <v>398</v>
      </c>
      <c r="C492" s="442" t="s">
        <v>987</v>
      </c>
      <c r="D492" s="437" t="s">
        <v>988</v>
      </c>
      <c r="E492" s="437" t="s">
        <v>972</v>
      </c>
      <c r="F492" s="322" t="s">
        <v>989</v>
      </c>
      <c r="G492" s="349" t="s">
        <v>402</v>
      </c>
      <c r="H492" s="350">
        <v>0</v>
      </c>
      <c r="I492" s="355">
        <v>8860</v>
      </c>
      <c r="J492" s="350">
        <v>17720</v>
      </c>
      <c r="K492" s="350">
        <v>17720</v>
      </c>
      <c r="L492" s="350">
        <v>17720</v>
      </c>
      <c r="M492" s="350">
        <v>17720</v>
      </c>
      <c r="N492" s="350">
        <v>17720</v>
      </c>
      <c r="O492" s="350">
        <f>252490-97460</f>
        <v>155030</v>
      </c>
      <c r="P492" s="351">
        <f>SUM(H492:O492)</f>
        <v>252490</v>
      </c>
    </row>
    <row r="493" spans="1:16" ht="14.25" customHeight="1" x14ac:dyDescent="0.3">
      <c r="A493" s="412"/>
      <c r="B493" s="413"/>
      <c r="C493" s="442"/>
      <c r="D493" s="412"/>
      <c r="E493" s="412"/>
      <c r="F493" s="324" t="s">
        <v>990</v>
      </c>
      <c r="G493" s="352" t="s">
        <v>403</v>
      </c>
      <c r="H493" s="183">
        <v>0</v>
      </c>
      <c r="I493" s="183">
        <v>8754</v>
      </c>
      <c r="J493" s="183">
        <v>9506</v>
      </c>
      <c r="K493" s="183">
        <v>8807</v>
      </c>
      <c r="L493" s="183">
        <v>8107</v>
      </c>
      <c r="M493" s="183">
        <v>7408</v>
      </c>
      <c r="N493" s="183">
        <v>6709</v>
      </c>
      <c r="O493" s="183">
        <f>78243-49345</f>
        <v>28898</v>
      </c>
      <c r="P493" s="340">
        <f>SUM(H493:O493)</f>
        <v>78189</v>
      </c>
    </row>
    <row r="494" spans="1:16" ht="14.25" customHeight="1" x14ac:dyDescent="0.3">
      <c r="A494" s="412"/>
      <c r="B494" s="413"/>
      <c r="C494" s="442"/>
      <c r="D494" s="412"/>
      <c r="E494" s="412"/>
      <c r="F494" s="60"/>
      <c r="G494" s="326" t="s">
        <v>404</v>
      </c>
      <c r="H494" s="343">
        <f t="shared" ref="H494:P494" si="176">SUM(H492:H493)</f>
        <v>0</v>
      </c>
      <c r="I494" s="343">
        <f t="shared" si="176"/>
        <v>17614</v>
      </c>
      <c r="J494" s="343">
        <f t="shared" si="176"/>
        <v>27226</v>
      </c>
      <c r="K494" s="343">
        <f t="shared" si="176"/>
        <v>26527</v>
      </c>
      <c r="L494" s="343">
        <f t="shared" si="176"/>
        <v>25827</v>
      </c>
      <c r="M494" s="343">
        <f t="shared" si="176"/>
        <v>25128</v>
      </c>
      <c r="N494" s="343">
        <f t="shared" si="176"/>
        <v>24429</v>
      </c>
      <c r="O494" s="343">
        <f t="shared" si="176"/>
        <v>183928</v>
      </c>
      <c r="P494" s="343">
        <f t="shared" si="176"/>
        <v>330679</v>
      </c>
    </row>
    <row r="495" spans="1:16" ht="14.25" customHeight="1" x14ac:dyDescent="0.3">
      <c r="A495" s="412">
        <f t="shared" si="175"/>
        <v>163</v>
      </c>
      <c r="B495" s="413" t="s">
        <v>398</v>
      </c>
      <c r="C495" s="424" t="s">
        <v>991</v>
      </c>
      <c r="D495" s="437" t="s">
        <v>992</v>
      </c>
      <c r="E495" s="437" t="s">
        <v>993</v>
      </c>
      <c r="F495" s="322" t="s">
        <v>994</v>
      </c>
      <c r="G495" s="349" t="s">
        <v>402</v>
      </c>
      <c r="H495" s="350">
        <v>0</v>
      </c>
      <c r="I495" s="350">
        <v>0</v>
      </c>
      <c r="J495" s="350">
        <v>26184</v>
      </c>
      <c r="K495" s="350">
        <v>26184</v>
      </c>
      <c r="L495" s="350">
        <v>26184</v>
      </c>
      <c r="M495" s="350">
        <v>26184</v>
      </c>
      <c r="N495" s="350">
        <v>26184</v>
      </c>
      <c r="O495" s="350">
        <f>366528-130920</f>
        <v>235608</v>
      </c>
      <c r="P495" s="351">
        <f>SUM(H495:O495)</f>
        <v>366528</v>
      </c>
    </row>
    <row r="496" spans="1:16" ht="14.25" customHeight="1" x14ac:dyDescent="0.3">
      <c r="A496" s="412"/>
      <c r="B496" s="413"/>
      <c r="C496" s="414"/>
      <c r="D496" s="412"/>
      <c r="E496" s="412"/>
      <c r="F496" s="324" t="s">
        <v>995</v>
      </c>
      <c r="G496" s="352" t="s">
        <v>403</v>
      </c>
      <c r="H496" s="354">
        <v>0</v>
      </c>
      <c r="I496" s="183">
        <v>14147</v>
      </c>
      <c r="J496" s="183">
        <v>15141</v>
      </c>
      <c r="K496" s="183">
        <v>14103</v>
      </c>
      <c r="L496" s="183">
        <v>13005</v>
      </c>
      <c r="M496" s="183">
        <v>11907</v>
      </c>
      <c r="N496" s="183">
        <v>10808</v>
      </c>
      <c r="O496" s="183">
        <f>127325-79453</f>
        <v>47872</v>
      </c>
      <c r="P496" s="340">
        <f>SUM(H496:O496)</f>
        <v>126983</v>
      </c>
    </row>
    <row r="497" spans="1:16" ht="14.25" customHeight="1" x14ac:dyDescent="0.3">
      <c r="A497" s="412"/>
      <c r="B497" s="413"/>
      <c r="C497" s="414"/>
      <c r="D497" s="412"/>
      <c r="E497" s="412"/>
      <c r="F497" s="60"/>
      <c r="G497" s="326" t="s">
        <v>404</v>
      </c>
      <c r="H497" s="343">
        <f t="shared" ref="H497:P497" si="177">SUM(H495:H496)</f>
        <v>0</v>
      </c>
      <c r="I497" s="343">
        <f t="shared" si="177"/>
        <v>14147</v>
      </c>
      <c r="J497" s="343">
        <f t="shared" si="177"/>
        <v>41325</v>
      </c>
      <c r="K497" s="343">
        <f t="shared" si="177"/>
        <v>40287</v>
      </c>
      <c r="L497" s="343">
        <f t="shared" si="177"/>
        <v>39189</v>
      </c>
      <c r="M497" s="343">
        <f t="shared" si="177"/>
        <v>38091</v>
      </c>
      <c r="N497" s="343">
        <f t="shared" si="177"/>
        <v>36992</v>
      </c>
      <c r="O497" s="343">
        <f t="shared" si="177"/>
        <v>283480</v>
      </c>
      <c r="P497" s="343">
        <f t="shared" si="177"/>
        <v>493511</v>
      </c>
    </row>
    <row r="498" spans="1:16" ht="14.25" customHeight="1" x14ac:dyDescent="0.3">
      <c r="A498" s="412">
        <f t="shared" si="175"/>
        <v>164</v>
      </c>
      <c r="B498" s="413" t="s">
        <v>398</v>
      </c>
      <c r="C498" s="424" t="s">
        <v>996</v>
      </c>
      <c r="D498" s="437" t="s">
        <v>997</v>
      </c>
      <c r="E498" s="437" t="s">
        <v>998</v>
      </c>
      <c r="F498" s="322" t="s">
        <v>999</v>
      </c>
      <c r="G498" s="349" t="s">
        <v>402</v>
      </c>
      <c r="H498" s="350">
        <v>0</v>
      </c>
      <c r="I498" s="350">
        <v>0</v>
      </c>
      <c r="J498" s="350">
        <v>61068</v>
      </c>
      <c r="K498" s="350">
        <v>81424</v>
      </c>
      <c r="L498" s="350">
        <v>81424</v>
      </c>
      <c r="M498" s="350">
        <v>81424</v>
      </c>
      <c r="N498" s="350">
        <v>81424</v>
      </c>
      <c r="O498" s="355">
        <f>2340909-386764</f>
        <v>1954145</v>
      </c>
      <c r="P498" s="358">
        <f>SUM(H498:O498)</f>
        <v>2340909</v>
      </c>
    </row>
    <row r="499" spans="1:16" ht="14.25" customHeight="1" x14ac:dyDescent="0.3">
      <c r="A499" s="412"/>
      <c r="B499" s="413"/>
      <c r="C499" s="414"/>
      <c r="D499" s="412"/>
      <c r="E499" s="412"/>
      <c r="F499" s="324" t="s">
        <v>1000</v>
      </c>
      <c r="G499" s="352" t="s">
        <v>403</v>
      </c>
      <c r="H499" s="183">
        <v>0</v>
      </c>
      <c r="I499" s="340">
        <v>43207</v>
      </c>
      <c r="J499" s="340">
        <v>94483</v>
      </c>
      <c r="K499" s="340">
        <v>94402</v>
      </c>
      <c r="L499" s="340">
        <v>91011</v>
      </c>
      <c r="M499" s="340">
        <v>87621</v>
      </c>
      <c r="N499" s="183">
        <v>84230</v>
      </c>
      <c r="O499" s="354">
        <f>1497163-494954</f>
        <v>1002209</v>
      </c>
      <c r="P499" s="346">
        <f>SUM(H499:O499)</f>
        <v>1497163</v>
      </c>
    </row>
    <row r="500" spans="1:16" ht="14.25" customHeight="1" x14ac:dyDescent="0.3">
      <c r="A500" s="412"/>
      <c r="B500" s="413"/>
      <c r="C500" s="414"/>
      <c r="D500" s="412"/>
      <c r="E500" s="412"/>
      <c r="F500" s="60"/>
      <c r="G500" s="326" t="s">
        <v>404</v>
      </c>
      <c r="H500" s="343">
        <f t="shared" ref="H500:P500" si="178">SUM(H498:H499)</f>
        <v>0</v>
      </c>
      <c r="I500" s="343">
        <f t="shared" si="178"/>
        <v>43207</v>
      </c>
      <c r="J500" s="343">
        <f t="shared" si="178"/>
        <v>155551</v>
      </c>
      <c r="K500" s="343">
        <f t="shared" si="178"/>
        <v>175826</v>
      </c>
      <c r="L500" s="343">
        <f t="shared" si="178"/>
        <v>172435</v>
      </c>
      <c r="M500" s="343">
        <f t="shared" si="178"/>
        <v>169045</v>
      </c>
      <c r="N500" s="343">
        <f t="shared" si="178"/>
        <v>165654</v>
      </c>
      <c r="O500" s="343">
        <f t="shared" si="178"/>
        <v>2956354</v>
      </c>
      <c r="P500" s="343">
        <f t="shared" si="178"/>
        <v>3838072</v>
      </c>
    </row>
    <row r="501" spans="1:16" ht="14.25" customHeight="1" x14ac:dyDescent="0.3">
      <c r="A501" s="412">
        <f t="shared" ref="A501" si="179">A498+1</f>
        <v>165</v>
      </c>
      <c r="B501" s="413" t="s">
        <v>398</v>
      </c>
      <c r="C501" s="424" t="s">
        <v>1001</v>
      </c>
      <c r="D501" s="437" t="s">
        <v>997</v>
      </c>
      <c r="E501" s="437" t="s">
        <v>998</v>
      </c>
      <c r="F501" s="322" t="s">
        <v>1002</v>
      </c>
      <c r="G501" s="349" t="s">
        <v>402</v>
      </c>
      <c r="H501" s="350">
        <v>0</v>
      </c>
      <c r="I501" s="355">
        <v>0</v>
      </c>
      <c r="J501" s="350">
        <v>258969</v>
      </c>
      <c r="K501" s="350">
        <v>345292</v>
      </c>
      <c r="L501" s="350">
        <v>345292</v>
      </c>
      <c r="M501" s="350">
        <v>345292</v>
      </c>
      <c r="N501" s="350">
        <v>345292</v>
      </c>
      <c r="O501" s="350">
        <f>9927142-1640137</f>
        <v>8287005</v>
      </c>
      <c r="P501" s="351">
        <f>SUM(H501:O501)</f>
        <v>9927142</v>
      </c>
    </row>
    <row r="502" spans="1:16" ht="14.25" customHeight="1" x14ac:dyDescent="0.3">
      <c r="A502" s="412"/>
      <c r="B502" s="413"/>
      <c r="C502" s="414"/>
      <c r="D502" s="412"/>
      <c r="E502" s="412"/>
      <c r="F502" s="324" t="s">
        <v>1003</v>
      </c>
      <c r="G502" s="352" t="s">
        <v>403</v>
      </c>
      <c r="H502" s="183">
        <v>0</v>
      </c>
      <c r="I502" s="183">
        <v>151069</v>
      </c>
      <c r="J502" s="183">
        <v>459537</v>
      </c>
      <c r="K502" s="183">
        <v>458817</v>
      </c>
      <c r="L502" s="183">
        <v>442338</v>
      </c>
      <c r="M502" s="183">
        <v>409381</v>
      </c>
      <c r="N502" s="183">
        <v>392902</v>
      </c>
      <c r="O502" s="183">
        <f>7218081-2314044</f>
        <v>4904037</v>
      </c>
      <c r="P502" s="340">
        <f>SUM(H502:O502)</f>
        <v>7218081</v>
      </c>
    </row>
    <row r="503" spans="1:16" ht="14.25" customHeight="1" x14ac:dyDescent="0.3">
      <c r="A503" s="412"/>
      <c r="B503" s="413"/>
      <c r="C503" s="414"/>
      <c r="D503" s="412"/>
      <c r="E503" s="412"/>
      <c r="F503" s="60"/>
      <c r="G503" s="326" t="s">
        <v>404</v>
      </c>
      <c r="H503" s="343">
        <f t="shared" ref="H503:P503" si="180">SUM(H501:H502)</f>
        <v>0</v>
      </c>
      <c r="I503" s="343">
        <f t="shared" si="180"/>
        <v>151069</v>
      </c>
      <c r="J503" s="343">
        <f t="shared" si="180"/>
        <v>718506</v>
      </c>
      <c r="K503" s="343">
        <f t="shared" si="180"/>
        <v>804109</v>
      </c>
      <c r="L503" s="343">
        <f t="shared" si="180"/>
        <v>787630</v>
      </c>
      <c r="M503" s="343">
        <f t="shared" si="180"/>
        <v>754673</v>
      </c>
      <c r="N503" s="343">
        <f t="shared" si="180"/>
        <v>738194</v>
      </c>
      <c r="O503" s="343">
        <f t="shared" si="180"/>
        <v>13191042</v>
      </c>
      <c r="P503" s="343">
        <f t="shared" si="180"/>
        <v>17145223</v>
      </c>
    </row>
    <row r="504" spans="1:16" ht="14.25" hidden="1" customHeight="1" outlineLevel="1" x14ac:dyDescent="0.3">
      <c r="A504" s="412"/>
      <c r="B504" s="413" t="s">
        <v>398</v>
      </c>
      <c r="C504" s="424"/>
      <c r="D504" s="437"/>
      <c r="E504" s="437"/>
      <c r="F504" s="322"/>
      <c r="G504" s="349" t="s">
        <v>402</v>
      </c>
      <c r="H504" s="350">
        <v>0</v>
      </c>
      <c r="I504" s="359"/>
      <c r="J504" s="360"/>
      <c r="K504" s="360"/>
      <c r="L504" s="360"/>
      <c r="M504" s="360"/>
      <c r="N504" s="360"/>
      <c r="O504" s="360"/>
      <c r="P504" s="361">
        <f>SUM(H504:O504)</f>
        <v>0</v>
      </c>
    </row>
    <row r="505" spans="1:16" ht="14.25" hidden="1" customHeight="1" outlineLevel="1" x14ac:dyDescent="0.3">
      <c r="A505" s="412"/>
      <c r="B505" s="413"/>
      <c r="C505" s="414"/>
      <c r="D505" s="412"/>
      <c r="E505" s="412"/>
      <c r="F505" s="352" t="s">
        <v>1004</v>
      </c>
      <c r="G505" s="352" t="s">
        <v>403</v>
      </c>
      <c r="H505" s="183">
        <v>0</v>
      </c>
      <c r="I505" s="362"/>
      <c r="J505" s="362"/>
      <c r="K505" s="362"/>
      <c r="L505" s="362"/>
      <c r="M505" s="362"/>
      <c r="N505" s="362"/>
      <c r="O505" s="362"/>
      <c r="P505" s="342">
        <f>SUM(H505:O505)</f>
        <v>0</v>
      </c>
    </row>
    <row r="506" spans="1:16" ht="14.25" hidden="1" customHeight="1" outlineLevel="1" x14ac:dyDescent="0.3">
      <c r="A506" s="412"/>
      <c r="B506" s="413"/>
      <c r="C506" s="414"/>
      <c r="D506" s="412"/>
      <c r="E506" s="412"/>
      <c r="F506" s="60"/>
      <c r="G506" s="326" t="s">
        <v>404</v>
      </c>
      <c r="H506" s="343">
        <f t="shared" ref="H506:P506" si="181">SUM(H504:H505)</f>
        <v>0</v>
      </c>
      <c r="I506" s="363">
        <f t="shared" si="181"/>
        <v>0</v>
      </c>
      <c r="J506" s="363">
        <f t="shared" si="181"/>
        <v>0</v>
      </c>
      <c r="K506" s="363">
        <f t="shared" si="181"/>
        <v>0</v>
      </c>
      <c r="L506" s="363">
        <f t="shared" si="181"/>
        <v>0</v>
      </c>
      <c r="M506" s="363">
        <f t="shared" si="181"/>
        <v>0</v>
      </c>
      <c r="N506" s="363">
        <f t="shared" si="181"/>
        <v>0</v>
      </c>
      <c r="O506" s="363">
        <f t="shared" si="181"/>
        <v>0</v>
      </c>
      <c r="P506" s="363">
        <f t="shared" si="181"/>
        <v>0</v>
      </c>
    </row>
    <row r="507" spans="1:16" ht="13.5" customHeight="1" collapsed="1" x14ac:dyDescent="0.3">
      <c r="A507" s="473"/>
      <c r="B507" s="458" t="s">
        <v>1005</v>
      </c>
      <c r="C507" s="474" t="s">
        <v>1006</v>
      </c>
      <c r="D507" s="458" t="s">
        <v>1005</v>
      </c>
      <c r="E507" s="458" t="s">
        <v>1005</v>
      </c>
      <c r="F507" s="458" t="s">
        <v>1005</v>
      </c>
      <c r="G507" s="364" t="s">
        <v>402</v>
      </c>
      <c r="H507" s="365">
        <f>H9+H12+H15+H18+H21+H24+H27+H30+H33+H36+H39+H42+H45+H48+H51+H54+H57+H60+H63+H66+H69+H72+H75+H78+H81+H84+H87+H90+H93+H96+H99+H102+H105+H108+H111+H114+H117+H120+H123+H126+H129+H132+H135+H138+H141+H144+H147+H150+H153+H156+H159+H162+H165+H168+H171+H174+H177+H180+H183+H186+H189+H192+H195+H198+H201+H204+H207+H210+H213+H216+H219+H222+H225+H228+H231+H234+H237+H240+H243+H246+H249+H252+H255+H258+H261+H264+H267+H270+H273+H276+H279+H282+H285+H288+H291+H294+H297+H300+H303+H306+H309+H312+H315+H318+H321+H324+H327+H330+H333+H336+H339+H342+H345+H348+H351+H354+H357+H360+H363+H366+H369+H372+H375+H378+H381+H384+H387+H390+H393+H396+H399+H402+H405+H408+H411+H414+H417+H420+H423+H426+H429+H432+H435+H438+H441+H444+H447+H450+H453+H456+H459+H462+H465+H468+H471+H474+H477+H480+H483+H486+H489+H492+H495+H498+H501+H504</f>
        <v>3127675.2</v>
      </c>
      <c r="I507" s="365">
        <f t="shared" ref="I507:P509" si="182">I9+I12+I15+I18+I21+I24+I27+I30+I33+I36+I39+I42+I45+I48+I51+I54+I57+I60+I63+I66+I69+I72+I75+I78+I81+I84+I87+I90+I93+I96+I99+I102+I105+I108+I111+I114+I117+I120+I123+I126+I129+I132+I135+I138+I141+I144+I147+I150+I153+I156+I159+I162+I165+I168+I171+I174+I177+I180+I183+I186+I189+I192+I195+I198+I201+I204+I207+I210+I213+I216+I219+I222+I225+I228+I231+I234+I237+I240+I243+I246+I249+I252+I255+I258+I261+I264+I267+I270+I273+I276+I279+I282+I285+I288+I291+I294+I297+I300+I303+I306+I309+I312+I315+I318+I321+I324+I327+I330+I333+I336+I339+I342+I345+I348+I351+I354+I357+I360+I363+I366+I369+I372+I375+I378+I381+I384+I387+I390+I393+I396+I399+I402+I405+I408+I411+I414+I417+I420+I423+I426+I429+I432+I435+I438+I441+I444+I447+I450+I453+I456+I459+I462+I465+I468+I471+I474+I477+I480+I483+I486+I489+I492+I495+I498+I501+I504</f>
        <v>5283017</v>
      </c>
      <c r="J507" s="365">
        <f t="shared" si="182"/>
        <v>6214826</v>
      </c>
      <c r="K507" s="365">
        <f t="shared" si="182"/>
        <v>6012834</v>
      </c>
      <c r="L507" s="365">
        <f t="shared" si="182"/>
        <v>5106352</v>
      </c>
      <c r="M507" s="365">
        <f t="shared" si="182"/>
        <v>4711914</v>
      </c>
      <c r="N507" s="365">
        <f t="shared" si="182"/>
        <v>4578000</v>
      </c>
      <c r="O507" s="365">
        <f t="shared" si="182"/>
        <v>55038150.450000003</v>
      </c>
      <c r="P507" s="365">
        <f t="shared" si="182"/>
        <v>90072768.650000006</v>
      </c>
    </row>
    <row r="508" spans="1:16" ht="13.5" customHeight="1" x14ac:dyDescent="0.3">
      <c r="A508" s="473"/>
      <c r="B508" s="413"/>
      <c r="C508" s="474"/>
      <c r="D508" s="413"/>
      <c r="E508" s="413"/>
      <c r="F508" s="458"/>
      <c r="G508" s="366" t="s">
        <v>403</v>
      </c>
      <c r="H508" s="365">
        <f>H10+H13+H16+H19+H22+H25+H28+H31+H34+H37+H40+H43+H46+H49+H52+H55+H58+H61+H64+H67+H70+H73+H76+H79+H82+H85+H88+H91+H94+H97+H100+H103+H106+H109+H112+H115+H118+H121+H124+H127+H130+H133+H136+H139+H142+H145+H148+H151+H154+H157+H160+H163+H166+H169+H172+H175+H178+H181+H184+H187+H190+H193+H196+H199+H202+H205+H208+H211+H214+H217+H220+H223+H226+H229+H232+H235+H238+H241+H244+H247+H250+H253+H256+H259+H262+H265+H268+H271+H274+H277+H280+H283+H286+H289+H292+H295+H298+H301+H304+H307+H310+H313+H316+H319+H322+H325+H328+H331+H334+H337+H340+H343+H346+H349+H352+H355+H358+H361+H364+H367+H370+H373+H376+H379+H382+H385+H388+H391+H394+H397+H400+H403+H406+H409+H412+H415+H418+H421+H424+H427+H430+H433+H436+H439+H442+H445+H448+H451+H454+H457+H460+H463+H466+H469+H472+H475+H478+H481+H484+H487+H490+H493+H496+H499+H502+H505</f>
        <v>2946959</v>
      </c>
      <c r="I508" s="365">
        <f t="shared" si="182"/>
        <v>3259184</v>
      </c>
      <c r="J508" s="365">
        <f t="shared" si="182"/>
        <v>3437336</v>
      </c>
      <c r="K508" s="365">
        <f t="shared" si="182"/>
        <v>3179461</v>
      </c>
      <c r="L508" s="365">
        <f t="shared" si="182"/>
        <v>2938298</v>
      </c>
      <c r="M508" s="365">
        <f t="shared" si="182"/>
        <v>2705276</v>
      </c>
      <c r="N508" s="365">
        <f t="shared" si="182"/>
        <v>2510484</v>
      </c>
      <c r="O508" s="365">
        <f t="shared" si="182"/>
        <v>18931829</v>
      </c>
      <c r="P508" s="365">
        <f t="shared" si="182"/>
        <v>39908827</v>
      </c>
    </row>
    <row r="509" spans="1:16" ht="15" customHeight="1" x14ac:dyDescent="0.3">
      <c r="A509" s="473"/>
      <c r="B509" s="413"/>
      <c r="C509" s="474"/>
      <c r="D509" s="413"/>
      <c r="E509" s="413"/>
      <c r="F509" s="458"/>
      <c r="G509" s="367" t="s">
        <v>23</v>
      </c>
      <c r="H509" s="368">
        <f>H11+H14+H17+H20+H23+H26+H29+H32+H35+H38+H41+H44+H47+H50+H53+H56+H59+H62+H65+H68+H71+H74+H77+H80+H83+H86+H89+H92+H95+H98+H101+H104+H107+H110+H113+H116+H119+H122+H125+H128+H131+H134+H137+H140+H143+H146+H149+H152+H155+H158+H161+H164+H167+H170+H173+H176+H179+H182+H185+H188+H191+H194+H197+H200+H203+H206+H209+H212+H215+H218+H221+H224+H227+H230+H233+H236+H239+H242+H245+H248+H251+H254+H257+H260+H263+H266+H269+H272+H275+H278+H281+H284+H287+H290+H293+H296+H299+H302+H305+H308+H311+H314+H317+H320+H323+H326+H329+H332+H335+H338+H341+H344+H347+H350+H353+H356+H359+H362+H365+H368+H371+H374+H377+H380+H383+H386+H389+H392+H395+H398+H401+H404+H407+H410+H413+H416+H419+H422+H425+H428+H431+H434+H437+H440+H443+H446+H449+H452+H455+H458+H461+H464+H467+H470+H473+H476+H479+H482+H485+H488+H491+H494+H497+H500+H503+H506</f>
        <v>6074634.2000000002</v>
      </c>
      <c r="I509" s="368">
        <f t="shared" si="182"/>
        <v>8542201</v>
      </c>
      <c r="J509" s="368">
        <f t="shared" si="182"/>
        <v>9652162</v>
      </c>
      <c r="K509" s="368">
        <f t="shared" si="182"/>
        <v>9192295</v>
      </c>
      <c r="L509" s="368">
        <f t="shared" si="182"/>
        <v>8044650</v>
      </c>
      <c r="M509" s="368">
        <f t="shared" si="182"/>
        <v>7417190</v>
      </c>
      <c r="N509" s="368">
        <f t="shared" si="182"/>
        <v>7088484</v>
      </c>
      <c r="O509" s="368">
        <f t="shared" si="182"/>
        <v>73969979.450000003</v>
      </c>
      <c r="P509" s="368">
        <f t="shared" si="182"/>
        <v>129981595.65000001</v>
      </c>
    </row>
    <row r="510" spans="1:16" ht="16.5" customHeight="1" outlineLevel="1" x14ac:dyDescent="0.3">
      <c r="A510" s="369"/>
      <c r="B510" s="370"/>
      <c r="C510" s="371"/>
      <c r="D510" s="372"/>
      <c r="E510" s="372"/>
      <c r="F510" s="372"/>
      <c r="G510" s="373"/>
      <c r="H510" s="152"/>
      <c r="I510" s="374"/>
      <c r="J510" s="374"/>
      <c r="K510" s="374"/>
      <c r="L510" s="374"/>
      <c r="M510" s="374"/>
      <c r="N510" s="374"/>
      <c r="O510" s="374"/>
      <c r="P510" s="374"/>
    </row>
    <row r="511" spans="1:16" x14ac:dyDescent="0.3">
      <c r="A511" s="459" t="s">
        <v>1007</v>
      </c>
      <c r="B511" s="460"/>
      <c r="C511" s="460"/>
      <c r="D511" s="460"/>
      <c r="E511" s="460"/>
      <c r="F511" s="460"/>
      <c r="G511" s="460"/>
      <c r="H511" s="460"/>
      <c r="I511" s="460"/>
      <c r="J511" s="460"/>
      <c r="K511" s="460"/>
      <c r="L511" s="460"/>
      <c r="M511" s="460"/>
      <c r="N511" s="460"/>
      <c r="O511" s="460"/>
      <c r="P511" s="460"/>
    </row>
    <row r="512" spans="1:16" x14ac:dyDescent="0.3">
      <c r="A512" s="59">
        <v>1</v>
      </c>
      <c r="B512" s="59">
        <v>2</v>
      </c>
      <c r="C512" s="59">
        <v>3</v>
      </c>
      <c r="D512" s="59">
        <v>4</v>
      </c>
      <c r="E512" s="59">
        <v>5</v>
      </c>
      <c r="F512" s="375">
        <v>6</v>
      </c>
      <c r="G512" s="375">
        <v>7</v>
      </c>
      <c r="H512" s="375">
        <v>10</v>
      </c>
      <c r="I512" s="375">
        <v>11</v>
      </c>
      <c r="J512" s="375">
        <v>12</v>
      </c>
      <c r="K512" s="375">
        <v>13</v>
      </c>
      <c r="L512" s="375">
        <v>14</v>
      </c>
      <c r="M512" s="375">
        <v>15</v>
      </c>
      <c r="N512" s="375"/>
      <c r="O512" s="375">
        <v>16</v>
      </c>
      <c r="P512" s="375">
        <v>17</v>
      </c>
    </row>
    <row r="513" spans="1:16" ht="17.25" customHeight="1" x14ac:dyDescent="0.3">
      <c r="A513" s="428">
        <v>1</v>
      </c>
      <c r="B513" s="461" t="s">
        <v>398</v>
      </c>
      <c r="C513" s="464" t="s">
        <v>1075</v>
      </c>
      <c r="D513" s="467" t="s">
        <v>1008</v>
      </c>
      <c r="E513" s="421" t="s">
        <v>445</v>
      </c>
      <c r="F513" s="470" t="s">
        <v>1009</v>
      </c>
      <c r="G513" s="322" t="s">
        <v>402</v>
      </c>
      <c r="H513" s="376">
        <v>10968</v>
      </c>
      <c r="I513" s="376">
        <v>10968</v>
      </c>
      <c r="J513" s="376">
        <v>10968</v>
      </c>
      <c r="K513" s="377">
        <v>7850</v>
      </c>
      <c r="L513" s="378">
        <v>0</v>
      </c>
      <c r="M513" s="379">
        <v>0</v>
      </c>
      <c r="N513" s="379">
        <v>0</v>
      </c>
      <c r="O513" s="380">
        <v>0</v>
      </c>
      <c r="P513" s="381">
        <f t="shared" ref="P513:P533" si="183">SUM(H513:O513)</f>
        <v>40754</v>
      </c>
    </row>
    <row r="514" spans="1:16" ht="17.25" customHeight="1" x14ac:dyDescent="0.3">
      <c r="A514" s="429"/>
      <c r="B514" s="462"/>
      <c r="C514" s="465"/>
      <c r="D514" s="468"/>
      <c r="E514" s="422"/>
      <c r="F514" s="471"/>
      <c r="G514" s="324" t="s">
        <v>403</v>
      </c>
      <c r="H514" s="382">
        <f>1163+563+13</f>
        <v>1739</v>
      </c>
      <c r="I514" s="382">
        <f>1108+164-80</f>
        <v>1192</v>
      </c>
      <c r="J514" s="382">
        <f>1056-355</f>
        <v>701</v>
      </c>
      <c r="K514" s="383">
        <f>177+50</f>
        <v>227</v>
      </c>
      <c r="L514" s="384">
        <v>0</v>
      </c>
      <c r="M514" s="385">
        <v>0</v>
      </c>
      <c r="N514" s="385">
        <v>0</v>
      </c>
      <c r="O514" s="384">
        <v>0</v>
      </c>
      <c r="P514" s="381">
        <f t="shared" si="183"/>
        <v>3859</v>
      </c>
    </row>
    <row r="515" spans="1:16" x14ac:dyDescent="0.3">
      <c r="A515" s="430"/>
      <c r="B515" s="463"/>
      <c r="C515" s="466"/>
      <c r="D515" s="469"/>
      <c r="E515" s="423"/>
      <c r="F515" s="472"/>
      <c r="G515" s="326" t="s">
        <v>404</v>
      </c>
      <c r="H515" s="386">
        <f t="shared" ref="H515:O515" si="184">SUM(H513:H514)</f>
        <v>12707</v>
      </c>
      <c r="I515" s="386">
        <f t="shared" si="184"/>
        <v>12160</v>
      </c>
      <c r="J515" s="386">
        <f t="shared" si="184"/>
        <v>11669</v>
      </c>
      <c r="K515" s="386">
        <f t="shared" si="184"/>
        <v>8077</v>
      </c>
      <c r="L515" s="386">
        <f t="shared" si="184"/>
        <v>0</v>
      </c>
      <c r="M515" s="386">
        <f t="shared" si="184"/>
        <v>0</v>
      </c>
      <c r="N515" s="386">
        <f t="shared" si="184"/>
        <v>0</v>
      </c>
      <c r="O515" s="386">
        <f t="shared" si="184"/>
        <v>0</v>
      </c>
      <c r="P515" s="387">
        <f t="shared" si="183"/>
        <v>44613</v>
      </c>
    </row>
    <row r="516" spans="1:16" x14ac:dyDescent="0.3">
      <c r="A516" s="428">
        <v>2</v>
      </c>
      <c r="B516" s="461" t="s">
        <v>398</v>
      </c>
      <c r="C516" s="481" t="s">
        <v>1010</v>
      </c>
      <c r="D516" s="467" t="s">
        <v>1011</v>
      </c>
      <c r="E516" s="478" t="s">
        <v>1012</v>
      </c>
      <c r="F516" s="470" t="s">
        <v>1013</v>
      </c>
      <c r="G516" s="322" t="s">
        <v>402</v>
      </c>
      <c r="H516" s="388">
        <v>46540</v>
      </c>
      <c r="I516" s="388">
        <v>46540</v>
      </c>
      <c r="J516" s="388">
        <v>46540</v>
      </c>
      <c r="K516" s="388">
        <v>46540</v>
      </c>
      <c r="L516" s="388">
        <v>46540</v>
      </c>
      <c r="M516" s="388">
        <v>46540</v>
      </c>
      <c r="N516" s="388">
        <v>46540</v>
      </c>
      <c r="O516" s="388">
        <f>279240-46540</f>
        <v>232700</v>
      </c>
      <c r="P516" s="381">
        <f t="shared" si="183"/>
        <v>558480</v>
      </c>
    </row>
    <row r="517" spans="1:16" x14ac:dyDescent="0.3">
      <c r="A517" s="429"/>
      <c r="B517" s="462"/>
      <c r="C517" s="482"/>
      <c r="D517" s="468"/>
      <c r="E517" s="479"/>
      <c r="F517" s="471"/>
      <c r="G517" s="324" t="s">
        <v>403</v>
      </c>
      <c r="H517" s="382">
        <f>24952+258</f>
        <v>25210</v>
      </c>
      <c r="I517" s="382">
        <f>23636-1507</f>
        <v>22129</v>
      </c>
      <c r="J517" s="382">
        <f>21461-1617</f>
        <v>19844</v>
      </c>
      <c r="K517" s="382">
        <f>19280-1453</f>
        <v>17827</v>
      </c>
      <c r="L517" s="389">
        <f>17142-1291</f>
        <v>15851</v>
      </c>
      <c r="M517" s="389">
        <f>14915-1124</f>
        <v>13791</v>
      </c>
      <c r="N517" s="389">
        <v>11776</v>
      </c>
      <c r="O517" s="382">
        <f>40371+193448</f>
        <v>233819</v>
      </c>
      <c r="P517" s="381">
        <f t="shared" si="183"/>
        <v>360247</v>
      </c>
    </row>
    <row r="518" spans="1:16" x14ac:dyDescent="0.3">
      <c r="A518" s="430"/>
      <c r="B518" s="463"/>
      <c r="C518" s="483"/>
      <c r="D518" s="469"/>
      <c r="E518" s="480"/>
      <c r="F518" s="472"/>
      <c r="G518" s="326" t="s">
        <v>404</v>
      </c>
      <c r="H518" s="386">
        <f t="shared" ref="H518:O518" si="185">SUM(H516:H517)</f>
        <v>71750</v>
      </c>
      <c r="I518" s="386">
        <f t="shared" si="185"/>
        <v>68669</v>
      </c>
      <c r="J518" s="386">
        <f t="shared" si="185"/>
        <v>66384</v>
      </c>
      <c r="K518" s="386">
        <f t="shared" si="185"/>
        <v>64367</v>
      </c>
      <c r="L518" s="386">
        <f t="shared" si="185"/>
        <v>62391</v>
      </c>
      <c r="M518" s="386">
        <f t="shared" si="185"/>
        <v>60331</v>
      </c>
      <c r="N518" s="386">
        <f t="shared" si="185"/>
        <v>58316</v>
      </c>
      <c r="O518" s="386">
        <f t="shared" si="185"/>
        <v>466519</v>
      </c>
      <c r="P518" s="387">
        <f t="shared" si="183"/>
        <v>918727</v>
      </c>
    </row>
    <row r="519" spans="1:16" x14ac:dyDescent="0.3">
      <c r="A519" s="428">
        <v>3</v>
      </c>
      <c r="B519" s="461" t="s">
        <v>398</v>
      </c>
      <c r="C519" s="475" t="s">
        <v>1014</v>
      </c>
      <c r="D519" s="467" t="s">
        <v>1015</v>
      </c>
      <c r="E519" s="478" t="s">
        <v>1016</v>
      </c>
      <c r="F519" s="470" t="s">
        <v>1017</v>
      </c>
      <c r="G519" s="322" t="s">
        <v>402</v>
      </c>
      <c r="H519" s="388">
        <v>12384</v>
      </c>
      <c r="I519" s="388">
        <v>12384</v>
      </c>
      <c r="J519" s="388">
        <v>12384</v>
      </c>
      <c r="K519" s="388">
        <v>12384</v>
      </c>
      <c r="L519" s="388">
        <v>12384</v>
      </c>
      <c r="M519" s="388">
        <v>12384</v>
      </c>
      <c r="N519" s="388">
        <v>12384</v>
      </c>
      <c r="O519" s="388">
        <f>109412-12384</f>
        <v>97028</v>
      </c>
      <c r="P519" s="381">
        <f t="shared" si="183"/>
        <v>183716</v>
      </c>
    </row>
    <row r="520" spans="1:16" x14ac:dyDescent="0.3">
      <c r="A520" s="429"/>
      <c r="B520" s="462"/>
      <c r="C520" s="476"/>
      <c r="D520" s="468"/>
      <c r="E520" s="479"/>
      <c r="F520" s="471"/>
      <c r="G520" s="324" t="s">
        <v>403</v>
      </c>
      <c r="H520" s="382">
        <f>8256+54</f>
        <v>8310</v>
      </c>
      <c r="I520" s="382">
        <f>7885-522</f>
        <v>7363</v>
      </c>
      <c r="J520" s="382">
        <f>7305-550</f>
        <v>6755</v>
      </c>
      <c r="K520" s="382">
        <f>6726-507</f>
        <v>6219</v>
      </c>
      <c r="L520" s="389">
        <f>6163-464</f>
        <v>5699</v>
      </c>
      <c r="M520" s="390">
        <f>5565-419</f>
        <v>5146</v>
      </c>
      <c r="N520" s="390">
        <v>4610</v>
      </c>
      <c r="O520" s="382">
        <v>115751</v>
      </c>
      <c r="P520" s="381">
        <f t="shared" si="183"/>
        <v>159853</v>
      </c>
    </row>
    <row r="521" spans="1:16" x14ac:dyDescent="0.3">
      <c r="A521" s="430"/>
      <c r="B521" s="463"/>
      <c r="C521" s="477"/>
      <c r="D521" s="469"/>
      <c r="E521" s="480"/>
      <c r="F521" s="472"/>
      <c r="G521" s="326" t="s">
        <v>404</v>
      </c>
      <c r="H521" s="386">
        <f t="shared" ref="H521:O521" si="186">SUM(H519:H520)</f>
        <v>20694</v>
      </c>
      <c r="I521" s="386">
        <f t="shared" si="186"/>
        <v>19747</v>
      </c>
      <c r="J521" s="386">
        <f t="shared" si="186"/>
        <v>19139</v>
      </c>
      <c r="K521" s="386">
        <f t="shared" si="186"/>
        <v>18603</v>
      </c>
      <c r="L521" s="386">
        <f t="shared" si="186"/>
        <v>18083</v>
      </c>
      <c r="M521" s="386">
        <f t="shared" si="186"/>
        <v>17530</v>
      </c>
      <c r="N521" s="386">
        <f t="shared" si="186"/>
        <v>16994</v>
      </c>
      <c r="O521" s="386">
        <f t="shared" si="186"/>
        <v>212779</v>
      </c>
      <c r="P521" s="387">
        <f t="shared" si="183"/>
        <v>343569</v>
      </c>
    </row>
    <row r="522" spans="1:16" x14ac:dyDescent="0.3">
      <c r="A522" s="428">
        <v>4</v>
      </c>
      <c r="B522" s="461" t="s">
        <v>398</v>
      </c>
      <c r="C522" s="481" t="s">
        <v>1010</v>
      </c>
      <c r="D522" s="467" t="s">
        <v>1018</v>
      </c>
      <c r="E522" s="478" t="s">
        <v>1019</v>
      </c>
      <c r="F522" s="484" t="s">
        <v>1020</v>
      </c>
      <c r="G522" s="322" t="s">
        <v>402</v>
      </c>
      <c r="H522" s="388">
        <v>76356</v>
      </c>
      <c r="I522" s="388">
        <v>76356</v>
      </c>
      <c r="J522" s="388">
        <v>76356</v>
      </c>
      <c r="K522" s="388">
        <v>76356</v>
      </c>
      <c r="L522" s="388">
        <v>76356</v>
      </c>
      <c r="M522" s="388">
        <v>76356</v>
      </c>
      <c r="N522" s="388">
        <v>76356</v>
      </c>
      <c r="O522" s="388">
        <f>725382-76356</f>
        <v>649026</v>
      </c>
      <c r="P522" s="381">
        <f t="shared" si="183"/>
        <v>1183518</v>
      </c>
    </row>
    <row r="523" spans="1:16" x14ac:dyDescent="0.3">
      <c r="A523" s="429"/>
      <c r="B523" s="462"/>
      <c r="C523" s="482"/>
      <c r="D523" s="468"/>
      <c r="E523" s="479"/>
      <c r="F523" s="485"/>
      <c r="G523" s="324" t="s">
        <v>403</v>
      </c>
      <c r="H523" s="382">
        <f>55446-894</f>
        <v>54552</v>
      </c>
      <c r="I523" s="382">
        <f>51294-3864</f>
        <v>47430</v>
      </c>
      <c r="J523" s="382">
        <f>47725-3595</f>
        <v>44130</v>
      </c>
      <c r="K523" s="382">
        <f>44147-3326</f>
        <v>40821</v>
      </c>
      <c r="L523" s="389">
        <f>40674-3064</f>
        <v>37610</v>
      </c>
      <c r="M523" s="389">
        <f>36986-2787</f>
        <v>34199</v>
      </c>
      <c r="N523" s="389">
        <v>30893</v>
      </c>
      <c r="O523" s="382">
        <f>173368+630539</f>
        <v>803907</v>
      </c>
      <c r="P523" s="381">
        <f t="shared" si="183"/>
        <v>1093542</v>
      </c>
    </row>
    <row r="524" spans="1:16" x14ac:dyDescent="0.3">
      <c r="A524" s="430"/>
      <c r="B524" s="463"/>
      <c r="C524" s="483"/>
      <c r="D524" s="469"/>
      <c r="E524" s="480"/>
      <c r="F524" s="486"/>
      <c r="G524" s="326" t="s">
        <v>404</v>
      </c>
      <c r="H524" s="386">
        <f t="shared" ref="H524:O524" si="187">SUM(H522:H523)</f>
        <v>130908</v>
      </c>
      <c r="I524" s="386">
        <f t="shared" si="187"/>
        <v>123786</v>
      </c>
      <c r="J524" s="386">
        <f t="shared" si="187"/>
        <v>120486</v>
      </c>
      <c r="K524" s="386">
        <f t="shared" si="187"/>
        <v>117177</v>
      </c>
      <c r="L524" s="386">
        <f t="shared" si="187"/>
        <v>113966</v>
      </c>
      <c r="M524" s="386">
        <f t="shared" si="187"/>
        <v>110555</v>
      </c>
      <c r="N524" s="386">
        <f t="shared" si="187"/>
        <v>107249</v>
      </c>
      <c r="O524" s="386">
        <f t="shared" si="187"/>
        <v>1452933</v>
      </c>
      <c r="P524" s="387">
        <f t="shared" si="183"/>
        <v>2277060</v>
      </c>
    </row>
    <row r="525" spans="1:16" x14ac:dyDescent="0.3">
      <c r="A525" s="428">
        <v>5</v>
      </c>
      <c r="B525" s="461" t="s">
        <v>398</v>
      </c>
      <c r="C525" s="481" t="s">
        <v>1021</v>
      </c>
      <c r="D525" s="467" t="s">
        <v>1022</v>
      </c>
      <c r="E525" s="478" t="s">
        <v>1023</v>
      </c>
      <c r="F525" s="470" t="s">
        <v>1024</v>
      </c>
      <c r="G525" s="322" t="s">
        <v>402</v>
      </c>
      <c r="H525" s="388">
        <v>26380</v>
      </c>
      <c r="I525" s="388">
        <v>26380</v>
      </c>
      <c r="J525" s="388">
        <v>19785</v>
      </c>
      <c r="K525" s="391">
        <v>0</v>
      </c>
      <c r="L525" s="392">
        <v>0</v>
      </c>
      <c r="M525" s="393">
        <v>0</v>
      </c>
      <c r="N525" s="393">
        <v>0</v>
      </c>
      <c r="O525" s="391">
        <v>0</v>
      </c>
      <c r="P525" s="381">
        <f t="shared" si="183"/>
        <v>72545</v>
      </c>
    </row>
    <row r="526" spans="1:16" x14ac:dyDescent="0.3">
      <c r="A526" s="429"/>
      <c r="B526" s="462"/>
      <c r="C526" s="482"/>
      <c r="D526" s="468"/>
      <c r="E526" s="479"/>
      <c r="F526" s="471"/>
      <c r="G526" s="324" t="s">
        <v>403</v>
      </c>
      <c r="H526" s="382">
        <v>348</v>
      </c>
      <c r="I526" s="382">
        <f>213+1</f>
        <v>214</v>
      </c>
      <c r="J526" s="382">
        <v>77</v>
      </c>
      <c r="K526" s="394">
        <v>0</v>
      </c>
      <c r="L526" s="395">
        <v>0</v>
      </c>
      <c r="M526" s="335">
        <v>0</v>
      </c>
      <c r="N526" s="335">
        <v>0</v>
      </c>
      <c r="O526" s="394">
        <v>0</v>
      </c>
      <c r="P526" s="381">
        <f t="shared" si="183"/>
        <v>639</v>
      </c>
    </row>
    <row r="527" spans="1:16" x14ac:dyDescent="0.3">
      <c r="A527" s="430"/>
      <c r="B527" s="463"/>
      <c r="C527" s="483"/>
      <c r="D527" s="469"/>
      <c r="E527" s="480"/>
      <c r="F527" s="472"/>
      <c r="G527" s="326" t="s">
        <v>404</v>
      </c>
      <c r="H527" s="386">
        <f t="shared" ref="H527:O527" si="188">SUM(H525:H526)</f>
        <v>26728</v>
      </c>
      <c r="I527" s="386">
        <f t="shared" si="188"/>
        <v>26594</v>
      </c>
      <c r="J527" s="386">
        <f t="shared" si="188"/>
        <v>19862</v>
      </c>
      <c r="K527" s="386">
        <f t="shared" si="188"/>
        <v>0</v>
      </c>
      <c r="L527" s="386">
        <f t="shared" si="188"/>
        <v>0</v>
      </c>
      <c r="M527" s="396">
        <f t="shared" si="188"/>
        <v>0</v>
      </c>
      <c r="N527" s="396">
        <f t="shared" si="188"/>
        <v>0</v>
      </c>
      <c r="O527" s="386">
        <f t="shared" si="188"/>
        <v>0</v>
      </c>
      <c r="P527" s="387">
        <f t="shared" si="183"/>
        <v>73184</v>
      </c>
    </row>
    <row r="528" spans="1:16" x14ac:dyDescent="0.3">
      <c r="A528" s="428">
        <v>6</v>
      </c>
      <c r="B528" s="461" t="s">
        <v>398</v>
      </c>
      <c r="C528" s="481" t="s">
        <v>1025</v>
      </c>
      <c r="D528" s="467" t="s">
        <v>1026</v>
      </c>
      <c r="E528" s="478" t="s">
        <v>712</v>
      </c>
      <c r="F528" s="470" t="s">
        <v>1027</v>
      </c>
      <c r="G528" s="322" t="s">
        <v>402</v>
      </c>
      <c r="H528" s="388">
        <v>52732</v>
      </c>
      <c r="I528" s="388">
        <v>52732</v>
      </c>
      <c r="J528" s="388">
        <v>52732</v>
      </c>
      <c r="K528" s="388">
        <v>52732</v>
      </c>
      <c r="L528" s="388">
        <v>52732</v>
      </c>
      <c r="M528" s="388">
        <v>52732</v>
      </c>
      <c r="N528" s="388">
        <v>52732</v>
      </c>
      <c r="O528" s="388">
        <f>237097-52732</f>
        <v>184365</v>
      </c>
      <c r="P528" s="381">
        <f t="shared" si="183"/>
        <v>553489</v>
      </c>
    </row>
    <row r="529" spans="1:16" x14ac:dyDescent="0.3">
      <c r="A529" s="429"/>
      <c r="B529" s="462"/>
      <c r="C529" s="482"/>
      <c r="D529" s="468"/>
      <c r="E529" s="479"/>
      <c r="F529" s="471"/>
      <c r="G529" s="324" t="s">
        <v>403</v>
      </c>
      <c r="H529" s="382">
        <f>8728-774</f>
        <v>7954</v>
      </c>
      <c r="I529" s="382">
        <f>21714-2787</f>
        <v>18927</v>
      </c>
      <c r="J529" s="382">
        <f>19394-2489</f>
        <v>16905</v>
      </c>
      <c r="K529" s="382">
        <f>17068-2191</f>
        <v>14877</v>
      </c>
      <c r="L529" s="389">
        <f>14778-1896</f>
        <v>12882</v>
      </c>
      <c r="M529" s="389">
        <f>12412-1593</f>
        <v>10819</v>
      </c>
      <c r="N529" s="389">
        <v>8793</v>
      </c>
      <c r="O529" s="382">
        <f>24478-9527</f>
        <v>14951</v>
      </c>
      <c r="P529" s="381">
        <f t="shared" si="183"/>
        <v>106108</v>
      </c>
    </row>
    <row r="530" spans="1:16" x14ac:dyDescent="0.3">
      <c r="A530" s="430"/>
      <c r="B530" s="463"/>
      <c r="C530" s="483"/>
      <c r="D530" s="469"/>
      <c r="E530" s="480"/>
      <c r="F530" s="472"/>
      <c r="G530" s="326" t="s">
        <v>404</v>
      </c>
      <c r="H530" s="386">
        <f t="shared" ref="H530:O530" si="189">SUM(H528:H529)</f>
        <v>60686</v>
      </c>
      <c r="I530" s="386">
        <f t="shared" si="189"/>
        <v>71659</v>
      </c>
      <c r="J530" s="386">
        <f t="shared" si="189"/>
        <v>69637</v>
      </c>
      <c r="K530" s="386">
        <f t="shared" si="189"/>
        <v>67609</v>
      </c>
      <c r="L530" s="386">
        <f t="shared" si="189"/>
        <v>65614</v>
      </c>
      <c r="M530" s="386">
        <f t="shared" si="189"/>
        <v>63551</v>
      </c>
      <c r="N530" s="386">
        <f t="shared" si="189"/>
        <v>61525</v>
      </c>
      <c r="O530" s="386">
        <f t="shared" si="189"/>
        <v>199316</v>
      </c>
      <c r="P530" s="387">
        <f t="shared" si="183"/>
        <v>659597</v>
      </c>
    </row>
    <row r="531" spans="1:16" x14ac:dyDescent="0.3">
      <c r="A531" s="428">
        <v>7</v>
      </c>
      <c r="B531" s="461" t="s">
        <v>398</v>
      </c>
      <c r="C531" s="487" t="s">
        <v>1028</v>
      </c>
      <c r="D531" s="467" t="s">
        <v>837</v>
      </c>
      <c r="E531" s="490" t="s">
        <v>828</v>
      </c>
      <c r="F531" s="493" t="s">
        <v>1029</v>
      </c>
      <c r="G531" s="322" t="s">
        <v>402</v>
      </c>
      <c r="H531" s="388">
        <v>11492</v>
      </c>
      <c r="I531" s="388">
        <v>11492</v>
      </c>
      <c r="J531" s="388">
        <v>11492</v>
      </c>
      <c r="K531" s="388">
        <v>11492</v>
      </c>
      <c r="L531" s="388">
        <v>11492</v>
      </c>
      <c r="M531" s="388">
        <v>11492</v>
      </c>
      <c r="N531" s="388">
        <v>11492</v>
      </c>
      <c r="O531" s="388">
        <f>135031-11492</f>
        <v>123539</v>
      </c>
      <c r="P531" s="381">
        <f t="shared" si="183"/>
        <v>203983</v>
      </c>
    </row>
    <row r="532" spans="1:16" x14ac:dyDescent="0.3">
      <c r="A532" s="429"/>
      <c r="B532" s="462"/>
      <c r="C532" s="488"/>
      <c r="D532" s="468"/>
      <c r="E532" s="491"/>
      <c r="F532" s="494"/>
      <c r="G532" s="324" t="s">
        <v>403</v>
      </c>
      <c r="H532" s="382">
        <f>9616+4</f>
        <v>9620</v>
      </c>
      <c r="I532" s="382">
        <f>9117-194</f>
        <v>8923</v>
      </c>
      <c r="J532" s="382">
        <f>8568-181</f>
        <v>8387</v>
      </c>
      <c r="K532" s="382">
        <f>8019-170</f>
        <v>7849</v>
      </c>
      <c r="L532" s="389">
        <f>7488-158</f>
        <v>7330</v>
      </c>
      <c r="M532" s="389">
        <f>6918-146</f>
        <v>6772</v>
      </c>
      <c r="N532" s="389">
        <v>6234</v>
      </c>
      <c r="O532" s="382">
        <f>40202-7086</f>
        <v>33116</v>
      </c>
      <c r="P532" s="381">
        <f t="shared" si="183"/>
        <v>88231</v>
      </c>
    </row>
    <row r="533" spans="1:16" x14ac:dyDescent="0.3">
      <c r="A533" s="430"/>
      <c r="B533" s="463"/>
      <c r="C533" s="489"/>
      <c r="D533" s="469"/>
      <c r="E533" s="492"/>
      <c r="F533" s="495"/>
      <c r="G533" s="326" t="s">
        <v>404</v>
      </c>
      <c r="H533" s="386">
        <f t="shared" ref="H533:O533" si="190">SUM(H531:H532)</f>
        <v>21112</v>
      </c>
      <c r="I533" s="386">
        <f t="shared" si="190"/>
        <v>20415</v>
      </c>
      <c r="J533" s="386">
        <f t="shared" si="190"/>
        <v>19879</v>
      </c>
      <c r="K533" s="386">
        <f t="shared" si="190"/>
        <v>19341</v>
      </c>
      <c r="L533" s="386">
        <f t="shared" si="190"/>
        <v>18822</v>
      </c>
      <c r="M533" s="386">
        <f t="shared" si="190"/>
        <v>18264</v>
      </c>
      <c r="N533" s="386">
        <f t="shared" si="190"/>
        <v>17726</v>
      </c>
      <c r="O533" s="386">
        <f t="shared" si="190"/>
        <v>156655</v>
      </c>
      <c r="P533" s="387">
        <f t="shared" si="183"/>
        <v>292214</v>
      </c>
    </row>
    <row r="534" spans="1:16" x14ac:dyDescent="0.3">
      <c r="A534" s="502"/>
      <c r="B534" s="505"/>
      <c r="C534" s="508" t="s">
        <v>1030</v>
      </c>
      <c r="D534" s="467"/>
      <c r="E534" s="511"/>
      <c r="F534" s="514"/>
      <c r="G534" s="364" t="s">
        <v>402</v>
      </c>
      <c r="H534" s="388">
        <f t="shared" ref="H534:O536" si="191">H513+H516+H519+H522+H525+H528+H531</f>
        <v>236852</v>
      </c>
      <c r="I534" s="388">
        <f t="shared" si="191"/>
        <v>236852</v>
      </c>
      <c r="J534" s="388">
        <f t="shared" si="191"/>
        <v>230257</v>
      </c>
      <c r="K534" s="388">
        <f t="shared" si="191"/>
        <v>207354</v>
      </c>
      <c r="L534" s="388">
        <f t="shared" si="191"/>
        <v>199504</v>
      </c>
      <c r="M534" s="388">
        <f t="shared" si="191"/>
        <v>199504</v>
      </c>
      <c r="N534" s="388">
        <f>N513+N516+N519+N522+N525+N528+N531</f>
        <v>199504</v>
      </c>
      <c r="O534" s="388">
        <f t="shared" si="191"/>
        <v>1286658</v>
      </c>
      <c r="P534" s="397">
        <f>P513+P516+P519+P522+P525+P528+P531</f>
        <v>2796485</v>
      </c>
    </row>
    <row r="535" spans="1:16" x14ac:dyDescent="0.3">
      <c r="A535" s="503"/>
      <c r="B535" s="506"/>
      <c r="C535" s="509"/>
      <c r="D535" s="468"/>
      <c r="E535" s="512"/>
      <c r="F535" s="515"/>
      <c r="G535" s="366" t="s">
        <v>403</v>
      </c>
      <c r="H535" s="382">
        <f t="shared" si="191"/>
        <v>107733</v>
      </c>
      <c r="I535" s="382">
        <f t="shared" si="191"/>
        <v>106178</v>
      </c>
      <c r="J535" s="382">
        <f t="shared" si="191"/>
        <v>96799</v>
      </c>
      <c r="K535" s="382">
        <f t="shared" si="191"/>
        <v>87820</v>
      </c>
      <c r="L535" s="382">
        <f t="shared" si="191"/>
        <v>79372</v>
      </c>
      <c r="M535" s="382">
        <f t="shared" si="191"/>
        <v>70727</v>
      </c>
      <c r="N535" s="382">
        <f>N514+N517+N520+N523+N526+N529+N532</f>
        <v>62306</v>
      </c>
      <c r="O535" s="382">
        <f t="shared" si="191"/>
        <v>1201544</v>
      </c>
      <c r="P535" s="398">
        <f>P514+P517+P520+P523+P526+P529+P532</f>
        <v>1812479</v>
      </c>
    </row>
    <row r="536" spans="1:16" x14ac:dyDescent="0.3">
      <c r="A536" s="504"/>
      <c r="B536" s="507"/>
      <c r="C536" s="510"/>
      <c r="D536" s="469"/>
      <c r="E536" s="513"/>
      <c r="F536" s="516"/>
      <c r="G536" s="367" t="s">
        <v>404</v>
      </c>
      <c r="H536" s="399">
        <f t="shared" si="191"/>
        <v>344585</v>
      </c>
      <c r="I536" s="399">
        <f t="shared" si="191"/>
        <v>343030</v>
      </c>
      <c r="J536" s="399">
        <f t="shared" si="191"/>
        <v>327056</v>
      </c>
      <c r="K536" s="399">
        <f t="shared" si="191"/>
        <v>295174</v>
      </c>
      <c r="L536" s="399">
        <f t="shared" si="191"/>
        <v>278876</v>
      </c>
      <c r="M536" s="399">
        <f t="shared" si="191"/>
        <v>270231</v>
      </c>
      <c r="N536" s="399">
        <f t="shared" si="191"/>
        <v>261810</v>
      </c>
      <c r="O536" s="399">
        <f t="shared" si="191"/>
        <v>2488202</v>
      </c>
      <c r="P536" s="399">
        <f>P515+P518+P521+P524+P527+P530+P533</f>
        <v>4608964</v>
      </c>
    </row>
    <row r="537" spans="1:16" x14ac:dyDescent="0.3">
      <c r="A537" s="313"/>
      <c r="B537" s="496"/>
      <c r="C537" s="496"/>
      <c r="D537" s="496"/>
      <c r="E537" s="496"/>
      <c r="F537" s="400"/>
      <c r="G537" s="313"/>
      <c r="H537" s="401"/>
      <c r="I537" s="401"/>
      <c r="J537" s="401"/>
      <c r="K537" s="401"/>
      <c r="L537" s="402"/>
      <c r="M537" s="402"/>
      <c r="N537" s="402"/>
      <c r="O537" s="401"/>
      <c r="P537" s="401"/>
    </row>
    <row r="539" spans="1:16" ht="17.25" customHeight="1" x14ac:dyDescent="0.3">
      <c r="A539" s="497" t="s">
        <v>1031</v>
      </c>
      <c r="B539" s="497"/>
      <c r="C539" s="497"/>
      <c r="D539" s="497"/>
      <c r="E539" s="497"/>
      <c r="F539" s="497"/>
      <c r="G539" s="497"/>
      <c r="H539" s="368">
        <f t="shared" ref="H539:P539" si="192">H509+H536</f>
        <v>6419219.2000000002</v>
      </c>
      <c r="I539" s="368">
        <f t="shared" si="192"/>
        <v>8885231</v>
      </c>
      <c r="J539" s="368">
        <f t="shared" si="192"/>
        <v>9979218</v>
      </c>
      <c r="K539" s="368">
        <f t="shared" si="192"/>
        <v>9487469</v>
      </c>
      <c r="L539" s="368">
        <f t="shared" si="192"/>
        <v>8323526</v>
      </c>
      <c r="M539" s="368">
        <f t="shared" si="192"/>
        <v>7687421</v>
      </c>
      <c r="N539" s="368">
        <f t="shared" si="192"/>
        <v>7350294</v>
      </c>
      <c r="O539" s="368">
        <f t="shared" si="192"/>
        <v>76458181.450000003</v>
      </c>
      <c r="P539" s="368">
        <f t="shared" si="192"/>
        <v>134590559.65000001</v>
      </c>
    </row>
    <row r="541" spans="1:16" ht="13.2" customHeight="1" x14ac:dyDescent="0.3">
      <c r="B541" s="498" t="s">
        <v>1032</v>
      </c>
      <c r="C541" s="499"/>
      <c r="D541" s="499"/>
      <c r="E541" s="499"/>
      <c r="F541" s="499"/>
      <c r="G541" s="500"/>
      <c r="H541" s="403">
        <f t="shared" ref="H541:N541" si="193">H539*100/($P$542)</f>
        <v>8.9335565379766315</v>
      </c>
      <c r="I541" s="403">
        <f t="shared" si="193"/>
        <v>12.365477952752048</v>
      </c>
      <c r="J541" s="403">
        <f t="shared" si="193"/>
        <v>13.887967590792675</v>
      </c>
      <c r="K541" s="403">
        <f t="shared" si="193"/>
        <v>13.203605932914803</v>
      </c>
      <c r="L541" s="403">
        <f t="shared" si="193"/>
        <v>11.58375930149238</v>
      </c>
      <c r="M541" s="403">
        <f t="shared" si="193"/>
        <v>10.698498991081166</v>
      </c>
      <c r="N541" s="403">
        <f t="shared" si="193"/>
        <v>10.229323064672789</v>
      </c>
      <c r="O541" s="313"/>
      <c r="P541" s="313"/>
    </row>
    <row r="542" spans="1:16" ht="16.2" customHeight="1" x14ac:dyDescent="0.3">
      <c r="B542" s="501" t="s">
        <v>1033</v>
      </c>
      <c r="C542" s="501"/>
      <c r="D542" s="501"/>
      <c r="E542" s="501"/>
      <c r="P542" s="404">
        <f>108219725+270808-31412271-5398761+237683-62048</f>
        <v>71855136</v>
      </c>
    </row>
  </sheetData>
  <mergeCells count="890">
    <mergeCell ref="B537:E537"/>
    <mergeCell ref="A539:G539"/>
    <mergeCell ref="B541:G541"/>
    <mergeCell ref="B542:E542"/>
    <mergeCell ref="A534:A536"/>
    <mergeCell ref="B534:B536"/>
    <mergeCell ref="C534:C536"/>
    <mergeCell ref="D534:D536"/>
    <mergeCell ref="E534:E536"/>
    <mergeCell ref="F534:F536"/>
    <mergeCell ref="A531:A533"/>
    <mergeCell ref="B531:B533"/>
    <mergeCell ref="C531:C533"/>
    <mergeCell ref="D531:D533"/>
    <mergeCell ref="E531:E533"/>
    <mergeCell ref="F531:F533"/>
    <mergeCell ref="A528:A530"/>
    <mergeCell ref="B528:B530"/>
    <mergeCell ref="C528:C530"/>
    <mergeCell ref="D528:D530"/>
    <mergeCell ref="E528:E530"/>
    <mergeCell ref="F528:F530"/>
    <mergeCell ref="A525:A527"/>
    <mergeCell ref="B525:B527"/>
    <mergeCell ref="C525:C527"/>
    <mergeCell ref="D525:D527"/>
    <mergeCell ref="E525:E527"/>
    <mergeCell ref="F525:F527"/>
    <mergeCell ref="A522:A524"/>
    <mergeCell ref="B522:B524"/>
    <mergeCell ref="C522:C524"/>
    <mergeCell ref="D522:D524"/>
    <mergeCell ref="E522:E524"/>
    <mergeCell ref="F522:F524"/>
    <mergeCell ref="A519:A521"/>
    <mergeCell ref="B519:B521"/>
    <mergeCell ref="C519:C521"/>
    <mergeCell ref="D519:D521"/>
    <mergeCell ref="E519:E521"/>
    <mergeCell ref="F519:F521"/>
    <mergeCell ref="A516:A518"/>
    <mergeCell ref="B516:B518"/>
    <mergeCell ref="C516:C518"/>
    <mergeCell ref="D516:D518"/>
    <mergeCell ref="E516:E518"/>
    <mergeCell ref="F516:F518"/>
    <mergeCell ref="A501:A503"/>
    <mergeCell ref="B501:B503"/>
    <mergeCell ref="C501:C503"/>
    <mergeCell ref="D501:D503"/>
    <mergeCell ref="E501:E503"/>
    <mergeCell ref="F507:F509"/>
    <mergeCell ref="A511:P511"/>
    <mergeCell ref="A513:A515"/>
    <mergeCell ref="B513:B515"/>
    <mergeCell ref="C513:C515"/>
    <mergeCell ref="D513:D515"/>
    <mergeCell ref="E513:E515"/>
    <mergeCell ref="F513:F515"/>
    <mergeCell ref="A504:A506"/>
    <mergeCell ref="B504:B506"/>
    <mergeCell ref="C504:C506"/>
    <mergeCell ref="D504:D506"/>
    <mergeCell ref="E504:E506"/>
    <mergeCell ref="A507:A509"/>
    <mergeCell ref="B507:B509"/>
    <mergeCell ref="C507:C509"/>
    <mergeCell ref="D507:D509"/>
    <mergeCell ref="E507:E509"/>
    <mergeCell ref="A495:A497"/>
    <mergeCell ref="B495:B497"/>
    <mergeCell ref="C495:C497"/>
    <mergeCell ref="D495:D497"/>
    <mergeCell ref="E495:E497"/>
    <mergeCell ref="A498:A500"/>
    <mergeCell ref="B498:B500"/>
    <mergeCell ref="C498:C500"/>
    <mergeCell ref="D498:D500"/>
    <mergeCell ref="E498:E500"/>
    <mergeCell ref="A489:A491"/>
    <mergeCell ref="B489:B491"/>
    <mergeCell ref="C489:C491"/>
    <mergeCell ref="D489:D491"/>
    <mergeCell ref="E489:E491"/>
    <mergeCell ref="A492:A494"/>
    <mergeCell ref="B492:B494"/>
    <mergeCell ref="C492:C494"/>
    <mergeCell ref="D492:D494"/>
    <mergeCell ref="E492:E494"/>
    <mergeCell ref="A483:A485"/>
    <mergeCell ref="B483:B485"/>
    <mergeCell ref="C483:C485"/>
    <mergeCell ref="D483:D485"/>
    <mergeCell ref="E483:E485"/>
    <mergeCell ref="A486:A488"/>
    <mergeCell ref="B486:B488"/>
    <mergeCell ref="C486:C488"/>
    <mergeCell ref="D486:D488"/>
    <mergeCell ref="E486:E488"/>
    <mergeCell ref="A477:A479"/>
    <mergeCell ref="B477:B479"/>
    <mergeCell ref="C477:C479"/>
    <mergeCell ref="D477:D479"/>
    <mergeCell ref="E477:E479"/>
    <mergeCell ref="A480:A482"/>
    <mergeCell ref="B480:B482"/>
    <mergeCell ref="C480:C482"/>
    <mergeCell ref="D480:D482"/>
    <mergeCell ref="E480:E482"/>
    <mergeCell ref="A471:A473"/>
    <mergeCell ref="B471:B473"/>
    <mergeCell ref="C471:C473"/>
    <mergeCell ref="D471:D473"/>
    <mergeCell ref="E471:E473"/>
    <mergeCell ref="A474:A476"/>
    <mergeCell ref="B474:B476"/>
    <mergeCell ref="C474:C476"/>
    <mergeCell ref="D474:D476"/>
    <mergeCell ref="E474:E476"/>
    <mergeCell ref="A465:A467"/>
    <mergeCell ref="B465:B467"/>
    <mergeCell ref="C465:C467"/>
    <mergeCell ref="D465:D467"/>
    <mergeCell ref="E465:E467"/>
    <mergeCell ref="A468:A470"/>
    <mergeCell ref="B468:B470"/>
    <mergeCell ref="C468:C470"/>
    <mergeCell ref="D468:D470"/>
    <mergeCell ref="E468:E470"/>
    <mergeCell ref="A459:A461"/>
    <mergeCell ref="B459:B461"/>
    <mergeCell ref="C459:C461"/>
    <mergeCell ref="D459:D461"/>
    <mergeCell ref="E459:E461"/>
    <mergeCell ref="A462:A464"/>
    <mergeCell ref="B462:B464"/>
    <mergeCell ref="C462:C464"/>
    <mergeCell ref="D462:D464"/>
    <mergeCell ref="E462:E464"/>
    <mergeCell ref="A453:A455"/>
    <mergeCell ref="B453:B455"/>
    <mergeCell ref="C453:C455"/>
    <mergeCell ref="D453:D455"/>
    <mergeCell ref="E453:E455"/>
    <mergeCell ref="A456:A458"/>
    <mergeCell ref="B456:B458"/>
    <mergeCell ref="C456:C458"/>
    <mergeCell ref="D456:D458"/>
    <mergeCell ref="E456:E458"/>
    <mergeCell ref="A447:A449"/>
    <mergeCell ref="B447:B449"/>
    <mergeCell ref="C447:C449"/>
    <mergeCell ref="D447:D449"/>
    <mergeCell ref="E447:E449"/>
    <mergeCell ref="A450:A452"/>
    <mergeCell ref="B450:B452"/>
    <mergeCell ref="C450:C452"/>
    <mergeCell ref="D450:D452"/>
    <mergeCell ref="E450:E452"/>
    <mergeCell ref="A441:A443"/>
    <mergeCell ref="B441:B443"/>
    <mergeCell ref="C441:C443"/>
    <mergeCell ref="D441:D443"/>
    <mergeCell ref="E441:E443"/>
    <mergeCell ref="A444:A446"/>
    <mergeCell ref="B444:B446"/>
    <mergeCell ref="C444:C446"/>
    <mergeCell ref="D444:D446"/>
    <mergeCell ref="E444:E446"/>
    <mergeCell ref="A435:A437"/>
    <mergeCell ref="B435:B437"/>
    <mergeCell ref="C435:C437"/>
    <mergeCell ref="D435:D437"/>
    <mergeCell ref="E435:E437"/>
    <mergeCell ref="A438:A440"/>
    <mergeCell ref="B438:B440"/>
    <mergeCell ref="C438:C440"/>
    <mergeCell ref="D438:D440"/>
    <mergeCell ref="E438:E440"/>
    <mergeCell ref="A429:A431"/>
    <mergeCell ref="B429:B431"/>
    <mergeCell ref="C429:C431"/>
    <mergeCell ref="D429:D431"/>
    <mergeCell ref="E429:E431"/>
    <mergeCell ref="A432:A434"/>
    <mergeCell ref="B432:B434"/>
    <mergeCell ref="C432:C434"/>
    <mergeCell ref="D432:D434"/>
    <mergeCell ref="E432:E434"/>
    <mergeCell ref="A423:A425"/>
    <mergeCell ref="B423:B425"/>
    <mergeCell ref="C423:C425"/>
    <mergeCell ref="D423:D425"/>
    <mergeCell ref="E423:E425"/>
    <mergeCell ref="A426:A428"/>
    <mergeCell ref="B426:B428"/>
    <mergeCell ref="C426:C428"/>
    <mergeCell ref="D426:D428"/>
    <mergeCell ref="E426:E428"/>
    <mergeCell ref="A417:A419"/>
    <mergeCell ref="B417:B419"/>
    <mergeCell ref="C417:C419"/>
    <mergeCell ref="D417:D419"/>
    <mergeCell ref="E417:E419"/>
    <mergeCell ref="A420:A422"/>
    <mergeCell ref="B420:B422"/>
    <mergeCell ref="C420:C422"/>
    <mergeCell ref="D420:D422"/>
    <mergeCell ref="E420:E422"/>
    <mergeCell ref="A411:A413"/>
    <mergeCell ref="B411:B413"/>
    <mergeCell ref="C411:C413"/>
    <mergeCell ref="D411:D413"/>
    <mergeCell ref="E411:E413"/>
    <mergeCell ref="A414:A416"/>
    <mergeCell ref="B414:B416"/>
    <mergeCell ref="C414:C416"/>
    <mergeCell ref="D414:D416"/>
    <mergeCell ref="E414:E416"/>
    <mergeCell ref="A405:A407"/>
    <mergeCell ref="B405:B407"/>
    <mergeCell ref="C405:C407"/>
    <mergeCell ref="D405:D407"/>
    <mergeCell ref="E405:E407"/>
    <mergeCell ref="A408:A410"/>
    <mergeCell ref="B408:B410"/>
    <mergeCell ref="C408:C410"/>
    <mergeCell ref="D408:D410"/>
    <mergeCell ref="E408:E410"/>
    <mergeCell ref="A399:A401"/>
    <mergeCell ref="B399:B401"/>
    <mergeCell ref="C399:C401"/>
    <mergeCell ref="D399:D401"/>
    <mergeCell ref="E399:E401"/>
    <mergeCell ref="A402:A404"/>
    <mergeCell ref="B402:B404"/>
    <mergeCell ref="C402:C404"/>
    <mergeCell ref="D402:D404"/>
    <mergeCell ref="E402:E404"/>
    <mergeCell ref="A393:A395"/>
    <mergeCell ref="B393:B395"/>
    <mergeCell ref="C393:C395"/>
    <mergeCell ref="D393:D395"/>
    <mergeCell ref="E393:E395"/>
    <mergeCell ref="A396:A398"/>
    <mergeCell ref="B396:B398"/>
    <mergeCell ref="C396:C398"/>
    <mergeCell ref="D396:D398"/>
    <mergeCell ref="E396:E398"/>
    <mergeCell ref="A387:A389"/>
    <mergeCell ref="B387:B389"/>
    <mergeCell ref="C387:C389"/>
    <mergeCell ref="D387:D389"/>
    <mergeCell ref="E387:E389"/>
    <mergeCell ref="A390:A392"/>
    <mergeCell ref="B390:B392"/>
    <mergeCell ref="C390:C392"/>
    <mergeCell ref="D390:D392"/>
    <mergeCell ref="E390:E392"/>
    <mergeCell ref="A381:A383"/>
    <mergeCell ref="B381:B383"/>
    <mergeCell ref="C381:C383"/>
    <mergeCell ref="D381:D383"/>
    <mergeCell ref="E381:E383"/>
    <mergeCell ref="A384:A386"/>
    <mergeCell ref="B384:B386"/>
    <mergeCell ref="C384:C386"/>
    <mergeCell ref="D384:D386"/>
    <mergeCell ref="E384:E386"/>
    <mergeCell ref="A375:A377"/>
    <mergeCell ref="B375:B377"/>
    <mergeCell ref="C375:C377"/>
    <mergeCell ref="D375:D377"/>
    <mergeCell ref="E375:E377"/>
    <mergeCell ref="A378:A380"/>
    <mergeCell ref="B378:B380"/>
    <mergeCell ref="C378:C380"/>
    <mergeCell ref="D378:D380"/>
    <mergeCell ref="E378:E380"/>
    <mergeCell ref="A369:A371"/>
    <mergeCell ref="B369:B371"/>
    <mergeCell ref="C369:C371"/>
    <mergeCell ref="D369:D371"/>
    <mergeCell ref="E369:E371"/>
    <mergeCell ref="A372:A374"/>
    <mergeCell ref="B372:B374"/>
    <mergeCell ref="C372:C374"/>
    <mergeCell ref="D372:D374"/>
    <mergeCell ref="E372:E374"/>
    <mergeCell ref="A363:A365"/>
    <mergeCell ref="B363:B365"/>
    <mergeCell ref="C363:C365"/>
    <mergeCell ref="D363:D365"/>
    <mergeCell ref="E363:E365"/>
    <mergeCell ref="A366:A368"/>
    <mergeCell ref="B366:B368"/>
    <mergeCell ref="C366:C368"/>
    <mergeCell ref="D366:D368"/>
    <mergeCell ref="E366:E368"/>
    <mergeCell ref="A357:A359"/>
    <mergeCell ref="B357:B359"/>
    <mergeCell ref="C357:C359"/>
    <mergeCell ref="D357:D359"/>
    <mergeCell ref="E357:E359"/>
    <mergeCell ref="A360:A362"/>
    <mergeCell ref="B360:B362"/>
    <mergeCell ref="C360:C362"/>
    <mergeCell ref="D360:D362"/>
    <mergeCell ref="E360:E362"/>
    <mergeCell ref="A351:A353"/>
    <mergeCell ref="B351:B353"/>
    <mergeCell ref="C351:C353"/>
    <mergeCell ref="D351:D353"/>
    <mergeCell ref="E351:E353"/>
    <mergeCell ref="A354:A356"/>
    <mergeCell ref="B354:B356"/>
    <mergeCell ref="C354:C356"/>
    <mergeCell ref="D354:D356"/>
    <mergeCell ref="E354:E356"/>
    <mergeCell ref="A345:A347"/>
    <mergeCell ref="B345:B347"/>
    <mergeCell ref="C345:C347"/>
    <mergeCell ref="D345:D347"/>
    <mergeCell ref="E345:E347"/>
    <mergeCell ref="A348:A350"/>
    <mergeCell ref="B348:B350"/>
    <mergeCell ref="C348:C350"/>
    <mergeCell ref="D348:D350"/>
    <mergeCell ref="E348:E350"/>
    <mergeCell ref="A339:A341"/>
    <mergeCell ref="B339:B341"/>
    <mergeCell ref="C339:C341"/>
    <mergeCell ref="D339:D341"/>
    <mergeCell ref="E339:E341"/>
    <mergeCell ref="A342:A344"/>
    <mergeCell ref="B342:B344"/>
    <mergeCell ref="C342:C344"/>
    <mergeCell ref="D342:D344"/>
    <mergeCell ref="E342:E344"/>
    <mergeCell ref="A333:A335"/>
    <mergeCell ref="B333:B335"/>
    <mergeCell ref="C333:C335"/>
    <mergeCell ref="D333:D335"/>
    <mergeCell ref="E333:E335"/>
    <mergeCell ref="A336:A338"/>
    <mergeCell ref="B336:B338"/>
    <mergeCell ref="C336:C338"/>
    <mergeCell ref="D336:D338"/>
    <mergeCell ref="E336:E338"/>
    <mergeCell ref="A327:A329"/>
    <mergeCell ref="B327:B329"/>
    <mergeCell ref="C327:C329"/>
    <mergeCell ref="D327:D329"/>
    <mergeCell ref="E327:E329"/>
    <mergeCell ref="A330:A332"/>
    <mergeCell ref="B330:B332"/>
    <mergeCell ref="C330:C332"/>
    <mergeCell ref="D330:D332"/>
    <mergeCell ref="E330:E332"/>
    <mergeCell ref="A321:A323"/>
    <mergeCell ref="B321:B323"/>
    <mergeCell ref="C321:C323"/>
    <mergeCell ref="D321:D323"/>
    <mergeCell ref="E321:E323"/>
    <mergeCell ref="A324:A326"/>
    <mergeCell ref="B324:B326"/>
    <mergeCell ref="C324:C326"/>
    <mergeCell ref="D324:D326"/>
    <mergeCell ref="E324:E326"/>
    <mergeCell ref="A315:A317"/>
    <mergeCell ref="B315:B317"/>
    <mergeCell ref="C315:C317"/>
    <mergeCell ref="D315:D317"/>
    <mergeCell ref="E315:E317"/>
    <mergeCell ref="A318:A320"/>
    <mergeCell ref="B318:B320"/>
    <mergeCell ref="C318:C320"/>
    <mergeCell ref="D318:D320"/>
    <mergeCell ref="E318:E320"/>
    <mergeCell ref="A309:A311"/>
    <mergeCell ref="B309:B311"/>
    <mergeCell ref="C309:C311"/>
    <mergeCell ref="D309:D311"/>
    <mergeCell ref="E309:E311"/>
    <mergeCell ref="A312:A314"/>
    <mergeCell ref="B312:B314"/>
    <mergeCell ref="C312:C314"/>
    <mergeCell ref="D312:D314"/>
    <mergeCell ref="E312:E314"/>
    <mergeCell ref="A303:A305"/>
    <mergeCell ref="B303:B305"/>
    <mergeCell ref="C303:C305"/>
    <mergeCell ref="D303:D305"/>
    <mergeCell ref="E303:E305"/>
    <mergeCell ref="A306:A308"/>
    <mergeCell ref="B306:B308"/>
    <mergeCell ref="C306:C308"/>
    <mergeCell ref="D306:D308"/>
    <mergeCell ref="E306:E308"/>
    <mergeCell ref="A297:A299"/>
    <mergeCell ref="B297:B299"/>
    <mergeCell ref="C297:C299"/>
    <mergeCell ref="D297:D299"/>
    <mergeCell ref="E297:E299"/>
    <mergeCell ref="A300:A302"/>
    <mergeCell ref="B300:B302"/>
    <mergeCell ref="C300:C302"/>
    <mergeCell ref="D300:D302"/>
    <mergeCell ref="E300:E302"/>
    <mergeCell ref="A291:A293"/>
    <mergeCell ref="B291:B293"/>
    <mergeCell ref="C291:C293"/>
    <mergeCell ref="D291:D293"/>
    <mergeCell ref="E291:E293"/>
    <mergeCell ref="A294:A296"/>
    <mergeCell ref="B294:B296"/>
    <mergeCell ref="C294:C296"/>
    <mergeCell ref="D294:D296"/>
    <mergeCell ref="E294:E296"/>
    <mergeCell ref="A285:A287"/>
    <mergeCell ref="B285:B287"/>
    <mergeCell ref="C285:C287"/>
    <mergeCell ref="D285:D287"/>
    <mergeCell ref="E285:E287"/>
    <mergeCell ref="A288:A290"/>
    <mergeCell ref="B288:B290"/>
    <mergeCell ref="C288:C290"/>
    <mergeCell ref="D288:D290"/>
    <mergeCell ref="E288:E290"/>
    <mergeCell ref="A279:A281"/>
    <mergeCell ref="B279:B281"/>
    <mergeCell ref="C279:C281"/>
    <mergeCell ref="D279:D281"/>
    <mergeCell ref="E279:E281"/>
    <mergeCell ref="A282:A284"/>
    <mergeCell ref="B282:B284"/>
    <mergeCell ref="C282:C284"/>
    <mergeCell ref="D282:D284"/>
    <mergeCell ref="E282:E284"/>
    <mergeCell ref="A273:A275"/>
    <mergeCell ref="B273:B275"/>
    <mergeCell ref="C273:C275"/>
    <mergeCell ref="D273:D275"/>
    <mergeCell ref="E273:E275"/>
    <mergeCell ref="A276:A278"/>
    <mergeCell ref="B276:B278"/>
    <mergeCell ref="C276:C278"/>
    <mergeCell ref="D276:D278"/>
    <mergeCell ref="E276:E278"/>
    <mergeCell ref="A267:A269"/>
    <mergeCell ref="B267:B269"/>
    <mergeCell ref="C267:C269"/>
    <mergeCell ref="D267:D269"/>
    <mergeCell ref="E267:E269"/>
    <mergeCell ref="A270:A272"/>
    <mergeCell ref="B270:B272"/>
    <mergeCell ref="C270:C272"/>
    <mergeCell ref="D270:D272"/>
    <mergeCell ref="E270:E272"/>
    <mergeCell ref="A261:A263"/>
    <mergeCell ref="B261:B263"/>
    <mergeCell ref="C261:C263"/>
    <mergeCell ref="D261:D263"/>
    <mergeCell ref="E261:E263"/>
    <mergeCell ref="A264:A266"/>
    <mergeCell ref="B264:B266"/>
    <mergeCell ref="C264:C266"/>
    <mergeCell ref="D264:D266"/>
    <mergeCell ref="E264:E266"/>
    <mergeCell ref="A255:A257"/>
    <mergeCell ref="B255:B257"/>
    <mergeCell ref="C255:C257"/>
    <mergeCell ref="D255:D257"/>
    <mergeCell ref="E255:E257"/>
    <mergeCell ref="A258:A260"/>
    <mergeCell ref="B258:B260"/>
    <mergeCell ref="C258:C260"/>
    <mergeCell ref="D258:D260"/>
    <mergeCell ref="E258:E260"/>
    <mergeCell ref="A249:A251"/>
    <mergeCell ref="B249:B251"/>
    <mergeCell ref="C249:C251"/>
    <mergeCell ref="D249:D251"/>
    <mergeCell ref="E249:E251"/>
    <mergeCell ref="A252:A254"/>
    <mergeCell ref="B252:B254"/>
    <mergeCell ref="C252:C254"/>
    <mergeCell ref="D252:D254"/>
    <mergeCell ref="E252:E254"/>
    <mergeCell ref="A243:A245"/>
    <mergeCell ref="B243:B245"/>
    <mergeCell ref="C243:C245"/>
    <mergeCell ref="D243:D245"/>
    <mergeCell ref="E243:E245"/>
    <mergeCell ref="A246:A248"/>
    <mergeCell ref="B246:B248"/>
    <mergeCell ref="C246:C248"/>
    <mergeCell ref="D246:D248"/>
    <mergeCell ref="E246:E248"/>
    <mergeCell ref="A237:A239"/>
    <mergeCell ref="B237:B239"/>
    <mergeCell ref="C237:C239"/>
    <mergeCell ref="D237:D239"/>
    <mergeCell ref="E237:E239"/>
    <mergeCell ref="A240:A242"/>
    <mergeCell ref="B240:B242"/>
    <mergeCell ref="C240:C242"/>
    <mergeCell ref="D240:D242"/>
    <mergeCell ref="E240:E242"/>
    <mergeCell ref="A231:A233"/>
    <mergeCell ref="B231:B233"/>
    <mergeCell ref="C231:C233"/>
    <mergeCell ref="D231:D233"/>
    <mergeCell ref="E231:E233"/>
    <mergeCell ref="A234:A236"/>
    <mergeCell ref="B234:B236"/>
    <mergeCell ref="C234:C236"/>
    <mergeCell ref="D234:D236"/>
    <mergeCell ref="E234:E236"/>
    <mergeCell ref="A225:A227"/>
    <mergeCell ref="B225:B227"/>
    <mergeCell ref="C225:C227"/>
    <mergeCell ref="D225:D227"/>
    <mergeCell ref="E225:E227"/>
    <mergeCell ref="A228:A230"/>
    <mergeCell ref="B228:B230"/>
    <mergeCell ref="C228:C230"/>
    <mergeCell ref="D228:D230"/>
    <mergeCell ref="E228:E230"/>
    <mergeCell ref="A219:A221"/>
    <mergeCell ref="B219:B221"/>
    <mergeCell ref="C219:C221"/>
    <mergeCell ref="D219:D221"/>
    <mergeCell ref="E219:E221"/>
    <mergeCell ref="A222:A224"/>
    <mergeCell ref="B222:B224"/>
    <mergeCell ref="C222:C224"/>
    <mergeCell ref="D222:D224"/>
    <mergeCell ref="E222:E224"/>
    <mergeCell ref="A213:A215"/>
    <mergeCell ref="B213:B215"/>
    <mergeCell ref="C213:C215"/>
    <mergeCell ref="D213:D215"/>
    <mergeCell ref="E213:E215"/>
    <mergeCell ref="A216:A218"/>
    <mergeCell ref="B216:B218"/>
    <mergeCell ref="C216:C218"/>
    <mergeCell ref="D216:D218"/>
    <mergeCell ref="E216:E218"/>
    <mergeCell ref="A207:A209"/>
    <mergeCell ref="B207:B209"/>
    <mergeCell ref="C207:C209"/>
    <mergeCell ref="D207:D209"/>
    <mergeCell ref="E207:E209"/>
    <mergeCell ref="A210:A212"/>
    <mergeCell ref="B210:B212"/>
    <mergeCell ref="C210:C212"/>
    <mergeCell ref="D210:D212"/>
    <mergeCell ref="E210:E212"/>
    <mergeCell ref="A201:A203"/>
    <mergeCell ref="B201:B203"/>
    <mergeCell ref="C201:C203"/>
    <mergeCell ref="D201:D203"/>
    <mergeCell ref="E201:E203"/>
    <mergeCell ref="A204:A206"/>
    <mergeCell ref="B204:B206"/>
    <mergeCell ref="C204:C206"/>
    <mergeCell ref="D204:D206"/>
    <mergeCell ref="E204:E206"/>
    <mergeCell ref="A195:A197"/>
    <mergeCell ref="B195:B197"/>
    <mergeCell ref="C195:C197"/>
    <mergeCell ref="D195:D197"/>
    <mergeCell ref="E195:E197"/>
    <mergeCell ref="A198:A200"/>
    <mergeCell ref="B198:B200"/>
    <mergeCell ref="C198:C200"/>
    <mergeCell ref="D198:D200"/>
    <mergeCell ref="E198:E200"/>
    <mergeCell ref="A189:A191"/>
    <mergeCell ref="B189:B191"/>
    <mergeCell ref="C189:C191"/>
    <mergeCell ref="D189:D191"/>
    <mergeCell ref="E189:E191"/>
    <mergeCell ref="A192:A194"/>
    <mergeCell ref="B192:B194"/>
    <mergeCell ref="C192:C194"/>
    <mergeCell ref="D192:D194"/>
    <mergeCell ref="E192:E194"/>
    <mergeCell ref="A183:A185"/>
    <mergeCell ref="B183:B185"/>
    <mergeCell ref="C183:C185"/>
    <mergeCell ref="D183:D185"/>
    <mergeCell ref="E183:E185"/>
    <mergeCell ref="A186:A188"/>
    <mergeCell ref="B186:B188"/>
    <mergeCell ref="C186:C188"/>
    <mergeCell ref="D186:D188"/>
    <mergeCell ref="E186:E188"/>
    <mergeCell ref="A177:A179"/>
    <mergeCell ref="B177:B179"/>
    <mergeCell ref="C177:C179"/>
    <mergeCell ref="D177:D179"/>
    <mergeCell ref="E177:E179"/>
    <mergeCell ref="A180:A182"/>
    <mergeCell ref="B180:B182"/>
    <mergeCell ref="C180:C182"/>
    <mergeCell ref="D180:D182"/>
    <mergeCell ref="E180:E182"/>
    <mergeCell ref="A171:A173"/>
    <mergeCell ref="B171:B173"/>
    <mergeCell ref="C171:C173"/>
    <mergeCell ref="D171:D173"/>
    <mergeCell ref="E171:E173"/>
    <mergeCell ref="A174:A176"/>
    <mergeCell ref="B174:B176"/>
    <mergeCell ref="C174:C176"/>
    <mergeCell ref="D174:D176"/>
    <mergeCell ref="E174:E176"/>
    <mergeCell ref="A165:A167"/>
    <mergeCell ref="B165:B167"/>
    <mergeCell ref="C165:C167"/>
    <mergeCell ref="D165:D167"/>
    <mergeCell ref="E165:E167"/>
    <mergeCell ref="A168:A170"/>
    <mergeCell ref="B168:B170"/>
    <mergeCell ref="C168:C170"/>
    <mergeCell ref="D168:D170"/>
    <mergeCell ref="E168:E170"/>
    <mergeCell ref="A159:A161"/>
    <mergeCell ref="B159:B161"/>
    <mergeCell ref="C159:C161"/>
    <mergeCell ref="D159:D161"/>
    <mergeCell ref="E159:E161"/>
    <mergeCell ref="A162:A164"/>
    <mergeCell ref="B162:B164"/>
    <mergeCell ref="C162:C164"/>
    <mergeCell ref="D162:D164"/>
    <mergeCell ref="E162:E164"/>
    <mergeCell ref="A153:A155"/>
    <mergeCell ref="B153:B155"/>
    <mergeCell ref="C153:C155"/>
    <mergeCell ref="D153:D155"/>
    <mergeCell ref="E153:E155"/>
    <mergeCell ref="A156:A158"/>
    <mergeCell ref="B156:B158"/>
    <mergeCell ref="C156:C158"/>
    <mergeCell ref="D156:D158"/>
    <mergeCell ref="E156:E158"/>
    <mergeCell ref="A147:A149"/>
    <mergeCell ref="B147:B149"/>
    <mergeCell ref="C147:C149"/>
    <mergeCell ref="D147:D149"/>
    <mergeCell ref="E147:E149"/>
    <mergeCell ref="A150:A152"/>
    <mergeCell ref="B150:B152"/>
    <mergeCell ref="C150:C152"/>
    <mergeCell ref="D150:D152"/>
    <mergeCell ref="E150:E152"/>
    <mergeCell ref="A141:A143"/>
    <mergeCell ref="B141:B143"/>
    <mergeCell ref="C141:C143"/>
    <mergeCell ref="D141:D143"/>
    <mergeCell ref="E141:E143"/>
    <mergeCell ref="A144:A146"/>
    <mergeCell ref="B144:B146"/>
    <mergeCell ref="C144:C146"/>
    <mergeCell ref="D144:D146"/>
    <mergeCell ref="E144:E146"/>
    <mergeCell ref="A135:A137"/>
    <mergeCell ref="B135:B137"/>
    <mergeCell ref="C135:C137"/>
    <mergeCell ref="D135:D137"/>
    <mergeCell ref="E135:E137"/>
    <mergeCell ref="A138:A140"/>
    <mergeCell ref="B138:B140"/>
    <mergeCell ref="C138:C140"/>
    <mergeCell ref="D138:D140"/>
    <mergeCell ref="E138:E140"/>
    <mergeCell ref="A129:A131"/>
    <mergeCell ref="B129:B131"/>
    <mergeCell ref="C129:C131"/>
    <mergeCell ref="D129:D131"/>
    <mergeCell ref="E129:E131"/>
    <mergeCell ref="A132:A134"/>
    <mergeCell ref="B132:B134"/>
    <mergeCell ref="C132:C134"/>
    <mergeCell ref="D132:D134"/>
    <mergeCell ref="E132:E134"/>
    <mergeCell ref="A123:A125"/>
    <mergeCell ref="B123:B125"/>
    <mergeCell ref="C123:C125"/>
    <mergeCell ref="D123:D125"/>
    <mergeCell ref="E123:E125"/>
    <mergeCell ref="A126:A128"/>
    <mergeCell ref="B126:B128"/>
    <mergeCell ref="C126:C128"/>
    <mergeCell ref="D126:D128"/>
    <mergeCell ref="E126:E128"/>
    <mergeCell ref="A117:A119"/>
    <mergeCell ref="B117:B119"/>
    <mergeCell ref="C117:C119"/>
    <mergeCell ref="D117:D119"/>
    <mergeCell ref="E117:E119"/>
    <mergeCell ref="A120:A122"/>
    <mergeCell ref="B120:B122"/>
    <mergeCell ref="C120:C122"/>
    <mergeCell ref="D120:D122"/>
    <mergeCell ref="E120:E122"/>
    <mergeCell ref="A111:A113"/>
    <mergeCell ref="B111:B113"/>
    <mergeCell ref="C111:C113"/>
    <mergeCell ref="D111:D113"/>
    <mergeCell ref="E111:E113"/>
    <mergeCell ref="A114:A116"/>
    <mergeCell ref="B114:B116"/>
    <mergeCell ref="C114:C116"/>
    <mergeCell ref="D114:D116"/>
    <mergeCell ref="E114:E116"/>
    <mergeCell ref="A105:A107"/>
    <mergeCell ref="B105:B107"/>
    <mergeCell ref="C105:C107"/>
    <mergeCell ref="D105:D107"/>
    <mergeCell ref="E105:E107"/>
    <mergeCell ref="A108:A110"/>
    <mergeCell ref="B108:B110"/>
    <mergeCell ref="C108:C110"/>
    <mergeCell ref="D108:D110"/>
    <mergeCell ref="E108:E110"/>
    <mergeCell ref="A99:A101"/>
    <mergeCell ref="B99:B101"/>
    <mergeCell ref="C99:C101"/>
    <mergeCell ref="D99:D101"/>
    <mergeCell ref="E99:E101"/>
    <mergeCell ref="A102:A104"/>
    <mergeCell ref="B102:B104"/>
    <mergeCell ref="C102:C104"/>
    <mergeCell ref="D102:D104"/>
    <mergeCell ref="E102:E104"/>
    <mergeCell ref="A93:A95"/>
    <mergeCell ref="B93:B95"/>
    <mergeCell ref="C93:C95"/>
    <mergeCell ref="D93:D95"/>
    <mergeCell ref="E93:E95"/>
    <mergeCell ref="A96:A98"/>
    <mergeCell ref="B96:B98"/>
    <mergeCell ref="C96:C98"/>
    <mergeCell ref="D96:D98"/>
    <mergeCell ref="E96:E98"/>
    <mergeCell ref="A87:A89"/>
    <mergeCell ref="B87:B89"/>
    <mergeCell ref="C87:C89"/>
    <mergeCell ref="D87:D89"/>
    <mergeCell ref="E87:E89"/>
    <mergeCell ref="A90:A92"/>
    <mergeCell ref="B90:B92"/>
    <mergeCell ref="C90:C92"/>
    <mergeCell ref="D90:D92"/>
    <mergeCell ref="E90:E92"/>
    <mergeCell ref="A81:A83"/>
    <mergeCell ref="B81:B83"/>
    <mergeCell ref="C81:C83"/>
    <mergeCell ref="D81:D83"/>
    <mergeCell ref="E81:E83"/>
    <mergeCell ref="A84:A86"/>
    <mergeCell ref="B84:B86"/>
    <mergeCell ref="C84:C86"/>
    <mergeCell ref="D84:D86"/>
    <mergeCell ref="E84:E86"/>
    <mergeCell ref="A75:A77"/>
    <mergeCell ref="B75:B77"/>
    <mergeCell ref="C75:C77"/>
    <mergeCell ref="D75:D77"/>
    <mergeCell ref="E75:E77"/>
    <mergeCell ref="A78:A80"/>
    <mergeCell ref="B78:B80"/>
    <mergeCell ref="C78:C80"/>
    <mergeCell ref="D78:D80"/>
    <mergeCell ref="E78:E80"/>
    <mergeCell ref="A69:A71"/>
    <mergeCell ref="B69:B71"/>
    <mergeCell ref="C69:C71"/>
    <mergeCell ref="D69:D71"/>
    <mergeCell ref="E69:E71"/>
    <mergeCell ref="A72:A74"/>
    <mergeCell ref="B72:B74"/>
    <mergeCell ref="C72:C74"/>
    <mergeCell ref="D72:D74"/>
    <mergeCell ref="E72:E74"/>
    <mergeCell ref="A63:A65"/>
    <mergeCell ref="B63:B65"/>
    <mergeCell ref="C63:C65"/>
    <mergeCell ref="D63:D65"/>
    <mergeCell ref="E63:E65"/>
    <mergeCell ref="A66:A68"/>
    <mergeCell ref="B66:B68"/>
    <mergeCell ref="C66:C68"/>
    <mergeCell ref="D66:D68"/>
    <mergeCell ref="E66:E68"/>
    <mergeCell ref="A57:A59"/>
    <mergeCell ref="B57:B59"/>
    <mergeCell ref="C57:C59"/>
    <mergeCell ref="D57:D59"/>
    <mergeCell ref="E57:E59"/>
    <mergeCell ref="A60:A62"/>
    <mergeCell ref="B60:B62"/>
    <mergeCell ref="C60:C62"/>
    <mergeCell ref="D60:D62"/>
    <mergeCell ref="E60:E62"/>
    <mergeCell ref="A51:A53"/>
    <mergeCell ref="B51:B53"/>
    <mergeCell ref="C51:C53"/>
    <mergeCell ref="D51:D53"/>
    <mergeCell ref="E51:E53"/>
    <mergeCell ref="A54:A56"/>
    <mergeCell ref="B54:B56"/>
    <mergeCell ref="C54:C56"/>
    <mergeCell ref="D54:D56"/>
    <mergeCell ref="E54:E56"/>
    <mergeCell ref="A45:A47"/>
    <mergeCell ref="B45:B47"/>
    <mergeCell ref="C45:C47"/>
    <mergeCell ref="D45:D47"/>
    <mergeCell ref="E45:E47"/>
    <mergeCell ref="A48:A50"/>
    <mergeCell ref="B48:B50"/>
    <mergeCell ref="C48:C50"/>
    <mergeCell ref="D48:D50"/>
    <mergeCell ref="E48:E50"/>
    <mergeCell ref="A39:A41"/>
    <mergeCell ref="B39:B41"/>
    <mergeCell ref="C39:C41"/>
    <mergeCell ref="D39:D41"/>
    <mergeCell ref="E39:E41"/>
    <mergeCell ref="A42:A44"/>
    <mergeCell ref="B42:B44"/>
    <mergeCell ref="C42:C44"/>
    <mergeCell ref="D42:D44"/>
    <mergeCell ref="E42:E44"/>
    <mergeCell ref="A33:A35"/>
    <mergeCell ref="B33:B35"/>
    <mergeCell ref="C33:C35"/>
    <mergeCell ref="D33:D35"/>
    <mergeCell ref="E33:E35"/>
    <mergeCell ref="A36:A38"/>
    <mergeCell ref="B36:B38"/>
    <mergeCell ref="C36:C38"/>
    <mergeCell ref="D36:D38"/>
    <mergeCell ref="E36:E38"/>
    <mergeCell ref="A27:A29"/>
    <mergeCell ref="B27:B29"/>
    <mergeCell ref="C27:C29"/>
    <mergeCell ref="D27:D29"/>
    <mergeCell ref="E27:E29"/>
    <mergeCell ref="A30:A32"/>
    <mergeCell ref="B30:B32"/>
    <mergeCell ref="C30:C32"/>
    <mergeCell ref="D30:D32"/>
    <mergeCell ref="E30:E32"/>
    <mergeCell ref="A21:A23"/>
    <mergeCell ref="B21:B23"/>
    <mergeCell ref="C21:C23"/>
    <mergeCell ref="D21:D23"/>
    <mergeCell ref="E21:E23"/>
    <mergeCell ref="A24:A26"/>
    <mergeCell ref="B24:B26"/>
    <mergeCell ref="C24:C26"/>
    <mergeCell ref="D24:D26"/>
    <mergeCell ref="E24:E26"/>
    <mergeCell ref="A15:A17"/>
    <mergeCell ref="B15:B17"/>
    <mergeCell ref="C15:C17"/>
    <mergeCell ref="D15:D17"/>
    <mergeCell ref="E15:E17"/>
    <mergeCell ref="A18:A20"/>
    <mergeCell ref="B18:B20"/>
    <mergeCell ref="C18:C20"/>
    <mergeCell ref="D18:D20"/>
    <mergeCell ref="E18:E20"/>
    <mergeCell ref="A9:A11"/>
    <mergeCell ref="B9:B11"/>
    <mergeCell ref="C9:C11"/>
    <mergeCell ref="D9:D11"/>
    <mergeCell ref="E9:E11"/>
    <mergeCell ref="F9:F11"/>
    <mergeCell ref="A12:A14"/>
    <mergeCell ref="B12:B14"/>
    <mergeCell ref="C12:C14"/>
    <mergeCell ref="D12:D14"/>
    <mergeCell ref="E12:E14"/>
  </mergeCells>
  <pageMargins left="0.70866141732283472" right="0.70866141732283472" top="0.74803149606299213" bottom="0.74803149606299213" header="0.31496062992125984" footer="0.31496062992125984"/>
  <pageSetup paperSize="9" scale="55" fitToHeight="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6ABC0-C810-4CC4-88F7-6B7222E11004}">
  <sheetPr>
    <pageSetUpPr fitToPage="1"/>
  </sheetPr>
  <dimension ref="A1:M126"/>
  <sheetViews>
    <sheetView topLeftCell="A23" workbookViewId="0">
      <selection activeCell="A7" sqref="A7:I7"/>
    </sheetView>
  </sheetViews>
  <sheetFormatPr defaultRowHeight="13.2" x14ac:dyDescent="0.25"/>
  <cols>
    <col min="1" max="1" width="7.5546875" style="3" customWidth="1"/>
    <col min="2" max="2" width="34.6640625" style="3" customWidth="1"/>
    <col min="3" max="4" width="13" style="3" customWidth="1"/>
    <col min="5" max="5" width="13.5546875" style="3" customWidth="1"/>
    <col min="6" max="6" width="13.6640625" style="3" customWidth="1"/>
    <col min="7" max="7" width="13.44140625" style="3" customWidth="1"/>
    <col min="8" max="8" width="12.33203125" style="3" customWidth="1"/>
    <col min="9" max="10" width="14.6640625" style="3" customWidth="1"/>
    <col min="11" max="11" width="11" style="3" customWidth="1"/>
    <col min="12" max="245" width="9.109375" style="3"/>
    <col min="246" max="246" width="7.5546875" style="3" customWidth="1"/>
    <col min="247" max="247" width="40.33203125" style="3" customWidth="1"/>
    <col min="248" max="248" width="14.33203125" style="3" customWidth="1"/>
    <col min="249" max="249" width="13.44140625" style="3" customWidth="1"/>
    <col min="250" max="250" width="13.109375" style="3" customWidth="1"/>
    <col min="251" max="253" width="0" style="3" hidden="1" customWidth="1"/>
    <col min="254" max="254" width="15.109375" style="3" customWidth="1"/>
    <col min="255" max="501" width="9.109375" style="3"/>
    <col min="502" max="502" width="7.5546875" style="3" customWidth="1"/>
    <col min="503" max="503" width="40.33203125" style="3" customWidth="1"/>
    <col min="504" max="504" width="14.33203125" style="3" customWidth="1"/>
    <col min="505" max="505" width="13.44140625" style="3" customWidth="1"/>
    <col min="506" max="506" width="13.109375" style="3" customWidth="1"/>
    <col min="507" max="509" width="0" style="3" hidden="1" customWidth="1"/>
    <col min="510" max="510" width="15.109375" style="3" customWidth="1"/>
    <col min="511" max="757" width="9.109375" style="3"/>
    <col min="758" max="758" width="7.5546875" style="3" customWidth="1"/>
    <col min="759" max="759" width="40.33203125" style="3" customWidth="1"/>
    <col min="760" max="760" width="14.33203125" style="3" customWidth="1"/>
    <col min="761" max="761" width="13.44140625" style="3" customWidth="1"/>
    <col min="762" max="762" width="13.109375" style="3" customWidth="1"/>
    <col min="763" max="765" width="0" style="3" hidden="1" customWidth="1"/>
    <col min="766" max="766" width="15.109375" style="3" customWidth="1"/>
    <col min="767" max="1013" width="9.109375" style="3"/>
    <col min="1014" max="1014" width="7.5546875" style="3" customWidth="1"/>
    <col min="1015" max="1015" width="40.33203125" style="3" customWidth="1"/>
    <col min="1016" max="1016" width="14.33203125" style="3" customWidth="1"/>
    <col min="1017" max="1017" width="13.44140625" style="3" customWidth="1"/>
    <col min="1018" max="1018" width="13.109375" style="3" customWidth="1"/>
    <col min="1019" max="1021" width="0" style="3" hidden="1" customWidth="1"/>
    <col min="1022" max="1022" width="15.109375" style="3" customWidth="1"/>
    <col min="1023" max="1269" width="9.109375" style="3"/>
    <col min="1270" max="1270" width="7.5546875" style="3" customWidth="1"/>
    <col min="1271" max="1271" width="40.33203125" style="3" customWidth="1"/>
    <col min="1272" max="1272" width="14.33203125" style="3" customWidth="1"/>
    <col min="1273" max="1273" width="13.44140625" style="3" customWidth="1"/>
    <col min="1274" max="1274" width="13.109375" style="3" customWidth="1"/>
    <col min="1275" max="1277" width="0" style="3" hidden="1" customWidth="1"/>
    <col min="1278" max="1278" width="15.109375" style="3" customWidth="1"/>
    <col min="1279" max="1525" width="9.109375" style="3"/>
    <col min="1526" max="1526" width="7.5546875" style="3" customWidth="1"/>
    <col min="1527" max="1527" width="40.33203125" style="3" customWidth="1"/>
    <col min="1528" max="1528" width="14.33203125" style="3" customWidth="1"/>
    <col min="1529" max="1529" width="13.44140625" style="3" customWidth="1"/>
    <col min="1530" max="1530" width="13.109375" style="3" customWidth="1"/>
    <col min="1531" max="1533" width="0" style="3" hidden="1" customWidth="1"/>
    <col min="1534" max="1534" width="15.109375" style="3" customWidth="1"/>
    <col min="1535" max="1781" width="9.109375" style="3"/>
    <col min="1782" max="1782" width="7.5546875" style="3" customWidth="1"/>
    <col min="1783" max="1783" width="40.33203125" style="3" customWidth="1"/>
    <col min="1784" max="1784" width="14.33203125" style="3" customWidth="1"/>
    <col min="1785" max="1785" width="13.44140625" style="3" customWidth="1"/>
    <col min="1786" max="1786" width="13.109375" style="3" customWidth="1"/>
    <col min="1787" max="1789" width="0" style="3" hidden="1" customWidth="1"/>
    <col min="1790" max="1790" width="15.109375" style="3" customWidth="1"/>
    <col min="1791" max="2037" width="9.109375" style="3"/>
    <col min="2038" max="2038" width="7.5546875" style="3" customWidth="1"/>
    <col min="2039" max="2039" width="40.33203125" style="3" customWidth="1"/>
    <col min="2040" max="2040" width="14.33203125" style="3" customWidth="1"/>
    <col min="2041" max="2041" width="13.44140625" style="3" customWidth="1"/>
    <col min="2042" max="2042" width="13.109375" style="3" customWidth="1"/>
    <col min="2043" max="2045" width="0" style="3" hidden="1" customWidth="1"/>
    <col min="2046" max="2046" width="15.109375" style="3" customWidth="1"/>
    <col min="2047" max="2293" width="9.109375" style="3"/>
    <col min="2294" max="2294" width="7.5546875" style="3" customWidth="1"/>
    <col min="2295" max="2295" width="40.33203125" style="3" customWidth="1"/>
    <col min="2296" max="2296" width="14.33203125" style="3" customWidth="1"/>
    <col min="2297" max="2297" width="13.44140625" style="3" customWidth="1"/>
    <col min="2298" max="2298" width="13.109375" style="3" customWidth="1"/>
    <col min="2299" max="2301" width="0" style="3" hidden="1" customWidth="1"/>
    <col min="2302" max="2302" width="15.109375" style="3" customWidth="1"/>
    <col min="2303" max="2549" width="9.109375" style="3"/>
    <col min="2550" max="2550" width="7.5546875" style="3" customWidth="1"/>
    <col min="2551" max="2551" width="40.33203125" style="3" customWidth="1"/>
    <col min="2552" max="2552" width="14.33203125" style="3" customWidth="1"/>
    <col min="2553" max="2553" width="13.44140625" style="3" customWidth="1"/>
    <col min="2554" max="2554" width="13.109375" style="3" customWidth="1"/>
    <col min="2555" max="2557" width="0" style="3" hidden="1" customWidth="1"/>
    <col min="2558" max="2558" width="15.109375" style="3" customWidth="1"/>
    <col min="2559" max="2805" width="9.109375" style="3"/>
    <col min="2806" max="2806" width="7.5546875" style="3" customWidth="1"/>
    <col min="2807" max="2807" width="40.33203125" style="3" customWidth="1"/>
    <col min="2808" max="2808" width="14.33203125" style="3" customWidth="1"/>
    <col min="2809" max="2809" width="13.44140625" style="3" customWidth="1"/>
    <col min="2810" max="2810" width="13.109375" style="3" customWidth="1"/>
    <col min="2811" max="2813" width="0" style="3" hidden="1" customWidth="1"/>
    <col min="2814" max="2814" width="15.109375" style="3" customWidth="1"/>
    <col min="2815" max="3061" width="9.109375" style="3"/>
    <col min="3062" max="3062" width="7.5546875" style="3" customWidth="1"/>
    <col min="3063" max="3063" width="40.33203125" style="3" customWidth="1"/>
    <col min="3064" max="3064" width="14.33203125" style="3" customWidth="1"/>
    <col min="3065" max="3065" width="13.44140625" style="3" customWidth="1"/>
    <col min="3066" max="3066" width="13.109375" style="3" customWidth="1"/>
    <col min="3067" max="3069" width="0" style="3" hidden="1" customWidth="1"/>
    <col min="3070" max="3070" width="15.109375" style="3" customWidth="1"/>
    <col min="3071" max="3317" width="9.109375" style="3"/>
    <col min="3318" max="3318" width="7.5546875" style="3" customWidth="1"/>
    <col min="3319" max="3319" width="40.33203125" style="3" customWidth="1"/>
    <col min="3320" max="3320" width="14.33203125" style="3" customWidth="1"/>
    <col min="3321" max="3321" width="13.44140625" style="3" customWidth="1"/>
    <col min="3322" max="3322" width="13.109375" style="3" customWidth="1"/>
    <col min="3323" max="3325" width="0" style="3" hidden="1" customWidth="1"/>
    <col min="3326" max="3326" width="15.109375" style="3" customWidth="1"/>
    <col min="3327" max="3573" width="9.109375" style="3"/>
    <col min="3574" max="3574" width="7.5546875" style="3" customWidth="1"/>
    <col min="3575" max="3575" width="40.33203125" style="3" customWidth="1"/>
    <col min="3576" max="3576" width="14.33203125" style="3" customWidth="1"/>
    <col min="3577" max="3577" width="13.44140625" style="3" customWidth="1"/>
    <col min="3578" max="3578" width="13.109375" style="3" customWidth="1"/>
    <col min="3579" max="3581" width="0" style="3" hidden="1" customWidth="1"/>
    <col min="3582" max="3582" width="15.109375" style="3" customWidth="1"/>
    <col min="3583" max="3829" width="9.109375" style="3"/>
    <col min="3830" max="3830" width="7.5546875" style="3" customWidth="1"/>
    <col min="3831" max="3831" width="40.33203125" style="3" customWidth="1"/>
    <col min="3832" max="3832" width="14.33203125" style="3" customWidth="1"/>
    <col min="3833" max="3833" width="13.44140625" style="3" customWidth="1"/>
    <col min="3834" max="3834" width="13.109375" style="3" customWidth="1"/>
    <col min="3835" max="3837" width="0" style="3" hidden="1" customWidth="1"/>
    <col min="3838" max="3838" width="15.109375" style="3" customWidth="1"/>
    <col min="3839" max="4085" width="9.109375" style="3"/>
    <col min="4086" max="4086" width="7.5546875" style="3" customWidth="1"/>
    <col min="4087" max="4087" width="40.33203125" style="3" customWidth="1"/>
    <col min="4088" max="4088" width="14.33203125" style="3" customWidth="1"/>
    <col min="4089" max="4089" width="13.44140625" style="3" customWidth="1"/>
    <col min="4090" max="4090" width="13.109375" style="3" customWidth="1"/>
    <col min="4091" max="4093" width="0" style="3" hidden="1" customWidth="1"/>
    <col min="4094" max="4094" width="15.109375" style="3" customWidth="1"/>
    <col min="4095" max="4341" width="9.109375" style="3"/>
    <col min="4342" max="4342" width="7.5546875" style="3" customWidth="1"/>
    <col min="4343" max="4343" width="40.33203125" style="3" customWidth="1"/>
    <col min="4344" max="4344" width="14.33203125" style="3" customWidth="1"/>
    <col min="4345" max="4345" width="13.44140625" style="3" customWidth="1"/>
    <col min="4346" max="4346" width="13.109375" style="3" customWidth="1"/>
    <col min="4347" max="4349" width="0" style="3" hidden="1" customWidth="1"/>
    <col min="4350" max="4350" width="15.109375" style="3" customWidth="1"/>
    <col min="4351" max="4597" width="9.109375" style="3"/>
    <col min="4598" max="4598" width="7.5546875" style="3" customWidth="1"/>
    <col min="4599" max="4599" width="40.33203125" style="3" customWidth="1"/>
    <col min="4600" max="4600" width="14.33203125" style="3" customWidth="1"/>
    <col min="4601" max="4601" width="13.44140625" style="3" customWidth="1"/>
    <col min="4602" max="4602" width="13.109375" style="3" customWidth="1"/>
    <col min="4603" max="4605" width="0" style="3" hidden="1" customWidth="1"/>
    <col min="4606" max="4606" width="15.109375" style="3" customWidth="1"/>
    <col min="4607" max="4853" width="9.109375" style="3"/>
    <col min="4854" max="4854" width="7.5546875" style="3" customWidth="1"/>
    <col min="4855" max="4855" width="40.33203125" style="3" customWidth="1"/>
    <col min="4856" max="4856" width="14.33203125" style="3" customWidth="1"/>
    <col min="4857" max="4857" width="13.44140625" style="3" customWidth="1"/>
    <col min="4858" max="4858" width="13.109375" style="3" customWidth="1"/>
    <col min="4859" max="4861" width="0" style="3" hidden="1" customWidth="1"/>
    <col min="4862" max="4862" width="15.109375" style="3" customWidth="1"/>
    <col min="4863" max="5109" width="9.109375" style="3"/>
    <col min="5110" max="5110" width="7.5546875" style="3" customWidth="1"/>
    <col min="5111" max="5111" width="40.33203125" style="3" customWidth="1"/>
    <col min="5112" max="5112" width="14.33203125" style="3" customWidth="1"/>
    <col min="5113" max="5113" width="13.44140625" style="3" customWidth="1"/>
    <col min="5114" max="5114" width="13.109375" style="3" customWidth="1"/>
    <col min="5115" max="5117" width="0" style="3" hidden="1" customWidth="1"/>
    <col min="5118" max="5118" width="15.109375" style="3" customWidth="1"/>
    <col min="5119" max="5365" width="9.109375" style="3"/>
    <col min="5366" max="5366" width="7.5546875" style="3" customWidth="1"/>
    <col min="5367" max="5367" width="40.33203125" style="3" customWidth="1"/>
    <col min="5368" max="5368" width="14.33203125" style="3" customWidth="1"/>
    <col min="5369" max="5369" width="13.44140625" style="3" customWidth="1"/>
    <col min="5370" max="5370" width="13.109375" style="3" customWidth="1"/>
    <col min="5371" max="5373" width="0" style="3" hidden="1" customWidth="1"/>
    <col min="5374" max="5374" width="15.109375" style="3" customWidth="1"/>
    <col min="5375" max="5621" width="9.109375" style="3"/>
    <col min="5622" max="5622" width="7.5546875" style="3" customWidth="1"/>
    <col min="5623" max="5623" width="40.33203125" style="3" customWidth="1"/>
    <col min="5624" max="5624" width="14.33203125" style="3" customWidth="1"/>
    <col min="5625" max="5625" width="13.44140625" style="3" customWidth="1"/>
    <col min="5626" max="5626" width="13.109375" style="3" customWidth="1"/>
    <col min="5627" max="5629" width="0" style="3" hidden="1" customWidth="1"/>
    <col min="5630" max="5630" width="15.109375" style="3" customWidth="1"/>
    <col min="5631" max="5877" width="9.109375" style="3"/>
    <col min="5878" max="5878" width="7.5546875" style="3" customWidth="1"/>
    <col min="5879" max="5879" width="40.33203125" style="3" customWidth="1"/>
    <col min="5880" max="5880" width="14.33203125" style="3" customWidth="1"/>
    <col min="5881" max="5881" width="13.44140625" style="3" customWidth="1"/>
    <col min="5882" max="5882" width="13.109375" style="3" customWidth="1"/>
    <col min="5883" max="5885" width="0" style="3" hidden="1" customWidth="1"/>
    <col min="5886" max="5886" width="15.109375" style="3" customWidth="1"/>
    <col min="5887" max="6133" width="9.109375" style="3"/>
    <col min="6134" max="6134" width="7.5546875" style="3" customWidth="1"/>
    <col min="6135" max="6135" width="40.33203125" style="3" customWidth="1"/>
    <col min="6136" max="6136" width="14.33203125" style="3" customWidth="1"/>
    <col min="6137" max="6137" width="13.44140625" style="3" customWidth="1"/>
    <col min="6138" max="6138" width="13.109375" style="3" customWidth="1"/>
    <col min="6139" max="6141" width="0" style="3" hidden="1" customWidth="1"/>
    <col min="6142" max="6142" width="15.109375" style="3" customWidth="1"/>
    <col min="6143" max="6389" width="9.109375" style="3"/>
    <col min="6390" max="6390" width="7.5546875" style="3" customWidth="1"/>
    <col min="6391" max="6391" width="40.33203125" style="3" customWidth="1"/>
    <col min="6392" max="6392" width="14.33203125" style="3" customWidth="1"/>
    <col min="6393" max="6393" width="13.44140625" style="3" customWidth="1"/>
    <col min="6394" max="6394" width="13.109375" style="3" customWidth="1"/>
    <col min="6395" max="6397" width="0" style="3" hidden="1" customWidth="1"/>
    <col min="6398" max="6398" width="15.109375" style="3" customWidth="1"/>
    <col min="6399" max="6645" width="9.109375" style="3"/>
    <col min="6646" max="6646" width="7.5546875" style="3" customWidth="1"/>
    <col min="6647" max="6647" width="40.33203125" style="3" customWidth="1"/>
    <col min="6648" max="6648" width="14.33203125" style="3" customWidth="1"/>
    <col min="6649" max="6649" width="13.44140625" style="3" customWidth="1"/>
    <col min="6650" max="6650" width="13.109375" style="3" customWidth="1"/>
    <col min="6651" max="6653" width="0" style="3" hidden="1" customWidth="1"/>
    <col min="6654" max="6654" width="15.109375" style="3" customWidth="1"/>
    <col min="6655" max="6901" width="9.109375" style="3"/>
    <col min="6902" max="6902" width="7.5546875" style="3" customWidth="1"/>
    <col min="6903" max="6903" width="40.33203125" style="3" customWidth="1"/>
    <col min="6904" max="6904" width="14.33203125" style="3" customWidth="1"/>
    <col min="6905" max="6905" width="13.44140625" style="3" customWidth="1"/>
    <col min="6906" max="6906" width="13.109375" style="3" customWidth="1"/>
    <col min="6907" max="6909" width="0" style="3" hidden="1" customWidth="1"/>
    <col min="6910" max="6910" width="15.109375" style="3" customWidth="1"/>
    <col min="6911" max="7157" width="9.109375" style="3"/>
    <col min="7158" max="7158" width="7.5546875" style="3" customWidth="1"/>
    <col min="7159" max="7159" width="40.33203125" style="3" customWidth="1"/>
    <col min="7160" max="7160" width="14.33203125" style="3" customWidth="1"/>
    <col min="7161" max="7161" width="13.44140625" style="3" customWidth="1"/>
    <col min="7162" max="7162" width="13.109375" style="3" customWidth="1"/>
    <col min="7163" max="7165" width="0" style="3" hidden="1" customWidth="1"/>
    <col min="7166" max="7166" width="15.109375" style="3" customWidth="1"/>
    <col min="7167" max="7413" width="9.109375" style="3"/>
    <col min="7414" max="7414" width="7.5546875" style="3" customWidth="1"/>
    <col min="7415" max="7415" width="40.33203125" style="3" customWidth="1"/>
    <col min="7416" max="7416" width="14.33203125" style="3" customWidth="1"/>
    <col min="7417" max="7417" width="13.44140625" style="3" customWidth="1"/>
    <col min="7418" max="7418" width="13.109375" style="3" customWidth="1"/>
    <col min="7419" max="7421" width="0" style="3" hidden="1" customWidth="1"/>
    <col min="7422" max="7422" width="15.109375" style="3" customWidth="1"/>
    <col min="7423" max="7669" width="9.109375" style="3"/>
    <col min="7670" max="7670" width="7.5546875" style="3" customWidth="1"/>
    <col min="7671" max="7671" width="40.33203125" style="3" customWidth="1"/>
    <col min="7672" max="7672" width="14.33203125" style="3" customWidth="1"/>
    <col min="7673" max="7673" width="13.44140625" style="3" customWidth="1"/>
    <col min="7674" max="7674" width="13.109375" style="3" customWidth="1"/>
    <col min="7675" max="7677" width="0" style="3" hidden="1" customWidth="1"/>
    <col min="7678" max="7678" width="15.109375" style="3" customWidth="1"/>
    <col min="7679" max="7925" width="9.109375" style="3"/>
    <col min="7926" max="7926" width="7.5546875" style="3" customWidth="1"/>
    <col min="7927" max="7927" width="40.33203125" style="3" customWidth="1"/>
    <col min="7928" max="7928" width="14.33203125" style="3" customWidth="1"/>
    <col min="7929" max="7929" width="13.44140625" style="3" customWidth="1"/>
    <col min="7930" max="7930" width="13.109375" style="3" customWidth="1"/>
    <col min="7931" max="7933" width="0" style="3" hidden="1" customWidth="1"/>
    <col min="7934" max="7934" width="15.109375" style="3" customWidth="1"/>
    <col min="7935" max="8181" width="9.109375" style="3"/>
    <col min="8182" max="8182" width="7.5546875" style="3" customWidth="1"/>
    <col min="8183" max="8183" width="40.33203125" style="3" customWidth="1"/>
    <col min="8184" max="8184" width="14.33203125" style="3" customWidth="1"/>
    <col min="8185" max="8185" width="13.44140625" style="3" customWidth="1"/>
    <col min="8186" max="8186" width="13.109375" style="3" customWidth="1"/>
    <col min="8187" max="8189" width="0" style="3" hidden="1" customWidth="1"/>
    <col min="8190" max="8190" width="15.109375" style="3" customWidth="1"/>
    <col min="8191" max="8437" width="9.109375" style="3"/>
    <col min="8438" max="8438" width="7.5546875" style="3" customWidth="1"/>
    <col min="8439" max="8439" width="40.33203125" style="3" customWidth="1"/>
    <col min="8440" max="8440" width="14.33203125" style="3" customWidth="1"/>
    <col min="8441" max="8441" width="13.44140625" style="3" customWidth="1"/>
    <col min="8442" max="8442" width="13.109375" style="3" customWidth="1"/>
    <col min="8443" max="8445" width="0" style="3" hidden="1" customWidth="1"/>
    <col min="8446" max="8446" width="15.109375" style="3" customWidth="1"/>
    <col min="8447" max="8693" width="9.109375" style="3"/>
    <col min="8694" max="8694" width="7.5546875" style="3" customWidth="1"/>
    <col min="8695" max="8695" width="40.33203125" style="3" customWidth="1"/>
    <col min="8696" max="8696" width="14.33203125" style="3" customWidth="1"/>
    <col min="8697" max="8697" width="13.44140625" style="3" customWidth="1"/>
    <col min="8698" max="8698" width="13.109375" style="3" customWidth="1"/>
    <col min="8699" max="8701" width="0" style="3" hidden="1" customWidth="1"/>
    <col min="8702" max="8702" width="15.109375" style="3" customWidth="1"/>
    <col min="8703" max="8949" width="9.109375" style="3"/>
    <col min="8950" max="8950" width="7.5546875" style="3" customWidth="1"/>
    <col min="8951" max="8951" width="40.33203125" style="3" customWidth="1"/>
    <col min="8952" max="8952" width="14.33203125" style="3" customWidth="1"/>
    <col min="8953" max="8953" width="13.44140625" style="3" customWidth="1"/>
    <col min="8954" max="8954" width="13.109375" style="3" customWidth="1"/>
    <col min="8955" max="8957" width="0" style="3" hidden="1" customWidth="1"/>
    <col min="8958" max="8958" width="15.109375" style="3" customWidth="1"/>
    <col min="8959" max="9205" width="9.109375" style="3"/>
    <col min="9206" max="9206" width="7.5546875" style="3" customWidth="1"/>
    <col min="9207" max="9207" width="40.33203125" style="3" customWidth="1"/>
    <col min="9208" max="9208" width="14.33203125" style="3" customWidth="1"/>
    <col min="9209" max="9209" width="13.44140625" style="3" customWidth="1"/>
    <col min="9210" max="9210" width="13.109375" style="3" customWidth="1"/>
    <col min="9211" max="9213" width="0" style="3" hidden="1" customWidth="1"/>
    <col min="9214" max="9214" width="15.109375" style="3" customWidth="1"/>
    <col min="9215" max="9461" width="9.109375" style="3"/>
    <col min="9462" max="9462" width="7.5546875" style="3" customWidth="1"/>
    <col min="9463" max="9463" width="40.33203125" style="3" customWidth="1"/>
    <col min="9464" max="9464" width="14.33203125" style="3" customWidth="1"/>
    <col min="9465" max="9465" width="13.44140625" style="3" customWidth="1"/>
    <col min="9466" max="9466" width="13.109375" style="3" customWidth="1"/>
    <col min="9467" max="9469" width="0" style="3" hidden="1" customWidth="1"/>
    <col min="9470" max="9470" width="15.109375" style="3" customWidth="1"/>
    <col min="9471" max="9717" width="9.109375" style="3"/>
    <col min="9718" max="9718" width="7.5546875" style="3" customWidth="1"/>
    <col min="9719" max="9719" width="40.33203125" style="3" customWidth="1"/>
    <col min="9720" max="9720" width="14.33203125" style="3" customWidth="1"/>
    <col min="9721" max="9721" width="13.44140625" style="3" customWidth="1"/>
    <col min="9722" max="9722" width="13.109375" style="3" customWidth="1"/>
    <col min="9723" max="9725" width="0" style="3" hidden="1" customWidth="1"/>
    <col min="9726" max="9726" width="15.109375" style="3" customWidth="1"/>
    <col min="9727" max="9973" width="9.109375" style="3"/>
    <col min="9974" max="9974" width="7.5546875" style="3" customWidth="1"/>
    <col min="9975" max="9975" width="40.33203125" style="3" customWidth="1"/>
    <col min="9976" max="9976" width="14.33203125" style="3" customWidth="1"/>
    <col min="9977" max="9977" width="13.44140625" style="3" customWidth="1"/>
    <col min="9978" max="9978" width="13.109375" style="3" customWidth="1"/>
    <col min="9979" max="9981" width="0" style="3" hidden="1" customWidth="1"/>
    <col min="9982" max="9982" width="15.109375" style="3" customWidth="1"/>
    <col min="9983" max="10229" width="9.109375" style="3"/>
    <col min="10230" max="10230" width="7.5546875" style="3" customWidth="1"/>
    <col min="10231" max="10231" width="40.33203125" style="3" customWidth="1"/>
    <col min="10232" max="10232" width="14.33203125" style="3" customWidth="1"/>
    <col min="10233" max="10233" width="13.44140625" style="3" customWidth="1"/>
    <col min="10234" max="10234" width="13.109375" style="3" customWidth="1"/>
    <col min="10235" max="10237" width="0" style="3" hidden="1" customWidth="1"/>
    <col min="10238" max="10238" width="15.109375" style="3" customWidth="1"/>
    <col min="10239" max="10485" width="9.109375" style="3"/>
    <col min="10486" max="10486" width="7.5546875" style="3" customWidth="1"/>
    <col min="10487" max="10487" width="40.33203125" style="3" customWidth="1"/>
    <col min="10488" max="10488" width="14.33203125" style="3" customWidth="1"/>
    <col min="10489" max="10489" width="13.44140625" style="3" customWidth="1"/>
    <col min="10490" max="10490" width="13.109375" style="3" customWidth="1"/>
    <col min="10491" max="10493" width="0" style="3" hidden="1" customWidth="1"/>
    <col min="10494" max="10494" width="15.109375" style="3" customWidth="1"/>
    <col min="10495" max="10741" width="9.109375" style="3"/>
    <col min="10742" max="10742" width="7.5546875" style="3" customWidth="1"/>
    <col min="10743" max="10743" width="40.33203125" style="3" customWidth="1"/>
    <col min="10744" max="10744" width="14.33203125" style="3" customWidth="1"/>
    <col min="10745" max="10745" width="13.44140625" style="3" customWidth="1"/>
    <col min="10746" max="10746" width="13.109375" style="3" customWidth="1"/>
    <col min="10747" max="10749" width="0" style="3" hidden="1" customWidth="1"/>
    <col min="10750" max="10750" width="15.109375" style="3" customWidth="1"/>
    <col min="10751" max="10997" width="9.109375" style="3"/>
    <col min="10998" max="10998" width="7.5546875" style="3" customWidth="1"/>
    <col min="10999" max="10999" width="40.33203125" style="3" customWidth="1"/>
    <col min="11000" max="11000" width="14.33203125" style="3" customWidth="1"/>
    <col min="11001" max="11001" width="13.44140625" style="3" customWidth="1"/>
    <col min="11002" max="11002" width="13.109375" style="3" customWidth="1"/>
    <col min="11003" max="11005" width="0" style="3" hidden="1" customWidth="1"/>
    <col min="11006" max="11006" width="15.109375" style="3" customWidth="1"/>
    <col min="11007" max="11253" width="9.109375" style="3"/>
    <col min="11254" max="11254" width="7.5546875" style="3" customWidth="1"/>
    <col min="11255" max="11255" width="40.33203125" style="3" customWidth="1"/>
    <col min="11256" max="11256" width="14.33203125" style="3" customWidth="1"/>
    <col min="11257" max="11257" width="13.44140625" style="3" customWidth="1"/>
    <col min="11258" max="11258" width="13.109375" style="3" customWidth="1"/>
    <col min="11259" max="11261" width="0" style="3" hidden="1" customWidth="1"/>
    <col min="11262" max="11262" width="15.109375" style="3" customWidth="1"/>
    <col min="11263" max="11509" width="9.109375" style="3"/>
    <col min="11510" max="11510" width="7.5546875" style="3" customWidth="1"/>
    <col min="11511" max="11511" width="40.33203125" style="3" customWidth="1"/>
    <col min="11512" max="11512" width="14.33203125" style="3" customWidth="1"/>
    <col min="11513" max="11513" width="13.44140625" style="3" customWidth="1"/>
    <col min="11514" max="11514" width="13.109375" style="3" customWidth="1"/>
    <col min="11515" max="11517" width="0" style="3" hidden="1" customWidth="1"/>
    <col min="11518" max="11518" width="15.109375" style="3" customWidth="1"/>
    <col min="11519" max="11765" width="9.109375" style="3"/>
    <col min="11766" max="11766" width="7.5546875" style="3" customWidth="1"/>
    <col min="11767" max="11767" width="40.33203125" style="3" customWidth="1"/>
    <col min="11768" max="11768" width="14.33203125" style="3" customWidth="1"/>
    <col min="11769" max="11769" width="13.44140625" style="3" customWidth="1"/>
    <col min="11770" max="11770" width="13.109375" style="3" customWidth="1"/>
    <col min="11771" max="11773" width="0" style="3" hidden="1" customWidth="1"/>
    <col min="11774" max="11774" width="15.109375" style="3" customWidth="1"/>
    <col min="11775" max="12021" width="9.109375" style="3"/>
    <col min="12022" max="12022" width="7.5546875" style="3" customWidth="1"/>
    <col min="12023" max="12023" width="40.33203125" style="3" customWidth="1"/>
    <col min="12024" max="12024" width="14.33203125" style="3" customWidth="1"/>
    <col min="12025" max="12025" width="13.44140625" style="3" customWidth="1"/>
    <col min="12026" max="12026" width="13.109375" style="3" customWidth="1"/>
    <col min="12027" max="12029" width="0" style="3" hidden="1" customWidth="1"/>
    <col min="12030" max="12030" width="15.109375" style="3" customWidth="1"/>
    <col min="12031" max="12277" width="9.109375" style="3"/>
    <col min="12278" max="12278" width="7.5546875" style="3" customWidth="1"/>
    <col min="12279" max="12279" width="40.33203125" style="3" customWidth="1"/>
    <col min="12280" max="12280" width="14.33203125" style="3" customWidth="1"/>
    <col min="12281" max="12281" width="13.44140625" style="3" customWidth="1"/>
    <col min="12282" max="12282" width="13.109375" style="3" customWidth="1"/>
    <col min="12283" max="12285" width="0" style="3" hidden="1" customWidth="1"/>
    <col min="12286" max="12286" width="15.109375" style="3" customWidth="1"/>
    <col min="12287" max="12533" width="9.109375" style="3"/>
    <col min="12534" max="12534" width="7.5546875" style="3" customWidth="1"/>
    <col min="12535" max="12535" width="40.33203125" style="3" customWidth="1"/>
    <col min="12536" max="12536" width="14.33203125" style="3" customWidth="1"/>
    <col min="12537" max="12537" width="13.44140625" style="3" customWidth="1"/>
    <col min="12538" max="12538" width="13.109375" style="3" customWidth="1"/>
    <col min="12539" max="12541" width="0" style="3" hidden="1" customWidth="1"/>
    <col min="12542" max="12542" width="15.109375" style="3" customWidth="1"/>
    <col min="12543" max="12789" width="9.109375" style="3"/>
    <col min="12790" max="12790" width="7.5546875" style="3" customWidth="1"/>
    <col min="12791" max="12791" width="40.33203125" style="3" customWidth="1"/>
    <col min="12792" max="12792" width="14.33203125" style="3" customWidth="1"/>
    <col min="12793" max="12793" width="13.44140625" style="3" customWidth="1"/>
    <col min="12794" max="12794" width="13.109375" style="3" customWidth="1"/>
    <col min="12795" max="12797" width="0" style="3" hidden="1" customWidth="1"/>
    <col min="12798" max="12798" width="15.109375" style="3" customWidth="1"/>
    <col min="12799" max="13045" width="9.109375" style="3"/>
    <col min="13046" max="13046" width="7.5546875" style="3" customWidth="1"/>
    <col min="13047" max="13047" width="40.33203125" style="3" customWidth="1"/>
    <col min="13048" max="13048" width="14.33203125" style="3" customWidth="1"/>
    <col min="13049" max="13049" width="13.44140625" style="3" customWidth="1"/>
    <col min="13050" max="13050" width="13.109375" style="3" customWidth="1"/>
    <col min="13051" max="13053" width="0" style="3" hidden="1" customWidth="1"/>
    <col min="13054" max="13054" width="15.109375" style="3" customWidth="1"/>
    <col min="13055" max="13301" width="9.109375" style="3"/>
    <col min="13302" max="13302" width="7.5546875" style="3" customWidth="1"/>
    <col min="13303" max="13303" width="40.33203125" style="3" customWidth="1"/>
    <col min="13304" max="13304" width="14.33203125" style="3" customWidth="1"/>
    <col min="13305" max="13305" width="13.44140625" style="3" customWidth="1"/>
    <col min="13306" max="13306" width="13.109375" style="3" customWidth="1"/>
    <col min="13307" max="13309" width="0" style="3" hidden="1" customWidth="1"/>
    <col min="13310" max="13310" width="15.109375" style="3" customWidth="1"/>
    <col min="13311" max="13557" width="9.109375" style="3"/>
    <col min="13558" max="13558" width="7.5546875" style="3" customWidth="1"/>
    <col min="13559" max="13559" width="40.33203125" style="3" customWidth="1"/>
    <col min="13560" max="13560" width="14.33203125" style="3" customWidth="1"/>
    <col min="13561" max="13561" width="13.44140625" style="3" customWidth="1"/>
    <col min="13562" max="13562" width="13.109375" style="3" customWidth="1"/>
    <col min="13563" max="13565" width="0" style="3" hidden="1" customWidth="1"/>
    <col min="13566" max="13566" width="15.109375" style="3" customWidth="1"/>
    <col min="13567" max="13813" width="9.109375" style="3"/>
    <col min="13814" max="13814" width="7.5546875" style="3" customWidth="1"/>
    <col min="13815" max="13815" width="40.33203125" style="3" customWidth="1"/>
    <col min="13816" max="13816" width="14.33203125" style="3" customWidth="1"/>
    <col min="13817" max="13817" width="13.44140625" style="3" customWidth="1"/>
    <col min="13818" max="13818" width="13.109375" style="3" customWidth="1"/>
    <col min="13819" max="13821" width="0" style="3" hidden="1" customWidth="1"/>
    <col min="13822" max="13822" width="15.109375" style="3" customWidth="1"/>
    <col min="13823" max="14069" width="9.109375" style="3"/>
    <col min="14070" max="14070" width="7.5546875" style="3" customWidth="1"/>
    <col min="14071" max="14071" width="40.33203125" style="3" customWidth="1"/>
    <col min="14072" max="14072" width="14.33203125" style="3" customWidth="1"/>
    <col min="14073" max="14073" width="13.44140625" style="3" customWidth="1"/>
    <col min="14074" max="14074" width="13.109375" style="3" customWidth="1"/>
    <col min="14075" max="14077" width="0" style="3" hidden="1" customWidth="1"/>
    <col min="14078" max="14078" width="15.109375" style="3" customWidth="1"/>
    <col min="14079" max="14325" width="9.109375" style="3"/>
    <col min="14326" max="14326" width="7.5546875" style="3" customWidth="1"/>
    <col min="14327" max="14327" width="40.33203125" style="3" customWidth="1"/>
    <col min="14328" max="14328" width="14.33203125" style="3" customWidth="1"/>
    <col min="14329" max="14329" width="13.44140625" style="3" customWidth="1"/>
    <col min="14330" max="14330" width="13.109375" style="3" customWidth="1"/>
    <col min="14331" max="14333" width="0" style="3" hidden="1" customWidth="1"/>
    <col min="14334" max="14334" width="15.109375" style="3" customWidth="1"/>
    <col min="14335" max="14581" width="9.109375" style="3"/>
    <col min="14582" max="14582" width="7.5546875" style="3" customWidth="1"/>
    <col min="14583" max="14583" width="40.33203125" style="3" customWidth="1"/>
    <col min="14584" max="14584" width="14.33203125" style="3" customWidth="1"/>
    <col min="14585" max="14585" width="13.44140625" style="3" customWidth="1"/>
    <col min="14586" max="14586" width="13.109375" style="3" customWidth="1"/>
    <col min="14587" max="14589" width="0" style="3" hidden="1" customWidth="1"/>
    <col min="14590" max="14590" width="15.109375" style="3" customWidth="1"/>
    <col min="14591" max="14837" width="9.109375" style="3"/>
    <col min="14838" max="14838" width="7.5546875" style="3" customWidth="1"/>
    <col min="14839" max="14839" width="40.33203125" style="3" customWidth="1"/>
    <col min="14840" max="14840" width="14.33203125" style="3" customWidth="1"/>
    <col min="14841" max="14841" width="13.44140625" style="3" customWidth="1"/>
    <col min="14842" max="14842" width="13.109375" style="3" customWidth="1"/>
    <col min="14843" max="14845" width="0" style="3" hidden="1" customWidth="1"/>
    <col min="14846" max="14846" width="15.109375" style="3" customWidth="1"/>
    <col min="14847" max="15093" width="9.109375" style="3"/>
    <col min="15094" max="15094" width="7.5546875" style="3" customWidth="1"/>
    <col min="15095" max="15095" width="40.33203125" style="3" customWidth="1"/>
    <col min="15096" max="15096" width="14.33203125" style="3" customWidth="1"/>
    <col min="15097" max="15097" width="13.44140625" style="3" customWidth="1"/>
    <col min="15098" max="15098" width="13.109375" style="3" customWidth="1"/>
    <col min="15099" max="15101" width="0" style="3" hidden="1" customWidth="1"/>
    <col min="15102" max="15102" width="15.109375" style="3" customWidth="1"/>
    <col min="15103" max="15349" width="9.109375" style="3"/>
    <col min="15350" max="15350" width="7.5546875" style="3" customWidth="1"/>
    <col min="15351" max="15351" width="40.33203125" style="3" customWidth="1"/>
    <col min="15352" max="15352" width="14.33203125" style="3" customWidth="1"/>
    <col min="15353" max="15353" width="13.44140625" style="3" customWidth="1"/>
    <col min="15354" max="15354" width="13.109375" style="3" customWidth="1"/>
    <col min="15355" max="15357" width="0" style="3" hidden="1" customWidth="1"/>
    <col min="15358" max="15358" width="15.109375" style="3" customWidth="1"/>
    <col min="15359" max="15605" width="9.109375" style="3"/>
    <col min="15606" max="15606" width="7.5546875" style="3" customWidth="1"/>
    <col min="15607" max="15607" width="40.33203125" style="3" customWidth="1"/>
    <col min="15608" max="15608" width="14.33203125" style="3" customWidth="1"/>
    <col min="15609" max="15609" width="13.44140625" style="3" customWidth="1"/>
    <col min="15610" max="15610" width="13.109375" style="3" customWidth="1"/>
    <col min="15611" max="15613" width="0" style="3" hidden="1" customWidth="1"/>
    <col min="15614" max="15614" width="15.109375" style="3" customWidth="1"/>
    <col min="15615" max="15861" width="9.109375" style="3"/>
    <col min="15862" max="15862" width="7.5546875" style="3" customWidth="1"/>
    <col min="15863" max="15863" width="40.33203125" style="3" customWidth="1"/>
    <col min="15864" max="15864" width="14.33203125" style="3" customWidth="1"/>
    <col min="15865" max="15865" width="13.44140625" style="3" customWidth="1"/>
    <col min="15866" max="15866" width="13.109375" style="3" customWidth="1"/>
    <col min="15867" max="15869" width="0" style="3" hidden="1" customWidth="1"/>
    <col min="15870" max="15870" width="15.109375" style="3" customWidth="1"/>
    <col min="15871" max="16117" width="9.109375" style="3"/>
    <col min="16118" max="16118" width="7.5546875" style="3" customWidth="1"/>
    <col min="16119" max="16119" width="40.33203125" style="3" customWidth="1"/>
    <col min="16120" max="16120" width="14.33203125" style="3" customWidth="1"/>
    <col min="16121" max="16121" width="13.44140625" style="3" customWidth="1"/>
    <col min="16122" max="16122" width="13.109375" style="3" customWidth="1"/>
    <col min="16123" max="16125" width="0" style="3" hidden="1" customWidth="1"/>
    <col min="16126" max="16126" width="15.109375" style="3" customWidth="1"/>
    <col min="16127" max="16384" width="9.109375" style="3"/>
  </cols>
  <sheetData>
    <row r="1" spans="1:11" x14ac:dyDescent="0.25">
      <c r="A1" s="2"/>
      <c r="D1" s="4"/>
      <c r="E1" s="4"/>
      <c r="K1" s="1" t="s">
        <v>1079</v>
      </c>
    </row>
    <row r="2" spans="1:11" x14ac:dyDescent="0.25">
      <c r="A2" s="2"/>
      <c r="D2" s="4"/>
      <c r="E2" s="4"/>
      <c r="K2" s="1" t="s">
        <v>1045</v>
      </c>
    </row>
    <row r="3" spans="1:11" s="5" customFormat="1" x14ac:dyDescent="0.25">
      <c r="A3" s="2"/>
      <c r="D3" s="4"/>
      <c r="E3" s="4"/>
      <c r="K3" s="1" t="s">
        <v>1046</v>
      </c>
    </row>
    <row r="4" spans="1:11" s="5" customFormat="1" x14ac:dyDescent="0.25">
      <c r="A4" s="2"/>
      <c r="D4" s="4"/>
      <c r="E4" s="4"/>
      <c r="K4" s="1" t="s">
        <v>1047</v>
      </c>
    </row>
    <row r="5" spans="1:11" s="5" customFormat="1" x14ac:dyDescent="0.25">
      <c r="A5" s="2"/>
      <c r="D5" s="4"/>
      <c r="E5" s="4"/>
      <c r="K5" s="1" t="s">
        <v>1080</v>
      </c>
    </row>
    <row r="6" spans="1:11" s="5" customFormat="1" ht="11.4" x14ac:dyDescent="0.2"/>
    <row r="7" spans="1:11" s="5" customFormat="1" ht="13.8" x14ac:dyDescent="0.25">
      <c r="A7" s="517" t="s">
        <v>1081</v>
      </c>
      <c r="B7" s="517"/>
      <c r="C7" s="517"/>
      <c r="D7" s="517"/>
      <c r="E7" s="517"/>
      <c r="F7" s="517"/>
      <c r="G7" s="517"/>
      <c r="H7" s="517"/>
      <c r="I7" s="517"/>
      <c r="J7" s="133"/>
    </row>
    <row r="8" spans="1:11" s="5" customFormat="1" ht="13.8" x14ac:dyDescent="0.25">
      <c r="A8" s="517" t="s">
        <v>0</v>
      </c>
      <c r="B8" s="517"/>
      <c r="C8" s="517"/>
      <c r="D8" s="517"/>
      <c r="E8" s="517"/>
      <c r="F8" s="517"/>
      <c r="G8" s="517"/>
      <c r="H8" s="517"/>
      <c r="I8" s="517"/>
      <c r="J8" s="133"/>
    </row>
    <row r="9" spans="1:11" s="5" customFormat="1" ht="13.8" x14ac:dyDescent="0.25">
      <c r="A9" s="517" t="s">
        <v>1</v>
      </c>
      <c r="B9" s="517"/>
      <c r="C9" s="517"/>
      <c r="D9" s="517"/>
      <c r="E9" s="517"/>
      <c r="F9" s="517"/>
      <c r="G9" s="517"/>
      <c r="H9" s="517"/>
      <c r="I9" s="517"/>
      <c r="J9" s="133"/>
    </row>
    <row r="10" spans="1:11" s="5" customFormat="1" ht="11.4" x14ac:dyDescent="0.2">
      <c r="A10" s="6"/>
      <c r="B10" s="6"/>
      <c r="C10" s="6"/>
      <c r="D10" s="6"/>
      <c r="E10" s="6"/>
    </row>
    <row r="11" spans="1:11" s="5" customFormat="1" ht="12.75" customHeight="1" x14ac:dyDescent="0.25">
      <c r="A11" s="518" t="s">
        <v>2</v>
      </c>
      <c r="B11" s="521" t="s">
        <v>3</v>
      </c>
      <c r="C11" s="115"/>
      <c r="D11" s="116" t="s">
        <v>4</v>
      </c>
      <c r="E11" s="117" t="s">
        <v>5</v>
      </c>
      <c r="F11" s="118" t="s">
        <v>6</v>
      </c>
      <c r="G11" s="115"/>
      <c r="H11" s="119" t="s">
        <v>6</v>
      </c>
      <c r="I11" s="120" t="s">
        <v>5</v>
      </c>
      <c r="J11" s="118" t="s">
        <v>6</v>
      </c>
      <c r="K11" s="119" t="s">
        <v>6</v>
      </c>
    </row>
    <row r="12" spans="1:11" s="5" customFormat="1" ht="13.5" customHeight="1" x14ac:dyDescent="0.25">
      <c r="A12" s="519"/>
      <c r="B12" s="522"/>
      <c r="C12" s="121" t="s">
        <v>7</v>
      </c>
      <c r="D12" s="122" t="s">
        <v>8</v>
      </c>
      <c r="E12" s="123" t="s">
        <v>9</v>
      </c>
      <c r="F12" s="124" t="s">
        <v>10</v>
      </c>
      <c r="G12" s="121" t="s">
        <v>7</v>
      </c>
      <c r="H12" s="121" t="s">
        <v>11</v>
      </c>
      <c r="I12" s="125" t="s">
        <v>9</v>
      </c>
      <c r="J12" s="124" t="s">
        <v>10</v>
      </c>
      <c r="K12" s="121" t="s">
        <v>11</v>
      </c>
    </row>
    <row r="13" spans="1:11" s="5" customFormat="1" ht="12" x14ac:dyDescent="0.25">
      <c r="A13" s="519"/>
      <c r="B13" s="522"/>
      <c r="C13" s="121" t="s">
        <v>12</v>
      </c>
      <c r="D13" s="122" t="s">
        <v>13</v>
      </c>
      <c r="E13" s="123" t="s">
        <v>14</v>
      </c>
      <c r="F13" s="126"/>
      <c r="G13" s="121" t="s">
        <v>12</v>
      </c>
      <c r="H13" s="121"/>
      <c r="I13" s="125" t="s">
        <v>14</v>
      </c>
      <c r="J13" s="126"/>
      <c r="K13" s="121"/>
    </row>
    <row r="14" spans="1:11" s="5" customFormat="1" ht="12" x14ac:dyDescent="0.25">
      <c r="A14" s="520"/>
      <c r="B14" s="523"/>
      <c r="C14" s="127" t="s">
        <v>17</v>
      </c>
      <c r="D14" s="128" t="s">
        <v>18</v>
      </c>
      <c r="E14" s="129" t="s">
        <v>19</v>
      </c>
      <c r="F14" s="130"/>
      <c r="G14" s="127" t="s">
        <v>21</v>
      </c>
      <c r="H14" s="127"/>
      <c r="I14" s="131" t="s">
        <v>69</v>
      </c>
      <c r="J14" s="130"/>
      <c r="K14" s="127" t="s">
        <v>20</v>
      </c>
    </row>
    <row r="15" spans="1:11" s="5" customFormat="1" ht="12" x14ac:dyDescent="0.2">
      <c r="A15" s="10"/>
      <c r="B15" s="111"/>
      <c r="C15" s="11"/>
      <c r="D15" s="12" t="s">
        <v>68</v>
      </c>
      <c r="E15" s="12" t="s">
        <v>68</v>
      </c>
      <c r="F15" s="12" t="s">
        <v>68</v>
      </c>
      <c r="G15" s="11"/>
      <c r="H15" s="8" t="s">
        <v>15</v>
      </c>
      <c r="I15" s="8" t="s">
        <v>15</v>
      </c>
      <c r="J15" s="12" t="s">
        <v>72</v>
      </c>
      <c r="K15" s="8" t="s">
        <v>16</v>
      </c>
    </row>
    <row r="16" spans="1:11" s="5" customFormat="1" ht="11.4" x14ac:dyDescent="0.2">
      <c r="A16" s="13">
        <v>1</v>
      </c>
      <c r="B16" s="13">
        <v>2</v>
      </c>
      <c r="C16" s="13">
        <v>3</v>
      </c>
      <c r="D16" s="13">
        <v>4</v>
      </c>
      <c r="E16" s="13">
        <v>5</v>
      </c>
      <c r="F16" s="13" t="s">
        <v>22</v>
      </c>
      <c r="G16" s="13">
        <v>7</v>
      </c>
      <c r="H16" s="13">
        <v>8</v>
      </c>
      <c r="I16" s="13">
        <v>9</v>
      </c>
      <c r="J16" s="13" t="s">
        <v>80</v>
      </c>
      <c r="K16" s="13" t="s">
        <v>79</v>
      </c>
    </row>
    <row r="17" spans="1:13" s="5" customFormat="1" ht="12" x14ac:dyDescent="0.25">
      <c r="A17" s="14" t="s">
        <v>23</v>
      </c>
      <c r="B17" s="14"/>
      <c r="C17" s="15">
        <f>SUM(C18:C39)</f>
        <v>6402</v>
      </c>
      <c r="D17" s="15">
        <f t="shared" ref="D17:K17" si="0">SUM(D18:D39)</f>
        <v>613827</v>
      </c>
      <c r="E17" s="15">
        <f t="shared" si="0"/>
        <v>664</v>
      </c>
      <c r="F17" s="15">
        <f t="shared" si="0"/>
        <v>614491</v>
      </c>
      <c r="G17" s="15">
        <f t="shared" si="0"/>
        <v>6519</v>
      </c>
      <c r="H17" s="134">
        <f t="shared" si="0"/>
        <v>342507</v>
      </c>
      <c r="I17" s="134">
        <f t="shared" si="0"/>
        <v>270</v>
      </c>
      <c r="J17" s="15">
        <f t="shared" si="0"/>
        <v>342777</v>
      </c>
      <c r="K17" s="15">
        <f t="shared" si="0"/>
        <v>957268</v>
      </c>
    </row>
    <row r="18" spans="1:13" s="5" customFormat="1" ht="11.4" x14ac:dyDescent="0.2">
      <c r="A18" s="16">
        <v>1</v>
      </c>
      <c r="B18" s="17" t="s">
        <v>24</v>
      </c>
      <c r="C18" s="18">
        <v>642</v>
      </c>
      <c r="D18" s="19">
        <v>39670</v>
      </c>
      <c r="E18" s="20">
        <v>9</v>
      </c>
      <c r="F18" s="21">
        <f>D18+E18</f>
        <v>39679</v>
      </c>
      <c r="G18" s="18">
        <v>641</v>
      </c>
      <c r="H18" s="22">
        <v>17201</v>
      </c>
      <c r="I18" s="22"/>
      <c r="J18" s="22">
        <f t="shared" ref="J18:J39" si="1">H18+I18</f>
        <v>17201</v>
      </c>
      <c r="K18" s="22">
        <f t="shared" ref="K18:K39" si="2">F18+J18</f>
        <v>56880</v>
      </c>
      <c r="L18" s="23"/>
      <c r="M18" s="24"/>
    </row>
    <row r="19" spans="1:13" s="5" customFormat="1" ht="11.4" x14ac:dyDescent="0.2">
      <c r="A19" s="16">
        <v>2</v>
      </c>
      <c r="B19" s="25" t="s">
        <v>25</v>
      </c>
      <c r="C19" s="26">
        <v>573</v>
      </c>
      <c r="D19" s="19">
        <v>21476</v>
      </c>
      <c r="E19" s="27"/>
      <c r="F19" s="21">
        <f>D19+E19</f>
        <v>21476</v>
      </c>
      <c r="G19" s="26">
        <v>587</v>
      </c>
      <c r="H19" s="22">
        <v>10870</v>
      </c>
      <c r="I19" s="22"/>
      <c r="J19" s="22">
        <f t="shared" si="1"/>
        <v>10870</v>
      </c>
      <c r="K19" s="22">
        <f t="shared" si="2"/>
        <v>32346</v>
      </c>
      <c r="L19" s="23"/>
      <c r="M19" s="24"/>
    </row>
    <row r="20" spans="1:13" s="5" customFormat="1" ht="11.4" x14ac:dyDescent="0.2">
      <c r="A20" s="16">
        <v>3</v>
      </c>
      <c r="B20" s="25" t="s">
        <v>26</v>
      </c>
      <c r="C20" s="26">
        <v>126</v>
      </c>
      <c r="D20" s="19">
        <v>14079</v>
      </c>
      <c r="E20" s="27"/>
      <c r="F20" s="21">
        <f t="shared" ref="F20:F39" si="3">D20+E20</f>
        <v>14079</v>
      </c>
      <c r="G20" s="26">
        <v>112</v>
      </c>
      <c r="H20" s="22">
        <v>6339</v>
      </c>
      <c r="I20" s="22"/>
      <c r="J20" s="22">
        <f t="shared" si="1"/>
        <v>6339</v>
      </c>
      <c r="K20" s="22">
        <f t="shared" si="2"/>
        <v>20418</v>
      </c>
      <c r="L20" s="23"/>
      <c r="M20" s="24"/>
    </row>
    <row r="21" spans="1:13" s="5" customFormat="1" ht="11.4" x14ac:dyDescent="0.2">
      <c r="A21" s="16">
        <v>4</v>
      </c>
      <c r="B21" s="25" t="s">
        <v>27</v>
      </c>
      <c r="C21" s="26">
        <v>110</v>
      </c>
      <c r="D21" s="19">
        <v>10550</v>
      </c>
      <c r="E21" s="27"/>
      <c r="F21" s="21">
        <f t="shared" si="3"/>
        <v>10550</v>
      </c>
      <c r="G21" s="26">
        <v>102</v>
      </c>
      <c r="H21" s="22">
        <v>3983</v>
      </c>
      <c r="I21" s="22"/>
      <c r="J21" s="22">
        <f t="shared" si="1"/>
        <v>3983</v>
      </c>
      <c r="K21" s="22">
        <f t="shared" si="2"/>
        <v>14533</v>
      </c>
      <c r="L21" s="23"/>
      <c r="M21" s="24"/>
    </row>
    <row r="22" spans="1:13" s="5" customFormat="1" ht="11.4" x14ac:dyDescent="0.2">
      <c r="A22" s="16">
        <v>5</v>
      </c>
      <c r="B22" s="25" t="s">
        <v>28</v>
      </c>
      <c r="C22" s="26">
        <v>90</v>
      </c>
      <c r="D22" s="19">
        <v>10550</v>
      </c>
      <c r="E22" s="27"/>
      <c r="F22" s="21">
        <f t="shared" si="3"/>
        <v>10550</v>
      </c>
      <c r="G22" s="26">
        <v>90</v>
      </c>
      <c r="H22" s="22">
        <v>4435</v>
      </c>
      <c r="I22" s="22"/>
      <c r="J22" s="22">
        <f t="shared" si="1"/>
        <v>4435</v>
      </c>
      <c r="K22" s="22">
        <f t="shared" si="2"/>
        <v>14985</v>
      </c>
      <c r="L22" s="23"/>
      <c r="M22" s="24"/>
    </row>
    <row r="23" spans="1:13" s="5" customFormat="1" ht="11.4" x14ac:dyDescent="0.2">
      <c r="A23" s="16">
        <v>6</v>
      </c>
      <c r="B23" s="25" t="s">
        <v>29</v>
      </c>
      <c r="C23" s="26">
        <v>70</v>
      </c>
      <c r="D23" s="19">
        <v>11922</v>
      </c>
      <c r="E23" s="27"/>
      <c r="F23" s="21">
        <f t="shared" si="3"/>
        <v>11922</v>
      </c>
      <c r="G23" s="26">
        <v>66</v>
      </c>
      <c r="H23" s="22">
        <v>4773</v>
      </c>
      <c r="I23" s="22"/>
      <c r="J23" s="22">
        <f t="shared" si="1"/>
        <v>4773</v>
      </c>
      <c r="K23" s="22">
        <f t="shared" si="2"/>
        <v>16695</v>
      </c>
      <c r="L23" s="23"/>
      <c r="M23" s="24"/>
    </row>
    <row r="24" spans="1:13" s="5" customFormat="1" ht="11.4" x14ac:dyDescent="0.2">
      <c r="A24" s="16">
        <v>7</v>
      </c>
      <c r="B24" s="25" t="s">
        <v>30</v>
      </c>
      <c r="C24" s="26">
        <v>100</v>
      </c>
      <c r="D24" s="19">
        <v>11348</v>
      </c>
      <c r="E24" s="27"/>
      <c r="F24" s="21">
        <f t="shared" si="3"/>
        <v>11348</v>
      </c>
      <c r="G24" s="26">
        <v>93</v>
      </c>
      <c r="H24" s="22">
        <v>5391</v>
      </c>
      <c r="I24" s="22"/>
      <c r="J24" s="22">
        <f t="shared" si="1"/>
        <v>5391</v>
      </c>
      <c r="K24" s="22">
        <f t="shared" si="2"/>
        <v>16739</v>
      </c>
      <c r="L24" s="23"/>
      <c r="M24" s="24"/>
    </row>
    <row r="25" spans="1:13" s="5" customFormat="1" ht="12.75" customHeight="1" x14ac:dyDescent="0.2">
      <c r="A25" s="16">
        <v>8</v>
      </c>
      <c r="B25" s="25" t="s">
        <v>31</v>
      </c>
      <c r="C25" s="26">
        <v>93</v>
      </c>
      <c r="D25" s="19">
        <v>7831</v>
      </c>
      <c r="E25" s="27"/>
      <c r="F25" s="21">
        <f t="shared" si="3"/>
        <v>7831</v>
      </c>
      <c r="G25" s="26">
        <v>87</v>
      </c>
      <c r="H25" s="22">
        <v>4050</v>
      </c>
      <c r="I25" s="22"/>
      <c r="J25" s="22">
        <f t="shared" si="1"/>
        <v>4050</v>
      </c>
      <c r="K25" s="22">
        <f t="shared" si="2"/>
        <v>11881</v>
      </c>
      <c r="L25" s="23"/>
      <c r="M25" s="24"/>
    </row>
    <row r="26" spans="1:13" s="5" customFormat="1" ht="12.75" customHeight="1" x14ac:dyDescent="0.2">
      <c r="A26" s="16">
        <v>9</v>
      </c>
      <c r="B26" s="25" t="s">
        <v>32</v>
      </c>
      <c r="C26" s="26">
        <v>310</v>
      </c>
      <c r="D26" s="19">
        <v>30467</v>
      </c>
      <c r="E26" s="27"/>
      <c r="F26" s="21">
        <f t="shared" si="3"/>
        <v>30467</v>
      </c>
      <c r="G26" s="26">
        <v>319</v>
      </c>
      <c r="H26" s="22">
        <v>13701</v>
      </c>
      <c r="I26" s="22"/>
      <c r="J26" s="22">
        <f t="shared" si="1"/>
        <v>13701</v>
      </c>
      <c r="K26" s="22">
        <f t="shared" si="2"/>
        <v>44168</v>
      </c>
      <c r="L26" s="23"/>
      <c r="M26" s="24"/>
    </row>
    <row r="27" spans="1:13" s="5" customFormat="1" ht="14.25" customHeight="1" x14ac:dyDescent="0.2">
      <c r="A27" s="16">
        <v>10</v>
      </c>
      <c r="B27" s="25" t="s">
        <v>33</v>
      </c>
      <c r="C27" s="26">
        <v>103</v>
      </c>
      <c r="D27" s="19">
        <v>10949</v>
      </c>
      <c r="E27" s="27"/>
      <c r="F27" s="21">
        <f t="shared" si="3"/>
        <v>10949</v>
      </c>
      <c r="G27" s="26">
        <v>109</v>
      </c>
      <c r="H27" s="22">
        <v>4950</v>
      </c>
      <c r="I27" s="22"/>
      <c r="J27" s="22">
        <f t="shared" si="1"/>
        <v>4950</v>
      </c>
      <c r="K27" s="22">
        <f t="shared" si="2"/>
        <v>15899</v>
      </c>
      <c r="L27" s="23"/>
      <c r="M27" s="24"/>
    </row>
    <row r="28" spans="1:13" s="5" customFormat="1" ht="12.75" customHeight="1" x14ac:dyDescent="0.2">
      <c r="A28" s="16">
        <v>11</v>
      </c>
      <c r="B28" s="25" t="s">
        <v>34</v>
      </c>
      <c r="C28" s="26">
        <v>181</v>
      </c>
      <c r="D28" s="19">
        <v>15439</v>
      </c>
      <c r="E28" s="27">
        <v>64</v>
      </c>
      <c r="F28" s="21">
        <f t="shared" si="3"/>
        <v>15503</v>
      </c>
      <c r="G28" s="26">
        <v>176</v>
      </c>
      <c r="H28" s="22">
        <v>8247</v>
      </c>
      <c r="I28" s="22">
        <v>30</v>
      </c>
      <c r="J28" s="22">
        <f t="shared" si="1"/>
        <v>8277</v>
      </c>
      <c r="K28" s="22">
        <f t="shared" si="2"/>
        <v>23780</v>
      </c>
      <c r="L28" s="23"/>
      <c r="M28" s="24"/>
    </row>
    <row r="29" spans="1:13" s="5" customFormat="1" ht="11.4" x14ac:dyDescent="0.2">
      <c r="A29" s="16">
        <v>12</v>
      </c>
      <c r="B29" s="28" t="s">
        <v>35</v>
      </c>
      <c r="C29" s="29">
        <v>880</v>
      </c>
      <c r="D29" s="19">
        <v>60161</v>
      </c>
      <c r="E29" s="27"/>
      <c r="F29" s="21">
        <f t="shared" si="3"/>
        <v>60161</v>
      </c>
      <c r="G29" s="29">
        <v>889</v>
      </c>
      <c r="H29" s="22">
        <v>33342</v>
      </c>
      <c r="I29" s="22"/>
      <c r="J29" s="22">
        <f t="shared" si="1"/>
        <v>33342</v>
      </c>
      <c r="K29" s="22">
        <f t="shared" si="2"/>
        <v>93503</v>
      </c>
      <c r="L29" s="23"/>
      <c r="M29" s="24"/>
    </row>
    <row r="30" spans="1:13" s="5" customFormat="1" ht="11.4" x14ac:dyDescent="0.2">
      <c r="A30" s="16">
        <v>13</v>
      </c>
      <c r="B30" s="30" t="s">
        <v>36</v>
      </c>
      <c r="C30" s="31">
        <v>542</v>
      </c>
      <c r="D30" s="19">
        <v>14081</v>
      </c>
      <c r="E30" s="27">
        <v>373</v>
      </c>
      <c r="F30" s="21">
        <f t="shared" si="3"/>
        <v>14454</v>
      </c>
      <c r="G30" s="31">
        <v>621</v>
      </c>
      <c r="H30" s="22">
        <v>7362</v>
      </c>
      <c r="I30" s="22">
        <v>175</v>
      </c>
      <c r="J30" s="22">
        <f t="shared" si="1"/>
        <v>7537</v>
      </c>
      <c r="K30" s="22">
        <f t="shared" si="2"/>
        <v>21991</v>
      </c>
      <c r="L30" s="23"/>
      <c r="M30" s="24"/>
    </row>
    <row r="31" spans="1:13" s="5" customFormat="1" ht="11.4" x14ac:dyDescent="0.2">
      <c r="A31" s="16">
        <v>14</v>
      </c>
      <c r="B31" s="28" t="s">
        <v>37</v>
      </c>
      <c r="C31" s="29">
        <v>592</v>
      </c>
      <c r="D31" s="19">
        <v>36715</v>
      </c>
      <c r="E31" s="27"/>
      <c r="F31" s="21">
        <f t="shared" si="3"/>
        <v>36715</v>
      </c>
      <c r="G31" s="29">
        <v>606</v>
      </c>
      <c r="H31" s="22">
        <v>21084</v>
      </c>
      <c r="I31" s="22"/>
      <c r="J31" s="22">
        <f t="shared" si="1"/>
        <v>21084</v>
      </c>
      <c r="K31" s="22">
        <f t="shared" si="2"/>
        <v>57799</v>
      </c>
      <c r="L31" s="23"/>
      <c r="M31" s="24"/>
    </row>
    <row r="32" spans="1:13" s="5" customFormat="1" ht="11.4" x14ac:dyDescent="0.2">
      <c r="A32" s="16">
        <v>15</v>
      </c>
      <c r="B32" s="28" t="s">
        <v>38</v>
      </c>
      <c r="C32" s="29">
        <v>245</v>
      </c>
      <c r="D32" s="19">
        <v>22274</v>
      </c>
      <c r="E32" s="27"/>
      <c r="F32" s="21">
        <f t="shared" si="3"/>
        <v>22274</v>
      </c>
      <c r="G32" s="29">
        <v>234</v>
      </c>
      <c r="H32" s="22">
        <v>16149</v>
      </c>
      <c r="I32" s="22"/>
      <c r="J32" s="22">
        <f t="shared" si="1"/>
        <v>16149</v>
      </c>
      <c r="K32" s="22">
        <f t="shared" si="2"/>
        <v>38423</v>
      </c>
      <c r="L32" s="23"/>
      <c r="M32" s="24"/>
    </row>
    <row r="33" spans="1:13" s="5" customFormat="1" ht="11.4" x14ac:dyDescent="0.2">
      <c r="A33" s="16">
        <v>16</v>
      </c>
      <c r="B33" s="25" t="s">
        <v>39</v>
      </c>
      <c r="C33" s="26">
        <v>118</v>
      </c>
      <c r="D33" s="19">
        <v>25602</v>
      </c>
      <c r="E33" s="27"/>
      <c r="F33" s="21">
        <f t="shared" si="3"/>
        <v>25602</v>
      </c>
      <c r="G33" s="26">
        <v>102</v>
      </c>
      <c r="H33" s="22">
        <v>9884</v>
      </c>
      <c r="I33" s="22"/>
      <c r="J33" s="22">
        <f t="shared" si="1"/>
        <v>9884</v>
      </c>
      <c r="K33" s="22">
        <f t="shared" si="2"/>
        <v>35486</v>
      </c>
      <c r="L33" s="23"/>
      <c r="M33" s="24"/>
    </row>
    <row r="34" spans="1:13" s="5" customFormat="1" ht="11.4" x14ac:dyDescent="0.2">
      <c r="A34" s="16">
        <v>17</v>
      </c>
      <c r="B34" s="25" t="s">
        <v>40</v>
      </c>
      <c r="C34" s="26">
        <v>425</v>
      </c>
      <c r="D34" s="19">
        <v>34008</v>
      </c>
      <c r="E34" s="27"/>
      <c r="F34" s="21">
        <f t="shared" si="3"/>
        <v>34008</v>
      </c>
      <c r="G34" s="26">
        <v>451</v>
      </c>
      <c r="H34" s="22">
        <v>14813</v>
      </c>
      <c r="I34" s="22"/>
      <c r="J34" s="22">
        <f t="shared" si="1"/>
        <v>14813</v>
      </c>
      <c r="K34" s="22">
        <f t="shared" si="2"/>
        <v>48821</v>
      </c>
      <c r="L34" s="23"/>
      <c r="M34" s="24"/>
    </row>
    <row r="35" spans="1:13" s="5" customFormat="1" ht="11.4" x14ac:dyDescent="0.2">
      <c r="A35" s="16">
        <v>18</v>
      </c>
      <c r="B35" s="25" t="s">
        <v>41</v>
      </c>
      <c r="C35" s="26">
        <v>433</v>
      </c>
      <c r="D35" s="19">
        <v>34383</v>
      </c>
      <c r="E35" s="27"/>
      <c r="F35" s="21">
        <f t="shared" si="3"/>
        <v>34383</v>
      </c>
      <c r="G35" s="26">
        <v>442</v>
      </c>
      <c r="H35" s="22">
        <v>18976</v>
      </c>
      <c r="I35" s="22"/>
      <c r="J35" s="22">
        <f t="shared" si="1"/>
        <v>18976</v>
      </c>
      <c r="K35" s="22">
        <f t="shared" si="2"/>
        <v>53359</v>
      </c>
      <c r="L35" s="23"/>
      <c r="M35" s="24"/>
    </row>
    <row r="36" spans="1:13" s="5" customFormat="1" ht="11.4" x14ac:dyDescent="0.2">
      <c r="A36" s="16">
        <v>19</v>
      </c>
      <c r="B36" s="28" t="s">
        <v>42</v>
      </c>
      <c r="C36" s="29">
        <v>527</v>
      </c>
      <c r="D36" s="19">
        <v>39470</v>
      </c>
      <c r="E36" s="27"/>
      <c r="F36" s="21">
        <f t="shared" si="3"/>
        <v>39470</v>
      </c>
      <c r="G36" s="29">
        <v>585</v>
      </c>
      <c r="H36" s="22">
        <v>20832</v>
      </c>
      <c r="I36" s="22"/>
      <c r="J36" s="22">
        <f t="shared" si="1"/>
        <v>20832</v>
      </c>
      <c r="K36" s="22">
        <f t="shared" si="2"/>
        <v>60302</v>
      </c>
      <c r="L36" s="23"/>
      <c r="M36" s="24"/>
    </row>
    <row r="37" spans="1:13" s="5" customFormat="1" ht="11.4" x14ac:dyDescent="0.2">
      <c r="A37" s="16">
        <v>20</v>
      </c>
      <c r="B37" s="32" t="s">
        <v>43</v>
      </c>
      <c r="C37" s="33">
        <v>242</v>
      </c>
      <c r="D37" s="19">
        <v>13692</v>
      </c>
      <c r="E37" s="27"/>
      <c r="F37" s="21">
        <f t="shared" si="3"/>
        <v>13692</v>
      </c>
      <c r="G37" s="33">
        <v>207</v>
      </c>
      <c r="H37" s="22">
        <v>5906</v>
      </c>
      <c r="I37" s="22">
        <v>10</v>
      </c>
      <c r="J37" s="22">
        <f t="shared" si="1"/>
        <v>5916</v>
      </c>
      <c r="K37" s="22">
        <f t="shared" si="2"/>
        <v>19608</v>
      </c>
      <c r="L37" s="23"/>
      <c r="M37" s="24"/>
    </row>
    <row r="38" spans="1:13" s="5" customFormat="1" ht="11.4" x14ac:dyDescent="0.2">
      <c r="A38" s="16">
        <v>21</v>
      </c>
      <c r="B38" s="25" t="s">
        <v>44</v>
      </c>
      <c r="C38" s="26"/>
      <c r="D38" s="19">
        <v>108296</v>
      </c>
      <c r="E38" s="27"/>
      <c r="F38" s="21">
        <f t="shared" si="3"/>
        <v>108296</v>
      </c>
      <c r="G38" s="26"/>
      <c r="H38" s="22">
        <v>83212</v>
      </c>
      <c r="I38" s="22"/>
      <c r="J38" s="22">
        <f t="shared" si="1"/>
        <v>83212</v>
      </c>
      <c r="K38" s="22">
        <f t="shared" si="2"/>
        <v>191508</v>
      </c>
      <c r="L38" s="23"/>
      <c r="M38" s="24"/>
    </row>
    <row r="39" spans="1:13" s="5" customFormat="1" ht="22.8" x14ac:dyDescent="0.2">
      <c r="A39" s="34">
        <v>22</v>
      </c>
      <c r="B39" s="35" t="s">
        <v>45</v>
      </c>
      <c r="C39" s="36"/>
      <c r="D39" s="37">
        <f>40865-1</f>
        <v>40864</v>
      </c>
      <c r="E39" s="38">
        <v>218</v>
      </c>
      <c r="F39" s="39">
        <f t="shared" si="3"/>
        <v>41082</v>
      </c>
      <c r="G39" s="36"/>
      <c r="H39" s="40">
        <v>27007</v>
      </c>
      <c r="I39" s="40">
        <v>55</v>
      </c>
      <c r="J39" s="40">
        <f t="shared" si="1"/>
        <v>27062</v>
      </c>
      <c r="K39" s="40">
        <f t="shared" si="2"/>
        <v>68144</v>
      </c>
      <c r="L39" s="23"/>
      <c r="M39" s="24"/>
    </row>
    <row r="40" spans="1:13" s="5" customFormat="1" ht="11.4" x14ac:dyDescent="0.2"/>
    <row r="41" spans="1:13" s="5" customFormat="1" ht="11.4" x14ac:dyDescent="0.2"/>
    <row r="42" spans="1:13" s="5" customFormat="1" ht="11.4" x14ac:dyDescent="0.2"/>
    <row r="43" spans="1:13" s="5" customFormat="1" ht="11.4" x14ac:dyDescent="0.2"/>
    <row r="44" spans="1:13" s="5" customFormat="1" ht="11.4" x14ac:dyDescent="0.2"/>
    <row r="45" spans="1:13" s="5" customFormat="1" ht="11.4" x14ac:dyDescent="0.2"/>
    <row r="46" spans="1:13" s="5" customFormat="1" x14ac:dyDescent="0.25">
      <c r="A46" s="41"/>
      <c r="B46" s="42"/>
    </row>
    <row r="47" spans="1:13" s="5" customFormat="1" x14ac:dyDescent="0.25">
      <c r="A47" s="41"/>
      <c r="B47" s="42"/>
    </row>
    <row r="48" spans="1:13" s="5" customFormat="1" ht="11.4" x14ac:dyDescent="0.2"/>
    <row r="49" s="5" customFormat="1" ht="11.4" x14ac:dyDescent="0.2"/>
    <row r="50" s="5" customFormat="1" ht="11.4" x14ac:dyDescent="0.2"/>
    <row r="51" s="5" customFormat="1" ht="11.4" x14ac:dyDescent="0.2"/>
    <row r="52" s="5" customFormat="1" ht="11.4" x14ac:dyDescent="0.2"/>
    <row r="53" s="5" customFormat="1" ht="11.4" x14ac:dyDescent="0.2"/>
    <row r="54" s="5" customFormat="1" ht="11.4" x14ac:dyDescent="0.2"/>
    <row r="55" s="5" customFormat="1" ht="11.4" x14ac:dyDescent="0.2"/>
    <row r="56" s="5" customFormat="1" ht="11.4" x14ac:dyDescent="0.2"/>
    <row r="57" s="5" customFormat="1" ht="11.4" x14ac:dyDescent="0.2"/>
    <row r="58" s="5" customFormat="1" ht="11.4" x14ac:dyDescent="0.2"/>
    <row r="59" s="5" customFormat="1" ht="11.4" x14ac:dyDescent="0.2"/>
    <row r="60" s="5" customFormat="1" ht="11.4" x14ac:dyDescent="0.2"/>
    <row r="61" s="5" customFormat="1" ht="11.4" x14ac:dyDescent="0.2"/>
    <row r="62" s="5" customFormat="1" ht="11.4" x14ac:dyDescent="0.2"/>
    <row r="63" s="5" customFormat="1" ht="11.4" x14ac:dyDescent="0.2"/>
    <row r="64" s="5" customFormat="1" ht="11.4" x14ac:dyDescent="0.2"/>
    <row r="65" s="5" customFormat="1" ht="11.4" x14ac:dyDescent="0.2"/>
    <row r="66" s="5" customFormat="1" ht="11.4" x14ac:dyDescent="0.2"/>
    <row r="67" s="5" customFormat="1" ht="11.4" x14ac:dyDescent="0.2"/>
    <row r="68" s="5" customFormat="1" ht="11.4" x14ac:dyDescent="0.2"/>
    <row r="69" s="5" customFormat="1" ht="11.4" x14ac:dyDescent="0.2"/>
    <row r="70" s="5" customFormat="1" ht="11.4" x14ac:dyDescent="0.2"/>
    <row r="71" s="5" customFormat="1" ht="11.4" x14ac:dyDescent="0.2"/>
    <row r="72" s="5" customFormat="1" ht="11.4" x14ac:dyDescent="0.2"/>
    <row r="73" s="5" customFormat="1" ht="11.4" x14ac:dyDescent="0.2"/>
    <row r="74" s="5" customFormat="1" ht="11.4" x14ac:dyDescent="0.2"/>
    <row r="75" s="5" customFormat="1" ht="11.4" x14ac:dyDescent="0.2"/>
    <row r="76" s="5" customFormat="1" ht="11.4" x14ac:dyDescent="0.2"/>
    <row r="77" s="5" customFormat="1" ht="11.4" x14ac:dyDescent="0.2"/>
    <row r="78" s="5" customFormat="1" ht="11.4" x14ac:dyDescent="0.2"/>
    <row r="79" s="5" customFormat="1" ht="11.4" x14ac:dyDescent="0.2"/>
    <row r="80" s="5" customFormat="1" ht="11.4" x14ac:dyDescent="0.2"/>
    <row r="81" s="5" customFormat="1" ht="11.4" x14ac:dyDescent="0.2"/>
    <row r="82" s="5" customFormat="1" ht="11.4" x14ac:dyDescent="0.2"/>
    <row r="83" s="5" customFormat="1" ht="11.4" x14ac:dyDescent="0.2"/>
    <row r="84" s="5" customFormat="1" ht="11.4" x14ac:dyDescent="0.2"/>
    <row r="85" s="5" customFormat="1" ht="11.4" x14ac:dyDescent="0.2"/>
    <row r="86" s="5" customFormat="1" ht="11.4" x14ac:dyDescent="0.2"/>
    <row r="87" s="5" customFormat="1" ht="11.4" x14ac:dyDescent="0.2"/>
    <row r="88" s="5" customFormat="1" ht="11.4" x14ac:dyDescent="0.2"/>
    <row r="89" s="5" customFormat="1" ht="11.4" x14ac:dyDescent="0.2"/>
    <row r="90" s="5" customFormat="1" ht="11.4" x14ac:dyDescent="0.2"/>
    <row r="91" s="5" customFormat="1" ht="11.4" x14ac:dyDescent="0.2"/>
    <row r="92" s="5" customFormat="1" ht="11.4" x14ac:dyDescent="0.2"/>
    <row r="93" s="5" customFormat="1" ht="11.4" x14ac:dyDescent="0.2"/>
    <row r="94" s="5" customFormat="1" ht="11.4" x14ac:dyDescent="0.2"/>
    <row r="95" s="5" customFormat="1" ht="11.4" x14ac:dyDescent="0.2"/>
    <row r="96" s="5" customFormat="1" ht="11.4" x14ac:dyDescent="0.2"/>
    <row r="97" s="5" customFormat="1" ht="11.4" x14ac:dyDescent="0.2"/>
    <row r="98" s="5" customFormat="1" ht="11.4" x14ac:dyDescent="0.2"/>
    <row r="99" s="5" customFormat="1" ht="11.4" x14ac:dyDescent="0.2"/>
    <row r="100" s="5" customFormat="1" ht="11.4" x14ac:dyDescent="0.2"/>
    <row r="101" s="5" customFormat="1" ht="11.4" x14ac:dyDescent="0.2"/>
    <row r="102" s="5" customFormat="1" ht="11.4" x14ac:dyDescent="0.2"/>
    <row r="103" s="5" customFormat="1" ht="11.4" x14ac:dyDescent="0.2"/>
    <row r="104" s="5" customFormat="1" ht="11.4" x14ac:dyDescent="0.2"/>
    <row r="105" s="5" customFormat="1" ht="11.4" x14ac:dyDescent="0.2"/>
    <row r="106" s="5" customFormat="1" ht="11.4" x14ac:dyDescent="0.2"/>
    <row r="107" s="5" customFormat="1" ht="11.4" x14ac:dyDescent="0.2"/>
    <row r="108" s="5" customFormat="1" ht="11.4" x14ac:dyDescent="0.2"/>
    <row r="109" s="5" customFormat="1" ht="11.4" x14ac:dyDescent="0.2"/>
    <row r="110" s="5" customFormat="1" ht="11.4" x14ac:dyDescent="0.2"/>
    <row r="111" s="5" customFormat="1" ht="11.4" x14ac:dyDescent="0.2"/>
    <row r="112" s="5" customFormat="1" ht="11.4" x14ac:dyDescent="0.2"/>
    <row r="113" s="5" customFormat="1" ht="11.4" x14ac:dyDescent="0.2"/>
    <row r="114" s="5" customFormat="1" ht="11.4" x14ac:dyDescent="0.2"/>
    <row r="115" s="5" customFormat="1" ht="11.4" x14ac:dyDescent="0.2"/>
    <row r="116" s="5" customFormat="1" ht="11.4" x14ac:dyDescent="0.2"/>
    <row r="117" s="5" customFormat="1" ht="11.4" x14ac:dyDescent="0.2"/>
    <row r="118" s="5" customFormat="1" ht="11.4" x14ac:dyDescent="0.2"/>
    <row r="119" s="5" customFormat="1" ht="11.4" x14ac:dyDescent="0.2"/>
    <row r="120" s="5" customFormat="1" ht="11.4" x14ac:dyDescent="0.2"/>
    <row r="121" s="5" customFormat="1" ht="11.4" x14ac:dyDescent="0.2"/>
    <row r="122" s="5" customFormat="1" ht="11.4" x14ac:dyDescent="0.2"/>
    <row r="123" s="5" customFormat="1" ht="11.4" x14ac:dyDescent="0.2"/>
    <row r="124" s="5" customFormat="1" ht="11.4" x14ac:dyDescent="0.2"/>
    <row r="125" s="5" customFormat="1" ht="11.4" x14ac:dyDescent="0.2"/>
    <row r="126" s="5" customFormat="1" ht="11.4" x14ac:dyDescent="0.2"/>
  </sheetData>
  <mergeCells count="5">
    <mergeCell ref="A7:I7"/>
    <mergeCell ref="A8:I8"/>
    <mergeCell ref="A9:I9"/>
    <mergeCell ref="A11:A14"/>
    <mergeCell ref="B11:B14"/>
  </mergeCells>
  <pageMargins left="0.70866141732283472" right="0.31496062992125984" top="0.74803149606299213" bottom="0.74803149606299213" header="0.31496062992125984" footer="0.31496062992125984"/>
  <pageSetup paperSize="9" scale="53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075CC-1FB6-470A-AB5B-46DD6F2910E9}">
  <sheetPr>
    <pageSetUpPr fitToPage="1"/>
  </sheetPr>
  <dimension ref="A1:T128"/>
  <sheetViews>
    <sheetView topLeftCell="A25" workbookViewId="0">
      <selection activeCell="A7" sqref="A7:K7"/>
    </sheetView>
  </sheetViews>
  <sheetFormatPr defaultRowHeight="14.4" x14ac:dyDescent="0.3"/>
  <cols>
    <col min="1" max="1" width="7.44140625" customWidth="1"/>
    <col min="2" max="2" width="32.109375" customWidth="1"/>
    <col min="3" max="3" width="13.5546875" customWidth="1"/>
    <col min="4" max="4" width="14.44140625" style="78" customWidth="1"/>
    <col min="5" max="5" width="15.33203125" style="78" customWidth="1"/>
    <col min="6" max="6" width="13.6640625" style="78" customWidth="1"/>
    <col min="7" max="7" width="13.6640625" customWidth="1"/>
    <col min="8" max="8" width="12" customWidth="1"/>
    <col min="9" max="9" width="14.6640625" customWidth="1"/>
    <col min="10" max="11" width="12.5546875" customWidth="1"/>
    <col min="250" max="250" width="7.109375" customWidth="1"/>
    <col min="251" max="251" width="33" customWidth="1"/>
    <col min="252" max="252" width="13.109375" customWidth="1"/>
    <col min="253" max="253" width="16.33203125" customWidth="1"/>
    <col min="254" max="257" width="0" hidden="1" customWidth="1"/>
    <col min="258" max="258" width="13.6640625" customWidth="1"/>
    <col min="260" max="260" width="11" customWidth="1"/>
    <col min="506" max="506" width="7.109375" customWidth="1"/>
    <col min="507" max="507" width="33" customWidth="1"/>
    <col min="508" max="508" width="13.109375" customWidth="1"/>
    <col min="509" max="509" width="16.33203125" customWidth="1"/>
    <col min="510" max="513" width="0" hidden="1" customWidth="1"/>
    <col min="514" max="514" width="13.6640625" customWidth="1"/>
    <col min="516" max="516" width="11" customWidth="1"/>
    <col min="762" max="762" width="7.109375" customWidth="1"/>
    <col min="763" max="763" width="33" customWidth="1"/>
    <col min="764" max="764" width="13.109375" customWidth="1"/>
    <col min="765" max="765" width="16.33203125" customWidth="1"/>
    <col min="766" max="769" width="0" hidden="1" customWidth="1"/>
    <col min="770" max="770" width="13.6640625" customWidth="1"/>
    <col min="772" max="772" width="11" customWidth="1"/>
    <col min="1018" max="1018" width="7.109375" customWidth="1"/>
    <col min="1019" max="1019" width="33" customWidth="1"/>
    <col min="1020" max="1020" width="13.109375" customWidth="1"/>
    <col min="1021" max="1021" width="16.33203125" customWidth="1"/>
    <col min="1022" max="1025" width="0" hidden="1" customWidth="1"/>
    <col min="1026" max="1026" width="13.6640625" customWidth="1"/>
    <col min="1028" max="1028" width="11" customWidth="1"/>
    <col min="1274" max="1274" width="7.109375" customWidth="1"/>
    <col min="1275" max="1275" width="33" customWidth="1"/>
    <col min="1276" max="1276" width="13.109375" customWidth="1"/>
    <col min="1277" max="1277" width="16.33203125" customWidth="1"/>
    <col min="1278" max="1281" width="0" hidden="1" customWidth="1"/>
    <col min="1282" max="1282" width="13.6640625" customWidth="1"/>
    <col min="1284" max="1284" width="11" customWidth="1"/>
    <col min="1530" max="1530" width="7.109375" customWidth="1"/>
    <col min="1531" max="1531" width="33" customWidth="1"/>
    <col min="1532" max="1532" width="13.109375" customWidth="1"/>
    <col min="1533" max="1533" width="16.33203125" customWidth="1"/>
    <col min="1534" max="1537" width="0" hidden="1" customWidth="1"/>
    <col min="1538" max="1538" width="13.6640625" customWidth="1"/>
    <col min="1540" max="1540" width="11" customWidth="1"/>
    <col min="1786" max="1786" width="7.109375" customWidth="1"/>
    <col min="1787" max="1787" width="33" customWidth="1"/>
    <col min="1788" max="1788" width="13.109375" customWidth="1"/>
    <col min="1789" max="1789" width="16.33203125" customWidth="1"/>
    <col min="1790" max="1793" width="0" hidden="1" customWidth="1"/>
    <col min="1794" max="1794" width="13.6640625" customWidth="1"/>
    <col min="1796" max="1796" width="11" customWidth="1"/>
    <col min="2042" max="2042" width="7.109375" customWidth="1"/>
    <col min="2043" max="2043" width="33" customWidth="1"/>
    <col min="2044" max="2044" width="13.109375" customWidth="1"/>
    <col min="2045" max="2045" width="16.33203125" customWidth="1"/>
    <col min="2046" max="2049" width="0" hidden="1" customWidth="1"/>
    <col min="2050" max="2050" width="13.6640625" customWidth="1"/>
    <col min="2052" max="2052" width="11" customWidth="1"/>
    <col min="2298" max="2298" width="7.109375" customWidth="1"/>
    <col min="2299" max="2299" width="33" customWidth="1"/>
    <col min="2300" max="2300" width="13.109375" customWidth="1"/>
    <col min="2301" max="2301" width="16.33203125" customWidth="1"/>
    <col min="2302" max="2305" width="0" hidden="1" customWidth="1"/>
    <col min="2306" max="2306" width="13.6640625" customWidth="1"/>
    <col min="2308" max="2308" width="11" customWidth="1"/>
    <col min="2554" max="2554" width="7.109375" customWidth="1"/>
    <col min="2555" max="2555" width="33" customWidth="1"/>
    <col min="2556" max="2556" width="13.109375" customWidth="1"/>
    <col min="2557" max="2557" width="16.33203125" customWidth="1"/>
    <col min="2558" max="2561" width="0" hidden="1" customWidth="1"/>
    <col min="2562" max="2562" width="13.6640625" customWidth="1"/>
    <col min="2564" max="2564" width="11" customWidth="1"/>
    <col min="2810" max="2810" width="7.109375" customWidth="1"/>
    <col min="2811" max="2811" width="33" customWidth="1"/>
    <col min="2812" max="2812" width="13.109375" customWidth="1"/>
    <col min="2813" max="2813" width="16.33203125" customWidth="1"/>
    <col min="2814" max="2817" width="0" hidden="1" customWidth="1"/>
    <col min="2818" max="2818" width="13.6640625" customWidth="1"/>
    <col min="2820" max="2820" width="11" customWidth="1"/>
    <col min="3066" max="3066" width="7.109375" customWidth="1"/>
    <col min="3067" max="3067" width="33" customWidth="1"/>
    <col min="3068" max="3068" width="13.109375" customWidth="1"/>
    <col min="3069" max="3069" width="16.33203125" customWidth="1"/>
    <col min="3070" max="3073" width="0" hidden="1" customWidth="1"/>
    <col min="3074" max="3074" width="13.6640625" customWidth="1"/>
    <col min="3076" max="3076" width="11" customWidth="1"/>
    <col min="3322" max="3322" width="7.109375" customWidth="1"/>
    <col min="3323" max="3323" width="33" customWidth="1"/>
    <col min="3324" max="3324" width="13.109375" customWidth="1"/>
    <col min="3325" max="3325" width="16.33203125" customWidth="1"/>
    <col min="3326" max="3329" width="0" hidden="1" customWidth="1"/>
    <col min="3330" max="3330" width="13.6640625" customWidth="1"/>
    <col min="3332" max="3332" width="11" customWidth="1"/>
    <col min="3578" max="3578" width="7.109375" customWidth="1"/>
    <col min="3579" max="3579" width="33" customWidth="1"/>
    <col min="3580" max="3580" width="13.109375" customWidth="1"/>
    <col min="3581" max="3581" width="16.33203125" customWidth="1"/>
    <col min="3582" max="3585" width="0" hidden="1" customWidth="1"/>
    <col min="3586" max="3586" width="13.6640625" customWidth="1"/>
    <col min="3588" max="3588" width="11" customWidth="1"/>
    <col min="3834" max="3834" width="7.109375" customWidth="1"/>
    <col min="3835" max="3835" width="33" customWidth="1"/>
    <col min="3836" max="3836" width="13.109375" customWidth="1"/>
    <col min="3837" max="3837" width="16.33203125" customWidth="1"/>
    <col min="3838" max="3841" width="0" hidden="1" customWidth="1"/>
    <col min="3842" max="3842" width="13.6640625" customWidth="1"/>
    <col min="3844" max="3844" width="11" customWidth="1"/>
    <col min="4090" max="4090" width="7.109375" customWidth="1"/>
    <col min="4091" max="4091" width="33" customWidth="1"/>
    <col min="4092" max="4092" width="13.109375" customWidth="1"/>
    <col min="4093" max="4093" width="16.33203125" customWidth="1"/>
    <col min="4094" max="4097" width="0" hidden="1" customWidth="1"/>
    <col min="4098" max="4098" width="13.6640625" customWidth="1"/>
    <col min="4100" max="4100" width="11" customWidth="1"/>
    <col min="4346" max="4346" width="7.109375" customWidth="1"/>
    <col min="4347" max="4347" width="33" customWidth="1"/>
    <col min="4348" max="4348" width="13.109375" customWidth="1"/>
    <col min="4349" max="4349" width="16.33203125" customWidth="1"/>
    <col min="4350" max="4353" width="0" hidden="1" customWidth="1"/>
    <col min="4354" max="4354" width="13.6640625" customWidth="1"/>
    <col min="4356" max="4356" width="11" customWidth="1"/>
    <col min="4602" max="4602" width="7.109375" customWidth="1"/>
    <col min="4603" max="4603" width="33" customWidth="1"/>
    <col min="4604" max="4604" width="13.109375" customWidth="1"/>
    <col min="4605" max="4605" width="16.33203125" customWidth="1"/>
    <col min="4606" max="4609" width="0" hidden="1" customWidth="1"/>
    <col min="4610" max="4610" width="13.6640625" customWidth="1"/>
    <col min="4612" max="4612" width="11" customWidth="1"/>
    <col min="4858" max="4858" width="7.109375" customWidth="1"/>
    <col min="4859" max="4859" width="33" customWidth="1"/>
    <col min="4860" max="4860" width="13.109375" customWidth="1"/>
    <col min="4861" max="4861" width="16.33203125" customWidth="1"/>
    <col min="4862" max="4865" width="0" hidden="1" customWidth="1"/>
    <col min="4866" max="4866" width="13.6640625" customWidth="1"/>
    <col min="4868" max="4868" width="11" customWidth="1"/>
    <col min="5114" max="5114" width="7.109375" customWidth="1"/>
    <col min="5115" max="5115" width="33" customWidth="1"/>
    <col min="5116" max="5116" width="13.109375" customWidth="1"/>
    <col min="5117" max="5117" width="16.33203125" customWidth="1"/>
    <col min="5118" max="5121" width="0" hidden="1" customWidth="1"/>
    <col min="5122" max="5122" width="13.6640625" customWidth="1"/>
    <col min="5124" max="5124" width="11" customWidth="1"/>
    <col min="5370" max="5370" width="7.109375" customWidth="1"/>
    <col min="5371" max="5371" width="33" customWidth="1"/>
    <col min="5372" max="5372" width="13.109375" customWidth="1"/>
    <col min="5373" max="5373" width="16.33203125" customWidth="1"/>
    <col min="5374" max="5377" width="0" hidden="1" customWidth="1"/>
    <col min="5378" max="5378" width="13.6640625" customWidth="1"/>
    <col min="5380" max="5380" width="11" customWidth="1"/>
    <col min="5626" max="5626" width="7.109375" customWidth="1"/>
    <col min="5627" max="5627" width="33" customWidth="1"/>
    <col min="5628" max="5628" width="13.109375" customWidth="1"/>
    <col min="5629" max="5629" width="16.33203125" customWidth="1"/>
    <col min="5630" max="5633" width="0" hidden="1" customWidth="1"/>
    <col min="5634" max="5634" width="13.6640625" customWidth="1"/>
    <col min="5636" max="5636" width="11" customWidth="1"/>
    <col min="5882" max="5882" width="7.109375" customWidth="1"/>
    <col min="5883" max="5883" width="33" customWidth="1"/>
    <col min="5884" max="5884" width="13.109375" customWidth="1"/>
    <col min="5885" max="5885" width="16.33203125" customWidth="1"/>
    <col min="5886" max="5889" width="0" hidden="1" customWidth="1"/>
    <col min="5890" max="5890" width="13.6640625" customWidth="1"/>
    <col min="5892" max="5892" width="11" customWidth="1"/>
    <col min="6138" max="6138" width="7.109375" customWidth="1"/>
    <col min="6139" max="6139" width="33" customWidth="1"/>
    <col min="6140" max="6140" width="13.109375" customWidth="1"/>
    <col min="6141" max="6141" width="16.33203125" customWidth="1"/>
    <col min="6142" max="6145" width="0" hidden="1" customWidth="1"/>
    <col min="6146" max="6146" width="13.6640625" customWidth="1"/>
    <col min="6148" max="6148" width="11" customWidth="1"/>
    <col min="6394" max="6394" width="7.109375" customWidth="1"/>
    <col min="6395" max="6395" width="33" customWidth="1"/>
    <col min="6396" max="6396" width="13.109375" customWidth="1"/>
    <col min="6397" max="6397" width="16.33203125" customWidth="1"/>
    <col min="6398" max="6401" width="0" hidden="1" customWidth="1"/>
    <col min="6402" max="6402" width="13.6640625" customWidth="1"/>
    <col min="6404" max="6404" width="11" customWidth="1"/>
    <col min="6650" max="6650" width="7.109375" customWidth="1"/>
    <col min="6651" max="6651" width="33" customWidth="1"/>
    <col min="6652" max="6652" width="13.109375" customWidth="1"/>
    <col min="6653" max="6653" width="16.33203125" customWidth="1"/>
    <col min="6654" max="6657" width="0" hidden="1" customWidth="1"/>
    <col min="6658" max="6658" width="13.6640625" customWidth="1"/>
    <col min="6660" max="6660" width="11" customWidth="1"/>
    <col min="6906" max="6906" width="7.109375" customWidth="1"/>
    <col min="6907" max="6907" width="33" customWidth="1"/>
    <col min="6908" max="6908" width="13.109375" customWidth="1"/>
    <col min="6909" max="6909" width="16.33203125" customWidth="1"/>
    <col min="6910" max="6913" width="0" hidden="1" customWidth="1"/>
    <col min="6914" max="6914" width="13.6640625" customWidth="1"/>
    <col min="6916" max="6916" width="11" customWidth="1"/>
    <col min="7162" max="7162" width="7.109375" customWidth="1"/>
    <col min="7163" max="7163" width="33" customWidth="1"/>
    <col min="7164" max="7164" width="13.109375" customWidth="1"/>
    <col min="7165" max="7165" width="16.33203125" customWidth="1"/>
    <col min="7166" max="7169" width="0" hidden="1" customWidth="1"/>
    <col min="7170" max="7170" width="13.6640625" customWidth="1"/>
    <col min="7172" max="7172" width="11" customWidth="1"/>
    <col min="7418" max="7418" width="7.109375" customWidth="1"/>
    <col min="7419" max="7419" width="33" customWidth="1"/>
    <col min="7420" max="7420" width="13.109375" customWidth="1"/>
    <col min="7421" max="7421" width="16.33203125" customWidth="1"/>
    <col min="7422" max="7425" width="0" hidden="1" customWidth="1"/>
    <col min="7426" max="7426" width="13.6640625" customWidth="1"/>
    <col min="7428" max="7428" width="11" customWidth="1"/>
    <col min="7674" max="7674" width="7.109375" customWidth="1"/>
    <col min="7675" max="7675" width="33" customWidth="1"/>
    <col min="7676" max="7676" width="13.109375" customWidth="1"/>
    <col min="7677" max="7677" width="16.33203125" customWidth="1"/>
    <col min="7678" max="7681" width="0" hidden="1" customWidth="1"/>
    <col min="7682" max="7682" width="13.6640625" customWidth="1"/>
    <col min="7684" max="7684" width="11" customWidth="1"/>
    <col min="7930" max="7930" width="7.109375" customWidth="1"/>
    <col min="7931" max="7931" width="33" customWidth="1"/>
    <col min="7932" max="7932" width="13.109375" customWidth="1"/>
    <col min="7933" max="7933" width="16.33203125" customWidth="1"/>
    <col min="7934" max="7937" width="0" hidden="1" customWidth="1"/>
    <col min="7938" max="7938" width="13.6640625" customWidth="1"/>
    <col min="7940" max="7940" width="11" customWidth="1"/>
    <col min="8186" max="8186" width="7.109375" customWidth="1"/>
    <col min="8187" max="8187" width="33" customWidth="1"/>
    <col min="8188" max="8188" width="13.109375" customWidth="1"/>
    <col min="8189" max="8189" width="16.33203125" customWidth="1"/>
    <col min="8190" max="8193" width="0" hidden="1" customWidth="1"/>
    <col min="8194" max="8194" width="13.6640625" customWidth="1"/>
    <col min="8196" max="8196" width="11" customWidth="1"/>
    <col min="8442" max="8442" width="7.109375" customWidth="1"/>
    <col min="8443" max="8443" width="33" customWidth="1"/>
    <col min="8444" max="8444" width="13.109375" customWidth="1"/>
    <col min="8445" max="8445" width="16.33203125" customWidth="1"/>
    <col min="8446" max="8449" width="0" hidden="1" customWidth="1"/>
    <col min="8450" max="8450" width="13.6640625" customWidth="1"/>
    <col min="8452" max="8452" width="11" customWidth="1"/>
    <col min="8698" max="8698" width="7.109375" customWidth="1"/>
    <col min="8699" max="8699" width="33" customWidth="1"/>
    <col min="8700" max="8700" width="13.109375" customWidth="1"/>
    <col min="8701" max="8701" width="16.33203125" customWidth="1"/>
    <col min="8702" max="8705" width="0" hidden="1" customWidth="1"/>
    <col min="8706" max="8706" width="13.6640625" customWidth="1"/>
    <col min="8708" max="8708" width="11" customWidth="1"/>
    <col min="8954" max="8954" width="7.109375" customWidth="1"/>
    <col min="8955" max="8955" width="33" customWidth="1"/>
    <col min="8956" max="8956" width="13.109375" customWidth="1"/>
    <col min="8957" max="8957" width="16.33203125" customWidth="1"/>
    <col min="8958" max="8961" width="0" hidden="1" customWidth="1"/>
    <col min="8962" max="8962" width="13.6640625" customWidth="1"/>
    <col min="8964" max="8964" width="11" customWidth="1"/>
    <col min="9210" max="9210" width="7.109375" customWidth="1"/>
    <col min="9211" max="9211" width="33" customWidth="1"/>
    <col min="9212" max="9212" width="13.109375" customWidth="1"/>
    <col min="9213" max="9213" width="16.33203125" customWidth="1"/>
    <col min="9214" max="9217" width="0" hidden="1" customWidth="1"/>
    <col min="9218" max="9218" width="13.6640625" customWidth="1"/>
    <col min="9220" max="9220" width="11" customWidth="1"/>
    <col min="9466" max="9466" width="7.109375" customWidth="1"/>
    <col min="9467" max="9467" width="33" customWidth="1"/>
    <col min="9468" max="9468" width="13.109375" customWidth="1"/>
    <col min="9469" max="9469" width="16.33203125" customWidth="1"/>
    <col min="9470" max="9473" width="0" hidden="1" customWidth="1"/>
    <col min="9474" max="9474" width="13.6640625" customWidth="1"/>
    <col min="9476" max="9476" width="11" customWidth="1"/>
    <col min="9722" max="9722" width="7.109375" customWidth="1"/>
    <col min="9723" max="9723" width="33" customWidth="1"/>
    <col min="9724" max="9724" width="13.109375" customWidth="1"/>
    <col min="9725" max="9725" width="16.33203125" customWidth="1"/>
    <col min="9726" max="9729" width="0" hidden="1" customWidth="1"/>
    <col min="9730" max="9730" width="13.6640625" customWidth="1"/>
    <col min="9732" max="9732" width="11" customWidth="1"/>
    <col min="9978" max="9978" width="7.109375" customWidth="1"/>
    <col min="9979" max="9979" width="33" customWidth="1"/>
    <col min="9980" max="9980" width="13.109375" customWidth="1"/>
    <col min="9981" max="9981" width="16.33203125" customWidth="1"/>
    <col min="9982" max="9985" width="0" hidden="1" customWidth="1"/>
    <col min="9986" max="9986" width="13.6640625" customWidth="1"/>
    <col min="9988" max="9988" width="11" customWidth="1"/>
    <col min="10234" max="10234" width="7.109375" customWidth="1"/>
    <col min="10235" max="10235" width="33" customWidth="1"/>
    <col min="10236" max="10236" width="13.109375" customWidth="1"/>
    <col min="10237" max="10237" width="16.33203125" customWidth="1"/>
    <col min="10238" max="10241" width="0" hidden="1" customWidth="1"/>
    <col min="10242" max="10242" width="13.6640625" customWidth="1"/>
    <col min="10244" max="10244" width="11" customWidth="1"/>
    <col min="10490" max="10490" width="7.109375" customWidth="1"/>
    <col min="10491" max="10491" width="33" customWidth="1"/>
    <col min="10492" max="10492" width="13.109375" customWidth="1"/>
    <col min="10493" max="10493" width="16.33203125" customWidth="1"/>
    <col min="10494" max="10497" width="0" hidden="1" customWidth="1"/>
    <col min="10498" max="10498" width="13.6640625" customWidth="1"/>
    <col min="10500" max="10500" width="11" customWidth="1"/>
    <col min="10746" max="10746" width="7.109375" customWidth="1"/>
    <col min="10747" max="10747" width="33" customWidth="1"/>
    <col min="10748" max="10748" width="13.109375" customWidth="1"/>
    <col min="10749" max="10749" width="16.33203125" customWidth="1"/>
    <col min="10750" max="10753" width="0" hidden="1" customWidth="1"/>
    <col min="10754" max="10754" width="13.6640625" customWidth="1"/>
    <col min="10756" max="10756" width="11" customWidth="1"/>
    <col min="11002" max="11002" width="7.109375" customWidth="1"/>
    <col min="11003" max="11003" width="33" customWidth="1"/>
    <col min="11004" max="11004" width="13.109375" customWidth="1"/>
    <col min="11005" max="11005" width="16.33203125" customWidth="1"/>
    <col min="11006" max="11009" width="0" hidden="1" customWidth="1"/>
    <col min="11010" max="11010" width="13.6640625" customWidth="1"/>
    <col min="11012" max="11012" width="11" customWidth="1"/>
    <col min="11258" max="11258" width="7.109375" customWidth="1"/>
    <col min="11259" max="11259" width="33" customWidth="1"/>
    <col min="11260" max="11260" width="13.109375" customWidth="1"/>
    <col min="11261" max="11261" width="16.33203125" customWidth="1"/>
    <col min="11262" max="11265" width="0" hidden="1" customWidth="1"/>
    <col min="11266" max="11266" width="13.6640625" customWidth="1"/>
    <col min="11268" max="11268" width="11" customWidth="1"/>
    <col min="11514" max="11514" width="7.109375" customWidth="1"/>
    <col min="11515" max="11515" width="33" customWidth="1"/>
    <col min="11516" max="11516" width="13.109375" customWidth="1"/>
    <col min="11517" max="11517" width="16.33203125" customWidth="1"/>
    <col min="11518" max="11521" width="0" hidden="1" customWidth="1"/>
    <col min="11522" max="11522" width="13.6640625" customWidth="1"/>
    <col min="11524" max="11524" width="11" customWidth="1"/>
    <col min="11770" max="11770" width="7.109375" customWidth="1"/>
    <col min="11771" max="11771" width="33" customWidth="1"/>
    <col min="11772" max="11772" width="13.109375" customWidth="1"/>
    <col min="11773" max="11773" width="16.33203125" customWidth="1"/>
    <col min="11774" max="11777" width="0" hidden="1" customWidth="1"/>
    <col min="11778" max="11778" width="13.6640625" customWidth="1"/>
    <col min="11780" max="11780" width="11" customWidth="1"/>
    <col min="12026" max="12026" width="7.109375" customWidth="1"/>
    <col min="12027" max="12027" width="33" customWidth="1"/>
    <col min="12028" max="12028" width="13.109375" customWidth="1"/>
    <col min="12029" max="12029" width="16.33203125" customWidth="1"/>
    <col min="12030" max="12033" width="0" hidden="1" customWidth="1"/>
    <col min="12034" max="12034" width="13.6640625" customWidth="1"/>
    <col min="12036" max="12036" width="11" customWidth="1"/>
    <col min="12282" max="12282" width="7.109375" customWidth="1"/>
    <col min="12283" max="12283" width="33" customWidth="1"/>
    <col min="12284" max="12284" width="13.109375" customWidth="1"/>
    <col min="12285" max="12285" width="16.33203125" customWidth="1"/>
    <col min="12286" max="12289" width="0" hidden="1" customWidth="1"/>
    <col min="12290" max="12290" width="13.6640625" customWidth="1"/>
    <col min="12292" max="12292" width="11" customWidth="1"/>
    <col min="12538" max="12538" width="7.109375" customWidth="1"/>
    <col min="12539" max="12539" width="33" customWidth="1"/>
    <col min="12540" max="12540" width="13.109375" customWidth="1"/>
    <col min="12541" max="12541" width="16.33203125" customWidth="1"/>
    <col min="12542" max="12545" width="0" hidden="1" customWidth="1"/>
    <col min="12546" max="12546" width="13.6640625" customWidth="1"/>
    <col min="12548" max="12548" width="11" customWidth="1"/>
    <col min="12794" max="12794" width="7.109375" customWidth="1"/>
    <col min="12795" max="12795" width="33" customWidth="1"/>
    <col min="12796" max="12796" width="13.109375" customWidth="1"/>
    <col min="12797" max="12797" width="16.33203125" customWidth="1"/>
    <col min="12798" max="12801" width="0" hidden="1" customWidth="1"/>
    <col min="12802" max="12802" width="13.6640625" customWidth="1"/>
    <col min="12804" max="12804" width="11" customWidth="1"/>
    <col min="13050" max="13050" width="7.109375" customWidth="1"/>
    <col min="13051" max="13051" width="33" customWidth="1"/>
    <col min="13052" max="13052" width="13.109375" customWidth="1"/>
    <col min="13053" max="13053" width="16.33203125" customWidth="1"/>
    <col min="13054" max="13057" width="0" hidden="1" customWidth="1"/>
    <col min="13058" max="13058" width="13.6640625" customWidth="1"/>
    <col min="13060" max="13060" width="11" customWidth="1"/>
    <col min="13306" max="13306" width="7.109375" customWidth="1"/>
    <col min="13307" max="13307" width="33" customWidth="1"/>
    <col min="13308" max="13308" width="13.109375" customWidth="1"/>
    <col min="13309" max="13309" width="16.33203125" customWidth="1"/>
    <col min="13310" max="13313" width="0" hidden="1" customWidth="1"/>
    <col min="13314" max="13314" width="13.6640625" customWidth="1"/>
    <col min="13316" max="13316" width="11" customWidth="1"/>
    <col min="13562" max="13562" width="7.109375" customWidth="1"/>
    <col min="13563" max="13563" width="33" customWidth="1"/>
    <col min="13564" max="13564" width="13.109375" customWidth="1"/>
    <col min="13565" max="13565" width="16.33203125" customWidth="1"/>
    <col min="13566" max="13569" width="0" hidden="1" customWidth="1"/>
    <col min="13570" max="13570" width="13.6640625" customWidth="1"/>
    <col min="13572" max="13572" width="11" customWidth="1"/>
    <col min="13818" max="13818" width="7.109375" customWidth="1"/>
    <col min="13819" max="13819" width="33" customWidth="1"/>
    <col min="13820" max="13820" width="13.109375" customWidth="1"/>
    <col min="13821" max="13821" width="16.33203125" customWidth="1"/>
    <col min="13822" max="13825" width="0" hidden="1" customWidth="1"/>
    <col min="13826" max="13826" width="13.6640625" customWidth="1"/>
    <col min="13828" max="13828" width="11" customWidth="1"/>
    <col min="14074" max="14074" width="7.109375" customWidth="1"/>
    <col min="14075" max="14075" width="33" customWidth="1"/>
    <col min="14076" max="14076" width="13.109375" customWidth="1"/>
    <col min="14077" max="14077" width="16.33203125" customWidth="1"/>
    <col min="14078" max="14081" width="0" hidden="1" customWidth="1"/>
    <col min="14082" max="14082" width="13.6640625" customWidth="1"/>
    <col min="14084" max="14084" width="11" customWidth="1"/>
    <col min="14330" max="14330" width="7.109375" customWidth="1"/>
    <col min="14331" max="14331" width="33" customWidth="1"/>
    <col min="14332" max="14332" width="13.109375" customWidth="1"/>
    <col min="14333" max="14333" width="16.33203125" customWidth="1"/>
    <col min="14334" max="14337" width="0" hidden="1" customWidth="1"/>
    <col min="14338" max="14338" width="13.6640625" customWidth="1"/>
    <col min="14340" max="14340" width="11" customWidth="1"/>
    <col min="14586" max="14586" width="7.109375" customWidth="1"/>
    <col min="14587" max="14587" width="33" customWidth="1"/>
    <col min="14588" max="14588" width="13.109375" customWidth="1"/>
    <col min="14589" max="14589" width="16.33203125" customWidth="1"/>
    <col min="14590" max="14593" width="0" hidden="1" customWidth="1"/>
    <col min="14594" max="14594" width="13.6640625" customWidth="1"/>
    <col min="14596" max="14596" width="11" customWidth="1"/>
    <col min="14842" max="14842" width="7.109375" customWidth="1"/>
    <col min="14843" max="14843" width="33" customWidth="1"/>
    <col min="14844" max="14844" width="13.109375" customWidth="1"/>
    <col min="14845" max="14845" width="16.33203125" customWidth="1"/>
    <col min="14846" max="14849" width="0" hidden="1" customWidth="1"/>
    <col min="14850" max="14850" width="13.6640625" customWidth="1"/>
    <col min="14852" max="14852" width="11" customWidth="1"/>
    <col min="15098" max="15098" width="7.109375" customWidth="1"/>
    <col min="15099" max="15099" width="33" customWidth="1"/>
    <col min="15100" max="15100" width="13.109375" customWidth="1"/>
    <col min="15101" max="15101" width="16.33203125" customWidth="1"/>
    <col min="15102" max="15105" width="0" hidden="1" customWidth="1"/>
    <col min="15106" max="15106" width="13.6640625" customWidth="1"/>
    <col min="15108" max="15108" width="11" customWidth="1"/>
    <col min="15354" max="15354" width="7.109375" customWidth="1"/>
    <col min="15355" max="15355" width="33" customWidth="1"/>
    <col min="15356" max="15356" width="13.109375" customWidth="1"/>
    <col min="15357" max="15357" width="16.33203125" customWidth="1"/>
    <col min="15358" max="15361" width="0" hidden="1" customWidth="1"/>
    <col min="15362" max="15362" width="13.6640625" customWidth="1"/>
    <col min="15364" max="15364" width="11" customWidth="1"/>
    <col min="15610" max="15610" width="7.109375" customWidth="1"/>
    <col min="15611" max="15611" width="33" customWidth="1"/>
    <col min="15612" max="15612" width="13.109375" customWidth="1"/>
    <col min="15613" max="15613" width="16.33203125" customWidth="1"/>
    <col min="15614" max="15617" width="0" hidden="1" customWidth="1"/>
    <col min="15618" max="15618" width="13.6640625" customWidth="1"/>
    <col min="15620" max="15620" width="11" customWidth="1"/>
    <col min="15866" max="15866" width="7.109375" customWidth="1"/>
    <col min="15867" max="15867" width="33" customWidth="1"/>
    <col min="15868" max="15868" width="13.109375" customWidth="1"/>
    <col min="15869" max="15869" width="16.33203125" customWidth="1"/>
    <col min="15870" max="15873" width="0" hidden="1" customWidth="1"/>
    <col min="15874" max="15874" width="13.6640625" customWidth="1"/>
    <col min="15876" max="15876" width="11" customWidth="1"/>
    <col min="16122" max="16122" width="7.109375" customWidth="1"/>
    <col min="16123" max="16123" width="33" customWidth="1"/>
    <col min="16124" max="16124" width="13.109375" customWidth="1"/>
    <col min="16125" max="16125" width="16.33203125" customWidth="1"/>
    <col min="16126" max="16129" width="0" hidden="1" customWidth="1"/>
    <col min="16130" max="16130" width="13.6640625" customWidth="1"/>
    <col min="16132" max="16132" width="11" customWidth="1"/>
  </cols>
  <sheetData>
    <row r="1" spans="1:20" x14ac:dyDescent="0.3">
      <c r="D1" s="2"/>
      <c r="E1" s="2"/>
      <c r="K1" s="1" t="s">
        <v>1082</v>
      </c>
    </row>
    <row r="2" spans="1:20" x14ac:dyDescent="0.3">
      <c r="D2" s="2"/>
      <c r="E2" s="2"/>
      <c r="K2" s="1" t="s">
        <v>1045</v>
      </c>
    </row>
    <row r="3" spans="1:20" x14ac:dyDescent="0.3">
      <c r="D3" s="2"/>
      <c r="E3" s="2"/>
      <c r="K3" s="1" t="s">
        <v>1046</v>
      </c>
    </row>
    <row r="4" spans="1:20" x14ac:dyDescent="0.3">
      <c r="D4" s="2"/>
      <c r="E4" s="2"/>
      <c r="K4" s="1" t="s">
        <v>1047</v>
      </c>
    </row>
    <row r="5" spans="1:20" x14ac:dyDescent="0.3">
      <c r="D5" s="2"/>
      <c r="E5" s="2"/>
      <c r="K5" s="1" t="s">
        <v>1048</v>
      </c>
    </row>
    <row r="7" spans="1:20" s="5" customFormat="1" ht="13.8" x14ac:dyDescent="0.25">
      <c r="A7" s="517" t="s">
        <v>1083</v>
      </c>
      <c r="B7" s="517"/>
      <c r="C7" s="517"/>
      <c r="D7" s="517"/>
      <c r="E7" s="517"/>
      <c r="F7" s="517"/>
      <c r="G7" s="517"/>
      <c r="H7" s="517"/>
      <c r="I7" s="517"/>
      <c r="J7" s="517"/>
      <c r="K7" s="517"/>
    </row>
    <row r="8" spans="1:20" s="5" customFormat="1" ht="13.8" x14ac:dyDescent="0.25">
      <c r="A8" s="517" t="s">
        <v>46</v>
      </c>
      <c r="B8" s="517"/>
      <c r="C8" s="517"/>
      <c r="D8" s="517"/>
      <c r="E8" s="517"/>
      <c r="F8" s="517"/>
      <c r="G8" s="517"/>
      <c r="H8" s="517"/>
      <c r="I8" s="517"/>
      <c r="J8" s="517"/>
      <c r="K8" s="517"/>
    </row>
    <row r="9" spans="1:20" s="5" customFormat="1" ht="13.8" x14ac:dyDescent="0.25">
      <c r="A9" s="517" t="s">
        <v>47</v>
      </c>
      <c r="B9" s="517"/>
      <c r="C9" s="517"/>
      <c r="D9" s="517"/>
      <c r="E9" s="517"/>
      <c r="F9" s="517"/>
      <c r="G9" s="517"/>
      <c r="H9" s="517"/>
      <c r="I9" s="517"/>
      <c r="J9" s="133"/>
    </row>
    <row r="10" spans="1:20" s="43" customFormat="1" ht="11.4" x14ac:dyDescent="0.2"/>
    <row r="11" spans="1:20" s="49" customFormat="1" ht="12" customHeight="1" x14ac:dyDescent="0.25">
      <c r="A11" s="524" t="s">
        <v>2</v>
      </c>
      <c r="B11" s="527" t="s">
        <v>3</v>
      </c>
      <c r="C11" s="45"/>
      <c r="D11" s="7" t="s">
        <v>4</v>
      </c>
      <c r="E11" s="48" t="s">
        <v>5</v>
      </c>
      <c r="F11" s="46" t="s">
        <v>6</v>
      </c>
      <c r="G11" s="47"/>
      <c r="H11" s="44" t="s">
        <v>4</v>
      </c>
      <c r="I11" s="48" t="s">
        <v>5</v>
      </c>
      <c r="J11" s="46" t="s">
        <v>6</v>
      </c>
      <c r="K11" s="48" t="s">
        <v>6</v>
      </c>
    </row>
    <row r="12" spans="1:20" s="49" customFormat="1" ht="13.2" x14ac:dyDescent="0.25">
      <c r="A12" s="525"/>
      <c r="B12" s="528"/>
      <c r="C12" s="50" t="s">
        <v>7</v>
      </c>
      <c r="D12" s="8" t="s">
        <v>8</v>
      </c>
      <c r="E12" s="53" t="s">
        <v>9</v>
      </c>
      <c r="F12" s="52" t="s">
        <v>10</v>
      </c>
      <c r="G12" s="9" t="s">
        <v>7</v>
      </c>
      <c r="H12" s="50" t="s">
        <v>8</v>
      </c>
      <c r="I12" s="53" t="s">
        <v>9</v>
      </c>
      <c r="J12" s="52" t="s">
        <v>10</v>
      </c>
      <c r="K12" s="53" t="s">
        <v>11</v>
      </c>
    </row>
    <row r="13" spans="1:20" s="49" customFormat="1" ht="13.2" x14ac:dyDescent="0.25">
      <c r="A13" s="525"/>
      <c r="B13" s="528"/>
      <c r="C13" s="50" t="s">
        <v>12</v>
      </c>
      <c r="D13" s="8" t="s">
        <v>13</v>
      </c>
      <c r="E13" s="53" t="s">
        <v>14</v>
      </c>
      <c r="F13" s="51" t="s">
        <v>71</v>
      </c>
      <c r="G13" s="9" t="s">
        <v>12</v>
      </c>
      <c r="H13" s="50" t="s">
        <v>13</v>
      </c>
      <c r="I13" s="53" t="s">
        <v>14</v>
      </c>
      <c r="J13" s="51" t="s">
        <v>71</v>
      </c>
      <c r="K13" s="51" t="s">
        <v>71</v>
      </c>
      <c r="T13" s="54"/>
    </row>
    <row r="14" spans="1:20" s="49" customFormat="1" ht="13.2" x14ac:dyDescent="0.25">
      <c r="A14" s="526"/>
      <c r="B14" s="529"/>
      <c r="C14" s="55" t="s">
        <v>17</v>
      </c>
      <c r="D14" s="11" t="s">
        <v>61</v>
      </c>
      <c r="E14" s="57" t="s">
        <v>69</v>
      </c>
      <c r="F14" s="56" t="s">
        <v>70</v>
      </c>
      <c r="G14" s="12" t="s">
        <v>21</v>
      </c>
      <c r="H14" s="55" t="s">
        <v>61</v>
      </c>
      <c r="I14" s="57" t="s">
        <v>69</v>
      </c>
      <c r="J14" s="56" t="s">
        <v>70</v>
      </c>
      <c r="K14" s="56" t="s">
        <v>70</v>
      </c>
    </row>
    <row r="15" spans="1:20" s="49" customFormat="1" ht="13.2" x14ac:dyDescent="0.25">
      <c r="A15" s="55"/>
      <c r="B15" s="112"/>
      <c r="C15" s="55"/>
      <c r="D15" s="11" t="s">
        <v>68</v>
      </c>
      <c r="E15" s="11" t="s">
        <v>68</v>
      </c>
      <c r="F15" s="11" t="s">
        <v>68</v>
      </c>
      <c r="G15" s="12"/>
      <c r="H15" s="55" t="s">
        <v>72</v>
      </c>
      <c r="I15" s="55" t="s">
        <v>72</v>
      </c>
      <c r="J15" s="11" t="s">
        <v>72</v>
      </c>
      <c r="K15" s="53" t="s">
        <v>16</v>
      </c>
    </row>
    <row r="16" spans="1:20" s="49" customFormat="1" ht="13.2" x14ac:dyDescent="0.25">
      <c r="A16" s="58">
        <v>1</v>
      </c>
      <c r="B16" s="58">
        <v>2</v>
      </c>
      <c r="C16" s="58">
        <v>3</v>
      </c>
      <c r="D16" s="58">
        <v>4</v>
      </c>
      <c r="E16" s="58">
        <v>5</v>
      </c>
      <c r="F16" s="58" t="s">
        <v>22</v>
      </c>
      <c r="G16" s="59">
        <v>7</v>
      </c>
      <c r="H16" s="58">
        <v>8</v>
      </c>
      <c r="I16" s="58">
        <v>9</v>
      </c>
      <c r="J16" s="58" t="s">
        <v>81</v>
      </c>
      <c r="K16" s="59" t="s">
        <v>75</v>
      </c>
    </row>
    <row r="17" spans="1:11" s="43" customFormat="1" ht="13.2" x14ac:dyDescent="0.25">
      <c r="A17" s="60" t="s">
        <v>23</v>
      </c>
      <c r="B17" s="60"/>
      <c r="C17" s="61">
        <f t="shared" ref="C17:G17" si="0">SUM(C18:C36)</f>
        <v>6209</v>
      </c>
      <c r="D17" s="61">
        <f t="shared" si="0"/>
        <v>9343376</v>
      </c>
      <c r="E17" s="61">
        <f t="shared" si="0"/>
        <v>7903</v>
      </c>
      <c r="F17" s="61">
        <f t="shared" si="0"/>
        <v>9351279</v>
      </c>
      <c r="G17" s="62">
        <f t="shared" si="0"/>
        <v>6312</v>
      </c>
      <c r="H17" s="62">
        <f t="shared" ref="H17" si="1">SUM(H18:H36)</f>
        <v>4777289</v>
      </c>
      <c r="I17" s="61">
        <f t="shared" ref="I17" si="2">SUM(I18:I36)</f>
        <v>3306</v>
      </c>
      <c r="J17" s="61">
        <f t="shared" ref="J17" si="3">SUM(J18:J36)</f>
        <v>4780595</v>
      </c>
      <c r="K17" s="62">
        <f>SUM(K18:K36)</f>
        <v>14131874</v>
      </c>
    </row>
    <row r="18" spans="1:11" s="43" customFormat="1" ht="15" customHeight="1" x14ac:dyDescent="0.25">
      <c r="A18" s="63">
        <v>1</v>
      </c>
      <c r="B18" s="64" t="s">
        <v>24</v>
      </c>
      <c r="C18" s="65">
        <v>643</v>
      </c>
      <c r="D18" s="66">
        <v>774535</v>
      </c>
      <c r="E18" s="66">
        <v>161</v>
      </c>
      <c r="F18" s="66">
        <f>D18+E18</f>
        <v>774696</v>
      </c>
      <c r="G18" s="65">
        <v>641</v>
      </c>
      <c r="H18" s="132">
        <v>414269</v>
      </c>
      <c r="I18" s="66"/>
      <c r="J18" s="66">
        <f>H18+I18</f>
        <v>414269</v>
      </c>
      <c r="K18" s="67">
        <f t="shared" ref="K18:K36" si="4">F18+J18</f>
        <v>1188965</v>
      </c>
    </row>
    <row r="19" spans="1:11" s="43" customFormat="1" ht="15" customHeight="1" x14ac:dyDescent="0.25">
      <c r="A19" s="63">
        <v>2</v>
      </c>
      <c r="B19" s="68" t="s">
        <v>25</v>
      </c>
      <c r="C19" s="69">
        <v>573</v>
      </c>
      <c r="D19" s="70">
        <v>692287</v>
      </c>
      <c r="E19" s="70"/>
      <c r="F19" s="70">
        <f>D19+E19</f>
        <v>692287</v>
      </c>
      <c r="G19" s="69">
        <v>587</v>
      </c>
      <c r="H19" s="132">
        <v>372050</v>
      </c>
      <c r="I19" s="70"/>
      <c r="J19" s="66">
        <f t="shared" ref="J19:J36" si="5">H19+I19</f>
        <v>372050</v>
      </c>
      <c r="K19" s="67">
        <f t="shared" si="4"/>
        <v>1064337</v>
      </c>
    </row>
    <row r="20" spans="1:11" s="43" customFormat="1" ht="15" customHeight="1" x14ac:dyDescent="0.25">
      <c r="A20" s="63">
        <v>3</v>
      </c>
      <c r="B20" s="68" t="s">
        <v>35</v>
      </c>
      <c r="C20" s="69">
        <v>880</v>
      </c>
      <c r="D20" s="70">
        <v>1230017</v>
      </c>
      <c r="E20" s="70"/>
      <c r="F20" s="70">
        <f t="shared" ref="F20:F36" si="6">D20+E20</f>
        <v>1230017</v>
      </c>
      <c r="G20" s="69">
        <v>889</v>
      </c>
      <c r="H20" s="132">
        <v>638199</v>
      </c>
      <c r="I20" s="70"/>
      <c r="J20" s="66">
        <f t="shared" si="5"/>
        <v>638199</v>
      </c>
      <c r="K20" s="67">
        <f t="shared" si="4"/>
        <v>1868216</v>
      </c>
    </row>
    <row r="21" spans="1:11" s="43" customFormat="1" ht="15" customHeight="1" x14ac:dyDescent="0.25">
      <c r="A21" s="63">
        <v>4</v>
      </c>
      <c r="B21" s="68" t="s">
        <v>36</v>
      </c>
      <c r="C21" s="63">
        <v>583</v>
      </c>
      <c r="D21" s="70">
        <v>876449</v>
      </c>
      <c r="E21" s="70">
        <v>6613</v>
      </c>
      <c r="F21" s="70">
        <f t="shared" si="6"/>
        <v>883062</v>
      </c>
      <c r="G21" s="63">
        <v>621</v>
      </c>
      <c r="H21" s="132">
        <v>452941</v>
      </c>
      <c r="I21" s="70">
        <v>2822</v>
      </c>
      <c r="J21" s="66">
        <f t="shared" si="5"/>
        <v>455763</v>
      </c>
      <c r="K21" s="67">
        <f t="shared" si="4"/>
        <v>1338825</v>
      </c>
    </row>
    <row r="22" spans="1:11" s="43" customFormat="1" ht="15" customHeight="1" x14ac:dyDescent="0.25">
      <c r="A22" s="63">
        <v>5</v>
      </c>
      <c r="B22" s="68" t="s">
        <v>37</v>
      </c>
      <c r="C22" s="63">
        <v>592</v>
      </c>
      <c r="D22" s="70">
        <v>883541</v>
      </c>
      <c r="E22" s="70"/>
      <c r="F22" s="70">
        <f t="shared" si="6"/>
        <v>883541</v>
      </c>
      <c r="G22" s="63">
        <v>606</v>
      </c>
      <c r="H22" s="132">
        <v>460470</v>
      </c>
      <c r="I22" s="70"/>
      <c r="J22" s="66">
        <f t="shared" si="5"/>
        <v>460470</v>
      </c>
      <c r="K22" s="67">
        <f t="shared" si="4"/>
        <v>1344011</v>
      </c>
    </row>
    <row r="23" spans="1:11" s="43" customFormat="1" ht="15" customHeight="1" x14ac:dyDescent="0.25">
      <c r="A23" s="63">
        <v>6</v>
      </c>
      <c r="B23" s="68" t="s">
        <v>41</v>
      </c>
      <c r="C23" s="69">
        <v>433</v>
      </c>
      <c r="D23" s="70">
        <v>740890</v>
      </c>
      <c r="E23" s="70"/>
      <c r="F23" s="70">
        <f t="shared" si="6"/>
        <v>740890</v>
      </c>
      <c r="G23" s="69">
        <v>442</v>
      </c>
      <c r="H23" s="132">
        <v>372689</v>
      </c>
      <c r="I23" s="70"/>
      <c r="J23" s="66">
        <f t="shared" si="5"/>
        <v>372689</v>
      </c>
      <c r="K23" s="67">
        <f t="shared" si="4"/>
        <v>1113579</v>
      </c>
    </row>
    <row r="24" spans="1:11" s="43" customFormat="1" ht="15" customHeight="1" x14ac:dyDescent="0.25">
      <c r="A24" s="63">
        <v>7</v>
      </c>
      <c r="B24" s="68" t="s">
        <v>42</v>
      </c>
      <c r="C24" s="69">
        <v>527</v>
      </c>
      <c r="D24" s="70">
        <v>913243</v>
      </c>
      <c r="E24" s="70"/>
      <c r="F24" s="70">
        <f t="shared" si="6"/>
        <v>913243</v>
      </c>
      <c r="G24" s="69">
        <v>585</v>
      </c>
      <c r="H24" s="132">
        <v>485704</v>
      </c>
      <c r="I24" s="70"/>
      <c r="J24" s="66">
        <f t="shared" si="5"/>
        <v>485704</v>
      </c>
      <c r="K24" s="67">
        <f t="shared" si="4"/>
        <v>1398947</v>
      </c>
    </row>
    <row r="25" spans="1:11" s="43" customFormat="1" ht="15" customHeight="1" x14ac:dyDescent="0.25">
      <c r="A25" s="63">
        <v>8</v>
      </c>
      <c r="B25" s="68" t="s">
        <v>29</v>
      </c>
      <c r="C25" s="69">
        <v>70</v>
      </c>
      <c r="D25" s="70">
        <v>144573</v>
      </c>
      <c r="E25" s="70"/>
      <c r="F25" s="70">
        <f t="shared" si="6"/>
        <v>144573</v>
      </c>
      <c r="G25" s="69">
        <v>66</v>
      </c>
      <c r="H25" s="132">
        <v>68945</v>
      </c>
      <c r="I25" s="70"/>
      <c r="J25" s="66">
        <f t="shared" si="5"/>
        <v>68945</v>
      </c>
      <c r="K25" s="67">
        <f t="shared" si="4"/>
        <v>213518</v>
      </c>
    </row>
    <row r="26" spans="1:11" s="43" customFormat="1" ht="15" customHeight="1" x14ac:dyDescent="0.25">
      <c r="A26" s="63">
        <v>9</v>
      </c>
      <c r="B26" s="68" t="s">
        <v>33</v>
      </c>
      <c r="C26" s="69">
        <v>103</v>
      </c>
      <c r="D26" s="70">
        <v>171025</v>
      </c>
      <c r="E26" s="70"/>
      <c r="F26" s="70">
        <f t="shared" si="6"/>
        <v>171025</v>
      </c>
      <c r="G26" s="69">
        <v>109</v>
      </c>
      <c r="H26" s="132">
        <v>86786</v>
      </c>
      <c r="I26" s="70"/>
      <c r="J26" s="66">
        <f t="shared" si="5"/>
        <v>86786</v>
      </c>
      <c r="K26" s="67">
        <f t="shared" si="4"/>
        <v>257811</v>
      </c>
    </row>
    <row r="27" spans="1:11" s="43" customFormat="1" ht="15" customHeight="1" x14ac:dyDescent="0.25">
      <c r="A27" s="63">
        <v>10</v>
      </c>
      <c r="B27" s="68" t="s">
        <v>26</v>
      </c>
      <c r="C27" s="69">
        <v>126</v>
      </c>
      <c r="D27" s="70">
        <v>207358</v>
      </c>
      <c r="E27" s="70"/>
      <c r="F27" s="70">
        <f t="shared" si="6"/>
        <v>207358</v>
      </c>
      <c r="G27" s="69">
        <v>112</v>
      </c>
      <c r="H27" s="132">
        <v>97151</v>
      </c>
      <c r="I27" s="70"/>
      <c r="J27" s="66">
        <f t="shared" si="5"/>
        <v>97151</v>
      </c>
      <c r="K27" s="67">
        <f t="shared" si="4"/>
        <v>304509</v>
      </c>
    </row>
    <row r="28" spans="1:11" s="43" customFormat="1" ht="15" customHeight="1" x14ac:dyDescent="0.25">
      <c r="A28" s="63">
        <v>11</v>
      </c>
      <c r="B28" s="68" t="s">
        <v>30</v>
      </c>
      <c r="C28" s="69">
        <v>100</v>
      </c>
      <c r="D28" s="70">
        <v>177058</v>
      </c>
      <c r="E28" s="70"/>
      <c r="F28" s="70">
        <f t="shared" si="6"/>
        <v>177058</v>
      </c>
      <c r="G28" s="69">
        <v>93</v>
      </c>
      <c r="H28" s="132">
        <v>92138</v>
      </c>
      <c r="I28" s="70"/>
      <c r="J28" s="66">
        <f t="shared" si="5"/>
        <v>92138</v>
      </c>
      <c r="K28" s="67">
        <f t="shared" si="4"/>
        <v>269196</v>
      </c>
    </row>
    <row r="29" spans="1:11" s="43" customFormat="1" ht="15" customHeight="1" x14ac:dyDescent="0.25">
      <c r="A29" s="63">
        <v>12</v>
      </c>
      <c r="B29" s="71" t="s">
        <v>32</v>
      </c>
      <c r="C29" s="69">
        <v>310</v>
      </c>
      <c r="D29" s="70">
        <v>444450</v>
      </c>
      <c r="E29" s="70"/>
      <c r="F29" s="70">
        <f t="shared" si="6"/>
        <v>444450</v>
      </c>
      <c r="G29" s="69">
        <v>319</v>
      </c>
      <c r="H29" s="132">
        <v>232020</v>
      </c>
      <c r="I29" s="70"/>
      <c r="J29" s="66">
        <f t="shared" si="5"/>
        <v>232020</v>
      </c>
      <c r="K29" s="67">
        <f t="shared" si="4"/>
        <v>676470</v>
      </c>
    </row>
    <row r="30" spans="1:11" s="43" customFormat="1" ht="15" customHeight="1" x14ac:dyDescent="0.25">
      <c r="A30" s="63">
        <v>13</v>
      </c>
      <c r="B30" s="72" t="s">
        <v>48</v>
      </c>
      <c r="C30" s="69">
        <v>93</v>
      </c>
      <c r="D30" s="70">
        <v>162473</v>
      </c>
      <c r="E30" s="70"/>
      <c r="F30" s="70">
        <f t="shared" si="6"/>
        <v>162473</v>
      </c>
      <c r="G30" s="69">
        <v>87</v>
      </c>
      <c r="H30" s="132">
        <v>83291</v>
      </c>
      <c r="I30" s="70"/>
      <c r="J30" s="66">
        <f t="shared" si="5"/>
        <v>83291</v>
      </c>
      <c r="K30" s="67">
        <f t="shared" si="4"/>
        <v>245764</v>
      </c>
    </row>
    <row r="31" spans="1:11" s="43" customFormat="1" ht="15" customHeight="1" x14ac:dyDescent="0.25">
      <c r="A31" s="63">
        <v>14</v>
      </c>
      <c r="B31" s="71" t="s">
        <v>27</v>
      </c>
      <c r="C31" s="69">
        <v>110</v>
      </c>
      <c r="D31" s="70">
        <v>174541</v>
      </c>
      <c r="E31" s="70"/>
      <c r="F31" s="70">
        <f t="shared" si="6"/>
        <v>174541</v>
      </c>
      <c r="G31" s="69">
        <v>102</v>
      </c>
      <c r="H31" s="132">
        <v>83389</v>
      </c>
      <c r="I31" s="70"/>
      <c r="J31" s="66">
        <f t="shared" si="5"/>
        <v>83389</v>
      </c>
      <c r="K31" s="67">
        <f t="shared" si="4"/>
        <v>257930</v>
      </c>
    </row>
    <row r="32" spans="1:11" s="43" customFormat="1" ht="15" customHeight="1" x14ac:dyDescent="0.25">
      <c r="A32" s="63">
        <v>15</v>
      </c>
      <c r="B32" s="71" t="s">
        <v>28</v>
      </c>
      <c r="C32" s="69">
        <v>90</v>
      </c>
      <c r="D32" s="70">
        <v>165740</v>
      </c>
      <c r="E32" s="70"/>
      <c r="F32" s="70">
        <f t="shared" si="6"/>
        <v>165740</v>
      </c>
      <c r="G32" s="69">
        <v>90</v>
      </c>
      <c r="H32" s="132">
        <v>88808</v>
      </c>
      <c r="I32" s="70"/>
      <c r="J32" s="66">
        <f t="shared" si="5"/>
        <v>88808</v>
      </c>
      <c r="K32" s="67">
        <f t="shared" si="4"/>
        <v>254548</v>
      </c>
    </row>
    <row r="33" spans="1:11" s="43" customFormat="1" ht="15" customHeight="1" x14ac:dyDescent="0.25">
      <c r="A33" s="63">
        <v>16</v>
      </c>
      <c r="B33" s="68" t="s">
        <v>34</v>
      </c>
      <c r="C33" s="69">
        <v>188</v>
      </c>
      <c r="D33" s="70">
        <v>314961</v>
      </c>
      <c r="E33" s="70">
        <v>1129</v>
      </c>
      <c r="F33" s="70">
        <f t="shared" si="6"/>
        <v>316090</v>
      </c>
      <c r="G33" s="69">
        <v>176</v>
      </c>
      <c r="H33" s="132">
        <v>149377</v>
      </c>
      <c r="I33" s="70">
        <v>484</v>
      </c>
      <c r="J33" s="66">
        <f t="shared" si="5"/>
        <v>149861</v>
      </c>
      <c r="K33" s="67">
        <f t="shared" si="4"/>
        <v>465951</v>
      </c>
    </row>
    <row r="34" spans="1:11" s="43" customFormat="1" ht="15" customHeight="1" x14ac:dyDescent="0.25">
      <c r="A34" s="63">
        <v>17</v>
      </c>
      <c r="B34" s="68" t="s">
        <v>73</v>
      </c>
      <c r="C34" s="69">
        <v>118</v>
      </c>
      <c r="D34" s="70">
        <v>191204</v>
      </c>
      <c r="E34" s="70"/>
      <c r="F34" s="70">
        <f t="shared" si="6"/>
        <v>191204</v>
      </c>
      <c r="G34" s="69">
        <v>102</v>
      </c>
      <c r="H34" s="132">
        <v>95084</v>
      </c>
      <c r="I34" s="70"/>
      <c r="J34" s="66">
        <f t="shared" si="5"/>
        <v>95084</v>
      </c>
      <c r="K34" s="67">
        <f t="shared" si="4"/>
        <v>286288</v>
      </c>
    </row>
    <row r="35" spans="1:11" s="43" customFormat="1" ht="15" customHeight="1" x14ac:dyDescent="0.25">
      <c r="A35" s="63">
        <v>18</v>
      </c>
      <c r="B35" s="68" t="s">
        <v>40</v>
      </c>
      <c r="C35" s="69">
        <v>425</v>
      </c>
      <c r="D35" s="70">
        <v>718604</v>
      </c>
      <c r="E35" s="70"/>
      <c r="F35" s="70">
        <f t="shared" si="6"/>
        <v>718604</v>
      </c>
      <c r="G35" s="69">
        <v>451</v>
      </c>
      <c r="H35" s="132">
        <v>332591</v>
      </c>
      <c r="I35" s="70"/>
      <c r="J35" s="66">
        <f t="shared" si="5"/>
        <v>332591</v>
      </c>
      <c r="K35" s="67">
        <f t="shared" si="4"/>
        <v>1051195</v>
      </c>
    </row>
    <row r="36" spans="1:11" s="43" customFormat="1" ht="15" customHeight="1" x14ac:dyDescent="0.25">
      <c r="A36" s="73">
        <v>19</v>
      </c>
      <c r="B36" s="74" t="s">
        <v>38</v>
      </c>
      <c r="C36" s="75">
        <v>245</v>
      </c>
      <c r="D36" s="76">
        <v>360427</v>
      </c>
      <c r="E36" s="76"/>
      <c r="F36" s="76">
        <f t="shared" si="6"/>
        <v>360427</v>
      </c>
      <c r="G36" s="75">
        <v>234</v>
      </c>
      <c r="H36" s="77">
        <v>171387</v>
      </c>
      <c r="I36" s="76"/>
      <c r="J36" s="76">
        <f t="shared" si="5"/>
        <v>171387</v>
      </c>
      <c r="K36" s="77">
        <f t="shared" si="4"/>
        <v>531814</v>
      </c>
    </row>
    <row r="37" spans="1:11" s="43" customFormat="1" ht="12" x14ac:dyDescent="0.25">
      <c r="D37" s="5"/>
      <c r="E37" s="5"/>
      <c r="F37" s="5"/>
      <c r="H37" s="49"/>
    </row>
    <row r="38" spans="1:11" s="43" customFormat="1" ht="11.4" x14ac:dyDescent="0.2">
      <c r="D38" s="5"/>
      <c r="E38" s="5"/>
      <c r="F38" s="5"/>
    </row>
    <row r="39" spans="1:11" s="43" customFormat="1" ht="11.4" x14ac:dyDescent="0.2">
      <c r="D39" s="5"/>
      <c r="E39" s="5"/>
      <c r="F39" s="5"/>
    </row>
    <row r="40" spans="1:11" s="43" customFormat="1" ht="11.4" x14ac:dyDescent="0.2">
      <c r="D40" s="5"/>
      <c r="E40" s="5"/>
      <c r="F40" s="5"/>
    </row>
    <row r="41" spans="1:11" s="43" customFormat="1" ht="11.4" x14ac:dyDescent="0.2">
      <c r="D41" s="5"/>
      <c r="E41" s="5"/>
      <c r="F41" s="5"/>
    </row>
    <row r="42" spans="1:11" s="43" customFormat="1" ht="11.4" x14ac:dyDescent="0.2">
      <c r="D42" s="5"/>
      <c r="E42" s="5"/>
      <c r="F42" s="5"/>
    </row>
    <row r="43" spans="1:11" s="43" customFormat="1" ht="11.4" x14ac:dyDescent="0.2">
      <c r="D43" s="5"/>
      <c r="E43" s="5"/>
      <c r="F43" s="5"/>
    </row>
    <row r="44" spans="1:11" s="43" customFormat="1" ht="11.4" x14ac:dyDescent="0.2">
      <c r="D44" s="5"/>
      <c r="E44" s="5"/>
      <c r="F44" s="5"/>
    </row>
    <row r="45" spans="1:11" s="43" customFormat="1" ht="11.4" x14ac:dyDescent="0.2">
      <c r="D45" s="5"/>
      <c r="E45" s="5"/>
      <c r="F45" s="5"/>
    </row>
    <row r="46" spans="1:11" s="43" customFormat="1" ht="11.4" x14ac:dyDescent="0.2">
      <c r="D46" s="5"/>
      <c r="E46" s="5"/>
      <c r="F46" s="5"/>
    </row>
    <row r="47" spans="1:11" s="43" customFormat="1" ht="11.4" x14ac:dyDescent="0.2">
      <c r="D47" s="5"/>
      <c r="E47" s="5"/>
      <c r="F47" s="5"/>
    </row>
    <row r="48" spans="1:11" s="43" customFormat="1" ht="11.4" x14ac:dyDescent="0.2">
      <c r="D48" s="5"/>
      <c r="E48" s="5"/>
      <c r="F48" s="5"/>
    </row>
    <row r="49" spans="4:6" s="43" customFormat="1" ht="11.4" x14ac:dyDescent="0.2">
      <c r="D49" s="5"/>
      <c r="E49" s="5"/>
      <c r="F49" s="5"/>
    </row>
    <row r="50" spans="4:6" s="43" customFormat="1" ht="11.4" x14ac:dyDescent="0.2">
      <c r="D50" s="5"/>
      <c r="E50" s="5"/>
      <c r="F50" s="5"/>
    </row>
    <row r="51" spans="4:6" s="43" customFormat="1" ht="11.4" x14ac:dyDescent="0.2">
      <c r="D51" s="5"/>
      <c r="E51" s="5"/>
      <c r="F51" s="5"/>
    </row>
    <row r="52" spans="4:6" s="43" customFormat="1" ht="11.4" x14ac:dyDescent="0.2">
      <c r="D52" s="5"/>
      <c r="E52" s="5"/>
      <c r="F52" s="5"/>
    </row>
    <row r="53" spans="4:6" s="43" customFormat="1" ht="11.4" x14ac:dyDescent="0.2">
      <c r="D53" s="5"/>
      <c r="E53" s="5"/>
      <c r="F53" s="5"/>
    </row>
    <row r="54" spans="4:6" s="43" customFormat="1" ht="11.4" x14ac:dyDescent="0.2">
      <c r="D54" s="5"/>
      <c r="E54" s="5"/>
      <c r="F54" s="5"/>
    </row>
    <row r="55" spans="4:6" s="43" customFormat="1" ht="11.4" x14ac:dyDescent="0.2">
      <c r="D55" s="5"/>
      <c r="E55" s="5"/>
      <c r="F55" s="5"/>
    </row>
    <row r="56" spans="4:6" s="43" customFormat="1" ht="11.4" x14ac:dyDescent="0.2">
      <c r="D56" s="5"/>
      <c r="E56" s="5"/>
      <c r="F56" s="5"/>
    </row>
    <row r="57" spans="4:6" s="43" customFormat="1" ht="11.4" x14ac:dyDescent="0.2">
      <c r="D57" s="5"/>
      <c r="E57" s="5"/>
      <c r="F57" s="5"/>
    </row>
    <row r="58" spans="4:6" s="43" customFormat="1" ht="11.4" x14ac:dyDescent="0.2">
      <c r="D58" s="5"/>
      <c r="E58" s="5"/>
      <c r="F58" s="5"/>
    </row>
    <row r="59" spans="4:6" s="43" customFormat="1" ht="11.4" x14ac:dyDescent="0.2">
      <c r="D59" s="5"/>
      <c r="E59" s="5"/>
      <c r="F59" s="5"/>
    </row>
    <row r="60" spans="4:6" s="43" customFormat="1" ht="11.4" x14ac:dyDescent="0.2">
      <c r="D60" s="5"/>
      <c r="E60" s="5"/>
      <c r="F60" s="5"/>
    </row>
    <row r="61" spans="4:6" s="43" customFormat="1" ht="11.4" x14ac:dyDescent="0.2">
      <c r="D61" s="5"/>
      <c r="E61" s="5"/>
      <c r="F61" s="5"/>
    </row>
    <row r="62" spans="4:6" s="43" customFormat="1" ht="11.4" x14ac:dyDescent="0.2">
      <c r="D62" s="5"/>
      <c r="E62" s="5"/>
      <c r="F62" s="5"/>
    </row>
    <row r="63" spans="4:6" s="43" customFormat="1" ht="11.4" x14ac:dyDescent="0.2">
      <c r="D63" s="5"/>
      <c r="E63" s="5"/>
      <c r="F63" s="5"/>
    </row>
    <row r="64" spans="4:6" s="43" customFormat="1" ht="11.4" x14ac:dyDescent="0.2">
      <c r="D64" s="5"/>
      <c r="E64" s="5"/>
      <c r="F64" s="5"/>
    </row>
    <row r="65" spans="4:6" s="43" customFormat="1" ht="11.4" x14ac:dyDescent="0.2">
      <c r="D65" s="5"/>
      <c r="E65" s="5"/>
      <c r="F65" s="5"/>
    </row>
    <row r="66" spans="4:6" s="43" customFormat="1" ht="11.4" x14ac:dyDescent="0.2">
      <c r="D66" s="5"/>
      <c r="E66" s="5"/>
      <c r="F66" s="5"/>
    </row>
    <row r="67" spans="4:6" s="43" customFormat="1" ht="11.4" x14ac:dyDescent="0.2">
      <c r="D67" s="5"/>
      <c r="E67" s="5"/>
      <c r="F67" s="5"/>
    </row>
    <row r="68" spans="4:6" s="43" customFormat="1" ht="11.4" x14ac:dyDescent="0.2">
      <c r="D68" s="5"/>
      <c r="E68" s="5"/>
      <c r="F68" s="5"/>
    </row>
    <row r="69" spans="4:6" s="43" customFormat="1" ht="11.4" x14ac:dyDescent="0.2">
      <c r="D69" s="5"/>
      <c r="E69" s="5"/>
      <c r="F69" s="5"/>
    </row>
    <row r="70" spans="4:6" s="43" customFormat="1" ht="11.4" x14ac:dyDescent="0.2">
      <c r="D70" s="5"/>
      <c r="E70" s="5"/>
      <c r="F70" s="5"/>
    </row>
    <row r="71" spans="4:6" s="43" customFormat="1" ht="11.4" x14ac:dyDescent="0.2">
      <c r="D71" s="5"/>
      <c r="E71" s="5"/>
      <c r="F71" s="5"/>
    </row>
    <row r="72" spans="4:6" s="43" customFormat="1" ht="11.4" x14ac:dyDescent="0.2">
      <c r="D72" s="5"/>
      <c r="E72" s="5"/>
      <c r="F72" s="5"/>
    </row>
    <row r="73" spans="4:6" s="43" customFormat="1" ht="11.4" x14ac:dyDescent="0.2">
      <c r="D73" s="5"/>
      <c r="E73" s="5"/>
      <c r="F73" s="5"/>
    </row>
    <row r="74" spans="4:6" s="43" customFormat="1" ht="11.4" x14ac:dyDescent="0.2">
      <c r="D74" s="5"/>
      <c r="E74" s="5"/>
      <c r="F74" s="5"/>
    </row>
    <row r="75" spans="4:6" s="43" customFormat="1" ht="11.4" x14ac:dyDescent="0.2">
      <c r="D75" s="5"/>
      <c r="E75" s="5"/>
      <c r="F75" s="5"/>
    </row>
    <row r="76" spans="4:6" s="43" customFormat="1" ht="11.4" x14ac:dyDescent="0.2">
      <c r="D76" s="5"/>
      <c r="E76" s="5"/>
      <c r="F76" s="5"/>
    </row>
    <row r="77" spans="4:6" s="43" customFormat="1" ht="11.4" x14ac:dyDescent="0.2">
      <c r="D77" s="5"/>
      <c r="E77" s="5"/>
      <c r="F77" s="5"/>
    </row>
    <row r="78" spans="4:6" s="43" customFormat="1" ht="11.4" x14ac:dyDescent="0.2">
      <c r="D78" s="5"/>
      <c r="E78" s="5"/>
      <c r="F78" s="5"/>
    </row>
    <row r="79" spans="4:6" s="43" customFormat="1" ht="11.4" x14ac:dyDescent="0.2">
      <c r="D79" s="5"/>
      <c r="E79" s="5"/>
      <c r="F79" s="5"/>
    </row>
    <row r="80" spans="4:6" s="43" customFormat="1" ht="11.4" x14ac:dyDescent="0.2">
      <c r="D80" s="5"/>
      <c r="E80" s="5"/>
      <c r="F80" s="5"/>
    </row>
    <row r="81" spans="4:6" s="43" customFormat="1" ht="11.4" x14ac:dyDescent="0.2">
      <c r="D81" s="5"/>
      <c r="E81" s="5"/>
      <c r="F81" s="5"/>
    </row>
    <row r="82" spans="4:6" s="43" customFormat="1" ht="11.4" x14ac:dyDescent="0.2">
      <c r="D82" s="5"/>
      <c r="E82" s="5"/>
      <c r="F82" s="5"/>
    </row>
    <row r="83" spans="4:6" s="43" customFormat="1" ht="11.4" x14ac:dyDescent="0.2">
      <c r="D83" s="5"/>
      <c r="E83" s="5"/>
      <c r="F83" s="5"/>
    </row>
    <row r="84" spans="4:6" s="43" customFormat="1" ht="11.4" x14ac:dyDescent="0.2">
      <c r="D84" s="5"/>
      <c r="E84" s="5"/>
      <c r="F84" s="5"/>
    </row>
    <row r="85" spans="4:6" s="43" customFormat="1" ht="11.4" x14ac:dyDescent="0.2">
      <c r="D85" s="5"/>
      <c r="E85" s="5"/>
      <c r="F85" s="5"/>
    </row>
    <row r="86" spans="4:6" s="43" customFormat="1" ht="11.4" x14ac:dyDescent="0.2">
      <c r="D86" s="5"/>
      <c r="E86" s="5"/>
      <c r="F86" s="5"/>
    </row>
    <row r="87" spans="4:6" s="43" customFormat="1" ht="11.4" x14ac:dyDescent="0.2">
      <c r="D87" s="5"/>
      <c r="E87" s="5"/>
      <c r="F87" s="5"/>
    </row>
    <row r="88" spans="4:6" s="43" customFormat="1" ht="11.4" x14ac:dyDescent="0.2">
      <c r="D88" s="5"/>
      <c r="E88" s="5"/>
      <c r="F88" s="5"/>
    </row>
    <row r="89" spans="4:6" s="43" customFormat="1" ht="11.4" x14ac:dyDescent="0.2">
      <c r="D89" s="5"/>
      <c r="E89" s="5"/>
      <c r="F89" s="5"/>
    </row>
    <row r="90" spans="4:6" s="43" customFormat="1" ht="11.4" x14ac:dyDescent="0.2">
      <c r="D90" s="5"/>
      <c r="E90" s="5"/>
      <c r="F90" s="5"/>
    </row>
    <row r="91" spans="4:6" s="43" customFormat="1" ht="11.4" x14ac:dyDescent="0.2">
      <c r="D91" s="5"/>
      <c r="E91" s="5"/>
      <c r="F91" s="5"/>
    </row>
    <row r="92" spans="4:6" s="43" customFormat="1" ht="11.4" x14ac:dyDescent="0.2">
      <c r="D92" s="5"/>
      <c r="E92" s="5"/>
      <c r="F92" s="5"/>
    </row>
    <row r="93" spans="4:6" s="43" customFormat="1" ht="11.4" x14ac:dyDescent="0.2">
      <c r="D93" s="5"/>
      <c r="E93" s="5"/>
      <c r="F93" s="5"/>
    </row>
    <row r="94" spans="4:6" s="43" customFormat="1" ht="11.4" x14ac:dyDescent="0.2">
      <c r="D94" s="5"/>
      <c r="E94" s="5"/>
      <c r="F94" s="5"/>
    </row>
    <row r="95" spans="4:6" s="43" customFormat="1" ht="11.4" x14ac:dyDescent="0.2">
      <c r="D95" s="5"/>
      <c r="E95" s="5"/>
      <c r="F95" s="5"/>
    </row>
    <row r="96" spans="4:6" s="43" customFormat="1" ht="11.4" x14ac:dyDescent="0.2">
      <c r="D96" s="5"/>
      <c r="E96" s="5"/>
      <c r="F96" s="5"/>
    </row>
    <row r="97" spans="4:6" s="43" customFormat="1" ht="11.4" x14ac:dyDescent="0.2">
      <c r="D97" s="5"/>
      <c r="E97" s="5"/>
      <c r="F97" s="5"/>
    </row>
    <row r="98" spans="4:6" s="43" customFormat="1" ht="11.4" x14ac:dyDescent="0.2">
      <c r="D98" s="5"/>
      <c r="E98" s="5"/>
      <c r="F98" s="5"/>
    </row>
    <row r="99" spans="4:6" s="43" customFormat="1" ht="11.4" x14ac:dyDescent="0.2">
      <c r="D99" s="5"/>
      <c r="E99" s="5"/>
      <c r="F99" s="5"/>
    </row>
    <row r="100" spans="4:6" s="43" customFormat="1" ht="11.4" x14ac:dyDescent="0.2">
      <c r="D100" s="5"/>
      <c r="E100" s="5"/>
      <c r="F100" s="5"/>
    </row>
    <row r="101" spans="4:6" s="43" customFormat="1" ht="11.4" x14ac:dyDescent="0.2">
      <c r="D101" s="5"/>
      <c r="E101" s="5"/>
      <c r="F101" s="5"/>
    </row>
    <row r="102" spans="4:6" s="43" customFormat="1" ht="11.4" x14ac:dyDescent="0.2">
      <c r="D102" s="5"/>
      <c r="E102" s="5"/>
      <c r="F102" s="5"/>
    </row>
    <row r="103" spans="4:6" s="43" customFormat="1" ht="11.4" x14ac:dyDescent="0.2">
      <c r="D103" s="5"/>
      <c r="E103" s="5"/>
      <c r="F103" s="5"/>
    </row>
    <row r="104" spans="4:6" s="43" customFormat="1" ht="11.4" x14ac:dyDescent="0.2">
      <c r="D104" s="5"/>
      <c r="E104" s="5"/>
      <c r="F104" s="5"/>
    </row>
    <row r="105" spans="4:6" s="43" customFormat="1" ht="11.4" x14ac:dyDescent="0.2">
      <c r="D105" s="5"/>
      <c r="E105" s="5"/>
      <c r="F105" s="5"/>
    </row>
    <row r="106" spans="4:6" s="43" customFormat="1" ht="11.4" x14ac:dyDescent="0.2">
      <c r="D106" s="5"/>
      <c r="E106" s="5"/>
      <c r="F106" s="5"/>
    </row>
    <row r="107" spans="4:6" s="43" customFormat="1" ht="11.4" x14ac:dyDescent="0.2">
      <c r="D107" s="5"/>
      <c r="E107" s="5"/>
      <c r="F107" s="5"/>
    </row>
    <row r="108" spans="4:6" s="43" customFormat="1" ht="11.4" x14ac:dyDescent="0.2">
      <c r="D108" s="5"/>
      <c r="E108" s="5"/>
      <c r="F108" s="5"/>
    </row>
    <row r="109" spans="4:6" s="43" customFormat="1" ht="11.4" x14ac:dyDescent="0.2">
      <c r="D109" s="5"/>
      <c r="E109" s="5"/>
      <c r="F109" s="5"/>
    </row>
    <row r="110" spans="4:6" s="43" customFormat="1" ht="11.4" x14ac:dyDescent="0.2">
      <c r="D110" s="5"/>
      <c r="E110" s="5"/>
      <c r="F110" s="5"/>
    </row>
    <row r="111" spans="4:6" s="43" customFormat="1" ht="11.4" x14ac:dyDescent="0.2">
      <c r="D111" s="5"/>
      <c r="E111" s="5"/>
      <c r="F111" s="5"/>
    </row>
    <row r="112" spans="4:6" s="43" customFormat="1" ht="11.4" x14ac:dyDescent="0.2">
      <c r="D112" s="5"/>
      <c r="E112" s="5"/>
      <c r="F112" s="5"/>
    </row>
    <row r="113" spans="4:6" s="43" customFormat="1" ht="11.4" x14ac:dyDescent="0.2">
      <c r="D113" s="5"/>
      <c r="E113" s="5"/>
      <c r="F113" s="5"/>
    </row>
    <row r="114" spans="4:6" s="43" customFormat="1" ht="11.4" x14ac:dyDescent="0.2">
      <c r="D114" s="5"/>
      <c r="E114" s="5"/>
      <c r="F114" s="5"/>
    </row>
    <row r="115" spans="4:6" s="43" customFormat="1" ht="11.4" x14ac:dyDescent="0.2">
      <c r="D115" s="5"/>
      <c r="E115" s="5"/>
      <c r="F115" s="5"/>
    </row>
    <row r="116" spans="4:6" s="43" customFormat="1" ht="11.4" x14ac:dyDescent="0.2">
      <c r="D116" s="5"/>
      <c r="E116" s="5"/>
      <c r="F116" s="5"/>
    </row>
    <row r="117" spans="4:6" s="43" customFormat="1" ht="11.4" x14ac:dyDescent="0.2">
      <c r="D117" s="5"/>
      <c r="E117" s="5"/>
      <c r="F117" s="5"/>
    </row>
    <row r="118" spans="4:6" s="43" customFormat="1" ht="11.4" x14ac:dyDescent="0.2">
      <c r="D118" s="5"/>
      <c r="E118" s="5"/>
      <c r="F118" s="5"/>
    </row>
    <row r="119" spans="4:6" s="43" customFormat="1" ht="11.4" x14ac:dyDescent="0.2">
      <c r="D119" s="5"/>
      <c r="E119" s="5"/>
      <c r="F119" s="5"/>
    </row>
    <row r="120" spans="4:6" s="43" customFormat="1" ht="11.4" x14ac:dyDescent="0.2">
      <c r="D120" s="5"/>
      <c r="E120" s="5"/>
      <c r="F120" s="5"/>
    </row>
    <row r="121" spans="4:6" s="43" customFormat="1" ht="11.4" x14ac:dyDescent="0.2">
      <c r="D121" s="5"/>
      <c r="E121" s="5"/>
      <c r="F121" s="5"/>
    </row>
    <row r="122" spans="4:6" s="43" customFormat="1" ht="11.4" x14ac:dyDescent="0.2">
      <c r="D122" s="5"/>
      <c r="E122" s="5"/>
      <c r="F122" s="5"/>
    </row>
    <row r="123" spans="4:6" s="43" customFormat="1" ht="11.4" x14ac:dyDescent="0.2">
      <c r="D123" s="5"/>
      <c r="E123" s="5"/>
      <c r="F123" s="5"/>
    </row>
    <row r="124" spans="4:6" s="43" customFormat="1" ht="11.4" x14ac:dyDescent="0.2">
      <c r="D124" s="5"/>
      <c r="E124" s="5"/>
      <c r="F124" s="5"/>
    </row>
    <row r="125" spans="4:6" s="43" customFormat="1" ht="11.4" x14ac:dyDescent="0.2">
      <c r="D125" s="5"/>
      <c r="E125" s="5"/>
      <c r="F125" s="5"/>
    </row>
    <row r="126" spans="4:6" s="43" customFormat="1" ht="11.4" x14ac:dyDescent="0.2">
      <c r="D126" s="5"/>
      <c r="E126" s="5"/>
      <c r="F126" s="5"/>
    </row>
    <row r="127" spans="4:6" s="43" customFormat="1" ht="11.4" x14ac:dyDescent="0.2">
      <c r="D127" s="5"/>
      <c r="E127" s="5"/>
      <c r="F127" s="5"/>
    </row>
    <row r="128" spans="4:6" s="43" customFormat="1" ht="11.4" x14ac:dyDescent="0.2">
      <c r="D128" s="5"/>
      <c r="E128" s="5"/>
      <c r="F128" s="5"/>
    </row>
  </sheetData>
  <mergeCells count="5">
    <mergeCell ref="A7:K7"/>
    <mergeCell ref="A8:K8"/>
    <mergeCell ref="A9:I9"/>
    <mergeCell ref="A11:A14"/>
    <mergeCell ref="B11:B14"/>
  </mergeCells>
  <phoneticPr fontId="21" type="noConversion"/>
  <pageMargins left="0.70866141732283472" right="0.31496062992125984" top="0.74803149606299213" bottom="0.74803149606299213" header="0.31496062992125984" footer="0.31496062992125984"/>
  <pageSetup paperSize="9" scale="60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0CF28-83C7-4B70-9BB3-5B17E0A8EF4F}">
  <sheetPr>
    <pageSetUpPr fitToPage="1"/>
  </sheetPr>
  <dimension ref="A1:L112"/>
  <sheetViews>
    <sheetView topLeftCell="A20" workbookViewId="0">
      <selection activeCell="B7" sqref="B7:L7"/>
    </sheetView>
  </sheetViews>
  <sheetFormatPr defaultRowHeight="13.2" x14ac:dyDescent="0.25"/>
  <cols>
    <col min="1" max="1" width="6.33203125" style="3" customWidth="1"/>
    <col min="2" max="2" width="35.109375" style="3" customWidth="1"/>
    <col min="3" max="4" width="12.6640625" style="109" customWidth="1"/>
    <col min="5" max="8" width="12.6640625" style="3" customWidth="1"/>
    <col min="9" max="9" width="14.5546875" style="3" customWidth="1"/>
    <col min="10" max="11" width="12.6640625" style="3" customWidth="1"/>
    <col min="12" max="12" width="14.6640625" style="3" customWidth="1"/>
    <col min="13" max="13" width="15" style="3" customWidth="1"/>
    <col min="14" max="14" width="14.33203125" style="3" customWidth="1"/>
    <col min="15" max="15" width="12.5546875" style="3" customWidth="1"/>
    <col min="16" max="250" width="9.109375" style="3"/>
    <col min="251" max="251" width="3.88671875" style="3" bestFit="1" customWidth="1"/>
    <col min="252" max="252" width="4.109375" style="3" bestFit="1" customWidth="1"/>
    <col min="253" max="253" width="52.6640625" style="3" customWidth="1"/>
    <col min="254" max="255" width="13.88671875" style="3" customWidth="1"/>
    <col min="256" max="260" width="0" style="3" hidden="1" customWidth="1"/>
    <col min="261" max="261" width="16" style="3" customWidth="1"/>
    <col min="262" max="262" width="13.6640625" style="3" customWidth="1"/>
    <col min="263" max="263" width="13" style="3" customWidth="1"/>
    <col min="264" max="506" width="9.109375" style="3"/>
    <col min="507" max="507" width="3.88671875" style="3" bestFit="1" customWidth="1"/>
    <col min="508" max="508" width="4.109375" style="3" bestFit="1" customWidth="1"/>
    <col min="509" max="509" width="52.6640625" style="3" customWidth="1"/>
    <col min="510" max="511" width="13.88671875" style="3" customWidth="1"/>
    <col min="512" max="516" width="0" style="3" hidden="1" customWidth="1"/>
    <col min="517" max="517" width="16" style="3" customWidth="1"/>
    <col min="518" max="518" width="13.6640625" style="3" customWidth="1"/>
    <col min="519" max="519" width="13" style="3" customWidth="1"/>
    <col min="520" max="762" width="9.109375" style="3"/>
    <col min="763" max="763" width="3.88671875" style="3" bestFit="1" customWidth="1"/>
    <col min="764" max="764" width="4.109375" style="3" bestFit="1" customWidth="1"/>
    <col min="765" max="765" width="52.6640625" style="3" customWidth="1"/>
    <col min="766" max="767" width="13.88671875" style="3" customWidth="1"/>
    <col min="768" max="772" width="0" style="3" hidden="1" customWidth="1"/>
    <col min="773" max="773" width="16" style="3" customWidth="1"/>
    <col min="774" max="774" width="13.6640625" style="3" customWidth="1"/>
    <col min="775" max="775" width="13" style="3" customWidth="1"/>
    <col min="776" max="1018" width="9.109375" style="3"/>
    <col min="1019" max="1019" width="3.88671875" style="3" bestFit="1" customWidth="1"/>
    <col min="1020" max="1020" width="4.109375" style="3" bestFit="1" customWidth="1"/>
    <col min="1021" max="1021" width="52.6640625" style="3" customWidth="1"/>
    <col min="1022" max="1023" width="13.88671875" style="3" customWidth="1"/>
    <col min="1024" max="1028" width="0" style="3" hidden="1" customWidth="1"/>
    <col min="1029" max="1029" width="16" style="3" customWidth="1"/>
    <col min="1030" max="1030" width="13.6640625" style="3" customWidth="1"/>
    <col min="1031" max="1031" width="13" style="3" customWidth="1"/>
    <col min="1032" max="1274" width="9.109375" style="3"/>
    <col min="1275" max="1275" width="3.88671875" style="3" bestFit="1" customWidth="1"/>
    <col min="1276" max="1276" width="4.109375" style="3" bestFit="1" customWidth="1"/>
    <col min="1277" max="1277" width="52.6640625" style="3" customWidth="1"/>
    <col min="1278" max="1279" width="13.88671875" style="3" customWidth="1"/>
    <col min="1280" max="1284" width="0" style="3" hidden="1" customWidth="1"/>
    <col min="1285" max="1285" width="16" style="3" customWidth="1"/>
    <col min="1286" max="1286" width="13.6640625" style="3" customWidth="1"/>
    <col min="1287" max="1287" width="13" style="3" customWidth="1"/>
    <col min="1288" max="1530" width="9.109375" style="3"/>
    <col min="1531" max="1531" width="3.88671875" style="3" bestFit="1" customWidth="1"/>
    <col min="1532" max="1532" width="4.109375" style="3" bestFit="1" customWidth="1"/>
    <col min="1533" max="1533" width="52.6640625" style="3" customWidth="1"/>
    <col min="1534" max="1535" width="13.88671875" style="3" customWidth="1"/>
    <col min="1536" max="1540" width="0" style="3" hidden="1" customWidth="1"/>
    <col min="1541" max="1541" width="16" style="3" customWidth="1"/>
    <col min="1542" max="1542" width="13.6640625" style="3" customWidth="1"/>
    <col min="1543" max="1543" width="13" style="3" customWidth="1"/>
    <col min="1544" max="1786" width="9.109375" style="3"/>
    <col min="1787" max="1787" width="3.88671875" style="3" bestFit="1" customWidth="1"/>
    <col min="1788" max="1788" width="4.109375" style="3" bestFit="1" customWidth="1"/>
    <col min="1789" max="1789" width="52.6640625" style="3" customWidth="1"/>
    <col min="1790" max="1791" width="13.88671875" style="3" customWidth="1"/>
    <col min="1792" max="1796" width="0" style="3" hidden="1" customWidth="1"/>
    <col min="1797" max="1797" width="16" style="3" customWidth="1"/>
    <col min="1798" max="1798" width="13.6640625" style="3" customWidth="1"/>
    <col min="1799" max="1799" width="13" style="3" customWidth="1"/>
    <col min="1800" max="2042" width="9.109375" style="3"/>
    <col min="2043" max="2043" width="3.88671875" style="3" bestFit="1" customWidth="1"/>
    <col min="2044" max="2044" width="4.109375" style="3" bestFit="1" customWidth="1"/>
    <col min="2045" max="2045" width="52.6640625" style="3" customWidth="1"/>
    <col min="2046" max="2047" width="13.88671875" style="3" customWidth="1"/>
    <col min="2048" max="2052" width="0" style="3" hidden="1" customWidth="1"/>
    <col min="2053" max="2053" width="16" style="3" customWidth="1"/>
    <col min="2054" max="2054" width="13.6640625" style="3" customWidth="1"/>
    <col min="2055" max="2055" width="13" style="3" customWidth="1"/>
    <col min="2056" max="2298" width="9.109375" style="3"/>
    <col min="2299" max="2299" width="3.88671875" style="3" bestFit="1" customWidth="1"/>
    <col min="2300" max="2300" width="4.109375" style="3" bestFit="1" customWidth="1"/>
    <col min="2301" max="2301" width="52.6640625" style="3" customWidth="1"/>
    <col min="2302" max="2303" width="13.88671875" style="3" customWidth="1"/>
    <col min="2304" max="2308" width="0" style="3" hidden="1" customWidth="1"/>
    <col min="2309" max="2309" width="16" style="3" customWidth="1"/>
    <col min="2310" max="2310" width="13.6640625" style="3" customWidth="1"/>
    <col min="2311" max="2311" width="13" style="3" customWidth="1"/>
    <col min="2312" max="2554" width="9.109375" style="3"/>
    <col min="2555" max="2555" width="3.88671875" style="3" bestFit="1" customWidth="1"/>
    <col min="2556" max="2556" width="4.109375" style="3" bestFit="1" customWidth="1"/>
    <col min="2557" max="2557" width="52.6640625" style="3" customWidth="1"/>
    <col min="2558" max="2559" width="13.88671875" style="3" customWidth="1"/>
    <col min="2560" max="2564" width="0" style="3" hidden="1" customWidth="1"/>
    <col min="2565" max="2565" width="16" style="3" customWidth="1"/>
    <col min="2566" max="2566" width="13.6640625" style="3" customWidth="1"/>
    <col min="2567" max="2567" width="13" style="3" customWidth="1"/>
    <col min="2568" max="2810" width="9.109375" style="3"/>
    <col min="2811" max="2811" width="3.88671875" style="3" bestFit="1" customWidth="1"/>
    <col min="2812" max="2812" width="4.109375" style="3" bestFit="1" customWidth="1"/>
    <col min="2813" max="2813" width="52.6640625" style="3" customWidth="1"/>
    <col min="2814" max="2815" width="13.88671875" style="3" customWidth="1"/>
    <col min="2816" max="2820" width="0" style="3" hidden="1" customWidth="1"/>
    <col min="2821" max="2821" width="16" style="3" customWidth="1"/>
    <col min="2822" max="2822" width="13.6640625" style="3" customWidth="1"/>
    <col min="2823" max="2823" width="13" style="3" customWidth="1"/>
    <col min="2824" max="3066" width="9.109375" style="3"/>
    <col min="3067" max="3067" width="3.88671875" style="3" bestFit="1" customWidth="1"/>
    <col min="3068" max="3068" width="4.109375" style="3" bestFit="1" customWidth="1"/>
    <col min="3069" max="3069" width="52.6640625" style="3" customWidth="1"/>
    <col min="3070" max="3071" width="13.88671875" style="3" customWidth="1"/>
    <col min="3072" max="3076" width="0" style="3" hidden="1" customWidth="1"/>
    <col min="3077" max="3077" width="16" style="3" customWidth="1"/>
    <col min="3078" max="3078" width="13.6640625" style="3" customWidth="1"/>
    <col min="3079" max="3079" width="13" style="3" customWidth="1"/>
    <col min="3080" max="3322" width="9.109375" style="3"/>
    <col min="3323" max="3323" width="3.88671875" style="3" bestFit="1" customWidth="1"/>
    <col min="3324" max="3324" width="4.109375" style="3" bestFit="1" customWidth="1"/>
    <col min="3325" max="3325" width="52.6640625" style="3" customWidth="1"/>
    <col min="3326" max="3327" width="13.88671875" style="3" customWidth="1"/>
    <col min="3328" max="3332" width="0" style="3" hidden="1" customWidth="1"/>
    <col min="3333" max="3333" width="16" style="3" customWidth="1"/>
    <col min="3334" max="3334" width="13.6640625" style="3" customWidth="1"/>
    <col min="3335" max="3335" width="13" style="3" customWidth="1"/>
    <col min="3336" max="3578" width="9.109375" style="3"/>
    <col min="3579" max="3579" width="3.88671875" style="3" bestFit="1" customWidth="1"/>
    <col min="3580" max="3580" width="4.109375" style="3" bestFit="1" customWidth="1"/>
    <col min="3581" max="3581" width="52.6640625" style="3" customWidth="1"/>
    <col min="3582" max="3583" width="13.88671875" style="3" customWidth="1"/>
    <col min="3584" max="3588" width="0" style="3" hidden="1" customWidth="1"/>
    <col min="3589" max="3589" width="16" style="3" customWidth="1"/>
    <col min="3590" max="3590" width="13.6640625" style="3" customWidth="1"/>
    <col min="3591" max="3591" width="13" style="3" customWidth="1"/>
    <col min="3592" max="3834" width="9.109375" style="3"/>
    <col min="3835" max="3835" width="3.88671875" style="3" bestFit="1" customWidth="1"/>
    <col min="3836" max="3836" width="4.109375" style="3" bestFit="1" customWidth="1"/>
    <col min="3837" max="3837" width="52.6640625" style="3" customWidth="1"/>
    <col min="3838" max="3839" width="13.88671875" style="3" customWidth="1"/>
    <col min="3840" max="3844" width="0" style="3" hidden="1" customWidth="1"/>
    <col min="3845" max="3845" width="16" style="3" customWidth="1"/>
    <col min="3846" max="3846" width="13.6640625" style="3" customWidth="1"/>
    <col min="3847" max="3847" width="13" style="3" customWidth="1"/>
    <col min="3848" max="4090" width="9.109375" style="3"/>
    <col min="4091" max="4091" width="3.88671875" style="3" bestFit="1" customWidth="1"/>
    <col min="4092" max="4092" width="4.109375" style="3" bestFit="1" customWidth="1"/>
    <col min="4093" max="4093" width="52.6640625" style="3" customWidth="1"/>
    <col min="4094" max="4095" width="13.88671875" style="3" customWidth="1"/>
    <col min="4096" max="4100" width="0" style="3" hidden="1" customWidth="1"/>
    <col min="4101" max="4101" width="16" style="3" customWidth="1"/>
    <col min="4102" max="4102" width="13.6640625" style="3" customWidth="1"/>
    <col min="4103" max="4103" width="13" style="3" customWidth="1"/>
    <col min="4104" max="4346" width="9.109375" style="3"/>
    <col min="4347" max="4347" width="3.88671875" style="3" bestFit="1" customWidth="1"/>
    <col min="4348" max="4348" width="4.109375" style="3" bestFit="1" customWidth="1"/>
    <col min="4349" max="4349" width="52.6640625" style="3" customWidth="1"/>
    <col min="4350" max="4351" width="13.88671875" style="3" customWidth="1"/>
    <col min="4352" max="4356" width="0" style="3" hidden="1" customWidth="1"/>
    <col min="4357" max="4357" width="16" style="3" customWidth="1"/>
    <col min="4358" max="4358" width="13.6640625" style="3" customWidth="1"/>
    <col min="4359" max="4359" width="13" style="3" customWidth="1"/>
    <col min="4360" max="4602" width="9.109375" style="3"/>
    <col min="4603" max="4603" width="3.88671875" style="3" bestFit="1" customWidth="1"/>
    <col min="4604" max="4604" width="4.109375" style="3" bestFit="1" customWidth="1"/>
    <col min="4605" max="4605" width="52.6640625" style="3" customWidth="1"/>
    <col min="4606" max="4607" width="13.88671875" style="3" customWidth="1"/>
    <col min="4608" max="4612" width="0" style="3" hidden="1" customWidth="1"/>
    <col min="4613" max="4613" width="16" style="3" customWidth="1"/>
    <col min="4614" max="4614" width="13.6640625" style="3" customWidth="1"/>
    <col min="4615" max="4615" width="13" style="3" customWidth="1"/>
    <col min="4616" max="4858" width="9.109375" style="3"/>
    <col min="4859" max="4859" width="3.88671875" style="3" bestFit="1" customWidth="1"/>
    <col min="4860" max="4860" width="4.109375" style="3" bestFit="1" customWidth="1"/>
    <col min="4861" max="4861" width="52.6640625" style="3" customWidth="1"/>
    <col min="4862" max="4863" width="13.88671875" style="3" customWidth="1"/>
    <col min="4864" max="4868" width="0" style="3" hidden="1" customWidth="1"/>
    <col min="4869" max="4869" width="16" style="3" customWidth="1"/>
    <col min="4870" max="4870" width="13.6640625" style="3" customWidth="1"/>
    <col min="4871" max="4871" width="13" style="3" customWidth="1"/>
    <col min="4872" max="5114" width="9.109375" style="3"/>
    <col min="5115" max="5115" width="3.88671875" style="3" bestFit="1" customWidth="1"/>
    <col min="5116" max="5116" width="4.109375" style="3" bestFit="1" customWidth="1"/>
    <col min="5117" max="5117" width="52.6640625" style="3" customWidth="1"/>
    <col min="5118" max="5119" width="13.88671875" style="3" customWidth="1"/>
    <col min="5120" max="5124" width="0" style="3" hidden="1" customWidth="1"/>
    <col min="5125" max="5125" width="16" style="3" customWidth="1"/>
    <col min="5126" max="5126" width="13.6640625" style="3" customWidth="1"/>
    <col min="5127" max="5127" width="13" style="3" customWidth="1"/>
    <col min="5128" max="5370" width="9.109375" style="3"/>
    <col min="5371" max="5371" width="3.88671875" style="3" bestFit="1" customWidth="1"/>
    <col min="5372" max="5372" width="4.109375" style="3" bestFit="1" customWidth="1"/>
    <col min="5373" max="5373" width="52.6640625" style="3" customWidth="1"/>
    <col min="5374" max="5375" width="13.88671875" style="3" customWidth="1"/>
    <col min="5376" max="5380" width="0" style="3" hidden="1" customWidth="1"/>
    <col min="5381" max="5381" width="16" style="3" customWidth="1"/>
    <col min="5382" max="5382" width="13.6640625" style="3" customWidth="1"/>
    <col min="5383" max="5383" width="13" style="3" customWidth="1"/>
    <col min="5384" max="5626" width="9.109375" style="3"/>
    <col min="5627" max="5627" width="3.88671875" style="3" bestFit="1" customWidth="1"/>
    <col min="5628" max="5628" width="4.109375" style="3" bestFit="1" customWidth="1"/>
    <col min="5629" max="5629" width="52.6640625" style="3" customWidth="1"/>
    <col min="5630" max="5631" width="13.88671875" style="3" customWidth="1"/>
    <col min="5632" max="5636" width="0" style="3" hidden="1" customWidth="1"/>
    <col min="5637" max="5637" width="16" style="3" customWidth="1"/>
    <col min="5638" max="5638" width="13.6640625" style="3" customWidth="1"/>
    <col min="5639" max="5639" width="13" style="3" customWidth="1"/>
    <col min="5640" max="5882" width="9.109375" style="3"/>
    <col min="5883" max="5883" width="3.88671875" style="3" bestFit="1" customWidth="1"/>
    <col min="5884" max="5884" width="4.109375" style="3" bestFit="1" customWidth="1"/>
    <col min="5885" max="5885" width="52.6640625" style="3" customWidth="1"/>
    <col min="5886" max="5887" width="13.88671875" style="3" customWidth="1"/>
    <col min="5888" max="5892" width="0" style="3" hidden="1" customWidth="1"/>
    <col min="5893" max="5893" width="16" style="3" customWidth="1"/>
    <col min="5894" max="5894" width="13.6640625" style="3" customWidth="1"/>
    <col min="5895" max="5895" width="13" style="3" customWidth="1"/>
    <col min="5896" max="6138" width="9.109375" style="3"/>
    <col min="6139" max="6139" width="3.88671875" style="3" bestFit="1" customWidth="1"/>
    <col min="6140" max="6140" width="4.109375" style="3" bestFit="1" customWidth="1"/>
    <col min="6141" max="6141" width="52.6640625" style="3" customWidth="1"/>
    <col min="6142" max="6143" width="13.88671875" style="3" customWidth="1"/>
    <col min="6144" max="6148" width="0" style="3" hidden="1" customWidth="1"/>
    <col min="6149" max="6149" width="16" style="3" customWidth="1"/>
    <col min="6150" max="6150" width="13.6640625" style="3" customWidth="1"/>
    <col min="6151" max="6151" width="13" style="3" customWidth="1"/>
    <col min="6152" max="6394" width="9.109375" style="3"/>
    <col min="6395" max="6395" width="3.88671875" style="3" bestFit="1" customWidth="1"/>
    <col min="6396" max="6396" width="4.109375" style="3" bestFit="1" customWidth="1"/>
    <col min="6397" max="6397" width="52.6640625" style="3" customWidth="1"/>
    <col min="6398" max="6399" width="13.88671875" style="3" customWidth="1"/>
    <col min="6400" max="6404" width="0" style="3" hidden="1" customWidth="1"/>
    <col min="6405" max="6405" width="16" style="3" customWidth="1"/>
    <col min="6406" max="6406" width="13.6640625" style="3" customWidth="1"/>
    <col min="6407" max="6407" width="13" style="3" customWidth="1"/>
    <col min="6408" max="6650" width="9.109375" style="3"/>
    <col min="6651" max="6651" width="3.88671875" style="3" bestFit="1" customWidth="1"/>
    <col min="6652" max="6652" width="4.109375" style="3" bestFit="1" customWidth="1"/>
    <col min="6653" max="6653" width="52.6640625" style="3" customWidth="1"/>
    <col min="6654" max="6655" width="13.88671875" style="3" customWidth="1"/>
    <col min="6656" max="6660" width="0" style="3" hidden="1" customWidth="1"/>
    <col min="6661" max="6661" width="16" style="3" customWidth="1"/>
    <col min="6662" max="6662" width="13.6640625" style="3" customWidth="1"/>
    <col min="6663" max="6663" width="13" style="3" customWidth="1"/>
    <col min="6664" max="6906" width="9.109375" style="3"/>
    <col min="6907" max="6907" width="3.88671875" style="3" bestFit="1" customWidth="1"/>
    <col min="6908" max="6908" width="4.109375" style="3" bestFit="1" customWidth="1"/>
    <col min="6909" max="6909" width="52.6640625" style="3" customWidth="1"/>
    <col min="6910" max="6911" width="13.88671875" style="3" customWidth="1"/>
    <col min="6912" max="6916" width="0" style="3" hidden="1" customWidth="1"/>
    <col min="6917" max="6917" width="16" style="3" customWidth="1"/>
    <col min="6918" max="6918" width="13.6640625" style="3" customWidth="1"/>
    <col min="6919" max="6919" width="13" style="3" customWidth="1"/>
    <col min="6920" max="7162" width="9.109375" style="3"/>
    <col min="7163" max="7163" width="3.88671875" style="3" bestFit="1" customWidth="1"/>
    <col min="7164" max="7164" width="4.109375" style="3" bestFit="1" customWidth="1"/>
    <col min="7165" max="7165" width="52.6640625" style="3" customWidth="1"/>
    <col min="7166" max="7167" width="13.88671875" style="3" customWidth="1"/>
    <col min="7168" max="7172" width="0" style="3" hidden="1" customWidth="1"/>
    <col min="7173" max="7173" width="16" style="3" customWidth="1"/>
    <col min="7174" max="7174" width="13.6640625" style="3" customWidth="1"/>
    <col min="7175" max="7175" width="13" style="3" customWidth="1"/>
    <col min="7176" max="7418" width="9.109375" style="3"/>
    <col min="7419" max="7419" width="3.88671875" style="3" bestFit="1" customWidth="1"/>
    <col min="7420" max="7420" width="4.109375" style="3" bestFit="1" customWidth="1"/>
    <col min="7421" max="7421" width="52.6640625" style="3" customWidth="1"/>
    <col min="7422" max="7423" width="13.88671875" style="3" customWidth="1"/>
    <col min="7424" max="7428" width="0" style="3" hidden="1" customWidth="1"/>
    <col min="7429" max="7429" width="16" style="3" customWidth="1"/>
    <col min="7430" max="7430" width="13.6640625" style="3" customWidth="1"/>
    <col min="7431" max="7431" width="13" style="3" customWidth="1"/>
    <col min="7432" max="7674" width="9.109375" style="3"/>
    <col min="7675" max="7675" width="3.88671875" style="3" bestFit="1" customWidth="1"/>
    <col min="7676" max="7676" width="4.109375" style="3" bestFit="1" customWidth="1"/>
    <col min="7677" max="7677" width="52.6640625" style="3" customWidth="1"/>
    <col min="7678" max="7679" width="13.88671875" style="3" customWidth="1"/>
    <col min="7680" max="7684" width="0" style="3" hidden="1" customWidth="1"/>
    <col min="7685" max="7685" width="16" style="3" customWidth="1"/>
    <col min="7686" max="7686" width="13.6640625" style="3" customWidth="1"/>
    <col min="7687" max="7687" width="13" style="3" customWidth="1"/>
    <col min="7688" max="7930" width="9.109375" style="3"/>
    <col min="7931" max="7931" width="3.88671875" style="3" bestFit="1" customWidth="1"/>
    <col min="7932" max="7932" width="4.109375" style="3" bestFit="1" customWidth="1"/>
    <col min="7933" max="7933" width="52.6640625" style="3" customWidth="1"/>
    <col min="7934" max="7935" width="13.88671875" style="3" customWidth="1"/>
    <col min="7936" max="7940" width="0" style="3" hidden="1" customWidth="1"/>
    <col min="7941" max="7941" width="16" style="3" customWidth="1"/>
    <col min="7942" max="7942" width="13.6640625" style="3" customWidth="1"/>
    <col min="7943" max="7943" width="13" style="3" customWidth="1"/>
    <col min="7944" max="8186" width="9.109375" style="3"/>
    <col min="8187" max="8187" width="3.88671875" style="3" bestFit="1" customWidth="1"/>
    <col min="8188" max="8188" width="4.109375" style="3" bestFit="1" customWidth="1"/>
    <col min="8189" max="8189" width="52.6640625" style="3" customWidth="1"/>
    <col min="8190" max="8191" width="13.88671875" style="3" customWidth="1"/>
    <col min="8192" max="8196" width="0" style="3" hidden="1" customWidth="1"/>
    <col min="8197" max="8197" width="16" style="3" customWidth="1"/>
    <col min="8198" max="8198" width="13.6640625" style="3" customWidth="1"/>
    <col min="8199" max="8199" width="13" style="3" customWidth="1"/>
    <col min="8200" max="8442" width="9.109375" style="3"/>
    <col min="8443" max="8443" width="3.88671875" style="3" bestFit="1" customWidth="1"/>
    <col min="8444" max="8444" width="4.109375" style="3" bestFit="1" customWidth="1"/>
    <col min="8445" max="8445" width="52.6640625" style="3" customWidth="1"/>
    <col min="8446" max="8447" width="13.88671875" style="3" customWidth="1"/>
    <col min="8448" max="8452" width="0" style="3" hidden="1" customWidth="1"/>
    <col min="8453" max="8453" width="16" style="3" customWidth="1"/>
    <col min="8454" max="8454" width="13.6640625" style="3" customWidth="1"/>
    <col min="8455" max="8455" width="13" style="3" customWidth="1"/>
    <col min="8456" max="8698" width="9.109375" style="3"/>
    <col min="8699" max="8699" width="3.88671875" style="3" bestFit="1" customWidth="1"/>
    <col min="8700" max="8700" width="4.109375" style="3" bestFit="1" customWidth="1"/>
    <col min="8701" max="8701" width="52.6640625" style="3" customWidth="1"/>
    <col min="8702" max="8703" width="13.88671875" style="3" customWidth="1"/>
    <col min="8704" max="8708" width="0" style="3" hidden="1" customWidth="1"/>
    <col min="8709" max="8709" width="16" style="3" customWidth="1"/>
    <col min="8710" max="8710" width="13.6640625" style="3" customWidth="1"/>
    <col min="8711" max="8711" width="13" style="3" customWidth="1"/>
    <col min="8712" max="8954" width="9.109375" style="3"/>
    <col min="8955" max="8955" width="3.88671875" style="3" bestFit="1" customWidth="1"/>
    <col min="8956" max="8956" width="4.109375" style="3" bestFit="1" customWidth="1"/>
    <col min="8957" max="8957" width="52.6640625" style="3" customWidth="1"/>
    <col min="8958" max="8959" width="13.88671875" style="3" customWidth="1"/>
    <col min="8960" max="8964" width="0" style="3" hidden="1" customWidth="1"/>
    <col min="8965" max="8965" width="16" style="3" customWidth="1"/>
    <col min="8966" max="8966" width="13.6640625" style="3" customWidth="1"/>
    <col min="8967" max="8967" width="13" style="3" customWidth="1"/>
    <col min="8968" max="9210" width="9.109375" style="3"/>
    <col min="9211" max="9211" width="3.88671875" style="3" bestFit="1" customWidth="1"/>
    <col min="9212" max="9212" width="4.109375" style="3" bestFit="1" customWidth="1"/>
    <col min="9213" max="9213" width="52.6640625" style="3" customWidth="1"/>
    <col min="9214" max="9215" width="13.88671875" style="3" customWidth="1"/>
    <col min="9216" max="9220" width="0" style="3" hidden="1" customWidth="1"/>
    <col min="9221" max="9221" width="16" style="3" customWidth="1"/>
    <col min="9222" max="9222" width="13.6640625" style="3" customWidth="1"/>
    <col min="9223" max="9223" width="13" style="3" customWidth="1"/>
    <col min="9224" max="9466" width="9.109375" style="3"/>
    <col min="9467" max="9467" width="3.88671875" style="3" bestFit="1" customWidth="1"/>
    <col min="9468" max="9468" width="4.109375" style="3" bestFit="1" customWidth="1"/>
    <col min="9469" max="9469" width="52.6640625" style="3" customWidth="1"/>
    <col min="9470" max="9471" width="13.88671875" style="3" customWidth="1"/>
    <col min="9472" max="9476" width="0" style="3" hidden="1" customWidth="1"/>
    <col min="9477" max="9477" width="16" style="3" customWidth="1"/>
    <col min="9478" max="9478" width="13.6640625" style="3" customWidth="1"/>
    <col min="9479" max="9479" width="13" style="3" customWidth="1"/>
    <col min="9480" max="9722" width="9.109375" style="3"/>
    <col min="9723" max="9723" width="3.88671875" style="3" bestFit="1" customWidth="1"/>
    <col min="9724" max="9724" width="4.109375" style="3" bestFit="1" customWidth="1"/>
    <col min="9725" max="9725" width="52.6640625" style="3" customWidth="1"/>
    <col min="9726" max="9727" width="13.88671875" style="3" customWidth="1"/>
    <col min="9728" max="9732" width="0" style="3" hidden="1" customWidth="1"/>
    <col min="9733" max="9733" width="16" style="3" customWidth="1"/>
    <col min="9734" max="9734" width="13.6640625" style="3" customWidth="1"/>
    <col min="9735" max="9735" width="13" style="3" customWidth="1"/>
    <col min="9736" max="9978" width="9.109375" style="3"/>
    <col min="9979" max="9979" width="3.88671875" style="3" bestFit="1" customWidth="1"/>
    <col min="9980" max="9980" width="4.109375" style="3" bestFit="1" customWidth="1"/>
    <col min="9981" max="9981" width="52.6640625" style="3" customWidth="1"/>
    <col min="9982" max="9983" width="13.88671875" style="3" customWidth="1"/>
    <col min="9984" max="9988" width="0" style="3" hidden="1" customWidth="1"/>
    <col min="9989" max="9989" width="16" style="3" customWidth="1"/>
    <col min="9990" max="9990" width="13.6640625" style="3" customWidth="1"/>
    <col min="9991" max="9991" width="13" style="3" customWidth="1"/>
    <col min="9992" max="10234" width="9.109375" style="3"/>
    <col min="10235" max="10235" width="3.88671875" style="3" bestFit="1" customWidth="1"/>
    <col min="10236" max="10236" width="4.109375" style="3" bestFit="1" customWidth="1"/>
    <col min="10237" max="10237" width="52.6640625" style="3" customWidth="1"/>
    <col min="10238" max="10239" width="13.88671875" style="3" customWidth="1"/>
    <col min="10240" max="10244" width="0" style="3" hidden="1" customWidth="1"/>
    <col min="10245" max="10245" width="16" style="3" customWidth="1"/>
    <col min="10246" max="10246" width="13.6640625" style="3" customWidth="1"/>
    <col min="10247" max="10247" width="13" style="3" customWidth="1"/>
    <col min="10248" max="10490" width="9.109375" style="3"/>
    <col min="10491" max="10491" width="3.88671875" style="3" bestFit="1" customWidth="1"/>
    <col min="10492" max="10492" width="4.109375" style="3" bestFit="1" customWidth="1"/>
    <col min="10493" max="10493" width="52.6640625" style="3" customWidth="1"/>
    <col min="10494" max="10495" width="13.88671875" style="3" customWidth="1"/>
    <col min="10496" max="10500" width="0" style="3" hidden="1" customWidth="1"/>
    <col min="10501" max="10501" width="16" style="3" customWidth="1"/>
    <col min="10502" max="10502" width="13.6640625" style="3" customWidth="1"/>
    <col min="10503" max="10503" width="13" style="3" customWidth="1"/>
    <col min="10504" max="10746" width="9.109375" style="3"/>
    <col min="10747" max="10747" width="3.88671875" style="3" bestFit="1" customWidth="1"/>
    <col min="10748" max="10748" width="4.109375" style="3" bestFit="1" customWidth="1"/>
    <col min="10749" max="10749" width="52.6640625" style="3" customWidth="1"/>
    <col min="10750" max="10751" width="13.88671875" style="3" customWidth="1"/>
    <col min="10752" max="10756" width="0" style="3" hidden="1" customWidth="1"/>
    <col min="10757" max="10757" width="16" style="3" customWidth="1"/>
    <col min="10758" max="10758" width="13.6640625" style="3" customWidth="1"/>
    <col min="10759" max="10759" width="13" style="3" customWidth="1"/>
    <col min="10760" max="11002" width="9.109375" style="3"/>
    <col min="11003" max="11003" width="3.88671875" style="3" bestFit="1" customWidth="1"/>
    <col min="11004" max="11004" width="4.109375" style="3" bestFit="1" customWidth="1"/>
    <col min="11005" max="11005" width="52.6640625" style="3" customWidth="1"/>
    <col min="11006" max="11007" width="13.88671875" style="3" customWidth="1"/>
    <col min="11008" max="11012" width="0" style="3" hidden="1" customWidth="1"/>
    <col min="11013" max="11013" width="16" style="3" customWidth="1"/>
    <col min="11014" max="11014" width="13.6640625" style="3" customWidth="1"/>
    <col min="11015" max="11015" width="13" style="3" customWidth="1"/>
    <col min="11016" max="11258" width="9.109375" style="3"/>
    <col min="11259" max="11259" width="3.88671875" style="3" bestFit="1" customWidth="1"/>
    <col min="11260" max="11260" width="4.109375" style="3" bestFit="1" customWidth="1"/>
    <col min="11261" max="11261" width="52.6640625" style="3" customWidth="1"/>
    <col min="11262" max="11263" width="13.88671875" style="3" customWidth="1"/>
    <col min="11264" max="11268" width="0" style="3" hidden="1" customWidth="1"/>
    <col min="11269" max="11269" width="16" style="3" customWidth="1"/>
    <col min="11270" max="11270" width="13.6640625" style="3" customWidth="1"/>
    <col min="11271" max="11271" width="13" style="3" customWidth="1"/>
    <col min="11272" max="11514" width="9.109375" style="3"/>
    <col min="11515" max="11515" width="3.88671875" style="3" bestFit="1" customWidth="1"/>
    <col min="11516" max="11516" width="4.109375" style="3" bestFit="1" customWidth="1"/>
    <col min="11517" max="11517" width="52.6640625" style="3" customWidth="1"/>
    <col min="11518" max="11519" width="13.88671875" style="3" customWidth="1"/>
    <col min="11520" max="11524" width="0" style="3" hidden="1" customWidth="1"/>
    <col min="11525" max="11525" width="16" style="3" customWidth="1"/>
    <col min="11526" max="11526" width="13.6640625" style="3" customWidth="1"/>
    <col min="11527" max="11527" width="13" style="3" customWidth="1"/>
    <col min="11528" max="11770" width="9.109375" style="3"/>
    <col min="11771" max="11771" width="3.88671875" style="3" bestFit="1" customWidth="1"/>
    <col min="11772" max="11772" width="4.109375" style="3" bestFit="1" customWidth="1"/>
    <col min="11773" max="11773" width="52.6640625" style="3" customWidth="1"/>
    <col min="11774" max="11775" width="13.88671875" style="3" customWidth="1"/>
    <col min="11776" max="11780" width="0" style="3" hidden="1" customWidth="1"/>
    <col min="11781" max="11781" width="16" style="3" customWidth="1"/>
    <col min="11782" max="11782" width="13.6640625" style="3" customWidth="1"/>
    <col min="11783" max="11783" width="13" style="3" customWidth="1"/>
    <col min="11784" max="12026" width="9.109375" style="3"/>
    <col min="12027" max="12027" width="3.88671875" style="3" bestFit="1" customWidth="1"/>
    <col min="12028" max="12028" width="4.109375" style="3" bestFit="1" customWidth="1"/>
    <col min="12029" max="12029" width="52.6640625" style="3" customWidth="1"/>
    <col min="12030" max="12031" width="13.88671875" style="3" customWidth="1"/>
    <col min="12032" max="12036" width="0" style="3" hidden="1" customWidth="1"/>
    <col min="12037" max="12037" width="16" style="3" customWidth="1"/>
    <col min="12038" max="12038" width="13.6640625" style="3" customWidth="1"/>
    <col min="12039" max="12039" width="13" style="3" customWidth="1"/>
    <col min="12040" max="12282" width="9.109375" style="3"/>
    <col min="12283" max="12283" width="3.88671875" style="3" bestFit="1" customWidth="1"/>
    <col min="12284" max="12284" width="4.109375" style="3" bestFit="1" customWidth="1"/>
    <col min="12285" max="12285" width="52.6640625" style="3" customWidth="1"/>
    <col min="12286" max="12287" width="13.88671875" style="3" customWidth="1"/>
    <col min="12288" max="12292" width="0" style="3" hidden="1" customWidth="1"/>
    <col min="12293" max="12293" width="16" style="3" customWidth="1"/>
    <col min="12294" max="12294" width="13.6640625" style="3" customWidth="1"/>
    <col min="12295" max="12295" width="13" style="3" customWidth="1"/>
    <col min="12296" max="12538" width="9.109375" style="3"/>
    <col min="12539" max="12539" width="3.88671875" style="3" bestFit="1" customWidth="1"/>
    <col min="12540" max="12540" width="4.109375" style="3" bestFit="1" customWidth="1"/>
    <col min="12541" max="12541" width="52.6640625" style="3" customWidth="1"/>
    <col min="12542" max="12543" width="13.88671875" style="3" customWidth="1"/>
    <col min="12544" max="12548" width="0" style="3" hidden="1" customWidth="1"/>
    <col min="12549" max="12549" width="16" style="3" customWidth="1"/>
    <col min="12550" max="12550" width="13.6640625" style="3" customWidth="1"/>
    <col min="12551" max="12551" width="13" style="3" customWidth="1"/>
    <col min="12552" max="12794" width="9.109375" style="3"/>
    <col min="12795" max="12795" width="3.88671875" style="3" bestFit="1" customWidth="1"/>
    <col min="12796" max="12796" width="4.109375" style="3" bestFit="1" customWidth="1"/>
    <col min="12797" max="12797" width="52.6640625" style="3" customWidth="1"/>
    <col min="12798" max="12799" width="13.88671875" style="3" customWidth="1"/>
    <col min="12800" max="12804" width="0" style="3" hidden="1" customWidth="1"/>
    <col min="12805" max="12805" width="16" style="3" customWidth="1"/>
    <col min="12806" max="12806" width="13.6640625" style="3" customWidth="1"/>
    <col min="12807" max="12807" width="13" style="3" customWidth="1"/>
    <col min="12808" max="13050" width="9.109375" style="3"/>
    <col min="13051" max="13051" width="3.88671875" style="3" bestFit="1" customWidth="1"/>
    <col min="13052" max="13052" width="4.109375" style="3" bestFit="1" customWidth="1"/>
    <col min="13053" max="13053" width="52.6640625" style="3" customWidth="1"/>
    <col min="13054" max="13055" width="13.88671875" style="3" customWidth="1"/>
    <col min="13056" max="13060" width="0" style="3" hidden="1" customWidth="1"/>
    <col min="13061" max="13061" width="16" style="3" customWidth="1"/>
    <col min="13062" max="13062" width="13.6640625" style="3" customWidth="1"/>
    <col min="13063" max="13063" width="13" style="3" customWidth="1"/>
    <col min="13064" max="13306" width="9.109375" style="3"/>
    <col min="13307" max="13307" width="3.88671875" style="3" bestFit="1" customWidth="1"/>
    <col min="13308" max="13308" width="4.109375" style="3" bestFit="1" customWidth="1"/>
    <col min="13309" max="13309" width="52.6640625" style="3" customWidth="1"/>
    <col min="13310" max="13311" width="13.88671875" style="3" customWidth="1"/>
    <col min="13312" max="13316" width="0" style="3" hidden="1" customWidth="1"/>
    <col min="13317" max="13317" width="16" style="3" customWidth="1"/>
    <col min="13318" max="13318" width="13.6640625" style="3" customWidth="1"/>
    <col min="13319" max="13319" width="13" style="3" customWidth="1"/>
    <col min="13320" max="13562" width="9.109375" style="3"/>
    <col min="13563" max="13563" width="3.88671875" style="3" bestFit="1" customWidth="1"/>
    <col min="13564" max="13564" width="4.109375" style="3" bestFit="1" customWidth="1"/>
    <col min="13565" max="13565" width="52.6640625" style="3" customWidth="1"/>
    <col min="13566" max="13567" width="13.88671875" style="3" customWidth="1"/>
    <col min="13568" max="13572" width="0" style="3" hidden="1" customWidth="1"/>
    <col min="13573" max="13573" width="16" style="3" customWidth="1"/>
    <col min="13574" max="13574" width="13.6640625" style="3" customWidth="1"/>
    <col min="13575" max="13575" width="13" style="3" customWidth="1"/>
    <col min="13576" max="13818" width="9.109375" style="3"/>
    <col min="13819" max="13819" width="3.88671875" style="3" bestFit="1" customWidth="1"/>
    <col min="13820" max="13820" width="4.109375" style="3" bestFit="1" customWidth="1"/>
    <col min="13821" max="13821" width="52.6640625" style="3" customWidth="1"/>
    <col min="13822" max="13823" width="13.88671875" style="3" customWidth="1"/>
    <col min="13824" max="13828" width="0" style="3" hidden="1" customWidth="1"/>
    <col min="13829" max="13829" width="16" style="3" customWidth="1"/>
    <col min="13830" max="13830" width="13.6640625" style="3" customWidth="1"/>
    <col min="13831" max="13831" width="13" style="3" customWidth="1"/>
    <col min="13832" max="14074" width="9.109375" style="3"/>
    <col min="14075" max="14075" width="3.88671875" style="3" bestFit="1" customWidth="1"/>
    <col min="14076" max="14076" width="4.109375" style="3" bestFit="1" customWidth="1"/>
    <col min="14077" max="14077" width="52.6640625" style="3" customWidth="1"/>
    <col min="14078" max="14079" width="13.88671875" style="3" customWidth="1"/>
    <col min="14080" max="14084" width="0" style="3" hidden="1" customWidth="1"/>
    <col min="14085" max="14085" width="16" style="3" customWidth="1"/>
    <col min="14086" max="14086" width="13.6640625" style="3" customWidth="1"/>
    <col min="14087" max="14087" width="13" style="3" customWidth="1"/>
    <col min="14088" max="14330" width="9.109375" style="3"/>
    <col min="14331" max="14331" width="3.88671875" style="3" bestFit="1" customWidth="1"/>
    <col min="14332" max="14332" width="4.109375" style="3" bestFit="1" customWidth="1"/>
    <col min="14333" max="14333" width="52.6640625" style="3" customWidth="1"/>
    <col min="14334" max="14335" width="13.88671875" style="3" customWidth="1"/>
    <col min="14336" max="14340" width="0" style="3" hidden="1" customWidth="1"/>
    <col min="14341" max="14341" width="16" style="3" customWidth="1"/>
    <col min="14342" max="14342" width="13.6640625" style="3" customWidth="1"/>
    <col min="14343" max="14343" width="13" style="3" customWidth="1"/>
    <col min="14344" max="14586" width="9.109375" style="3"/>
    <col min="14587" max="14587" width="3.88671875" style="3" bestFit="1" customWidth="1"/>
    <col min="14588" max="14588" width="4.109375" style="3" bestFit="1" customWidth="1"/>
    <col min="14589" max="14589" width="52.6640625" style="3" customWidth="1"/>
    <col min="14590" max="14591" width="13.88671875" style="3" customWidth="1"/>
    <col min="14592" max="14596" width="0" style="3" hidden="1" customWidth="1"/>
    <col min="14597" max="14597" width="16" style="3" customWidth="1"/>
    <col min="14598" max="14598" width="13.6640625" style="3" customWidth="1"/>
    <col min="14599" max="14599" width="13" style="3" customWidth="1"/>
    <col min="14600" max="14842" width="9.109375" style="3"/>
    <col min="14843" max="14843" width="3.88671875" style="3" bestFit="1" customWidth="1"/>
    <col min="14844" max="14844" width="4.109375" style="3" bestFit="1" customWidth="1"/>
    <col min="14845" max="14845" width="52.6640625" style="3" customWidth="1"/>
    <col min="14846" max="14847" width="13.88671875" style="3" customWidth="1"/>
    <col min="14848" max="14852" width="0" style="3" hidden="1" customWidth="1"/>
    <col min="14853" max="14853" width="16" style="3" customWidth="1"/>
    <col min="14854" max="14854" width="13.6640625" style="3" customWidth="1"/>
    <col min="14855" max="14855" width="13" style="3" customWidth="1"/>
    <col min="14856" max="15098" width="9.109375" style="3"/>
    <col min="15099" max="15099" width="3.88671875" style="3" bestFit="1" customWidth="1"/>
    <col min="15100" max="15100" width="4.109375" style="3" bestFit="1" customWidth="1"/>
    <col min="15101" max="15101" width="52.6640625" style="3" customWidth="1"/>
    <col min="15102" max="15103" width="13.88671875" style="3" customWidth="1"/>
    <col min="15104" max="15108" width="0" style="3" hidden="1" customWidth="1"/>
    <col min="15109" max="15109" width="16" style="3" customWidth="1"/>
    <col min="15110" max="15110" width="13.6640625" style="3" customWidth="1"/>
    <col min="15111" max="15111" width="13" style="3" customWidth="1"/>
    <col min="15112" max="15354" width="9.109375" style="3"/>
    <col min="15355" max="15355" width="3.88671875" style="3" bestFit="1" customWidth="1"/>
    <col min="15356" max="15356" width="4.109375" style="3" bestFit="1" customWidth="1"/>
    <col min="15357" max="15357" width="52.6640625" style="3" customWidth="1"/>
    <col min="15358" max="15359" width="13.88671875" style="3" customWidth="1"/>
    <col min="15360" max="15364" width="0" style="3" hidden="1" customWidth="1"/>
    <col min="15365" max="15365" width="16" style="3" customWidth="1"/>
    <col min="15366" max="15366" width="13.6640625" style="3" customWidth="1"/>
    <col min="15367" max="15367" width="13" style="3" customWidth="1"/>
    <col min="15368" max="15610" width="9.109375" style="3"/>
    <col min="15611" max="15611" width="3.88671875" style="3" bestFit="1" customWidth="1"/>
    <col min="15612" max="15612" width="4.109375" style="3" bestFit="1" customWidth="1"/>
    <col min="15613" max="15613" width="52.6640625" style="3" customWidth="1"/>
    <col min="15614" max="15615" width="13.88671875" style="3" customWidth="1"/>
    <col min="15616" max="15620" width="0" style="3" hidden="1" customWidth="1"/>
    <col min="15621" max="15621" width="16" style="3" customWidth="1"/>
    <col min="15622" max="15622" width="13.6640625" style="3" customWidth="1"/>
    <col min="15623" max="15623" width="13" style="3" customWidth="1"/>
    <col min="15624" max="15866" width="9.109375" style="3"/>
    <col min="15867" max="15867" width="3.88671875" style="3" bestFit="1" customWidth="1"/>
    <col min="15868" max="15868" width="4.109375" style="3" bestFit="1" customWidth="1"/>
    <col min="15869" max="15869" width="52.6640625" style="3" customWidth="1"/>
    <col min="15870" max="15871" width="13.88671875" style="3" customWidth="1"/>
    <col min="15872" max="15876" width="0" style="3" hidden="1" customWidth="1"/>
    <col min="15877" max="15877" width="16" style="3" customWidth="1"/>
    <col min="15878" max="15878" width="13.6640625" style="3" customWidth="1"/>
    <col min="15879" max="15879" width="13" style="3" customWidth="1"/>
    <col min="15880" max="16122" width="9.109375" style="3"/>
    <col min="16123" max="16123" width="3.88671875" style="3" bestFit="1" customWidth="1"/>
    <col min="16124" max="16124" width="4.109375" style="3" bestFit="1" customWidth="1"/>
    <col min="16125" max="16125" width="52.6640625" style="3" customWidth="1"/>
    <col min="16126" max="16127" width="13.88671875" style="3" customWidth="1"/>
    <col min="16128" max="16132" width="0" style="3" hidden="1" customWidth="1"/>
    <col min="16133" max="16133" width="16" style="3" customWidth="1"/>
    <col min="16134" max="16134" width="13.6640625" style="3" customWidth="1"/>
    <col min="16135" max="16135" width="13" style="3" customWidth="1"/>
    <col min="16136" max="16384" width="9.109375" style="3"/>
  </cols>
  <sheetData>
    <row r="1" spans="1:12" x14ac:dyDescent="0.25">
      <c r="C1" s="3"/>
      <c r="D1" s="4"/>
      <c r="E1" s="4"/>
      <c r="F1" s="1"/>
      <c r="J1" s="79"/>
      <c r="L1" s="1" t="s">
        <v>1084</v>
      </c>
    </row>
    <row r="2" spans="1:12" x14ac:dyDescent="0.25">
      <c r="C2" s="3"/>
      <c r="D2" s="4"/>
      <c r="E2" s="4"/>
      <c r="F2" s="1"/>
      <c r="J2" s="79"/>
      <c r="L2" s="1" t="s">
        <v>1045</v>
      </c>
    </row>
    <row r="3" spans="1:12" x14ac:dyDescent="0.25">
      <c r="C3" s="3"/>
      <c r="D3" s="4"/>
      <c r="E3" s="4"/>
      <c r="F3" s="1"/>
      <c r="J3" s="79"/>
      <c r="L3" s="1" t="s">
        <v>1046</v>
      </c>
    </row>
    <row r="4" spans="1:12" x14ac:dyDescent="0.25">
      <c r="C4" s="3"/>
      <c r="D4" s="4"/>
      <c r="E4" s="4"/>
      <c r="F4" s="1"/>
      <c r="J4" s="79"/>
      <c r="L4" s="1" t="s">
        <v>1047</v>
      </c>
    </row>
    <row r="5" spans="1:12" x14ac:dyDescent="0.25">
      <c r="C5" s="3"/>
      <c r="D5" s="4"/>
      <c r="E5" s="4"/>
      <c r="F5" s="1"/>
      <c r="J5" s="79"/>
      <c r="L5" s="1" t="s">
        <v>1048</v>
      </c>
    </row>
    <row r="6" spans="1:12" s="5" customFormat="1" ht="11.4" x14ac:dyDescent="0.2">
      <c r="C6" s="80"/>
      <c r="D6" s="80"/>
    </row>
    <row r="7" spans="1:12" s="5" customFormat="1" ht="13.8" x14ac:dyDescent="0.25">
      <c r="A7" s="81"/>
      <c r="B7" s="517" t="s">
        <v>1085</v>
      </c>
      <c r="C7" s="517"/>
      <c r="D7" s="517"/>
      <c r="E7" s="517"/>
      <c r="F7" s="517"/>
      <c r="G7" s="517"/>
      <c r="H7" s="517"/>
      <c r="I7" s="517"/>
      <c r="J7" s="517"/>
      <c r="K7" s="517"/>
      <c r="L7" s="517"/>
    </row>
    <row r="8" spans="1:12" s="5" customFormat="1" ht="13.8" x14ac:dyDescent="0.25">
      <c r="A8" s="81"/>
      <c r="B8" s="517" t="s">
        <v>49</v>
      </c>
      <c r="C8" s="517"/>
      <c r="D8" s="517"/>
      <c r="E8" s="517"/>
      <c r="F8" s="517"/>
      <c r="G8" s="517"/>
      <c r="H8" s="517"/>
      <c r="I8" s="517"/>
      <c r="J8" s="517"/>
      <c r="K8" s="517"/>
      <c r="L8" s="517"/>
    </row>
    <row r="9" spans="1:12" s="5" customFormat="1" ht="13.8" x14ac:dyDescent="0.25">
      <c r="A9" s="81"/>
      <c r="B9" s="81" t="s">
        <v>50</v>
      </c>
      <c r="C9" s="81"/>
      <c r="D9" s="81"/>
      <c r="E9" s="81"/>
      <c r="F9" s="81"/>
      <c r="G9" s="81"/>
      <c r="H9" s="81"/>
      <c r="I9" s="81"/>
      <c r="J9" s="81"/>
      <c r="K9" s="81"/>
      <c r="L9" s="81"/>
    </row>
    <row r="10" spans="1:12" s="5" customFormat="1" ht="15.6" x14ac:dyDescent="0.3">
      <c r="A10" s="3"/>
      <c r="B10" s="530"/>
      <c r="C10" s="530"/>
      <c r="D10" s="530"/>
    </row>
    <row r="11" spans="1:12" s="5" customFormat="1" ht="14.4" x14ac:dyDescent="0.3">
      <c r="A11" s="48" t="s">
        <v>51</v>
      </c>
      <c r="B11" s="521" t="s">
        <v>52</v>
      </c>
      <c r="C11" s="110" t="s">
        <v>7</v>
      </c>
      <c r="D11" s="83" t="s">
        <v>4</v>
      </c>
      <c r="E11" s="83" t="s">
        <v>53</v>
      </c>
      <c r="F11" s="83" t="s">
        <v>6</v>
      </c>
      <c r="G11" s="110" t="s">
        <v>7</v>
      </c>
      <c r="H11" s="83" t="s">
        <v>4</v>
      </c>
      <c r="I11" s="48" t="s">
        <v>5</v>
      </c>
      <c r="J11" s="83" t="s">
        <v>53</v>
      </c>
      <c r="K11" s="83" t="s">
        <v>6</v>
      </c>
      <c r="L11" s="83" t="s">
        <v>6</v>
      </c>
    </row>
    <row r="12" spans="1:12" s="5" customFormat="1" ht="14.4" x14ac:dyDescent="0.3">
      <c r="A12" s="53"/>
      <c r="B12" s="522"/>
      <c r="C12" s="110" t="s">
        <v>12</v>
      </c>
      <c r="D12" s="83" t="s">
        <v>8</v>
      </c>
      <c r="E12" s="83" t="s">
        <v>54</v>
      </c>
      <c r="F12" s="82" t="s">
        <v>11</v>
      </c>
      <c r="G12" s="110" t="s">
        <v>12</v>
      </c>
      <c r="H12" s="83" t="s">
        <v>8</v>
      </c>
      <c r="I12" s="53" t="s">
        <v>9</v>
      </c>
      <c r="J12" s="83" t="s">
        <v>54</v>
      </c>
      <c r="K12" s="83" t="s">
        <v>11</v>
      </c>
      <c r="L12" s="83" t="s">
        <v>11</v>
      </c>
    </row>
    <row r="13" spans="1:12" s="5" customFormat="1" ht="14.4" x14ac:dyDescent="0.3">
      <c r="A13" s="53" t="s">
        <v>55</v>
      </c>
      <c r="B13" s="522"/>
      <c r="C13" s="110" t="s">
        <v>17</v>
      </c>
      <c r="D13" s="83" t="s">
        <v>13</v>
      </c>
      <c r="E13" s="83" t="s">
        <v>56</v>
      </c>
      <c r="F13" s="82"/>
      <c r="G13" s="110" t="s">
        <v>21</v>
      </c>
      <c r="H13" s="83" t="s">
        <v>13</v>
      </c>
      <c r="I13" s="53" t="s">
        <v>14</v>
      </c>
      <c r="J13" s="83" t="s">
        <v>56</v>
      </c>
      <c r="K13" s="83" t="s">
        <v>57</v>
      </c>
      <c r="L13" s="83" t="s">
        <v>58</v>
      </c>
    </row>
    <row r="14" spans="1:12" s="5" customFormat="1" ht="15.6" customHeight="1" x14ac:dyDescent="0.25">
      <c r="A14" s="57"/>
      <c r="B14" s="523"/>
      <c r="C14" s="83"/>
      <c r="D14" s="83" t="s">
        <v>18</v>
      </c>
      <c r="E14" s="83"/>
      <c r="F14" s="57" t="s">
        <v>59</v>
      </c>
      <c r="G14" s="59"/>
      <c r="H14" s="83" t="s">
        <v>18</v>
      </c>
      <c r="I14" s="57" t="s">
        <v>69</v>
      </c>
      <c r="J14" s="59"/>
      <c r="K14" s="83" t="s">
        <v>60</v>
      </c>
      <c r="L14" s="83" t="s">
        <v>60</v>
      </c>
    </row>
    <row r="15" spans="1:12" s="5" customFormat="1" ht="15.6" customHeight="1" x14ac:dyDescent="0.25">
      <c r="A15" s="57"/>
      <c r="B15" s="111"/>
      <c r="C15" s="83"/>
      <c r="D15" s="83" t="s">
        <v>68</v>
      </c>
      <c r="E15" s="83" t="s">
        <v>68</v>
      </c>
      <c r="F15" s="83" t="s">
        <v>68</v>
      </c>
      <c r="G15" s="83"/>
      <c r="H15" s="83" t="s">
        <v>72</v>
      </c>
      <c r="I15" s="83" t="s">
        <v>72</v>
      </c>
      <c r="J15" s="83" t="s">
        <v>72</v>
      </c>
      <c r="K15" s="83" t="s">
        <v>72</v>
      </c>
      <c r="L15" s="83" t="s">
        <v>76</v>
      </c>
    </row>
    <row r="16" spans="1:12" s="5" customFormat="1" x14ac:dyDescent="0.25">
      <c r="A16" s="84">
        <v>1</v>
      </c>
      <c r="B16" s="85">
        <v>2</v>
      </c>
      <c r="C16" s="59">
        <v>3</v>
      </c>
      <c r="D16" s="58">
        <v>4</v>
      </c>
      <c r="E16" s="58">
        <v>5</v>
      </c>
      <c r="F16" s="85" t="s">
        <v>22</v>
      </c>
      <c r="G16" s="59">
        <v>7</v>
      </c>
      <c r="H16" s="59">
        <v>8</v>
      </c>
      <c r="I16" s="59">
        <v>9</v>
      </c>
      <c r="J16" s="59">
        <v>10</v>
      </c>
      <c r="K16" s="59" t="s">
        <v>77</v>
      </c>
      <c r="L16" s="59" t="s">
        <v>78</v>
      </c>
    </row>
    <row r="17" spans="1:12" s="5" customFormat="1" x14ac:dyDescent="0.25">
      <c r="A17" s="13" t="s">
        <v>62</v>
      </c>
      <c r="B17" s="58"/>
      <c r="C17" s="86">
        <f t="shared" ref="C17:I17" si="0">C19+C27</f>
        <v>356</v>
      </c>
      <c r="D17" s="86">
        <f t="shared" si="0"/>
        <v>2222504</v>
      </c>
      <c r="E17" s="86">
        <f t="shared" si="0"/>
        <v>964092</v>
      </c>
      <c r="F17" s="86">
        <f t="shared" si="0"/>
        <v>3186596</v>
      </c>
      <c r="G17" s="86">
        <f t="shared" si="0"/>
        <v>353</v>
      </c>
      <c r="H17" s="86">
        <f t="shared" si="0"/>
        <v>1055405</v>
      </c>
      <c r="I17" s="86">
        <f t="shared" si="0"/>
        <v>161</v>
      </c>
      <c r="J17" s="86">
        <f t="shared" ref="J17" si="1">J19+J27</f>
        <v>472795</v>
      </c>
      <c r="K17" s="86">
        <f>K19+K27</f>
        <v>1528361</v>
      </c>
      <c r="L17" s="86">
        <f>F17+K17</f>
        <v>4714957</v>
      </c>
    </row>
    <row r="18" spans="1:12" s="5" customFormat="1" x14ac:dyDescent="0.25">
      <c r="A18" s="87"/>
      <c r="B18" s="88"/>
      <c r="C18" s="89"/>
      <c r="D18" s="90"/>
      <c r="E18" s="90"/>
      <c r="F18" s="89"/>
      <c r="G18" s="89"/>
      <c r="H18" s="90"/>
      <c r="I18" s="114"/>
      <c r="J18" s="90"/>
      <c r="K18" s="89"/>
      <c r="L18" s="89"/>
    </row>
    <row r="19" spans="1:12" s="5" customFormat="1" ht="26.4" x14ac:dyDescent="0.25">
      <c r="A19" s="87">
        <v>1</v>
      </c>
      <c r="B19" s="91" t="s">
        <v>63</v>
      </c>
      <c r="C19" s="70">
        <f>C22+C23+C24</f>
        <v>331</v>
      </c>
      <c r="D19" s="70">
        <f>D22+D24</f>
        <v>2150152</v>
      </c>
      <c r="E19" s="70">
        <f>E22+E23+E24</f>
        <v>964092</v>
      </c>
      <c r="F19" s="70">
        <f>F22+F23+F24</f>
        <v>3114244</v>
      </c>
      <c r="G19" s="70">
        <f>G22+G24+G23</f>
        <v>336</v>
      </c>
      <c r="H19" s="70">
        <f>H22+H24</f>
        <v>1030509</v>
      </c>
      <c r="I19" s="70">
        <f>I22+I24</f>
        <v>161</v>
      </c>
      <c r="J19" s="70">
        <f>J22+J24+J23</f>
        <v>472795</v>
      </c>
      <c r="K19" s="70">
        <f>H19+J19+I19</f>
        <v>1503465</v>
      </c>
      <c r="L19" s="70">
        <f>F19+K19</f>
        <v>4617709</v>
      </c>
    </row>
    <row r="20" spans="1:12" s="5" customFormat="1" x14ac:dyDescent="0.25">
      <c r="A20" s="84"/>
      <c r="B20" s="60"/>
      <c r="C20" s="76"/>
      <c r="D20" s="92"/>
      <c r="E20" s="92"/>
      <c r="F20" s="76"/>
      <c r="G20" s="76"/>
      <c r="H20" s="92"/>
      <c r="I20" s="92"/>
      <c r="J20" s="92"/>
      <c r="K20" s="76"/>
      <c r="L20" s="76"/>
    </row>
    <row r="21" spans="1:12" s="5" customFormat="1" x14ac:dyDescent="0.25">
      <c r="A21" s="93"/>
      <c r="B21" s="88"/>
      <c r="C21" s="71"/>
      <c r="D21" s="90"/>
      <c r="E21" s="90"/>
      <c r="F21" s="71"/>
      <c r="G21" s="71"/>
      <c r="H21" s="90"/>
      <c r="I21" s="114"/>
      <c r="J21" s="90"/>
      <c r="K21" s="71"/>
      <c r="L21" s="71"/>
    </row>
    <row r="22" spans="1:12" s="5" customFormat="1" ht="26.4" x14ac:dyDescent="0.25">
      <c r="A22" s="94" t="s">
        <v>64</v>
      </c>
      <c r="B22" s="95" t="s">
        <v>65</v>
      </c>
      <c r="C22" s="96">
        <v>193</v>
      </c>
      <c r="D22" s="97">
        <f>2150152-D24</f>
        <v>1608568</v>
      </c>
      <c r="E22" s="96">
        <f>964092-268002-128824</f>
        <v>567266</v>
      </c>
      <c r="F22" s="97">
        <f>D22+E22</f>
        <v>2175834</v>
      </c>
      <c r="G22" s="96">
        <v>189</v>
      </c>
      <c r="H22" s="98">
        <v>768997</v>
      </c>
      <c r="I22" s="98">
        <v>161</v>
      </c>
      <c r="J22" s="96">
        <v>275168</v>
      </c>
      <c r="K22" s="70">
        <f>H22+J22+I22</f>
        <v>1044326</v>
      </c>
      <c r="L22" s="99">
        <f>F22+K22</f>
        <v>3220160</v>
      </c>
    </row>
    <row r="23" spans="1:12" s="5" customFormat="1" ht="27.75" customHeight="1" x14ac:dyDescent="0.25">
      <c r="A23" s="94" t="s">
        <v>64</v>
      </c>
      <c r="B23" s="95" t="s">
        <v>66</v>
      </c>
      <c r="C23" s="100">
        <v>49</v>
      </c>
      <c r="D23" s="101"/>
      <c r="E23" s="102">
        <v>128824</v>
      </c>
      <c r="F23" s="97">
        <f>D23+E23</f>
        <v>128824</v>
      </c>
      <c r="G23" s="100">
        <v>49</v>
      </c>
      <c r="H23" s="113"/>
      <c r="I23" s="113"/>
      <c r="J23" s="104">
        <v>63777</v>
      </c>
      <c r="K23" s="70">
        <f>H23+J23+I23</f>
        <v>63777</v>
      </c>
      <c r="L23" s="99">
        <f>F23+K23</f>
        <v>192601</v>
      </c>
    </row>
    <row r="24" spans="1:12" s="5" customFormat="1" ht="26.4" x14ac:dyDescent="0.25">
      <c r="A24" s="94" t="s">
        <v>64</v>
      </c>
      <c r="B24" s="95" t="s">
        <v>74</v>
      </c>
      <c r="C24" s="96">
        <v>89</v>
      </c>
      <c r="D24" s="103">
        <v>541584</v>
      </c>
      <c r="E24" s="104">
        <v>268002</v>
      </c>
      <c r="F24" s="97">
        <f>D24+E24</f>
        <v>809586</v>
      </c>
      <c r="G24" s="96">
        <v>98</v>
      </c>
      <c r="H24" s="104">
        <v>261512</v>
      </c>
      <c r="I24" s="104"/>
      <c r="J24" s="104">
        <v>133850</v>
      </c>
      <c r="K24" s="70">
        <f>H24+J24</f>
        <v>395362</v>
      </c>
      <c r="L24" s="99">
        <f>F24+K24</f>
        <v>1204948</v>
      </c>
    </row>
    <row r="25" spans="1:12" s="5" customFormat="1" x14ac:dyDescent="0.25">
      <c r="A25" s="84"/>
      <c r="B25" s="105"/>
      <c r="C25" s="106"/>
      <c r="D25" s="106"/>
      <c r="E25" s="107"/>
      <c r="F25" s="106"/>
      <c r="G25" s="106"/>
      <c r="H25" s="107"/>
      <c r="I25" s="107"/>
      <c r="J25" s="107"/>
      <c r="K25" s="106"/>
      <c r="L25" s="106"/>
    </row>
    <row r="26" spans="1:12" s="5" customFormat="1" x14ac:dyDescent="0.25">
      <c r="A26" s="93"/>
      <c r="B26" s="88"/>
      <c r="C26" s="71"/>
      <c r="D26" s="90"/>
      <c r="E26" s="90"/>
      <c r="F26" s="71"/>
      <c r="G26" s="71"/>
      <c r="H26" s="90"/>
      <c r="I26" s="114"/>
      <c r="J26" s="90"/>
      <c r="K26" s="71"/>
      <c r="L26" s="71"/>
    </row>
    <row r="27" spans="1:12" s="5" customFormat="1" ht="26.4" x14ac:dyDescent="0.25">
      <c r="A27" s="87">
        <v>2</v>
      </c>
      <c r="B27" s="91" t="s">
        <v>67</v>
      </c>
      <c r="C27" s="70">
        <v>25</v>
      </c>
      <c r="D27" s="70">
        <v>72352</v>
      </c>
      <c r="E27" s="70"/>
      <c r="F27" s="108">
        <f>D27+E27</f>
        <v>72352</v>
      </c>
      <c r="G27" s="70">
        <v>17</v>
      </c>
      <c r="H27" s="70">
        <v>24896</v>
      </c>
      <c r="I27" s="70"/>
      <c r="J27" s="70"/>
      <c r="K27" s="70">
        <f>H27+J27</f>
        <v>24896</v>
      </c>
      <c r="L27" s="70">
        <f>F27+K27</f>
        <v>97248</v>
      </c>
    </row>
    <row r="28" spans="1:12" s="5" customFormat="1" x14ac:dyDescent="0.25">
      <c r="A28" s="84"/>
      <c r="B28" s="60"/>
      <c r="C28" s="92"/>
      <c r="D28" s="92"/>
      <c r="E28" s="92"/>
      <c r="F28" s="76"/>
      <c r="G28" s="92"/>
      <c r="H28" s="92"/>
      <c r="I28" s="92"/>
      <c r="J28" s="92"/>
      <c r="K28" s="92"/>
      <c r="L28" s="92"/>
    </row>
    <row r="29" spans="1:12" s="5" customFormat="1" ht="11.4" x14ac:dyDescent="0.2">
      <c r="C29" s="80"/>
      <c r="D29" s="80"/>
    </row>
    <row r="30" spans="1:12" s="5" customFormat="1" ht="11.4" x14ac:dyDescent="0.2">
      <c r="C30" s="80"/>
      <c r="D30" s="80"/>
    </row>
    <row r="31" spans="1:12" s="5" customFormat="1" ht="11.4" x14ac:dyDescent="0.2">
      <c r="C31" s="80"/>
      <c r="D31" s="80"/>
    </row>
    <row r="32" spans="1:12" s="5" customFormat="1" ht="11.4" x14ac:dyDescent="0.2">
      <c r="C32" s="80"/>
      <c r="D32" s="80"/>
    </row>
    <row r="33" spans="3:4" s="5" customFormat="1" ht="11.4" x14ac:dyDescent="0.2">
      <c r="C33" s="80"/>
      <c r="D33" s="80"/>
    </row>
    <row r="34" spans="3:4" s="5" customFormat="1" ht="11.4" x14ac:dyDescent="0.2">
      <c r="C34" s="80"/>
      <c r="D34" s="80"/>
    </row>
    <row r="35" spans="3:4" s="5" customFormat="1" ht="11.4" x14ac:dyDescent="0.2">
      <c r="C35" s="80"/>
      <c r="D35" s="80"/>
    </row>
    <row r="36" spans="3:4" s="5" customFormat="1" ht="11.4" x14ac:dyDescent="0.2">
      <c r="C36" s="80"/>
      <c r="D36" s="80"/>
    </row>
    <row r="37" spans="3:4" s="5" customFormat="1" ht="11.4" x14ac:dyDescent="0.2">
      <c r="C37" s="80"/>
      <c r="D37" s="80"/>
    </row>
    <row r="38" spans="3:4" s="5" customFormat="1" ht="11.4" x14ac:dyDescent="0.2">
      <c r="C38" s="80"/>
      <c r="D38" s="80"/>
    </row>
    <row r="39" spans="3:4" s="5" customFormat="1" ht="11.4" x14ac:dyDescent="0.2">
      <c r="C39" s="80"/>
      <c r="D39" s="80"/>
    </row>
    <row r="40" spans="3:4" s="5" customFormat="1" ht="11.4" x14ac:dyDescent="0.2">
      <c r="C40" s="80"/>
      <c r="D40" s="80"/>
    </row>
    <row r="41" spans="3:4" s="5" customFormat="1" ht="11.4" x14ac:dyDescent="0.2">
      <c r="C41" s="80"/>
      <c r="D41" s="80"/>
    </row>
    <row r="42" spans="3:4" s="5" customFormat="1" ht="11.4" x14ac:dyDescent="0.2">
      <c r="C42" s="80"/>
      <c r="D42" s="80"/>
    </row>
    <row r="43" spans="3:4" s="5" customFormat="1" ht="11.4" x14ac:dyDescent="0.2">
      <c r="C43" s="80"/>
      <c r="D43" s="80"/>
    </row>
    <row r="44" spans="3:4" s="5" customFormat="1" ht="11.4" x14ac:dyDescent="0.2">
      <c r="C44" s="80"/>
      <c r="D44" s="80"/>
    </row>
    <row r="45" spans="3:4" s="5" customFormat="1" ht="11.4" x14ac:dyDescent="0.2">
      <c r="C45" s="80"/>
      <c r="D45" s="80"/>
    </row>
    <row r="46" spans="3:4" s="5" customFormat="1" ht="11.4" x14ac:dyDescent="0.2">
      <c r="C46" s="80"/>
      <c r="D46" s="80"/>
    </row>
    <row r="47" spans="3:4" s="5" customFormat="1" ht="11.4" x14ac:dyDescent="0.2">
      <c r="C47" s="80"/>
      <c r="D47" s="80"/>
    </row>
    <row r="48" spans="3:4" s="5" customFormat="1" ht="11.4" x14ac:dyDescent="0.2">
      <c r="C48" s="80"/>
      <c r="D48" s="80"/>
    </row>
    <row r="49" spans="3:4" s="5" customFormat="1" ht="11.4" x14ac:dyDescent="0.2">
      <c r="C49" s="80"/>
      <c r="D49" s="80"/>
    </row>
    <row r="50" spans="3:4" s="5" customFormat="1" ht="11.4" x14ac:dyDescent="0.2">
      <c r="C50" s="80"/>
      <c r="D50" s="80"/>
    </row>
    <row r="51" spans="3:4" s="5" customFormat="1" ht="11.4" x14ac:dyDescent="0.2">
      <c r="C51" s="80"/>
      <c r="D51" s="80"/>
    </row>
    <row r="52" spans="3:4" s="5" customFormat="1" ht="11.4" x14ac:dyDescent="0.2">
      <c r="C52" s="80"/>
      <c r="D52" s="80"/>
    </row>
    <row r="53" spans="3:4" s="5" customFormat="1" ht="11.4" x14ac:dyDescent="0.2">
      <c r="C53" s="80"/>
      <c r="D53" s="80"/>
    </row>
    <row r="54" spans="3:4" s="5" customFormat="1" ht="11.4" x14ac:dyDescent="0.2">
      <c r="C54" s="80"/>
      <c r="D54" s="80"/>
    </row>
    <row r="55" spans="3:4" s="5" customFormat="1" ht="11.4" x14ac:dyDescent="0.2">
      <c r="C55" s="80"/>
      <c r="D55" s="80"/>
    </row>
    <row r="56" spans="3:4" s="5" customFormat="1" ht="11.4" x14ac:dyDescent="0.2">
      <c r="C56" s="80"/>
      <c r="D56" s="80"/>
    </row>
    <row r="57" spans="3:4" s="5" customFormat="1" ht="11.4" x14ac:dyDescent="0.2">
      <c r="C57" s="80"/>
      <c r="D57" s="80"/>
    </row>
    <row r="58" spans="3:4" s="5" customFormat="1" ht="11.4" x14ac:dyDescent="0.2">
      <c r="C58" s="80"/>
      <c r="D58" s="80"/>
    </row>
    <row r="59" spans="3:4" s="5" customFormat="1" ht="11.4" x14ac:dyDescent="0.2">
      <c r="C59" s="80"/>
      <c r="D59" s="80"/>
    </row>
    <row r="60" spans="3:4" s="5" customFormat="1" ht="11.4" x14ac:dyDescent="0.2">
      <c r="C60" s="80"/>
      <c r="D60" s="80"/>
    </row>
    <row r="61" spans="3:4" s="5" customFormat="1" ht="11.4" x14ac:dyDescent="0.2">
      <c r="C61" s="80"/>
      <c r="D61" s="80"/>
    </row>
    <row r="62" spans="3:4" s="5" customFormat="1" ht="11.4" x14ac:dyDescent="0.2">
      <c r="C62" s="80"/>
      <c r="D62" s="80"/>
    </row>
    <row r="63" spans="3:4" s="5" customFormat="1" ht="11.4" x14ac:dyDescent="0.2">
      <c r="C63" s="80"/>
      <c r="D63" s="80"/>
    </row>
    <row r="64" spans="3:4" s="5" customFormat="1" ht="11.4" x14ac:dyDescent="0.2">
      <c r="C64" s="80"/>
      <c r="D64" s="80"/>
    </row>
    <row r="65" spans="3:4" s="5" customFormat="1" ht="11.4" x14ac:dyDescent="0.2">
      <c r="C65" s="80"/>
      <c r="D65" s="80"/>
    </row>
    <row r="66" spans="3:4" s="5" customFormat="1" ht="11.4" x14ac:dyDescent="0.2">
      <c r="C66" s="80"/>
      <c r="D66" s="80"/>
    </row>
    <row r="67" spans="3:4" s="5" customFormat="1" ht="11.4" x14ac:dyDescent="0.2">
      <c r="C67" s="80"/>
      <c r="D67" s="80"/>
    </row>
    <row r="68" spans="3:4" s="5" customFormat="1" ht="11.4" x14ac:dyDescent="0.2">
      <c r="C68" s="80"/>
      <c r="D68" s="80"/>
    </row>
    <row r="69" spans="3:4" s="5" customFormat="1" ht="11.4" x14ac:dyDescent="0.2">
      <c r="C69" s="80"/>
      <c r="D69" s="80"/>
    </row>
    <row r="70" spans="3:4" s="5" customFormat="1" ht="11.4" x14ac:dyDescent="0.2">
      <c r="C70" s="80"/>
      <c r="D70" s="80"/>
    </row>
    <row r="71" spans="3:4" s="5" customFormat="1" ht="11.4" x14ac:dyDescent="0.2">
      <c r="C71" s="80"/>
      <c r="D71" s="80"/>
    </row>
    <row r="72" spans="3:4" s="5" customFormat="1" ht="11.4" x14ac:dyDescent="0.2">
      <c r="C72" s="80"/>
      <c r="D72" s="80"/>
    </row>
    <row r="73" spans="3:4" s="5" customFormat="1" ht="11.4" x14ac:dyDescent="0.2">
      <c r="C73" s="80"/>
      <c r="D73" s="80"/>
    </row>
    <row r="74" spans="3:4" s="5" customFormat="1" ht="11.4" x14ac:dyDescent="0.2">
      <c r="C74" s="80"/>
      <c r="D74" s="80"/>
    </row>
    <row r="75" spans="3:4" s="5" customFormat="1" ht="11.4" x14ac:dyDescent="0.2">
      <c r="C75" s="80"/>
      <c r="D75" s="80"/>
    </row>
    <row r="76" spans="3:4" s="5" customFormat="1" ht="11.4" x14ac:dyDescent="0.2">
      <c r="C76" s="80"/>
      <c r="D76" s="80"/>
    </row>
    <row r="77" spans="3:4" s="5" customFormat="1" ht="11.4" x14ac:dyDescent="0.2">
      <c r="C77" s="80"/>
      <c r="D77" s="80"/>
    </row>
    <row r="78" spans="3:4" s="5" customFormat="1" ht="11.4" x14ac:dyDescent="0.2">
      <c r="C78" s="80"/>
      <c r="D78" s="80"/>
    </row>
    <row r="79" spans="3:4" s="5" customFormat="1" ht="11.4" x14ac:dyDescent="0.2">
      <c r="C79" s="80"/>
      <c r="D79" s="80"/>
    </row>
    <row r="80" spans="3:4" s="5" customFormat="1" ht="11.4" x14ac:dyDescent="0.2">
      <c r="C80" s="80"/>
      <c r="D80" s="80"/>
    </row>
    <row r="81" spans="3:4" s="5" customFormat="1" ht="11.4" x14ac:dyDescent="0.2">
      <c r="C81" s="80"/>
      <c r="D81" s="80"/>
    </row>
    <row r="82" spans="3:4" s="5" customFormat="1" ht="11.4" x14ac:dyDescent="0.2">
      <c r="C82" s="80"/>
      <c r="D82" s="80"/>
    </row>
    <row r="83" spans="3:4" s="5" customFormat="1" ht="11.4" x14ac:dyDescent="0.2">
      <c r="C83" s="80"/>
      <c r="D83" s="80"/>
    </row>
    <row r="84" spans="3:4" s="5" customFormat="1" ht="11.4" x14ac:dyDescent="0.2">
      <c r="C84" s="80"/>
      <c r="D84" s="80"/>
    </row>
    <row r="85" spans="3:4" s="5" customFormat="1" ht="11.4" x14ac:dyDescent="0.2">
      <c r="C85" s="80"/>
      <c r="D85" s="80"/>
    </row>
    <row r="86" spans="3:4" s="5" customFormat="1" ht="11.4" x14ac:dyDescent="0.2">
      <c r="C86" s="80"/>
      <c r="D86" s="80"/>
    </row>
    <row r="87" spans="3:4" s="5" customFormat="1" ht="11.4" x14ac:dyDescent="0.2">
      <c r="C87" s="80"/>
      <c r="D87" s="80"/>
    </row>
    <row r="88" spans="3:4" s="5" customFormat="1" ht="11.4" x14ac:dyDescent="0.2">
      <c r="C88" s="80"/>
      <c r="D88" s="80"/>
    </row>
    <row r="89" spans="3:4" s="5" customFormat="1" ht="11.4" x14ac:dyDescent="0.2">
      <c r="C89" s="80"/>
      <c r="D89" s="80"/>
    </row>
    <row r="90" spans="3:4" s="5" customFormat="1" ht="11.4" x14ac:dyDescent="0.2">
      <c r="C90" s="80"/>
      <c r="D90" s="80"/>
    </row>
    <row r="91" spans="3:4" s="5" customFormat="1" ht="11.4" x14ac:dyDescent="0.2">
      <c r="C91" s="80"/>
      <c r="D91" s="80"/>
    </row>
    <row r="92" spans="3:4" s="5" customFormat="1" ht="11.4" x14ac:dyDescent="0.2">
      <c r="C92" s="80"/>
      <c r="D92" s="80"/>
    </row>
    <row r="93" spans="3:4" s="5" customFormat="1" ht="11.4" x14ac:dyDescent="0.2">
      <c r="C93" s="80"/>
      <c r="D93" s="80"/>
    </row>
    <row r="94" spans="3:4" s="5" customFormat="1" ht="11.4" x14ac:dyDescent="0.2">
      <c r="C94" s="80"/>
      <c r="D94" s="80"/>
    </row>
    <row r="95" spans="3:4" s="5" customFormat="1" ht="11.4" x14ac:dyDescent="0.2">
      <c r="C95" s="80"/>
      <c r="D95" s="80"/>
    </row>
    <row r="96" spans="3:4" s="5" customFormat="1" ht="11.4" x14ac:dyDescent="0.2">
      <c r="C96" s="80"/>
      <c r="D96" s="80"/>
    </row>
    <row r="97" spans="3:4" s="5" customFormat="1" ht="11.4" x14ac:dyDescent="0.2">
      <c r="C97" s="80"/>
      <c r="D97" s="80"/>
    </row>
    <row r="98" spans="3:4" s="5" customFormat="1" ht="11.4" x14ac:dyDescent="0.2">
      <c r="C98" s="80"/>
      <c r="D98" s="80"/>
    </row>
    <row r="99" spans="3:4" s="5" customFormat="1" ht="11.4" x14ac:dyDescent="0.2">
      <c r="C99" s="80"/>
      <c r="D99" s="80"/>
    </row>
    <row r="100" spans="3:4" s="5" customFormat="1" ht="11.4" x14ac:dyDescent="0.2">
      <c r="C100" s="80"/>
      <c r="D100" s="80"/>
    </row>
    <row r="101" spans="3:4" s="5" customFormat="1" ht="11.4" x14ac:dyDescent="0.2">
      <c r="C101" s="80"/>
      <c r="D101" s="80"/>
    </row>
    <row r="102" spans="3:4" s="5" customFormat="1" ht="11.4" x14ac:dyDescent="0.2">
      <c r="C102" s="80"/>
      <c r="D102" s="80"/>
    </row>
    <row r="103" spans="3:4" s="5" customFormat="1" ht="11.4" x14ac:dyDescent="0.2">
      <c r="C103" s="80"/>
      <c r="D103" s="80"/>
    </row>
    <row r="104" spans="3:4" s="5" customFormat="1" ht="11.4" x14ac:dyDescent="0.2">
      <c r="C104" s="80"/>
      <c r="D104" s="80"/>
    </row>
    <row r="105" spans="3:4" s="5" customFormat="1" ht="11.4" x14ac:dyDescent="0.2">
      <c r="C105" s="80"/>
      <c r="D105" s="80"/>
    </row>
    <row r="106" spans="3:4" s="5" customFormat="1" ht="11.4" x14ac:dyDescent="0.2">
      <c r="C106" s="80"/>
      <c r="D106" s="80"/>
    </row>
    <row r="107" spans="3:4" s="5" customFormat="1" ht="11.4" x14ac:dyDescent="0.2">
      <c r="C107" s="80"/>
      <c r="D107" s="80"/>
    </row>
    <row r="108" spans="3:4" s="5" customFormat="1" ht="11.4" x14ac:dyDescent="0.2">
      <c r="C108" s="80"/>
      <c r="D108" s="80"/>
    </row>
    <row r="109" spans="3:4" s="5" customFormat="1" ht="11.4" x14ac:dyDescent="0.2">
      <c r="C109" s="80"/>
      <c r="D109" s="80"/>
    </row>
    <row r="110" spans="3:4" s="5" customFormat="1" ht="11.4" x14ac:dyDescent="0.2">
      <c r="C110" s="80"/>
      <c r="D110" s="80"/>
    </row>
    <row r="111" spans="3:4" s="5" customFormat="1" ht="11.4" x14ac:dyDescent="0.2">
      <c r="C111" s="80"/>
      <c r="D111" s="80"/>
    </row>
    <row r="112" spans="3:4" s="5" customFormat="1" ht="11.4" x14ac:dyDescent="0.2">
      <c r="C112" s="80"/>
      <c r="D112" s="80"/>
    </row>
  </sheetData>
  <mergeCells count="4">
    <mergeCell ref="B7:L7"/>
    <mergeCell ref="B8:L8"/>
    <mergeCell ref="B10:D10"/>
    <mergeCell ref="B11:B14"/>
  </mergeCells>
  <pageMargins left="0.70866141732283472" right="0.31496062992125984" top="0.74803149606299213" bottom="0.74803149606299213" header="0.31496062992125984" footer="0.31496062992125984"/>
  <pageSetup paperSize="9" scale="9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439BD-E535-40E3-87E3-60D8768BD0AA}">
  <sheetPr>
    <pageSetUpPr fitToPage="1"/>
  </sheetPr>
  <dimension ref="A1:J115"/>
  <sheetViews>
    <sheetView topLeftCell="A33" workbookViewId="0">
      <selection activeCell="B7" sqref="B7:H7"/>
    </sheetView>
  </sheetViews>
  <sheetFormatPr defaultRowHeight="14.4" x14ac:dyDescent="0.3"/>
  <cols>
    <col min="1" max="1" width="7" style="3" customWidth="1"/>
    <col min="2" max="2" width="47.44140625" bestFit="1" customWidth="1"/>
    <col min="3" max="3" width="15.5546875" customWidth="1"/>
    <col min="4" max="4" width="19.109375" style="152" customWidth="1"/>
    <col min="5" max="5" width="16.33203125" customWidth="1"/>
    <col min="6" max="6" width="12.5546875" bestFit="1" customWidth="1"/>
    <col min="7" max="7" width="10.33203125" customWidth="1"/>
    <col min="8" max="8" width="11.44140625" customWidth="1"/>
    <col min="9" max="9" width="10.5546875" customWidth="1"/>
    <col min="11" max="13" width="11.44140625" customWidth="1"/>
    <col min="245" max="245" width="7" customWidth="1"/>
    <col min="246" max="246" width="45.109375" customWidth="1"/>
    <col min="247" max="247" width="14.109375" customWidth="1"/>
    <col min="248" max="248" width="18.44140625" customWidth="1"/>
    <col min="249" max="251" width="0" hidden="1" customWidth="1"/>
    <col min="252" max="252" width="15.109375" customWidth="1"/>
    <col min="253" max="253" width="15.6640625" customWidth="1"/>
    <col min="254" max="254" width="12.5546875" customWidth="1"/>
    <col min="255" max="255" width="13.44140625" customWidth="1"/>
    <col min="501" max="501" width="7" customWidth="1"/>
    <col min="502" max="502" width="45.109375" customWidth="1"/>
    <col min="503" max="503" width="14.109375" customWidth="1"/>
    <col min="504" max="504" width="18.44140625" customWidth="1"/>
    <col min="505" max="507" width="0" hidden="1" customWidth="1"/>
    <col min="508" max="508" width="15.109375" customWidth="1"/>
    <col min="509" max="509" width="15.6640625" customWidth="1"/>
    <col min="510" max="510" width="12.5546875" customWidth="1"/>
    <col min="511" max="511" width="13.44140625" customWidth="1"/>
    <col min="757" max="757" width="7" customWidth="1"/>
    <col min="758" max="758" width="45.109375" customWidth="1"/>
    <col min="759" max="759" width="14.109375" customWidth="1"/>
    <col min="760" max="760" width="18.44140625" customWidth="1"/>
    <col min="761" max="763" width="0" hidden="1" customWidth="1"/>
    <col min="764" max="764" width="15.109375" customWidth="1"/>
    <col min="765" max="765" width="15.6640625" customWidth="1"/>
    <col min="766" max="766" width="12.5546875" customWidth="1"/>
    <col min="767" max="767" width="13.44140625" customWidth="1"/>
    <col min="1013" max="1013" width="7" customWidth="1"/>
    <col min="1014" max="1014" width="45.109375" customWidth="1"/>
    <col min="1015" max="1015" width="14.109375" customWidth="1"/>
    <col min="1016" max="1016" width="18.44140625" customWidth="1"/>
    <col min="1017" max="1019" width="0" hidden="1" customWidth="1"/>
    <col min="1020" max="1020" width="15.109375" customWidth="1"/>
    <col min="1021" max="1021" width="15.6640625" customWidth="1"/>
    <col min="1022" max="1022" width="12.5546875" customWidth="1"/>
    <col min="1023" max="1023" width="13.44140625" customWidth="1"/>
    <col min="1269" max="1269" width="7" customWidth="1"/>
    <col min="1270" max="1270" width="45.109375" customWidth="1"/>
    <col min="1271" max="1271" width="14.109375" customWidth="1"/>
    <col min="1272" max="1272" width="18.44140625" customWidth="1"/>
    <col min="1273" max="1275" width="0" hidden="1" customWidth="1"/>
    <col min="1276" max="1276" width="15.109375" customWidth="1"/>
    <col min="1277" max="1277" width="15.6640625" customWidth="1"/>
    <col min="1278" max="1278" width="12.5546875" customWidth="1"/>
    <col min="1279" max="1279" width="13.44140625" customWidth="1"/>
    <col min="1525" max="1525" width="7" customWidth="1"/>
    <col min="1526" max="1526" width="45.109375" customWidth="1"/>
    <col min="1527" max="1527" width="14.109375" customWidth="1"/>
    <col min="1528" max="1528" width="18.44140625" customWidth="1"/>
    <col min="1529" max="1531" width="0" hidden="1" customWidth="1"/>
    <col min="1532" max="1532" width="15.109375" customWidth="1"/>
    <col min="1533" max="1533" width="15.6640625" customWidth="1"/>
    <col min="1534" max="1534" width="12.5546875" customWidth="1"/>
    <col min="1535" max="1535" width="13.44140625" customWidth="1"/>
    <col min="1781" max="1781" width="7" customWidth="1"/>
    <col min="1782" max="1782" width="45.109375" customWidth="1"/>
    <col min="1783" max="1783" width="14.109375" customWidth="1"/>
    <col min="1784" max="1784" width="18.44140625" customWidth="1"/>
    <col min="1785" max="1787" width="0" hidden="1" customWidth="1"/>
    <col min="1788" max="1788" width="15.109375" customWidth="1"/>
    <col min="1789" max="1789" width="15.6640625" customWidth="1"/>
    <col min="1790" max="1790" width="12.5546875" customWidth="1"/>
    <col min="1791" max="1791" width="13.44140625" customWidth="1"/>
    <col min="2037" max="2037" width="7" customWidth="1"/>
    <col min="2038" max="2038" width="45.109375" customWidth="1"/>
    <col min="2039" max="2039" width="14.109375" customWidth="1"/>
    <col min="2040" max="2040" width="18.44140625" customWidth="1"/>
    <col min="2041" max="2043" width="0" hidden="1" customWidth="1"/>
    <col min="2044" max="2044" width="15.109375" customWidth="1"/>
    <col min="2045" max="2045" width="15.6640625" customWidth="1"/>
    <col min="2046" max="2046" width="12.5546875" customWidth="1"/>
    <col min="2047" max="2047" width="13.44140625" customWidth="1"/>
    <col min="2293" max="2293" width="7" customWidth="1"/>
    <col min="2294" max="2294" width="45.109375" customWidth="1"/>
    <col min="2295" max="2295" width="14.109375" customWidth="1"/>
    <col min="2296" max="2296" width="18.44140625" customWidth="1"/>
    <col min="2297" max="2299" width="0" hidden="1" customWidth="1"/>
    <col min="2300" max="2300" width="15.109375" customWidth="1"/>
    <col min="2301" max="2301" width="15.6640625" customWidth="1"/>
    <col min="2302" max="2302" width="12.5546875" customWidth="1"/>
    <col min="2303" max="2303" width="13.44140625" customWidth="1"/>
    <col min="2549" max="2549" width="7" customWidth="1"/>
    <col min="2550" max="2550" width="45.109375" customWidth="1"/>
    <col min="2551" max="2551" width="14.109375" customWidth="1"/>
    <col min="2552" max="2552" width="18.44140625" customWidth="1"/>
    <col min="2553" max="2555" width="0" hidden="1" customWidth="1"/>
    <col min="2556" max="2556" width="15.109375" customWidth="1"/>
    <col min="2557" max="2557" width="15.6640625" customWidth="1"/>
    <col min="2558" max="2558" width="12.5546875" customWidth="1"/>
    <col min="2559" max="2559" width="13.44140625" customWidth="1"/>
    <col min="2805" max="2805" width="7" customWidth="1"/>
    <col min="2806" max="2806" width="45.109375" customWidth="1"/>
    <col min="2807" max="2807" width="14.109375" customWidth="1"/>
    <col min="2808" max="2808" width="18.44140625" customWidth="1"/>
    <col min="2809" max="2811" width="0" hidden="1" customWidth="1"/>
    <col min="2812" max="2812" width="15.109375" customWidth="1"/>
    <col min="2813" max="2813" width="15.6640625" customWidth="1"/>
    <col min="2814" max="2814" width="12.5546875" customWidth="1"/>
    <col min="2815" max="2815" width="13.44140625" customWidth="1"/>
    <col min="3061" max="3061" width="7" customWidth="1"/>
    <col min="3062" max="3062" width="45.109375" customWidth="1"/>
    <col min="3063" max="3063" width="14.109375" customWidth="1"/>
    <col min="3064" max="3064" width="18.44140625" customWidth="1"/>
    <col min="3065" max="3067" width="0" hidden="1" customWidth="1"/>
    <col min="3068" max="3068" width="15.109375" customWidth="1"/>
    <col min="3069" max="3069" width="15.6640625" customWidth="1"/>
    <col min="3070" max="3070" width="12.5546875" customWidth="1"/>
    <col min="3071" max="3071" width="13.44140625" customWidth="1"/>
    <col min="3317" max="3317" width="7" customWidth="1"/>
    <col min="3318" max="3318" width="45.109375" customWidth="1"/>
    <col min="3319" max="3319" width="14.109375" customWidth="1"/>
    <col min="3320" max="3320" width="18.44140625" customWidth="1"/>
    <col min="3321" max="3323" width="0" hidden="1" customWidth="1"/>
    <col min="3324" max="3324" width="15.109375" customWidth="1"/>
    <col min="3325" max="3325" width="15.6640625" customWidth="1"/>
    <col min="3326" max="3326" width="12.5546875" customWidth="1"/>
    <col min="3327" max="3327" width="13.44140625" customWidth="1"/>
    <col min="3573" max="3573" width="7" customWidth="1"/>
    <col min="3574" max="3574" width="45.109375" customWidth="1"/>
    <col min="3575" max="3575" width="14.109375" customWidth="1"/>
    <col min="3576" max="3576" width="18.44140625" customWidth="1"/>
    <col min="3577" max="3579" width="0" hidden="1" customWidth="1"/>
    <col min="3580" max="3580" width="15.109375" customWidth="1"/>
    <col min="3581" max="3581" width="15.6640625" customWidth="1"/>
    <col min="3582" max="3582" width="12.5546875" customWidth="1"/>
    <col min="3583" max="3583" width="13.44140625" customWidth="1"/>
    <col min="3829" max="3829" width="7" customWidth="1"/>
    <col min="3830" max="3830" width="45.109375" customWidth="1"/>
    <col min="3831" max="3831" width="14.109375" customWidth="1"/>
    <col min="3832" max="3832" width="18.44140625" customWidth="1"/>
    <col min="3833" max="3835" width="0" hidden="1" customWidth="1"/>
    <col min="3836" max="3836" width="15.109375" customWidth="1"/>
    <col min="3837" max="3837" width="15.6640625" customWidth="1"/>
    <col min="3838" max="3838" width="12.5546875" customWidth="1"/>
    <col min="3839" max="3839" width="13.44140625" customWidth="1"/>
    <col min="4085" max="4085" width="7" customWidth="1"/>
    <col min="4086" max="4086" width="45.109375" customWidth="1"/>
    <col min="4087" max="4087" width="14.109375" customWidth="1"/>
    <col min="4088" max="4088" width="18.44140625" customWidth="1"/>
    <col min="4089" max="4091" width="0" hidden="1" customWidth="1"/>
    <col min="4092" max="4092" width="15.109375" customWidth="1"/>
    <col min="4093" max="4093" width="15.6640625" customWidth="1"/>
    <col min="4094" max="4094" width="12.5546875" customWidth="1"/>
    <col min="4095" max="4095" width="13.44140625" customWidth="1"/>
    <col min="4341" max="4341" width="7" customWidth="1"/>
    <col min="4342" max="4342" width="45.109375" customWidth="1"/>
    <col min="4343" max="4343" width="14.109375" customWidth="1"/>
    <col min="4344" max="4344" width="18.44140625" customWidth="1"/>
    <col min="4345" max="4347" width="0" hidden="1" customWidth="1"/>
    <col min="4348" max="4348" width="15.109375" customWidth="1"/>
    <col min="4349" max="4349" width="15.6640625" customWidth="1"/>
    <col min="4350" max="4350" width="12.5546875" customWidth="1"/>
    <col min="4351" max="4351" width="13.44140625" customWidth="1"/>
    <col min="4597" max="4597" width="7" customWidth="1"/>
    <col min="4598" max="4598" width="45.109375" customWidth="1"/>
    <col min="4599" max="4599" width="14.109375" customWidth="1"/>
    <col min="4600" max="4600" width="18.44140625" customWidth="1"/>
    <col min="4601" max="4603" width="0" hidden="1" customWidth="1"/>
    <col min="4604" max="4604" width="15.109375" customWidth="1"/>
    <col min="4605" max="4605" width="15.6640625" customWidth="1"/>
    <col min="4606" max="4606" width="12.5546875" customWidth="1"/>
    <col min="4607" max="4607" width="13.44140625" customWidth="1"/>
    <col min="4853" max="4853" width="7" customWidth="1"/>
    <col min="4854" max="4854" width="45.109375" customWidth="1"/>
    <col min="4855" max="4855" width="14.109375" customWidth="1"/>
    <col min="4856" max="4856" width="18.44140625" customWidth="1"/>
    <col min="4857" max="4859" width="0" hidden="1" customWidth="1"/>
    <col min="4860" max="4860" width="15.109375" customWidth="1"/>
    <col min="4861" max="4861" width="15.6640625" customWidth="1"/>
    <col min="4862" max="4862" width="12.5546875" customWidth="1"/>
    <col min="4863" max="4863" width="13.44140625" customWidth="1"/>
    <col min="5109" max="5109" width="7" customWidth="1"/>
    <col min="5110" max="5110" width="45.109375" customWidth="1"/>
    <col min="5111" max="5111" width="14.109375" customWidth="1"/>
    <col min="5112" max="5112" width="18.44140625" customWidth="1"/>
    <col min="5113" max="5115" width="0" hidden="1" customWidth="1"/>
    <col min="5116" max="5116" width="15.109375" customWidth="1"/>
    <col min="5117" max="5117" width="15.6640625" customWidth="1"/>
    <col min="5118" max="5118" width="12.5546875" customWidth="1"/>
    <col min="5119" max="5119" width="13.44140625" customWidth="1"/>
    <col min="5365" max="5365" width="7" customWidth="1"/>
    <col min="5366" max="5366" width="45.109375" customWidth="1"/>
    <col min="5367" max="5367" width="14.109375" customWidth="1"/>
    <col min="5368" max="5368" width="18.44140625" customWidth="1"/>
    <col min="5369" max="5371" width="0" hidden="1" customWidth="1"/>
    <col min="5372" max="5372" width="15.109375" customWidth="1"/>
    <col min="5373" max="5373" width="15.6640625" customWidth="1"/>
    <col min="5374" max="5374" width="12.5546875" customWidth="1"/>
    <col min="5375" max="5375" width="13.44140625" customWidth="1"/>
    <col min="5621" max="5621" width="7" customWidth="1"/>
    <col min="5622" max="5622" width="45.109375" customWidth="1"/>
    <col min="5623" max="5623" width="14.109375" customWidth="1"/>
    <col min="5624" max="5624" width="18.44140625" customWidth="1"/>
    <col min="5625" max="5627" width="0" hidden="1" customWidth="1"/>
    <col min="5628" max="5628" width="15.109375" customWidth="1"/>
    <col min="5629" max="5629" width="15.6640625" customWidth="1"/>
    <col min="5630" max="5630" width="12.5546875" customWidth="1"/>
    <col min="5631" max="5631" width="13.44140625" customWidth="1"/>
    <col min="5877" max="5877" width="7" customWidth="1"/>
    <col min="5878" max="5878" width="45.109375" customWidth="1"/>
    <col min="5879" max="5879" width="14.109375" customWidth="1"/>
    <col min="5880" max="5880" width="18.44140625" customWidth="1"/>
    <col min="5881" max="5883" width="0" hidden="1" customWidth="1"/>
    <col min="5884" max="5884" width="15.109375" customWidth="1"/>
    <col min="5885" max="5885" width="15.6640625" customWidth="1"/>
    <col min="5886" max="5886" width="12.5546875" customWidth="1"/>
    <col min="5887" max="5887" width="13.44140625" customWidth="1"/>
    <col min="6133" max="6133" width="7" customWidth="1"/>
    <col min="6134" max="6134" width="45.109375" customWidth="1"/>
    <col min="6135" max="6135" width="14.109375" customWidth="1"/>
    <col min="6136" max="6136" width="18.44140625" customWidth="1"/>
    <col min="6137" max="6139" width="0" hidden="1" customWidth="1"/>
    <col min="6140" max="6140" width="15.109375" customWidth="1"/>
    <col min="6141" max="6141" width="15.6640625" customWidth="1"/>
    <col min="6142" max="6142" width="12.5546875" customWidth="1"/>
    <col min="6143" max="6143" width="13.44140625" customWidth="1"/>
    <col min="6389" max="6389" width="7" customWidth="1"/>
    <col min="6390" max="6390" width="45.109375" customWidth="1"/>
    <col min="6391" max="6391" width="14.109375" customWidth="1"/>
    <col min="6392" max="6392" width="18.44140625" customWidth="1"/>
    <col min="6393" max="6395" width="0" hidden="1" customWidth="1"/>
    <col min="6396" max="6396" width="15.109375" customWidth="1"/>
    <col min="6397" max="6397" width="15.6640625" customWidth="1"/>
    <col min="6398" max="6398" width="12.5546875" customWidth="1"/>
    <col min="6399" max="6399" width="13.44140625" customWidth="1"/>
    <col min="6645" max="6645" width="7" customWidth="1"/>
    <col min="6646" max="6646" width="45.109375" customWidth="1"/>
    <col min="6647" max="6647" width="14.109375" customWidth="1"/>
    <col min="6648" max="6648" width="18.44140625" customWidth="1"/>
    <col min="6649" max="6651" width="0" hidden="1" customWidth="1"/>
    <col min="6652" max="6652" width="15.109375" customWidth="1"/>
    <col min="6653" max="6653" width="15.6640625" customWidth="1"/>
    <col min="6654" max="6654" width="12.5546875" customWidth="1"/>
    <col min="6655" max="6655" width="13.44140625" customWidth="1"/>
    <col min="6901" max="6901" width="7" customWidth="1"/>
    <col min="6902" max="6902" width="45.109375" customWidth="1"/>
    <col min="6903" max="6903" width="14.109375" customWidth="1"/>
    <col min="6904" max="6904" width="18.44140625" customWidth="1"/>
    <col min="6905" max="6907" width="0" hidden="1" customWidth="1"/>
    <col min="6908" max="6908" width="15.109375" customWidth="1"/>
    <col min="6909" max="6909" width="15.6640625" customWidth="1"/>
    <col min="6910" max="6910" width="12.5546875" customWidth="1"/>
    <col min="6911" max="6911" width="13.44140625" customWidth="1"/>
    <col min="7157" max="7157" width="7" customWidth="1"/>
    <col min="7158" max="7158" width="45.109375" customWidth="1"/>
    <col min="7159" max="7159" width="14.109375" customWidth="1"/>
    <col min="7160" max="7160" width="18.44140625" customWidth="1"/>
    <col min="7161" max="7163" width="0" hidden="1" customWidth="1"/>
    <col min="7164" max="7164" width="15.109375" customWidth="1"/>
    <col min="7165" max="7165" width="15.6640625" customWidth="1"/>
    <col min="7166" max="7166" width="12.5546875" customWidth="1"/>
    <col min="7167" max="7167" width="13.44140625" customWidth="1"/>
    <col min="7413" max="7413" width="7" customWidth="1"/>
    <col min="7414" max="7414" width="45.109375" customWidth="1"/>
    <col min="7415" max="7415" width="14.109375" customWidth="1"/>
    <col min="7416" max="7416" width="18.44140625" customWidth="1"/>
    <col min="7417" max="7419" width="0" hidden="1" customWidth="1"/>
    <col min="7420" max="7420" width="15.109375" customWidth="1"/>
    <col min="7421" max="7421" width="15.6640625" customWidth="1"/>
    <col min="7422" max="7422" width="12.5546875" customWidth="1"/>
    <col min="7423" max="7423" width="13.44140625" customWidth="1"/>
    <col min="7669" max="7669" width="7" customWidth="1"/>
    <col min="7670" max="7670" width="45.109375" customWidth="1"/>
    <col min="7671" max="7671" width="14.109375" customWidth="1"/>
    <col min="7672" max="7672" width="18.44140625" customWidth="1"/>
    <col min="7673" max="7675" width="0" hidden="1" customWidth="1"/>
    <col min="7676" max="7676" width="15.109375" customWidth="1"/>
    <col min="7677" max="7677" width="15.6640625" customWidth="1"/>
    <col min="7678" max="7678" width="12.5546875" customWidth="1"/>
    <col min="7679" max="7679" width="13.44140625" customWidth="1"/>
    <col min="7925" max="7925" width="7" customWidth="1"/>
    <col min="7926" max="7926" width="45.109375" customWidth="1"/>
    <col min="7927" max="7927" width="14.109375" customWidth="1"/>
    <col min="7928" max="7928" width="18.44140625" customWidth="1"/>
    <col min="7929" max="7931" width="0" hidden="1" customWidth="1"/>
    <col min="7932" max="7932" width="15.109375" customWidth="1"/>
    <col min="7933" max="7933" width="15.6640625" customWidth="1"/>
    <col min="7934" max="7934" width="12.5546875" customWidth="1"/>
    <col min="7935" max="7935" width="13.44140625" customWidth="1"/>
    <col min="8181" max="8181" width="7" customWidth="1"/>
    <col min="8182" max="8182" width="45.109375" customWidth="1"/>
    <col min="8183" max="8183" width="14.109375" customWidth="1"/>
    <col min="8184" max="8184" width="18.44140625" customWidth="1"/>
    <col min="8185" max="8187" width="0" hidden="1" customWidth="1"/>
    <col min="8188" max="8188" width="15.109375" customWidth="1"/>
    <col min="8189" max="8189" width="15.6640625" customWidth="1"/>
    <col min="8190" max="8190" width="12.5546875" customWidth="1"/>
    <col min="8191" max="8191" width="13.44140625" customWidth="1"/>
    <col min="8437" max="8437" width="7" customWidth="1"/>
    <col min="8438" max="8438" width="45.109375" customWidth="1"/>
    <col min="8439" max="8439" width="14.109375" customWidth="1"/>
    <col min="8440" max="8440" width="18.44140625" customWidth="1"/>
    <col min="8441" max="8443" width="0" hidden="1" customWidth="1"/>
    <col min="8444" max="8444" width="15.109375" customWidth="1"/>
    <col min="8445" max="8445" width="15.6640625" customWidth="1"/>
    <col min="8446" max="8446" width="12.5546875" customWidth="1"/>
    <col min="8447" max="8447" width="13.44140625" customWidth="1"/>
    <col min="8693" max="8693" width="7" customWidth="1"/>
    <col min="8694" max="8694" width="45.109375" customWidth="1"/>
    <col min="8695" max="8695" width="14.109375" customWidth="1"/>
    <col min="8696" max="8696" width="18.44140625" customWidth="1"/>
    <col min="8697" max="8699" width="0" hidden="1" customWidth="1"/>
    <col min="8700" max="8700" width="15.109375" customWidth="1"/>
    <col min="8701" max="8701" width="15.6640625" customWidth="1"/>
    <col min="8702" max="8702" width="12.5546875" customWidth="1"/>
    <col min="8703" max="8703" width="13.44140625" customWidth="1"/>
    <col min="8949" max="8949" width="7" customWidth="1"/>
    <col min="8950" max="8950" width="45.109375" customWidth="1"/>
    <col min="8951" max="8951" width="14.109375" customWidth="1"/>
    <col min="8952" max="8952" width="18.44140625" customWidth="1"/>
    <col min="8953" max="8955" width="0" hidden="1" customWidth="1"/>
    <col min="8956" max="8956" width="15.109375" customWidth="1"/>
    <col min="8957" max="8957" width="15.6640625" customWidth="1"/>
    <col min="8958" max="8958" width="12.5546875" customWidth="1"/>
    <col min="8959" max="8959" width="13.44140625" customWidth="1"/>
    <col min="9205" max="9205" width="7" customWidth="1"/>
    <col min="9206" max="9206" width="45.109375" customWidth="1"/>
    <col min="9207" max="9207" width="14.109375" customWidth="1"/>
    <col min="9208" max="9208" width="18.44140625" customWidth="1"/>
    <col min="9209" max="9211" width="0" hidden="1" customWidth="1"/>
    <col min="9212" max="9212" width="15.109375" customWidth="1"/>
    <col min="9213" max="9213" width="15.6640625" customWidth="1"/>
    <col min="9214" max="9214" width="12.5546875" customWidth="1"/>
    <col min="9215" max="9215" width="13.44140625" customWidth="1"/>
    <col min="9461" max="9461" width="7" customWidth="1"/>
    <col min="9462" max="9462" width="45.109375" customWidth="1"/>
    <col min="9463" max="9463" width="14.109375" customWidth="1"/>
    <col min="9464" max="9464" width="18.44140625" customWidth="1"/>
    <col min="9465" max="9467" width="0" hidden="1" customWidth="1"/>
    <col min="9468" max="9468" width="15.109375" customWidth="1"/>
    <col min="9469" max="9469" width="15.6640625" customWidth="1"/>
    <col min="9470" max="9470" width="12.5546875" customWidth="1"/>
    <col min="9471" max="9471" width="13.44140625" customWidth="1"/>
    <col min="9717" max="9717" width="7" customWidth="1"/>
    <col min="9718" max="9718" width="45.109375" customWidth="1"/>
    <col min="9719" max="9719" width="14.109375" customWidth="1"/>
    <col min="9720" max="9720" width="18.44140625" customWidth="1"/>
    <col min="9721" max="9723" width="0" hidden="1" customWidth="1"/>
    <col min="9724" max="9724" width="15.109375" customWidth="1"/>
    <col min="9725" max="9725" width="15.6640625" customWidth="1"/>
    <col min="9726" max="9726" width="12.5546875" customWidth="1"/>
    <col min="9727" max="9727" width="13.44140625" customWidth="1"/>
    <col min="9973" max="9973" width="7" customWidth="1"/>
    <col min="9974" max="9974" width="45.109375" customWidth="1"/>
    <col min="9975" max="9975" width="14.109375" customWidth="1"/>
    <col min="9976" max="9976" width="18.44140625" customWidth="1"/>
    <col min="9977" max="9979" width="0" hidden="1" customWidth="1"/>
    <col min="9980" max="9980" width="15.109375" customWidth="1"/>
    <col min="9981" max="9981" width="15.6640625" customWidth="1"/>
    <col min="9982" max="9982" width="12.5546875" customWidth="1"/>
    <col min="9983" max="9983" width="13.44140625" customWidth="1"/>
    <col min="10229" max="10229" width="7" customWidth="1"/>
    <col min="10230" max="10230" width="45.109375" customWidth="1"/>
    <col min="10231" max="10231" width="14.109375" customWidth="1"/>
    <col min="10232" max="10232" width="18.44140625" customWidth="1"/>
    <col min="10233" max="10235" width="0" hidden="1" customWidth="1"/>
    <col min="10236" max="10236" width="15.109375" customWidth="1"/>
    <col min="10237" max="10237" width="15.6640625" customWidth="1"/>
    <col min="10238" max="10238" width="12.5546875" customWidth="1"/>
    <col min="10239" max="10239" width="13.44140625" customWidth="1"/>
    <col min="10485" max="10485" width="7" customWidth="1"/>
    <col min="10486" max="10486" width="45.109375" customWidth="1"/>
    <col min="10487" max="10487" width="14.109375" customWidth="1"/>
    <col min="10488" max="10488" width="18.44140625" customWidth="1"/>
    <col min="10489" max="10491" width="0" hidden="1" customWidth="1"/>
    <col min="10492" max="10492" width="15.109375" customWidth="1"/>
    <col min="10493" max="10493" width="15.6640625" customWidth="1"/>
    <col min="10494" max="10494" width="12.5546875" customWidth="1"/>
    <col min="10495" max="10495" width="13.44140625" customWidth="1"/>
    <col min="10741" max="10741" width="7" customWidth="1"/>
    <col min="10742" max="10742" width="45.109375" customWidth="1"/>
    <col min="10743" max="10743" width="14.109375" customWidth="1"/>
    <col min="10744" max="10744" width="18.44140625" customWidth="1"/>
    <col min="10745" max="10747" width="0" hidden="1" customWidth="1"/>
    <col min="10748" max="10748" width="15.109375" customWidth="1"/>
    <col min="10749" max="10749" width="15.6640625" customWidth="1"/>
    <col min="10750" max="10750" width="12.5546875" customWidth="1"/>
    <col min="10751" max="10751" width="13.44140625" customWidth="1"/>
    <col min="10997" max="10997" width="7" customWidth="1"/>
    <col min="10998" max="10998" width="45.109375" customWidth="1"/>
    <col min="10999" max="10999" width="14.109375" customWidth="1"/>
    <col min="11000" max="11000" width="18.44140625" customWidth="1"/>
    <col min="11001" max="11003" width="0" hidden="1" customWidth="1"/>
    <col min="11004" max="11004" width="15.109375" customWidth="1"/>
    <col min="11005" max="11005" width="15.6640625" customWidth="1"/>
    <col min="11006" max="11006" width="12.5546875" customWidth="1"/>
    <col min="11007" max="11007" width="13.44140625" customWidth="1"/>
    <col min="11253" max="11253" width="7" customWidth="1"/>
    <col min="11254" max="11254" width="45.109375" customWidth="1"/>
    <col min="11255" max="11255" width="14.109375" customWidth="1"/>
    <col min="11256" max="11256" width="18.44140625" customWidth="1"/>
    <col min="11257" max="11259" width="0" hidden="1" customWidth="1"/>
    <col min="11260" max="11260" width="15.109375" customWidth="1"/>
    <col min="11261" max="11261" width="15.6640625" customWidth="1"/>
    <col min="11262" max="11262" width="12.5546875" customWidth="1"/>
    <col min="11263" max="11263" width="13.44140625" customWidth="1"/>
    <col min="11509" max="11509" width="7" customWidth="1"/>
    <col min="11510" max="11510" width="45.109375" customWidth="1"/>
    <col min="11511" max="11511" width="14.109375" customWidth="1"/>
    <col min="11512" max="11512" width="18.44140625" customWidth="1"/>
    <col min="11513" max="11515" width="0" hidden="1" customWidth="1"/>
    <col min="11516" max="11516" width="15.109375" customWidth="1"/>
    <col min="11517" max="11517" width="15.6640625" customWidth="1"/>
    <col min="11518" max="11518" width="12.5546875" customWidth="1"/>
    <col min="11519" max="11519" width="13.44140625" customWidth="1"/>
    <col min="11765" max="11765" width="7" customWidth="1"/>
    <col min="11766" max="11766" width="45.109375" customWidth="1"/>
    <col min="11767" max="11767" width="14.109375" customWidth="1"/>
    <col min="11768" max="11768" width="18.44140625" customWidth="1"/>
    <col min="11769" max="11771" width="0" hidden="1" customWidth="1"/>
    <col min="11772" max="11772" width="15.109375" customWidth="1"/>
    <col min="11773" max="11773" width="15.6640625" customWidth="1"/>
    <col min="11774" max="11774" width="12.5546875" customWidth="1"/>
    <col min="11775" max="11775" width="13.44140625" customWidth="1"/>
    <col min="12021" max="12021" width="7" customWidth="1"/>
    <col min="12022" max="12022" width="45.109375" customWidth="1"/>
    <col min="12023" max="12023" width="14.109375" customWidth="1"/>
    <col min="12024" max="12024" width="18.44140625" customWidth="1"/>
    <col min="12025" max="12027" width="0" hidden="1" customWidth="1"/>
    <col min="12028" max="12028" width="15.109375" customWidth="1"/>
    <col min="12029" max="12029" width="15.6640625" customWidth="1"/>
    <col min="12030" max="12030" width="12.5546875" customWidth="1"/>
    <col min="12031" max="12031" width="13.44140625" customWidth="1"/>
    <col min="12277" max="12277" width="7" customWidth="1"/>
    <col min="12278" max="12278" width="45.109375" customWidth="1"/>
    <col min="12279" max="12279" width="14.109375" customWidth="1"/>
    <col min="12280" max="12280" width="18.44140625" customWidth="1"/>
    <col min="12281" max="12283" width="0" hidden="1" customWidth="1"/>
    <col min="12284" max="12284" width="15.109375" customWidth="1"/>
    <col min="12285" max="12285" width="15.6640625" customWidth="1"/>
    <col min="12286" max="12286" width="12.5546875" customWidth="1"/>
    <col min="12287" max="12287" width="13.44140625" customWidth="1"/>
    <col min="12533" max="12533" width="7" customWidth="1"/>
    <col min="12534" max="12534" width="45.109375" customWidth="1"/>
    <col min="12535" max="12535" width="14.109375" customWidth="1"/>
    <col min="12536" max="12536" width="18.44140625" customWidth="1"/>
    <col min="12537" max="12539" width="0" hidden="1" customWidth="1"/>
    <col min="12540" max="12540" width="15.109375" customWidth="1"/>
    <col min="12541" max="12541" width="15.6640625" customWidth="1"/>
    <col min="12542" max="12542" width="12.5546875" customWidth="1"/>
    <col min="12543" max="12543" width="13.44140625" customWidth="1"/>
    <col min="12789" max="12789" width="7" customWidth="1"/>
    <col min="12790" max="12790" width="45.109375" customWidth="1"/>
    <col min="12791" max="12791" width="14.109375" customWidth="1"/>
    <col min="12792" max="12792" width="18.44140625" customWidth="1"/>
    <col min="12793" max="12795" width="0" hidden="1" customWidth="1"/>
    <col min="12796" max="12796" width="15.109375" customWidth="1"/>
    <col min="12797" max="12797" width="15.6640625" customWidth="1"/>
    <col min="12798" max="12798" width="12.5546875" customWidth="1"/>
    <col min="12799" max="12799" width="13.44140625" customWidth="1"/>
    <col min="13045" max="13045" width="7" customWidth="1"/>
    <col min="13046" max="13046" width="45.109375" customWidth="1"/>
    <col min="13047" max="13047" width="14.109375" customWidth="1"/>
    <col min="13048" max="13048" width="18.44140625" customWidth="1"/>
    <col min="13049" max="13051" width="0" hidden="1" customWidth="1"/>
    <col min="13052" max="13052" width="15.109375" customWidth="1"/>
    <col min="13053" max="13053" width="15.6640625" customWidth="1"/>
    <col min="13054" max="13054" width="12.5546875" customWidth="1"/>
    <col min="13055" max="13055" width="13.44140625" customWidth="1"/>
    <col min="13301" max="13301" width="7" customWidth="1"/>
    <col min="13302" max="13302" width="45.109375" customWidth="1"/>
    <col min="13303" max="13303" width="14.109375" customWidth="1"/>
    <col min="13304" max="13304" width="18.44140625" customWidth="1"/>
    <col min="13305" max="13307" width="0" hidden="1" customWidth="1"/>
    <col min="13308" max="13308" width="15.109375" customWidth="1"/>
    <col min="13309" max="13309" width="15.6640625" customWidth="1"/>
    <col min="13310" max="13310" width="12.5546875" customWidth="1"/>
    <col min="13311" max="13311" width="13.44140625" customWidth="1"/>
    <col min="13557" max="13557" width="7" customWidth="1"/>
    <col min="13558" max="13558" width="45.109375" customWidth="1"/>
    <col min="13559" max="13559" width="14.109375" customWidth="1"/>
    <col min="13560" max="13560" width="18.44140625" customWidth="1"/>
    <col min="13561" max="13563" width="0" hidden="1" customWidth="1"/>
    <col min="13564" max="13564" width="15.109375" customWidth="1"/>
    <col min="13565" max="13565" width="15.6640625" customWidth="1"/>
    <col min="13566" max="13566" width="12.5546875" customWidth="1"/>
    <col min="13567" max="13567" width="13.44140625" customWidth="1"/>
    <col min="13813" max="13813" width="7" customWidth="1"/>
    <col min="13814" max="13814" width="45.109375" customWidth="1"/>
    <col min="13815" max="13815" width="14.109375" customWidth="1"/>
    <col min="13816" max="13816" width="18.44140625" customWidth="1"/>
    <col min="13817" max="13819" width="0" hidden="1" customWidth="1"/>
    <col min="13820" max="13820" width="15.109375" customWidth="1"/>
    <col min="13821" max="13821" width="15.6640625" customWidth="1"/>
    <col min="13822" max="13822" width="12.5546875" customWidth="1"/>
    <col min="13823" max="13823" width="13.44140625" customWidth="1"/>
    <col min="14069" max="14069" width="7" customWidth="1"/>
    <col min="14070" max="14070" width="45.109375" customWidth="1"/>
    <col min="14071" max="14071" width="14.109375" customWidth="1"/>
    <col min="14072" max="14072" width="18.44140625" customWidth="1"/>
    <col min="14073" max="14075" width="0" hidden="1" customWidth="1"/>
    <col min="14076" max="14076" width="15.109375" customWidth="1"/>
    <col min="14077" max="14077" width="15.6640625" customWidth="1"/>
    <col min="14078" max="14078" width="12.5546875" customWidth="1"/>
    <col min="14079" max="14079" width="13.44140625" customWidth="1"/>
    <col min="14325" max="14325" width="7" customWidth="1"/>
    <col min="14326" max="14326" width="45.109375" customWidth="1"/>
    <col min="14327" max="14327" width="14.109375" customWidth="1"/>
    <col min="14328" max="14328" width="18.44140625" customWidth="1"/>
    <col min="14329" max="14331" width="0" hidden="1" customWidth="1"/>
    <col min="14332" max="14332" width="15.109375" customWidth="1"/>
    <col min="14333" max="14333" width="15.6640625" customWidth="1"/>
    <col min="14334" max="14334" width="12.5546875" customWidth="1"/>
    <col min="14335" max="14335" width="13.44140625" customWidth="1"/>
    <col min="14581" max="14581" width="7" customWidth="1"/>
    <col min="14582" max="14582" width="45.109375" customWidth="1"/>
    <col min="14583" max="14583" width="14.109375" customWidth="1"/>
    <col min="14584" max="14584" width="18.44140625" customWidth="1"/>
    <col min="14585" max="14587" width="0" hidden="1" customWidth="1"/>
    <col min="14588" max="14588" width="15.109375" customWidth="1"/>
    <col min="14589" max="14589" width="15.6640625" customWidth="1"/>
    <col min="14590" max="14590" width="12.5546875" customWidth="1"/>
    <col min="14591" max="14591" width="13.44140625" customWidth="1"/>
    <col min="14837" max="14837" width="7" customWidth="1"/>
    <col min="14838" max="14838" width="45.109375" customWidth="1"/>
    <col min="14839" max="14839" width="14.109375" customWidth="1"/>
    <col min="14840" max="14840" width="18.44140625" customWidth="1"/>
    <col min="14841" max="14843" width="0" hidden="1" customWidth="1"/>
    <col min="14844" max="14844" width="15.109375" customWidth="1"/>
    <col min="14845" max="14845" width="15.6640625" customWidth="1"/>
    <col min="14846" max="14846" width="12.5546875" customWidth="1"/>
    <col min="14847" max="14847" width="13.44140625" customWidth="1"/>
    <col min="15093" max="15093" width="7" customWidth="1"/>
    <col min="15094" max="15094" width="45.109375" customWidth="1"/>
    <col min="15095" max="15095" width="14.109375" customWidth="1"/>
    <col min="15096" max="15096" width="18.44140625" customWidth="1"/>
    <col min="15097" max="15099" width="0" hidden="1" customWidth="1"/>
    <col min="15100" max="15100" width="15.109375" customWidth="1"/>
    <col min="15101" max="15101" width="15.6640625" customWidth="1"/>
    <col min="15102" max="15102" width="12.5546875" customWidth="1"/>
    <col min="15103" max="15103" width="13.44140625" customWidth="1"/>
    <col min="15349" max="15349" width="7" customWidth="1"/>
    <col min="15350" max="15350" width="45.109375" customWidth="1"/>
    <col min="15351" max="15351" width="14.109375" customWidth="1"/>
    <col min="15352" max="15352" width="18.44140625" customWidth="1"/>
    <col min="15353" max="15355" width="0" hidden="1" customWidth="1"/>
    <col min="15356" max="15356" width="15.109375" customWidth="1"/>
    <col min="15357" max="15357" width="15.6640625" customWidth="1"/>
    <col min="15358" max="15358" width="12.5546875" customWidth="1"/>
    <col min="15359" max="15359" width="13.44140625" customWidth="1"/>
    <col min="15605" max="15605" width="7" customWidth="1"/>
    <col min="15606" max="15606" width="45.109375" customWidth="1"/>
    <col min="15607" max="15607" width="14.109375" customWidth="1"/>
    <col min="15608" max="15608" width="18.44140625" customWidth="1"/>
    <col min="15609" max="15611" width="0" hidden="1" customWidth="1"/>
    <col min="15612" max="15612" width="15.109375" customWidth="1"/>
    <col min="15613" max="15613" width="15.6640625" customWidth="1"/>
    <col min="15614" max="15614" width="12.5546875" customWidth="1"/>
    <col min="15615" max="15615" width="13.44140625" customWidth="1"/>
    <col min="15861" max="15861" width="7" customWidth="1"/>
    <col min="15862" max="15862" width="45.109375" customWidth="1"/>
    <col min="15863" max="15863" width="14.109375" customWidth="1"/>
    <col min="15864" max="15864" width="18.44140625" customWidth="1"/>
    <col min="15865" max="15867" width="0" hidden="1" customWidth="1"/>
    <col min="15868" max="15868" width="15.109375" customWidth="1"/>
    <col min="15869" max="15869" width="15.6640625" customWidth="1"/>
    <col min="15870" max="15870" width="12.5546875" customWidth="1"/>
    <col min="15871" max="15871" width="13.44140625" customWidth="1"/>
    <col min="16117" max="16117" width="7" customWidth="1"/>
    <col min="16118" max="16118" width="45.109375" customWidth="1"/>
    <col min="16119" max="16119" width="14.109375" customWidth="1"/>
    <col min="16120" max="16120" width="18.44140625" customWidth="1"/>
    <col min="16121" max="16123" width="0" hidden="1" customWidth="1"/>
    <col min="16124" max="16124" width="15.109375" customWidth="1"/>
    <col min="16125" max="16125" width="15.6640625" customWidth="1"/>
    <col min="16126" max="16126" width="12.5546875" customWidth="1"/>
    <col min="16127" max="16127" width="13.44140625" customWidth="1"/>
  </cols>
  <sheetData>
    <row r="1" spans="1:9" x14ac:dyDescent="0.3">
      <c r="D1" s="4"/>
      <c r="E1" s="2"/>
      <c r="I1" s="1" t="s">
        <v>1086</v>
      </c>
    </row>
    <row r="2" spans="1:9" x14ac:dyDescent="0.3">
      <c r="D2" s="4"/>
      <c r="E2" s="2"/>
      <c r="I2" s="1" t="s">
        <v>1045</v>
      </c>
    </row>
    <row r="3" spans="1:9" x14ac:dyDescent="0.3">
      <c r="A3" s="5"/>
      <c r="D3" s="4"/>
      <c r="E3" s="2"/>
      <c r="I3" s="1" t="s">
        <v>1046</v>
      </c>
    </row>
    <row r="4" spans="1:9" x14ac:dyDescent="0.3">
      <c r="A4" s="5"/>
      <c r="D4" s="4"/>
      <c r="E4" s="2"/>
      <c r="I4" s="1" t="s">
        <v>1047</v>
      </c>
    </row>
    <row r="5" spans="1:9" x14ac:dyDescent="0.3">
      <c r="A5" s="5"/>
      <c r="D5" s="4"/>
      <c r="E5" s="2"/>
      <c r="I5" s="1" t="s">
        <v>1048</v>
      </c>
    </row>
    <row r="6" spans="1:9" x14ac:dyDescent="0.3">
      <c r="A6" s="5"/>
      <c r="B6" s="6"/>
      <c r="C6" s="6"/>
      <c r="D6" s="135"/>
    </row>
    <row r="7" spans="1:9" x14ac:dyDescent="0.3">
      <c r="A7" s="133"/>
      <c r="B7" s="517" t="s">
        <v>1081</v>
      </c>
      <c r="C7" s="517"/>
      <c r="D7" s="517"/>
      <c r="E7" s="517"/>
      <c r="F7" s="517"/>
      <c r="G7" s="517"/>
      <c r="H7" s="517"/>
    </row>
    <row r="8" spans="1:9" x14ac:dyDescent="0.3">
      <c r="A8" s="133"/>
      <c r="B8" s="517" t="s">
        <v>82</v>
      </c>
      <c r="C8" s="517"/>
      <c r="D8" s="517"/>
      <c r="E8" s="517"/>
      <c r="F8" s="517"/>
      <c r="G8" s="517"/>
      <c r="H8" s="517"/>
    </row>
    <row r="9" spans="1:9" ht="15.75" customHeight="1" x14ac:dyDescent="0.3">
      <c r="A9" s="133"/>
      <c r="B9" s="517" t="s">
        <v>83</v>
      </c>
      <c r="C9" s="517"/>
      <c r="D9" s="517"/>
      <c r="E9" s="517"/>
      <c r="F9" s="517"/>
      <c r="G9" s="517"/>
    </row>
    <row r="10" spans="1:9" ht="15.75" customHeight="1" x14ac:dyDescent="0.3">
      <c r="A10" s="6"/>
      <c r="B10" s="136"/>
      <c r="C10" s="136"/>
      <c r="D10" s="137"/>
      <c r="E10" s="3"/>
    </row>
    <row r="11" spans="1:9" ht="12.75" customHeight="1" x14ac:dyDescent="0.3">
      <c r="A11" s="531" t="s">
        <v>2</v>
      </c>
      <c r="B11" s="532" t="s">
        <v>3</v>
      </c>
      <c r="C11" s="138" t="s">
        <v>84</v>
      </c>
      <c r="D11" s="138" t="s">
        <v>4</v>
      </c>
      <c r="E11" s="139" t="s">
        <v>5</v>
      </c>
      <c r="F11" s="139" t="s">
        <v>6</v>
      </c>
      <c r="G11" s="140"/>
      <c r="H11" s="141" t="s">
        <v>6</v>
      </c>
      <c r="I11" s="142" t="s">
        <v>6</v>
      </c>
    </row>
    <row r="12" spans="1:9" x14ac:dyDescent="0.3">
      <c r="A12" s="525"/>
      <c r="B12" s="528"/>
      <c r="C12" s="50" t="s">
        <v>85</v>
      </c>
      <c r="D12" s="50" t="s">
        <v>8</v>
      </c>
      <c r="E12" s="51" t="s">
        <v>9</v>
      </c>
      <c r="F12" s="52" t="s">
        <v>10</v>
      </c>
      <c r="G12" s="9" t="s">
        <v>7</v>
      </c>
      <c r="H12" s="143" t="s">
        <v>11</v>
      </c>
      <c r="I12" s="53" t="s">
        <v>11</v>
      </c>
    </row>
    <row r="13" spans="1:9" x14ac:dyDescent="0.3">
      <c r="A13" s="525"/>
      <c r="B13" s="528"/>
      <c r="C13" s="50" t="s">
        <v>12</v>
      </c>
      <c r="D13" s="50" t="s">
        <v>13</v>
      </c>
      <c r="E13" s="51" t="s">
        <v>14</v>
      </c>
      <c r="F13" s="51" t="s">
        <v>86</v>
      </c>
      <c r="G13" s="9" t="s">
        <v>12</v>
      </c>
      <c r="H13" s="143" t="s">
        <v>87</v>
      </c>
      <c r="I13" s="53" t="s">
        <v>16</v>
      </c>
    </row>
    <row r="14" spans="1:9" x14ac:dyDescent="0.3">
      <c r="A14" s="526"/>
      <c r="B14" s="529"/>
      <c r="C14" s="55" t="s">
        <v>17</v>
      </c>
      <c r="D14" s="55" t="s">
        <v>18</v>
      </c>
      <c r="E14" s="56" t="s">
        <v>19</v>
      </c>
      <c r="F14" s="56" t="s">
        <v>20</v>
      </c>
      <c r="G14" s="12" t="s">
        <v>21</v>
      </c>
      <c r="H14" s="144" t="s">
        <v>20</v>
      </c>
      <c r="I14" s="57" t="s">
        <v>20</v>
      </c>
    </row>
    <row r="15" spans="1:9" x14ac:dyDescent="0.3">
      <c r="A15" s="59">
        <v>1</v>
      </c>
      <c r="B15" s="145">
        <v>2</v>
      </c>
      <c r="C15" s="110">
        <v>3</v>
      </c>
      <c r="D15" s="146">
        <v>4</v>
      </c>
      <c r="E15" s="110">
        <v>5</v>
      </c>
      <c r="F15" s="146" t="s">
        <v>22</v>
      </c>
      <c r="G15" s="59">
        <v>7</v>
      </c>
      <c r="H15" s="58">
        <v>8</v>
      </c>
      <c r="I15" s="59" t="s">
        <v>88</v>
      </c>
    </row>
    <row r="16" spans="1:9" x14ac:dyDescent="0.3">
      <c r="A16" s="147" t="s">
        <v>23</v>
      </c>
      <c r="B16" s="148"/>
      <c r="C16" s="15">
        <f>SUM(C17:C38)</f>
        <v>1168</v>
      </c>
      <c r="D16" s="15">
        <f>SUM(D17:D38)</f>
        <v>1753744</v>
      </c>
      <c r="E16" s="15">
        <f>SUM(E17:E38)</f>
        <v>7433</v>
      </c>
      <c r="F16" s="15">
        <f>SUM(F17:F38)</f>
        <v>1761177</v>
      </c>
      <c r="G16" s="15">
        <f>SUM(G17:G38)</f>
        <v>1093</v>
      </c>
      <c r="H16" s="15">
        <f t="shared" ref="H16:I16" si="0">SUM(H17:H38)</f>
        <v>830185</v>
      </c>
      <c r="I16" s="15">
        <f t="shared" si="0"/>
        <v>2591362</v>
      </c>
    </row>
    <row r="17" spans="1:10" ht="15" customHeight="1" x14ac:dyDescent="0.3">
      <c r="A17" s="70">
        <v>1</v>
      </c>
      <c r="B17" s="149" t="s">
        <v>89</v>
      </c>
      <c r="C17" s="70">
        <v>75</v>
      </c>
      <c r="D17" s="70">
        <f>95527</f>
        <v>95527</v>
      </c>
      <c r="E17" s="70">
        <v>6883</v>
      </c>
      <c r="F17" s="70">
        <f>D17+E17</f>
        <v>102410</v>
      </c>
      <c r="G17" s="70">
        <v>60</v>
      </c>
      <c r="H17" s="70">
        <v>41446</v>
      </c>
      <c r="I17" s="70">
        <f>F17+H17</f>
        <v>143856</v>
      </c>
      <c r="J17" s="150"/>
    </row>
    <row r="18" spans="1:10" ht="15" customHeight="1" x14ac:dyDescent="0.3">
      <c r="A18" s="70">
        <v>2</v>
      </c>
      <c r="B18" s="149" t="s">
        <v>90</v>
      </c>
      <c r="C18" s="70">
        <v>46</v>
      </c>
      <c r="D18" s="70">
        <f>69913</f>
        <v>69913</v>
      </c>
      <c r="E18" s="70">
        <v>275</v>
      </c>
      <c r="F18" s="70">
        <f t="shared" ref="F18:F38" si="1">D18+E18</f>
        <v>70188</v>
      </c>
      <c r="G18" s="70">
        <v>40</v>
      </c>
      <c r="H18" s="70">
        <v>33562</v>
      </c>
      <c r="I18" s="70">
        <f t="shared" ref="I18:I38" si="2">F18+H18</f>
        <v>103750</v>
      </c>
      <c r="J18" s="150"/>
    </row>
    <row r="19" spans="1:10" ht="15" customHeight="1" x14ac:dyDescent="0.3">
      <c r="A19" s="70">
        <v>3</v>
      </c>
      <c r="B19" s="149" t="s">
        <v>91</v>
      </c>
      <c r="C19" s="70">
        <v>88</v>
      </c>
      <c r="D19" s="70">
        <v>123408</v>
      </c>
      <c r="E19" s="70"/>
      <c r="F19" s="70">
        <f t="shared" si="1"/>
        <v>123408</v>
      </c>
      <c r="G19" s="70">
        <v>94</v>
      </c>
      <c r="H19" s="70">
        <v>67142</v>
      </c>
      <c r="I19" s="70">
        <f t="shared" si="2"/>
        <v>190550</v>
      </c>
      <c r="J19" s="150"/>
    </row>
    <row r="20" spans="1:10" ht="15" customHeight="1" x14ac:dyDescent="0.3">
      <c r="A20" s="70">
        <v>4</v>
      </c>
      <c r="B20" s="149" t="s">
        <v>92</v>
      </c>
      <c r="C20" s="70">
        <v>108</v>
      </c>
      <c r="D20" s="70">
        <v>160205</v>
      </c>
      <c r="E20" s="70"/>
      <c r="F20" s="70">
        <f t="shared" si="1"/>
        <v>160205</v>
      </c>
      <c r="G20" s="70">
        <v>106</v>
      </c>
      <c r="H20" s="70">
        <v>80446</v>
      </c>
      <c r="I20" s="70">
        <f t="shared" si="2"/>
        <v>240651</v>
      </c>
      <c r="J20" s="150"/>
    </row>
    <row r="21" spans="1:10" ht="15" customHeight="1" x14ac:dyDescent="0.3">
      <c r="A21" s="70">
        <v>5</v>
      </c>
      <c r="B21" s="149" t="s">
        <v>93</v>
      </c>
      <c r="C21" s="70">
        <v>45</v>
      </c>
      <c r="D21" s="70">
        <v>73492</v>
      </c>
      <c r="E21" s="70"/>
      <c r="F21" s="70">
        <f t="shared" si="1"/>
        <v>73492</v>
      </c>
      <c r="G21" s="70">
        <v>40</v>
      </c>
      <c r="H21" s="70">
        <v>33562</v>
      </c>
      <c r="I21" s="70">
        <f t="shared" si="2"/>
        <v>107054</v>
      </c>
      <c r="J21" s="150"/>
    </row>
    <row r="22" spans="1:10" ht="15" customHeight="1" x14ac:dyDescent="0.3">
      <c r="A22" s="70">
        <v>6</v>
      </c>
      <c r="B22" s="149" t="s">
        <v>94</v>
      </c>
      <c r="C22" s="70">
        <v>42</v>
      </c>
      <c r="D22" s="70">
        <v>59965</v>
      </c>
      <c r="E22" s="70"/>
      <c r="F22" s="70">
        <f t="shared" si="1"/>
        <v>59965</v>
      </c>
      <c r="G22" s="70">
        <v>38</v>
      </c>
      <c r="H22" s="70">
        <v>26626</v>
      </c>
      <c r="I22" s="70">
        <f t="shared" si="2"/>
        <v>86591</v>
      </c>
      <c r="J22" s="150"/>
    </row>
    <row r="23" spans="1:10" ht="15" customHeight="1" x14ac:dyDescent="0.3">
      <c r="A23" s="70">
        <v>7</v>
      </c>
      <c r="B23" s="149" t="s">
        <v>95</v>
      </c>
      <c r="C23" s="70">
        <v>79</v>
      </c>
      <c r="D23" s="70">
        <v>115180</v>
      </c>
      <c r="E23" s="70"/>
      <c r="F23" s="70">
        <f t="shared" si="1"/>
        <v>115180</v>
      </c>
      <c r="G23" s="70">
        <v>66</v>
      </c>
      <c r="H23" s="70">
        <v>50120</v>
      </c>
      <c r="I23" s="70">
        <f t="shared" si="2"/>
        <v>165300</v>
      </c>
      <c r="J23" s="150"/>
    </row>
    <row r="24" spans="1:10" ht="15" customHeight="1" x14ac:dyDescent="0.3">
      <c r="A24" s="70">
        <v>8</v>
      </c>
      <c r="B24" s="149" t="s">
        <v>96</v>
      </c>
      <c r="C24" s="70">
        <v>46</v>
      </c>
      <c r="D24" s="70">
        <v>69913</v>
      </c>
      <c r="E24" s="70"/>
      <c r="F24" s="70">
        <f t="shared" si="1"/>
        <v>69913</v>
      </c>
      <c r="G24" s="70">
        <v>41</v>
      </c>
      <c r="H24" s="70">
        <v>30963</v>
      </c>
      <c r="I24" s="70">
        <f t="shared" si="2"/>
        <v>100876</v>
      </c>
      <c r="J24" s="150"/>
    </row>
    <row r="25" spans="1:10" ht="15" customHeight="1" x14ac:dyDescent="0.3">
      <c r="A25" s="70">
        <v>9</v>
      </c>
      <c r="B25" s="149" t="s">
        <v>97</v>
      </c>
      <c r="C25" s="70">
        <v>96</v>
      </c>
      <c r="D25" s="70">
        <v>149773</v>
      </c>
      <c r="E25" s="70"/>
      <c r="F25" s="70">
        <f t="shared" si="1"/>
        <v>149773</v>
      </c>
      <c r="G25" s="70">
        <v>99</v>
      </c>
      <c r="H25" s="70">
        <v>80841</v>
      </c>
      <c r="I25" s="70">
        <f>F25+H25</f>
        <v>230614</v>
      </c>
      <c r="J25" s="150"/>
    </row>
    <row r="26" spans="1:10" ht="15" customHeight="1" x14ac:dyDescent="0.3">
      <c r="A26" s="70">
        <v>11</v>
      </c>
      <c r="B26" s="149" t="s">
        <v>98</v>
      </c>
      <c r="C26" s="70">
        <v>28</v>
      </c>
      <c r="D26" s="70">
        <v>37281</v>
      </c>
      <c r="E26" s="70"/>
      <c r="F26" s="70">
        <f t="shared" si="1"/>
        <v>37281</v>
      </c>
      <c r="G26" s="70">
        <v>31</v>
      </c>
      <c r="H26" s="70">
        <v>20551</v>
      </c>
      <c r="I26" s="70">
        <f t="shared" si="2"/>
        <v>57832</v>
      </c>
      <c r="J26" s="150"/>
    </row>
    <row r="27" spans="1:10" ht="15" customHeight="1" x14ac:dyDescent="0.3">
      <c r="A27" s="70">
        <v>12</v>
      </c>
      <c r="B27" s="149" t="s">
        <v>27</v>
      </c>
      <c r="C27" s="70">
        <v>32</v>
      </c>
      <c r="D27" s="70">
        <f>40758</f>
        <v>40758</v>
      </c>
      <c r="E27" s="70">
        <v>275</v>
      </c>
      <c r="F27" s="70">
        <f t="shared" si="1"/>
        <v>41033</v>
      </c>
      <c r="G27" s="70">
        <v>26</v>
      </c>
      <c r="H27" s="70">
        <v>16558</v>
      </c>
      <c r="I27" s="70">
        <f t="shared" si="2"/>
        <v>57591</v>
      </c>
      <c r="J27" s="150"/>
    </row>
    <row r="28" spans="1:10" x14ac:dyDescent="0.3">
      <c r="A28" s="70">
        <v>13</v>
      </c>
      <c r="B28" s="149" t="s">
        <v>99</v>
      </c>
      <c r="C28" s="70">
        <v>98</v>
      </c>
      <c r="D28" s="70">
        <v>138030</v>
      </c>
      <c r="E28" s="70"/>
      <c r="F28" s="70">
        <f t="shared" si="1"/>
        <v>138030</v>
      </c>
      <c r="G28" s="70">
        <v>94</v>
      </c>
      <c r="H28" s="70">
        <v>68219</v>
      </c>
      <c r="I28" s="70">
        <f t="shared" si="2"/>
        <v>206249</v>
      </c>
      <c r="J28" s="150"/>
    </row>
    <row r="29" spans="1:10" ht="15" customHeight="1" x14ac:dyDescent="0.3">
      <c r="A29" s="70">
        <v>14</v>
      </c>
      <c r="B29" s="149" t="s">
        <v>29</v>
      </c>
      <c r="C29" s="70">
        <v>12</v>
      </c>
      <c r="D29" s="70">
        <v>15284</v>
      </c>
      <c r="E29" s="70"/>
      <c r="F29" s="70">
        <f t="shared" si="1"/>
        <v>15284</v>
      </c>
      <c r="G29" s="70">
        <v>25</v>
      </c>
      <c r="H29" s="70">
        <v>15921</v>
      </c>
      <c r="I29" s="70">
        <f t="shared" si="2"/>
        <v>31205</v>
      </c>
      <c r="J29" s="150"/>
    </row>
    <row r="30" spans="1:10" ht="15" customHeight="1" x14ac:dyDescent="0.3">
      <c r="A30" s="70">
        <v>15</v>
      </c>
      <c r="B30" s="149" t="s">
        <v>100</v>
      </c>
      <c r="C30" s="70">
        <v>15</v>
      </c>
      <c r="D30" s="70">
        <v>25576</v>
      </c>
      <c r="E30" s="70"/>
      <c r="F30" s="70">
        <f t="shared" si="1"/>
        <v>25576</v>
      </c>
      <c r="G30" s="70">
        <v>12</v>
      </c>
      <c r="H30" s="70">
        <v>9260</v>
      </c>
      <c r="I30" s="70">
        <f t="shared" si="2"/>
        <v>34836</v>
      </c>
      <c r="J30" s="150"/>
    </row>
    <row r="31" spans="1:10" ht="15" customHeight="1" x14ac:dyDescent="0.3">
      <c r="A31" s="70">
        <v>16</v>
      </c>
      <c r="B31" s="149" t="s">
        <v>30</v>
      </c>
      <c r="C31" s="70">
        <v>19</v>
      </c>
      <c r="D31" s="70">
        <v>24200</v>
      </c>
      <c r="E31" s="70"/>
      <c r="F31" s="70">
        <f t="shared" si="1"/>
        <v>24200</v>
      </c>
      <c r="G31" s="70">
        <v>12</v>
      </c>
      <c r="H31" s="70">
        <v>7642</v>
      </c>
      <c r="I31" s="70">
        <f t="shared" si="2"/>
        <v>31842</v>
      </c>
      <c r="J31" s="150"/>
    </row>
    <row r="32" spans="1:10" ht="15" customHeight="1" x14ac:dyDescent="0.3">
      <c r="A32" s="70">
        <v>17</v>
      </c>
      <c r="B32" s="149" t="s">
        <v>48</v>
      </c>
      <c r="C32" s="70">
        <v>32</v>
      </c>
      <c r="D32" s="70">
        <v>40758</v>
      </c>
      <c r="E32" s="70"/>
      <c r="F32" s="70">
        <f t="shared" si="1"/>
        <v>40758</v>
      </c>
      <c r="G32" s="70">
        <v>28</v>
      </c>
      <c r="H32" s="70">
        <v>17832</v>
      </c>
      <c r="I32" s="70">
        <f t="shared" si="2"/>
        <v>58590</v>
      </c>
      <c r="J32" s="150"/>
    </row>
    <row r="33" spans="1:10" ht="15" customHeight="1" x14ac:dyDescent="0.3">
      <c r="A33" s="70">
        <v>18</v>
      </c>
      <c r="B33" s="149" t="s">
        <v>101</v>
      </c>
      <c r="C33" s="70">
        <v>63</v>
      </c>
      <c r="D33" s="70">
        <v>80243</v>
      </c>
      <c r="E33" s="70"/>
      <c r="F33" s="70">
        <f t="shared" si="1"/>
        <v>80243</v>
      </c>
      <c r="G33" s="70">
        <v>51</v>
      </c>
      <c r="H33" s="70">
        <v>32479</v>
      </c>
      <c r="I33" s="70">
        <f t="shared" si="2"/>
        <v>112722</v>
      </c>
      <c r="J33" s="150"/>
    </row>
    <row r="34" spans="1:10" ht="15" customHeight="1" x14ac:dyDescent="0.3">
      <c r="A34" s="70">
        <v>19</v>
      </c>
      <c r="B34" s="149" t="s">
        <v>33</v>
      </c>
      <c r="C34" s="70">
        <v>28</v>
      </c>
      <c r="D34" s="70">
        <v>35663</v>
      </c>
      <c r="E34" s="70"/>
      <c r="F34" s="70">
        <f t="shared" si="1"/>
        <v>35663</v>
      </c>
      <c r="G34" s="70">
        <v>27</v>
      </c>
      <c r="H34" s="70">
        <v>17195</v>
      </c>
      <c r="I34" s="70">
        <f t="shared" si="2"/>
        <v>52858</v>
      </c>
      <c r="J34" s="150"/>
    </row>
    <row r="35" spans="1:10" ht="15" customHeight="1" x14ac:dyDescent="0.3">
      <c r="A35" s="70">
        <v>20</v>
      </c>
      <c r="B35" s="149" t="s">
        <v>102</v>
      </c>
      <c r="C35" s="70">
        <v>47</v>
      </c>
      <c r="D35" s="70">
        <v>67951</v>
      </c>
      <c r="E35" s="70"/>
      <c r="F35" s="70">
        <f t="shared" si="1"/>
        <v>67951</v>
      </c>
      <c r="G35" s="70">
        <v>49</v>
      </c>
      <c r="H35" s="70">
        <v>32823</v>
      </c>
      <c r="I35" s="70">
        <f t="shared" si="2"/>
        <v>100774</v>
      </c>
      <c r="J35" s="150"/>
    </row>
    <row r="36" spans="1:10" ht="15" customHeight="1" x14ac:dyDescent="0.3">
      <c r="A36" s="70">
        <v>21</v>
      </c>
      <c r="B36" s="149" t="s">
        <v>39</v>
      </c>
      <c r="C36" s="70">
        <v>25</v>
      </c>
      <c r="D36" s="70">
        <v>31842</v>
      </c>
      <c r="E36" s="70"/>
      <c r="F36" s="70">
        <f t="shared" si="1"/>
        <v>31842</v>
      </c>
      <c r="G36" s="70">
        <v>22</v>
      </c>
      <c r="H36" s="70">
        <v>14011</v>
      </c>
      <c r="I36" s="70">
        <f t="shared" si="2"/>
        <v>45853</v>
      </c>
      <c r="J36" s="150"/>
    </row>
    <row r="37" spans="1:10" ht="15" customHeight="1" x14ac:dyDescent="0.3">
      <c r="A37" s="70">
        <v>22</v>
      </c>
      <c r="B37" s="149" t="s">
        <v>67</v>
      </c>
      <c r="C37" s="70">
        <v>99</v>
      </c>
      <c r="D37" s="70">
        <v>241466</v>
      </c>
      <c r="E37" s="70"/>
      <c r="F37" s="70">
        <f t="shared" si="1"/>
        <v>241466</v>
      </c>
      <c r="G37" s="70">
        <v>87</v>
      </c>
      <c r="H37" s="70">
        <v>104328</v>
      </c>
      <c r="I37" s="70">
        <f t="shared" si="2"/>
        <v>345794</v>
      </c>
      <c r="J37" s="150"/>
    </row>
    <row r="38" spans="1:10" ht="15" customHeight="1" x14ac:dyDescent="0.3">
      <c r="A38" s="76">
        <v>24</v>
      </c>
      <c r="B38" s="151" t="s">
        <v>103</v>
      </c>
      <c r="C38" s="76">
        <v>45</v>
      </c>
      <c r="D38" s="76">
        <v>57316</v>
      </c>
      <c r="E38" s="76"/>
      <c r="F38" s="76">
        <f t="shared" si="1"/>
        <v>57316</v>
      </c>
      <c r="G38" s="76">
        <v>45</v>
      </c>
      <c r="H38" s="76">
        <v>28658</v>
      </c>
      <c r="I38" s="76">
        <f t="shared" si="2"/>
        <v>85974</v>
      </c>
      <c r="J38" s="150"/>
    </row>
    <row r="39" spans="1:10" x14ac:dyDescent="0.3">
      <c r="A39" s="5"/>
    </row>
    <row r="40" spans="1:10" x14ac:dyDescent="0.3">
      <c r="A40" s="5"/>
    </row>
    <row r="41" spans="1:10" x14ac:dyDescent="0.3">
      <c r="A41" s="5"/>
    </row>
    <row r="42" spans="1:10" x14ac:dyDescent="0.3">
      <c r="A42" s="5"/>
    </row>
    <row r="43" spans="1:10" x14ac:dyDescent="0.3">
      <c r="A43" s="5"/>
    </row>
    <row r="44" spans="1:10" x14ac:dyDescent="0.3">
      <c r="A44" s="5"/>
    </row>
    <row r="45" spans="1:10" x14ac:dyDescent="0.3">
      <c r="A45" s="5"/>
    </row>
    <row r="46" spans="1:10" x14ac:dyDescent="0.3">
      <c r="A46" s="5"/>
    </row>
    <row r="47" spans="1:10" x14ac:dyDescent="0.3">
      <c r="A47" s="5"/>
    </row>
    <row r="48" spans="1:10" x14ac:dyDescent="0.3">
      <c r="A48" s="5"/>
    </row>
    <row r="49" spans="1:1" x14ac:dyDescent="0.3">
      <c r="A49" s="5"/>
    </row>
    <row r="50" spans="1:1" x14ac:dyDescent="0.3">
      <c r="A50" s="5"/>
    </row>
    <row r="51" spans="1:1" x14ac:dyDescent="0.3">
      <c r="A51" s="5"/>
    </row>
    <row r="52" spans="1:1" x14ac:dyDescent="0.3">
      <c r="A52" s="5"/>
    </row>
    <row r="53" spans="1:1" x14ac:dyDescent="0.3">
      <c r="A53" s="5"/>
    </row>
    <row r="54" spans="1:1" x14ac:dyDescent="0.3">
      <c r="A54" s="5"/>
    </row>
    <row r="55" spans="1:1" x14ac:dyDescent="0.3">
      <c r="A55" s="5"/>
    </row>
    <row r="56" spans="1:1" x14ac:dyDescent="0.3">
      <c r="A56" s="5"/>
    </row>
    <row r="57" spans="1:1" x14ac:dyDescent="0.3">
      <c r="A57" s="5"/>
    </row>
    <row r="58" spans="1:1" x14ac:dyDescent="0.3">
      <c r="A58" s="5"/>
    </row>
    <row r="59" spans="1:1" x14ac:dyDescent="0.3">
      <c r="A59" s="5"/>
    </row>
    <row r="60" spans="1:1" x14ac:dyDescent="0.3">
      <c r="A60" s="5"/>
    </row>
    <row r="61" spans="1:1" x14ac:dyDescent="0.3">
      <c r="A61" s="5"/>
    </row>
    <row r="62" spans="1:1" x14ac:dyDescent="0.3">
      <c r="A62" s="5"/>
    </row>
    <row r="63" spans="1:1" x14ac:dyDescent="0.3">
      <c r="A63" s="5"/>
    </row>
    <row r="64" spans="1:1" x14ac:dyDescent="0.3">
      <c r="A64" s="5"/>
    </row>
    <row r="65" spans="1:1" x14ac:dyDescent="0.3">
      <c r="A65" s="5"/>
    </row>
    <row r="66" spans="1:1" x14ac:dyDescent="0.3">
      <c r="A66" s="5"/>
    </row>
    <row r="67" spans="1:1" x14ac:dyDescent="0.3">
      <c r="A67" s="5"/>
    </row>
    <row r="68" spans="1:1" x14ac:dyDescent="0.3">
      <c r="A68" s="5"/>
    </row>
    <row r="69" spans="1:1" x14ac:dyDescent="0.3">
      <c r="A69" s="5"/>
    </row>
    <row r="70" spans="1:1" x14ac:dyDescent="0.3">
      <c r="A70" s="5"/>
    </row>
    <row r="71" spans="1:1" x14ac:dyDescent="0.3">
      <c r="A71" s="5"/>
    </row>
    <row r="72" spans="1:1" x14ac:dyDescent="0.3">
      <c r="A72" s="5"/>
    </row>
    <row r="73" spans="1:1" x14ac:dyDescent="0.3">
      <c r="A73" s="5"/>
    </row>
    <row r="74" spans="1:1" x14ac:dyDescent="0.3">
      <c r="A74" s="5"/>
    </row>
    <row r="75" spans="1:1" x14ac:dyDescent="0.3">
      <c r="A75" s="5"/>
    </row>
    <row r="76" spans="1:1" x14ac:dyDescent="0.3">
      <c r="A76" s="5"/>
    </row>
    <row r="77" spans="1:1" x14ac:dyDescent="0.3">
      <c r="A77" s="5"/>
    </row>
    <row r="78" spans="1:1" x14ac:dyDescent="0.3">
      <c r="A78" s="5"/>
    </row>
    <row r="79" spans="1:1" x14ac:dyDescent="0.3">
      <c r="A79" s="5"/>
    </row>
    <row r="80" spans="1:1" x14ac:dyDescent="0.3">
      <c r="A80" s="5"/>
    </row>
    <row r="81" spans="1:1" x14ac:dyDescent="0.3">
      <c r="A81" s="5"/>
    </row>
    <row r="82" spans="1:1" x14ac:dyDescent="0.3">
      <c r="A82" s="5"/>
    </row>
    <row r="83" spans="1:1" x14ac:dyDescent="0.3">
      <c r="A83" s="5"/>
    </row>
    <row r="84" spans="1:1" x14ac:dyDescent="0.3">
      <c r="A84" s="5"/>
    </row>
    <row r="85" spans="1:1" x14ac:dyDescent="0.3">
      <c r="A85" s="5"/>
    </row>
    <row r="86" spans="1:1" x14ac:dyDescent="0.3">
      <c r="A86" s="5"/>
    </row>
    <row r="87" spans="1:1" x14ac:dyDescent="0.3">
      <c r="A87" s="5"/>
    </row>
    <row r="88" spans="1:1" x14ac:dyDescent="0.3">
      <c r="A88" s="5"/>
    </row>
    <row r="89" spans="1:1" x14ac:dyDescent="0.3">
      <c r="A89" s="5"/>
    </row>
    <row r="90" spans="1:1" x14ac:dyDescent="0.3">
      <c r="A90" s="5"/>
    </row>
    <row r="91" spans="1:1" x14ac:dyDescent="0.3">
      <c r="A91" s="5"/>
    </row>
    <row r="92" spans="1:1" x14ac:dyDescent="0.3">
      <c r="A92" s="5"/>
    </row>
    <row r="93" spans="1:1" x14ac:dyDescent="0.3">
      <c r="A93" s="5"/>
    </row>
    <row r="94" spans="1:1" x14ac:dyDescent="0.3">
      <c r="A94" s="5"/>
    </row>
    <row r="95" spans="1:1" x14ac:dyDescent="0.3">
      <c r="A95" s="5"/>
    </row>
    <row r="96" spans="1:1" x14ac:dyDescent="0.3">
      <c r="A96" s="5"/>
    </row>
    <row r="97" spans="1:1" x14ac:dyDescent="0.3">
      <c r="A97" s="5"/>
    </row>
    <row r="98" spans="1:1" x14ac:dyDescent="0.3">
      <c r="A98" s="5"/>
    </row>
    <row r="99" spans="1:1" x14ac:dyDescent="0.3">
      <c r="A99" s="5"/>
    </row>
    <row r="100" spans="1:1" x14ac:dyDescent="0.3">
      <c r="A100" s="5"/>
    </row>
    <row r="101" spans="1:1" x14ac:dyDescent="0.3">
      <c r="A101" s="5"/>
    </row>
    <row r="102" spans="1:1" x14ac:dyDescent="0.3">
      <c r="A102" s="5"/>
    </row>
    <row r="103" spans="1:1" x14ac:dyDescent="0.3">
      <c r="A103" s="5"/>
    </row>
    <row r="104" spans="1:1" x14ac:dyDescent="0.3">
      <c r="A104" s="5"/>
    </row>
    <row r="105" spans="1:1" x14ac:dyDescent="0.3">
      <c r="A105" s="5"/>
    </row>
    <row r="106" spans="1:1" x14ac:dyDescent="0.3">
      <c r="A106" s="5"/>
    </row>
    <row r="107" spans="1:1" x14ac:dyDescent="0.3">
      <c r="A107" s="5"/>
    </row>
    <row r="108" spans="1:1" x14ac:dyDescent="0.3">
      <c r="A108" s="5"/>
    </row>
    <row r="109" spans="1:1" x14ac:dyDescent="0.3">
      <c r="A109" s="5"/>
    </row>
    <row r="110" spans="1:1" x14ac:dyDescent="0.3">
      <c r="A110" s="5"/>
    </row>
    <row r="111" spans="1:1" x14ac:dyDescent="0.3">
      <c r="A111" s="5"/>
    </row>
    <row r="112" spans="1:1" x14ac:dyDescent="0.3">
      <c r="A112" s="5"/>
    </row>
    <row r="113" spans="1:1" x14ac:dyDescent="0.3">
      <c r="A113" s="5"/>
    </row>
    <row r="114" spans="1:1" x14ac:dyDescent="0.3">
      <c r="A114" s="5"/>
    </row>
    <row r="115" spans="1:1" x14ac:dyDescent="0.3">
      <c r="A115" s="5"/>
    </row>
  </sheetData>
  <mergeCells count="5">
    <mergeCell ref="B7:H7"/>
    <mergeCell ref="B8:H8"/>
    <mergeCell ref="B9:G9"/>
    <mergeCell ref="A11:A14"/>
    <mergeCell ref="B11:B14"/>
  </mergeCells>
  <pageMargins left="0.78740157480314965" right="0.11811023622047245" top="0.78740157480314965" bottom="0" header="0.31496062992125984" footer="0.31496062992125984"/>
  <pageSetup paperSize="9" fitToHeight="2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9AB8A-4A7E-4D77-A88A-58F98E520E98}">
  <sheetPr>
    <pageSetUpPr fitToPage="1"/>
  </sheetPr>
  <dimension ref="A1:H126"/>
  <sheetViews>
    <sheetView tabSelected="1" topLeftCell="A97" workbookViewId="0">
      <selection activeCell="L10" sqref="L10"/>
    </sheetView>
  </sheetViews>
  <sheetFormatPr defaultColWidth="9.109375" defaultRowHeight="13.2" x14ac:dyDescent="0.25"/>
  <cols>
    <col min="1" max="1" width="6.5546875" style="3" customWidth="1"/>
    <col min="2" max="2" width="37.44140625" style="153" customWidth="1"/>
    <col min="3" max="3" width="12.44140625" style="153" customWidth="1"/>
    <col min="4" max="4" width="17.109375" style="153" customWidth="1"/>
    <col min="5" max="5" width="13.109375" style="153" bestFit="1" customWidth="1"/>
    <col min="6" max="6" width="12.6640625" style="3" customWidth="1"/>
    <col min="7" max="7" width="14.88671875" style="3" customWidth="1"/>
    <col min="8" max="8" width="12.33203125" style="3" customWidth="1"/>
    <col min="9" max="16384" width="9.109375" style="3"/>
  </cols>
  <sheetData>
    <row r="1" spans="1:8" ht="14.25" customHeight="1" x14ac:dyDescent="0.25">
      <c r="E1" s="154"/>
      <c r="H1" s="1" t="s">
        <v>1087</v>
      </c>
    </row>
    <row r="2" spans="1:8" ht="14.25" customHeight="1" x14ac:dyDescent="0.25">
      <c r="E2" s="1"/>
      <c r="H2" s="1" t="s">
        <v>1045</v>
      </c>
    </row>
    <row r="3" spans="1:8" s="5" customFormat="1" ht="14.25" customHeight="1" x14ac:dyDescent="0.25">
      <c r="B3" s="155"/>
      <c r="C3" s="155"/>
      <c r="E3" s="1"/>
      <c r="H3" s="1" t="s">
        <v>1046</v>
      </c>
    </row>
    <row r="4" spans="1:8" s="5" customFormat="1" ht="14.25" customHeight="1" x14ac:dyDescent="0.25">
      <c r="B4" s="155"/>
      <c r="C4" s="155"/>
      <c r="E4" s="1"/>
      <c r="H4" s="1" t="s">
        <v>1047</v>
      </c>
    </row>
    <row r="5" spans="1:8" s="5" customFormat="1" ht="14.25" customHeight="1" x14ac:dyDescent="0.25">
      <c r="B5" s="155"/>
      <c r="C5" s="155"/>
      <c r="E5" s="1"/>
      <c r="H5" s="1" t="s">
        <v>1048</v>
      </c>
    </row>
    <row r="6" spans="1:8" s="5" customFormat="1" ht="14.25" customHeight="1" x14ac:dyDescent="0.25">
      <c r="B6" s="155"/>
      <c r="C6" s="155"/>
      <c r="D6" s="155"/>
      <c r="E6" s="155"/>
    </row>
    <row r="7" spans="1:8" s="5" customFormat="1" ht="13.8" x14ac:dyDescent="0.25">
      <c r="A7" s="156" t="s">
        <v>1088</v>
      </c>
      <c r="B7" s="156"/>
      <c r="C7" s="156"/>
      <c r="D7" s="156"/>
      <c r="E7" s="156"/>
    </row>
    <row r="8" spans="1:8" s="5" customFormat="1" ht="13.8" x14ac:dyDescent="0.25">
      <c r="B8" s="156" t="s">
        <v>1089</v>
      </c>
      <c r="C8" s="156"/>
      <c r="D8" s="156"/>
      <c r="E8" s="156"/>
    </row>
    <row r="9" spans="1:8" s="5" customFormat="1" ht="11.4" x14ac:dyDescent="0.2">
      <c r="A9" s="6"/>
      <c r="B9" s="157"/>
      <c r="C9" s="157"/>
      <c r="D9" s="157"/>
      <c r="E9" s="157"/>
    </row>
    <row r="10" spans="1:8" s="5" customFormat="1" ht="12" x14ac:dyDescent="0.25">
      <c r="A10" s="533" t="s">
        <v>2</v>
      </c>
      <c r="B10" s="534" t="s">
        <v>3</v>
      </c>
      <c r="C10" s="158" t="s">
        <v>7</v>
      </c>
      <c r="D10" s="159" t="s">
        <v>6</v>
      </c>
      <c r="E10" s="159" t="s">
        <v>118</v>
      </c>
      <c r="F10" s="158" t="s">
        <v>7</v>
      </c>
      <c r="G10" s="159" t="s">
        <v>6</v>
      </c>
      <c r="H10" s="142" t="s">
        <v>6</v>
      </c>
    </row>
    <row r="11" spans="1:8" s="5" customFormat="1" ht="12" x14ac:dyDescent="0.25">
      <c r="A11" s="519"/>
      <c r="B11" s="535"/>
      <c r="C11" s="8" t="s">
        <v>12</v>
      </c>
      <c r="D11" s="160" t="s">
        <v>104</v>
      </c>
      <c r="E11" s="160" t="s">
        <v>119</v>
      </c>
      <c r="F11" s="8" t="s">
        <v>12</v>
      </c>
      <c r="G11" s="160" t="s">
        <v>124</v>
      </c>
      <c r="H11" s="53" t="s">
        <v>104</v>
      </c>
    </row>
    <row r="12" spans="1:8" s="5" customFormat="1" ht="12" x14ac:dyDescent="0.25">
      <c r="A12" s="519"/>
      <c r="B12" s="535"/>
      <c r="C12" s="161" t="s">
        <v>105</v>
      </c>
      <c r="D12" s="162" t="s">
        <v>106</v>
      </c>
      <c r="E12" s="160" t="s">
        <v>120</v>
      </c>
      <c r="F12" s="161" t="s">
        <v>21</v>
      </c>
      <c r="G12" s="162" t="s">
        <v>121</v>
      </c>
      <c r="H12" s="53" t="s">
        <v>122</v>
      </c>
    </row>
    <row r="13" spans="1:8" s="5" customFormat="1" ht="12" x14ac:dyDescent="0.25">
      <c r="A13" s="519"/>
      <c r="B13" s="535"/>
      <c r="C13" s="8" t="s">
        <v>17</v>
      </c>
      <c r="D13" s="162" t="s">
        <v>107</v>
      </c>
      <c r="E13" s="162"/>
      <c r="F13" s="8"/>
      <c r="G13" s="162" t="s">
        <v>123</v>
      </c>
      <c r="H13" s="53"/>
    </row>
    <row r="14" spans="1:8" s="5" customFormat="1" ht="12" x14ac:dyDescent="0.25">
      <c r="A14" s="10"/>
      <c r="B14" s="11"/>
      <c r="C14" s="11"/>
      <c r="D14" s="163" t="s">
        <v>20</v>
      </c>
      <c r="E14" s="163" t="s">
        <v>20</v>
      </c>
      <c r="F14" s="11"/>
      <c r="G14" s="163" t="s">
        <v>20</v>
      </c>
      <c r="H14" s="57" t="s">
        <v>20</v>
      </c>
    </row>
    <row r="15" spans="1:8" s="167" customFormat="1" ht="15.75" customHeight="1" x14ac:dyDescent="0.25">
      <c r="A15" s="164" t="s">
        <v>23</v>
      </c>
      <c r="B15" s="165"/>
      <c r="C15" s="166">
        <f>C16+C21+C26+C31+C36+C41+C46+C51+C56+C61+C66+C71+C76+C81+C86+C91+C96+C101+C106</f>
        <v>2447</v>
      </c>
      <c r="D15" s="86">
        <f>D16+D21+D26+D31+D36+D41+D46+D51+D56+D61+D66+D71+D76+D81+D86+D91+D96+D101+D106</f>
        <v>357655</v>
      </c>
      <c r="E15" s="166">
        <f t="shared" ref="E15:H15" si="0">E16+E21+E26+E31+E36+E41+E46+E51+E56+E61+E66+E71+E76+E81+E86+E91+E96+E101+E106</f>
        <v>15380.11</v>
      </c>
      <c r="F15" s="166">
        <f t="shared" si="0"/>
        <v>2504</v>
      </c>
      <c r="G15" s="166">
        <f t="shared" si="0"/>
        <v>270905</v>
      </c>
      <c r="H15" s="86">
        <f t="shared" si="0"/>
        <v>643940.11</v>
      </c>
    </row>
    <row r="16" spans="1:8" s="172" customFormat="1" x14ac:dyDescent="0.25">
      <c r="A16" s="168">
        <v>1</v>
      </c>
      <c r="B16" s="169" t="s">
        <v>108</v>
      </c>
      <c r="C16" s="170">
        <v>51</v>
      </c>
      <c r="D16" s="171">
        <v>7448</v>
      </c>
      <c r="E16" s="171"/>
      <c r="F16" s="171">
        <f t="shared" ref="F16" si="1">SUM(F17:F20)</f>
        <v>44</v>
      </c>
      <c r="G16" s="171">
        <v>5031</v>
      </c>
      <c r="H16" s="171">
        <f>D16+G16</f>
        <v>12479</v>
      </c>
    </row>
    <row r="17" spans="1:8" s="5" customFormat="1" x14ac:dyDescent="0.25">
      <c r="A17" s="88"/>
      <c r="B17" s="173" t="s">
        <v>109</v>
      </c>
      <c r="C17" s="174">
        <v>15</v>
      </c>
      <c r="D17" s="175">
        <v>2109</v>
      </c>
      <c r="E17" s="175"/>
      <c r="F17" s="175">
        <v>9</v>
      </c>
      <c r="G17" s="175">
        <v>1028.97</v>
      </c>
      <c r="H17" s="175">
        <v>3138</v>
      </c>
    </row>
    <row r="18" spans="1:8" s="5" customFormat="1" x14ac:dyDescent="0.25">
      <c r="A18" s="88"/>
      <c r="B18" s="176" t="s">
        <v>110</v>
      </c>
      <c r="C18" s="177">
        <v>11</v>
      </c>
      <c r="D18" s="178">
        <v>1631</v>
      </c>
      <c r="E18" s="178"/>
      <c r="F18" s="178">
        <v>12</v>
      </c>
      <c r="G18" s="178">
        <v>1371.9599999999998</v>
      </c>
      <c r="H18" s="178">
        <v>3003</v>
      </c>
    </row>
    <row r="19" spans="1:8" s="5" customFormat="1" x14ac:dyDescent="0.25">
      <c r="A19" s="88"/>
      <c r="B19" s="176" t="s">
        <v>111</v>
      </c>
      <c r="C19" s="177">
        <v>11</v>
      </c>
      <c r="D19" s="178">
        <v>1632</v>
      </c>
      <c r="E19" s="178"/>
      <c r="F19" s="178">
        <v>11</v>
      </c>
      <c r="G19" s="178">
        <v>1257.6299999999999</v>
      </c>
      <c r="H19" s="178">
        <v>2890</v>
      </c>
    </row>
    <row r="20" spans="1:8" s="5" customFormat="1" x14ac:dyDescent="0.25">
      <c r="A20" s="34"/>
      <c r="B20" s="179" t="s">
        <v>112</v>
      </c>
      <c r="C20" s="177">
        <v>14</v>
      </c>
      <c r="D20" s="178">
        <v>2076</v>
      </c>
      <c r="E20" s="178"/>
      <c r="F20" s="178">
        <v>12</v>
      </c>
      <c r="G20" s="178">
        <v>1371.9599999999998</v>
      </c>
      <c r="H20" s="178">
        <v>3448</v>
      </c>
    </row>
    <row r="21" spans="1:8" s="5" customFormat="1" x14ac:dyDescent="0.25">
      <c r="A21" s="168">
        <v>2</v>
      </c>
      <c r="B21" s="169" t="s">
        <v>27</v>
      </c>
      <c r="C21" s="170">
        <v>44</v>
      </c>
      <c r="D21" s="171">
        <v>6456</v>
      </c>
      <c r="E21" s="171"/>
      <c r="F21" s="171">
        <f t="shared" ref="F21" si="2">SUM(F22:F25)</f>
        <v>36</v>
      </c>
      <c r="G21" s="171">
        <v>4116</v>
      </c>
      <c r="H21" s="171">
        <f>D21+G21</f>
        <v>10572</v>
      </c>
    </row>
    <row r="22" spans="1:8" s="5" customFormat="1" x14ac:dyDescent="0.25">
      <c r="A22" s="88"/>
      <c r="B22" s="173" t="s">
        <v>109</v>
      </c>
      <c r="C22" s="174">
        <v>9</v>
      </c>
      <c r="D22" s="175">
        <v>1265</v>
      </c>
      <c r="E22" s="175"/>
      <c r="F22" s="175">
        <f>8-1</f>
        <v>7</v>
      </c>
      <c r="G22" s="175">
        <v>800.31</v>
      </c>
      <c r="H22" s="175">
        <v>2066</v>
      </c>
    </row>
    <row r="23" spans="1:8" s="5" customFormat="1" x14ac:dyDescent="0.25">
      <c r="A23" s="88"/>
      <c r="B23" s="176" t="s">
        <v>110</v>
      </c>
      <c r="C23" s="177">
        <v>11</v>
      </c>
      <c r="D23" s="178">
        <v>1632</v>
      </c>
      <c r="E23" s="178"/>
      <c r="F23" s="178">
        <v>9</v>
      </c>
      <c r="G23" s="178">
        <v>1028.97</v>
      </c>
      <c r="H23" s="178">
        <v>2661</v>
      </c>
    </row>
    <row r="24" spans="1:8" s="5" customFormat="1" x14ac:dyDescent="0.25">
      <c r="A24" s="88"/>
      <c r="B24" s="176" t="s">
        <v>111</v>
      </c>
      <c r="C24" s="177">
        <v>17</v>
      </c>
      <c r="D24" s="178">
        <v>2521</v>
      </c>
      <c r="E24" s="178"/>
      <c r="F24" s="178">
        <v>7</v>
      </c>
      <c r="G24" s="178">
        <v>800.31</v>
      </c>
      <c r="H24" s="178">
        <v>3321</v>
      </c>
    </row>
    <row r="25" spans="1:8" s="5" customFormat="1" x14ac:dyDescent="0.25">
      <c r="A25" s="34"/>
      <c r="B25" s="179" t="s">
        <v>112</v>
      </c>
      <c r="C25" s="177">
        <v>7</v>
      </c>
      <c r="D25" s="178">
        <v>1038</v>
      </c>
      <c r="E25" s="178"/>
      <c r="F25" s="178">
        <f>14-1</f>
        <v>13</v>
      </c>
      <c r="G25" s="178">
        <v>1486.29</v>
      </c>
      <c r="H25" s="178">
        <v>2524</v>
      </c>
    </row>
    <row r="26" spans="1:8" s="5" customFormat="1" x14ac:dyDescent="0.25">
      <c r="A26" s="168">
        <v>3</v>
      </c>
      <c r="B26" s="169" t="s">
        <v>30</v>
      </c>
      <c r="C26" s="170">
        <v>45</v>
      </c>
      <c r="D26" s="171">
        <v>6613</v>
      </c>
      <c r="E26" s="171"/>
      <c r="F26" s="171">
        <f t="shared" ref="F26" si="3">SUM(F27:F30)</f>
        <v>45</v>
      </c>
      <c r="G26" s="171">
        <v>5145</v>
      </c>
      <c r="H26" s="171">
        <f>D26+G26</f>
        <v>11758</v>
      </c>
    </row>
    <row r="27" spans="1:8" s="5" customFormat="1" x14ac:dyDescent="0.25">
      <c r="A27" s="88"/>
      <c r="B27" s="173" t="s">
        <v>109</v>
      </c>
      <c r="C27" s="174">
        <v>8</v>
      </c>
      <c r="D27" s="175">
        <v>1125</v>
      </c>
      <c r="E27" s="175"/>
      <c r="F27" s="175">
        <v>11</v>
      </c>
      <c r="G27" s="175">
        <v>1257.6299999999999</v>
      </c>
      <c r="H27" s="175">
        <v>2383</v>
      </c>
    </row>
    <row r="28" spans="1:8" s="5" customFormat="1" x14ac:dyDescent="0.25">
      <c r="A28" s="88"/>
      <c r="B28" s="176" t="s">
        <v>110</v>
      </c>
      <c r="C28" s="177">
        <v>17</v>
      </c>
      <c r="D28" s="178">
        <v>2521</v>
      </c>
      <c r="E28" s="178"/>
      <c r="F28" s="178">
        <v>8</v>
      </c>
      <c r="G28" s="178">
        <v>914.64</v>
      </c>
      <c r="H28" s="178">
        <v>3436</v>
      </c>
    </row>
    <row r="29" spans="1:8" s="5" customFormat="1" x14ac:dyDescent="0.25">
      <c r="A29" s="88"/>
      <c r="B29" s="176" t="s">
        <v>111</v>
      </c>
      <c r="C29" s="177">
        <v>11</v>
      </c>
      <c r="D29" s="178">
        <v>1632</v>
      </c>
      <c r="E29" s="178"/>
      <c r="F29" s="178">
        <v>16</v>
      </c>
      <c r="G29" s="178">
        <v>1829.28</v>
      </c>
      <c r="H29" s="178">
        <v>3461</v>
      </c>
    </row>
    <row r="30" spans="1:8" s="5" customFormat="1" x14ac:dyDescent="0.25">
      <c r="A30" s="34"/>
      <c r="B30" s="179" t="s">
        <v>112</v>
      </c>
      <c r="C30" s="177">
        <v>9</v>
      </c>
      <c r="D30" s="178">
        <v>1335</v>
      </c>
      <c r="E30" s="178"/>
      <c r="F30" s="178">
        <v>10</v>
      </c>
      <c r="G30" s="178">
        <v>1143.3</v>
      </c>
      <c r="H30" s="178">
        <v>2478</v>
      </c>
    </row>
    <row r="31" spans="1:8" s="5" customFormat="1" x14ac:dyDescent="0.25">
      <c r="A31" s="168">
        <v>4</v>
      </c>
      <c r="B31" s="169" t="s">
        <v>28</v>
      </c>
      <c r="C31" s="170">
        <v>41</v>
      </c>
      <c r="D31" s="171">
        <v>6011</v>
      </c>
      <c r="E31" s="171"/>
      <c r="F31" s="171">
        <f t="shared" ref="F31" si="4">SUM(F32:F35)</f>
        <v>35</v>
      </c>
      <c r="G31" s="171">
        <v>4002</v>
      </c>
      <c r="H31" s="171">
        <f>D31+G31</f>
        <v>10013</v>
      </c>
    </row>
    <row r="32" spans="1:8" s="5" customFormat="1" x14ac:dyDescent="0.25">
      <c r="A32" s="88"/>
      <c r="B32" s="173" t="s">
        <v>109</v>
      </c>
      <c r="C32" s="174">
        <v>9</v>
      </c>
      <c r="D32" s="175">
        <v>1265</v>
      </c>
      <c r="E32" s="175"/>
      <c r="F32" s="175">
        <v>9</v>
      </c>
      <c r="G32" s="175">
        <v>1028.97</v>
      </c>
      <c r="H32" s="175">
        <v>2294</v>
      </c>
    </row>
    <row r="33" spans="1:8" s="5" customFormat="1" x14ac:dyDescent="0.25">
      <c r="A33" s="88"/>
      <c r="B33" s="176" t="s">
        <v>110</v>
      </c>
      <c r="C33" s="177">
        <v>9</v>
      </c>
      <c r="D33" s="178">
        <v>1335</v>
      </c>
      <c r="E33" s="178"/>
      <c r="F33" s="178">
        <v>9</v>
      </c>
      <c r="G33" s="178">
        <v>1028.97</v>
      </c>
      <c r="H33" s="178">
        <v>2364</v>
      </c>
    </row>
    <row r="34" spans="1:8" s="5" customFormat="1" x14ac:dyDescent="0.25">
      <c r="A34" s="88"/>
      <c r="B34" s="176" t="s">
        <v>111</v>
      </c>
      <c r="C34" s="177">
        <v>9</v>
      </c>
      <c r="D34" s="178">
        <v>1335</v>
      </c>
      <c r="E34" s="178"/>
      <c r="F34" s="178">
        <v>7</v>
      </c>
      <c r="G34" s="178">
        <v>800.31</v>
      </c>
      <c r="H34" s="178">
        <v>2135</v>
      </c>
    </row>
    <row r="35" spans="1:8" s="5" customFormat="1" x14ac:dyDescent="0.25">
      <c r="A35" s="34"/>
      <c r="B35" s="179" t="s">
        <v>112</v>
      </c>
      <c r="C35" s="177">
        <v>14</v>
      </c>
      <c r="D35" s="178">
        <v>2076</v>
      </c>
      <c r="E35" s="178"/>
      <c r="F35" s="178">
        <v>10</v>
      </c>
      <c r="G35" s="178">
        <v>1143.3</v>
      </c>
      <c r="H35" s="178">
        <v>3219</v>
      </c>
    </row>
    <row r="36" spans="1:8" s="5" customFormat="1" x14ac:dyDescent="0.25">
      <c r="A36" s="168">
        <v>5</v>
      </c>
      <c r="B36" s="169" t="s">
        <v>29</v>
      </c>
      <c r="C36" s="170">
        <v>33</v>
      </c>
      <c r="D36" s="171">
        <v>4817</v>
      </c>
      <c r="E36" s="171"/>
      <c r="F36" s="171">
        <f t="shared" ref="F36" si="5">SUM(F37:F40)</f>
        <v>26</v>
      </c>
      <c r="G36" s="171">
        <v>2973</v>
      </c>
      <c r="H36" s="171">
        <f>D36+G36</f>
        <v>7790</v>
      </c>
    </row>
    <row r="37" spans="1:8" s="5" customFormat="1" x14ac:dyDescent="0.25">
      <c r="A37" s="88"/>
      <c r="B37" s="173" t="s">
        <v>109</v>
      </c>
      <c r="C37" s="174">
        <v>10</v>
      </c>
      <c r="D37" s="175">
        <v>1406</v>
      </c>
      <c r="E37" s="175"/>
      <c r="F37" s="175">
        <v>6</v>
      </c>
      <c r="G37" s="175">
        <v>685.9799999999999</v>
      </c>
      <c r="H37" s="175">
        <v>2092</v>
      </c>
    </row>
    <row r="38" spans="1:8" s="5" customFormat="1" x14ac:dyDescent="0.25">
      <c r="A38" s="88"/>
      <c r="B38" s="176" t="s">
        <v>110</v>
      </c>
      <c r="C38" s="177">
        <v>6</v>
      </c>
      <c r="D38" s="178">
        <v>890</v>
      </c>
      <c r="E38" s="178"/>
      <c r="F38" s="178">
        <v>8</v>
      </c>
      <c r="G38" s="178">
        <v>914.64</v>
      </c>
      <c r="H38" s="178">
        <v>1805</v>
      </c>
    </row>
    <row r="39" spans="1:8" s="5" customFormat="1" x14ac:dyDescent="0.25">
      <c r="A39" s="88"/>
      <c r="B39" s="176" t="s">
        <v>111</v>
      </c>
      <c r="C39" s="177">
        <v>6</v>
      </c>
      <c r="D39" s="178">
        <v>890</v>
      </c>
      <c r="E39" s="178"/>
      <c r="F39" s="178">
        <v>6</v>
      </c>
      <c r="G39" s="178">
        <v>685.9799999999999</v>
      </c>
      <c r="H39" s="178">
        <v>1576</v>
      </c>
    </row>
    <row r="40" spans="1:8" s="5" customFormat="1" x14ac:dyDescent="0.25">
      <c r="A40" s="34"/>
      <c r="B40" s="179" t="s">
        <v>112</v>
      </c>
      <c r="C40" s="177">
        <v>11</v>
      </c>
      <c r="D40" s="178">
        <v>1631</v>
      </c>
      <c r="E40" s="178"/>
      <c r="F40" s="178">
        <v>6</v>
      </c>
      <c r="G40" s="178">
        <v>685.9799999999999</v>
      </c>
      <c r="H40" s="178">
        <v>2317</v>
      </c>
    </row>
    <row r="41" spans="1:8" s="5" customFormat="1" x14ac:dyDescent="0.25">
      <c r="A41" s="168">
        <v>6</v>
      </c>
      <c r="B41" s="169" t="s">
        <v>32</v>
      </c>
      <c r="C41" s="170">
        <v>141</v>
      </c>
      <c r="D41" s="171">
        <v>20581</v>
      </c>
      <c r="E41" s="171"/>
      <c r="F41" s="171">
        <f t="shared" ref="F41" si="6">SUM(F42:F45)</f>
        <v>158</v>
      </c>
      <c r="G41" s="171">
        <v>18064</v>
      </c>
      <c r="H41" s="171">
        <f>D41+G41</f>
        <v>38645</v>
      </c>
    </row>
    <row r="42" spans="1:8" s="5" customFormat="1" x14ac:dyDescent="0.25">
      <c r="A42" s="88"/>
      <c r="B42" s="173" t="s">
        <v>109</v>
      </c>
      <c r="C42" s="174">
        <v>43</v>
      </c>
      <c r="D42" s="175">
        <v>6046</v>
      </c>
      <c r="E42" s="175"/>
      <c r="F42" s="175">
        <v>41</v>
      </c>
      <c r="G42" s="175">
        <v>4687.53</v>
      </c>
      <c r="H42" s="175">
        <v>10734</v>
      </c>
    </row>
    <row r="43" spans="1:8" s="5" customFormat="1" x14ac:dyDescent="0.25">
      <c r="A43" s="88"/>
      <c r="B43" s="176" t="s">
        <v>110</v>
      </c>
      <c r="C43" s="177">
        <v>31</v>
      </c>
      <c r="D43" s="178">
        <v>4598</v>
      </c>
      <c r="E43" s="178"/>
      <c r="F43" s="178">
        <v>47</v>
      </c>
      <c r="G43" s="178">
        <v>5373.51</v>
      </c>
      <c r="H43" s="178">
        <v>9971</v>
      </c>
    </row>
    <row r="44" spans="1:8" s="5" customFormat="1" x14ac:dyDescent="0.25">
      <c r="A44" s="88"/>
      <c r="B44" s="176" t="s">
        <v>111</v>
      </c>
      <c r="C44" s="177">
        <v>34</v>
      </c>
      <c r="D44" s="178">
        <v>5043</v>
      </c>
      <c r="E44" s="178"/>
      <c r="F44" s="178">
        <f>34-1</f>
        <v>33</v>
      </c>
      <c r="G44" s="178">
        <v>3772.89</v>
      </c>
      <c r="H44" s="178">
        <v>8816</v>
      </c>
    </row>
    <row r="45" spans="1:8" s="5" customFormat="1" x14ac:dyDescent="0.25">
      <c r="A45" s="34"/>
      <c r="B45" s="179" t="s">
        <v>112</v>
      </c>
      <c r="C45" s="177">
        <v>33</v>
      </c>
      <c r="D45" s="178">
        <v>4894</v>
      </c>
      <c r="E45" s="178"/>
      <c r="F45" s="178">
        <v>37</v>
      </c>
      <c r="G45" s="178">
        <v>4230.2099999999991</v>
      </c>
      <c r="H45" s="178">
        <v>9124</v>
      </c>
    </row>
    <row r="46" spans="1:8" s="5" customFormat="1" x14ac:dyDescent="0.25">
      <c r="A46" s="168">
        <v>7</v>
      </c>
      <c r="B46" s="169" t="s">
        <v>33</v>
      </c>
      <c r="C46" s="170">
        <v>48</v>
      </c>
      <c r="D46" s="171">
        <v>6996</v>
      </c>
      <c r="E46" s="171"/>
      <c r="F46" s="171">
        <f t="shared" ref="F46" si="7">SUM(F47:F50)</f>
        <v>49</v>
      </c>
      <c r="G46" s="171">
        <v>5602</v>
      </c>
      <c r="H46" s="171">
        <f>D46+G46</f>
        <v>12598</v>
      </c>
    </row>
    <row r="47" spans="1:8" s="5" customFormat="1" x14ac:dyDescent="0.25">
      <c r="A47" s="88"/>
      <c r="B47" s="173" t="s">
        <v>109</v>
      </c>
      <c r="C47" s="174">
        <v>16</v>
      </c>
      <c r="D47" s="175">
        <v>2249</v>
      </c>
      <c r="E47" s="175"/>
      <c r="F47" s="175">
        <v>12</v>
      </c>
      <c r="G47" s="175">
        <v>1371.9599999999998</v>
      </c>
      <c r="H47" s="175">
        <v>3621</v>
      </c>
    </row>
    <row r="48" spans="1:8" s="5" customFormat="1" x14ac:dyDescent="0.25">
      <c r="A48" s="88"/>
      <c r="B48" s="176" t="s">
        <v>110</v>
      </c>
      <c r="C48" s="177">
        <v>11</v>
      </c>
      <c r="D48" s="178">
        <v>1632</v>
      </c>
      <c r="E48" s="178"/>
      <c r="F48" s="178">
        <v>13</v>
      </c>
      <c r="G48" s="178">
        <v>1486.29</v>
      </c>
      <c r="H48" s="178">
        <v>3118</v>
      </c>
    </row>
    <row r="49" spans="1:8" s="5" customFormat="1" x14ac:dyDescent="0.25">
      <c r="A49" s="88"/>
      <c r="B49" s="176" t="s">
        <v>111</v>
      </c>
      <c r="C49" s="177">
        <v>12</v>
      </c>
      <c r="D49" s="178">
        <v>1780</v>
      </c>
      <c r="E49" s="178"/>
      <c r="F49" s="178">
        <v>12</v>
      </c>
      <c r="G49" s="178">
        <v>1371.9599999999998</v>
      </c>
      <c r="H49" s="178">
        <v>3152</v>
      </c>
    </row>
    <row r="50" spans="1:8" s="5" customFormat="1" x14ac:dyDescent="0.25">
      <c r="A50" s="34"/>
      <c r="B50" s="179" t="s">
        <v>112</v>
      </c>
      <c r="C50" s="177">
        <v>9</v>
      </c>
      <c r="D50" s="178">
        <v>1335</v>
      </c>
      <c r="E50" s="178"/>
      <c r="F50" s="178">
        <v>12</v>
      </c>
      <c r="G50" s="178">
        <v>1371.9599999999998</v>
      </c>
      <c r="H50" s="178">
        <v>2707</v>
      </c>
    </row>
    <row r="51" spans="1:8" s="5" customFormat="1" x14ac:dyDescent="0.25">
      <c r="A51" s="168">
        <v>8</v>
      </c>
      <c r="B51" s="169" t="s">
        <v>48</v>
      </c>
      <c r="C51" s="170">
        <v>43</v>
      </c>
      <c r="D51" s="171">
        <v>6316</v>
      </c>
      <c r="E51" s="171"/>
      <c r="F51" s="171">
        <f t="shared" ref="F51" si="8">SUM(F52:F55)</f>
        <v>44</v>
      </c>
      <c r="G51" s="171">
        <v>5031</v>
      </c>
      <c r="H51" s="171">
        <f>D51+G51</f>
        <v>11347</v>
      </c>
    </row>
    <row r="52" spans="1:8" s="5" customFormat="1" x14ac:dyDescent="0.25">
      <c r="A52" s="88"/>
      <c r="B52" s="173" t="s">
        <v>109</v>
      </c>
      <c r="C52" s="174">
        <v>8</v>
      </c>
      <c r="D52" s="175">
        <v>1125</v>
      </c>
      <c r="E52" s="175"/>
      <c r="F52" s="175">
        <v>10</v>
      </c>
      <c r="G52" s="175">
        <v>1143.3</v>
      </c>
      <c r="H52" s="175">
        <v>2268</v>
      </c>
    </row>
    <row r="53" spans="1:8" s="5" customFormat="1" x14ac:dyDescent="0.25">
      <c r="A53" s="88"/>
      <c r="B53" s="176" t="s">
        <v>110</v>
      </c>
      <c r="C53" s="177">
        <v>11</v>
      </c>
      <c r="D53" s="178">
        <v>1631</v>
      </c>
      <c r="E53" s="178"/>
      <c r="F53" s="178">
        <v>9</v>
      </c>
      <c r="G53" s="178">
        <v>1028.97</v>
      </c>
      <c r="H53" s="178">
        <v>2660</v>
      </c>
    </row>
    <row r="54" spans="1:8" s="5" customFormat="1" x14ac:dyDescent="0.25">
      <c r="A54" s="88"/>
      <c r="B54" s="176" t="s">
        <v>111</v>
      </c>
      <c r="C54" s="177">
        <v>13</v>
      </c>
      <c r="D54" s="178">
        <v>1928</v>
      </c>
      <c r="E54" s="178"/>
      <c r="F54" s="178">
        <v>15</v>
      </c>
      <c r="G54" s="178">
        <v>1714.9499999999998</v>
      </c>
      <c r="H54" s="178">
        <v>3643</v>
      </c>
    </row>
    <row r="55" spans="1:8" s="5" customFormat="1" x14ac:dyDescent="0.25">
      <c r="A55" s="34"/>
      <c r="B55" s="179" t="s">
        <v>112</v>
      </c>
      <c r="C55" s="177">
        <v>11</v>
      </c>
      <c r="D55" s="178">
        <v>1632</v>
      </c>
      <c r="E55" s="178"/>
      <c r="F55" s="178">
        <v>10</v>
      </c>
      <c r="G55" s="178">
        <v>1143.3</v>
      </c>
      <c r="H55" s="178">
        <v>2775</v>
      </c>
    </row>
    <row r="56" spans="1:8" s="5" customFormat="1" x14ac:dyDescent="0.25">
      <c r="A56" s="168">
        <v>9</v>
      </c>
      <c r="B56" s="169" t="s">
        <v>38</v>
      </c>
      <c r="C56" s="170">
        <v>103</v>
      </c>
      <c r="D56" s="171">
        <v>15084</v>
      </c>
      <c r="E56" s="171"/>
      <c r="F56" s="171">
        <f t="shared" ref="F56" si="9">SUM(F57:F60)</f>
        <v>107</v>
      </c>
      <c r="G56" s="171">
        <v>12233</v>
      </c>
      <c r="H56" s="171">
        <f>D56+G56</f>
        <v>27317</v>
      </c>
    </row>
    <row r="57" spans="1:8" s="5" customFormat="1" x14ac:dyDescent="0.25">
      <c r="A57" s="88"/>
      <c r="B57" s="173" t="s">
        <v>109</v>
      </c>
      <c r="C57" s="174">
        <v>25</v>
      </c>
      <c r="D57" s="175">
        <v>3515</v>
      </c>
      <c r="E57" s="175"/>
      <c r="F57" s="175">
        <v>25</v>
      </c>
      <c r="G57" s="175">
        <v>2858.25</v>
      </c>
      <c r="H57" s="175">
        <v>6373</v>
      </c>
    </row>
    <row r="58" spans="1:8" s="5" customFormat="1" x14ac:dyDescent="0.25">
      <c r="A58" s="88"/>
      <c r="B58" s="176" t="s">
        <v>110</v>
      </c>
      <c r="C58" s="177">
        <v>24</v>
      </c>
      <c r="D58" s="178">
        <v>3560</v>
      </c>
      <c r="E58" s="178"/>
      <c r="F58" s="178">
        <v>26</v>
      </c>
      <c r="G58" s="178">
        <v>2972.58</v>
      </c>
      <c r="H58" s="178">
        <v>6533</v>
      </c>
    </row>
    <row r="59" spans="1:8" s="5" customFormat="1" x14ac:dyDescent="0.25">
      <c r="A59" s="88"/>
      <c r="B59" s="176" t="s">
        <v>111</v>
      </c>
      <c r="C59" s="177">
        <v>31</v>
      </c>
      <c r="D59" s="178">
        <v>4598</v>
      </c>
      <c r="E59" s="178"/>
      <c r="F59" s="178">
        <v>25</v>
      </c>
      <c r="G59" s="178">
        <v>2858.25</v>
      </c>
      <c r="H59" s="178">
        <v>7456</v>
      </c>
    </row>
    <row r="60" spans="1:8" s="5" customFormat="1" x14ac:dyDescent="0.25">
      <c r="A60" s="34"/>
      <c r="B60" s="179" t="s">
        <v>112</v>
      </c>
      <c r="C60" s="177">
        <v>23</v>
      </c>
      <c r="D60" s="178">
        <v>3411</v>
      </c>
      <c r="E60" s="178"/>
      <c r="F60" s="178">
        <v>31</v>
      </c>
      <c r="G60" s="178">
        <v>3544.2299999999996</v>
      </c>
      <c r="H60" s="178">
        <v>6955</v>
      </c>
    </row>
    <row r="61" spans="1:8" s="5" customFormat="1" x14ac:dyDescent="0.25">
      <c r="A61" s="168">
        <v>10</v>
      </c>
      <c r="B61" s="169" t="s">
        <v>113</v>
      </c>
      <c r="C61" s="170">
        <v>47</v>
      </c>
      <c r="D61" s="171">
        <v>6824</v>
      </c>
      <c r="E61" s="171"/>
      <c r="F61" s="171">
        <f t="shared" ref="F61" si="10">SUM(F62:F65)</f>
        <v>43</v>
      </c>
      <c r="G61" s="171">
        <v>4916</v>
      </c>
      <c r="H61" s="171">
        <f>D61+G61</f>
        <v>11740</v>
      </c>
    </row>
    <row r="62" spans="1:8" s="5" customFormat="1" x14ac:dyDescent="0.25">
      <c r="A62" s="88"/>
      <c r="B62" s="173" t="s">
        <v>109</v>
      </c>
      <c r="C62" s="174">
        <v>19</v>
      </c>
      <c r="D62" s="175">
        <v>2671</v>
      </c>
      <c r="E62" s="175"/>
      <c r="F62" s="175">
        <v>13</v>
      </c>
      <c r="G62" s="175">
        <v>1486.29</v>
      </c>
      <c r="H62" s="175">
        <v>4157</v>
      </c>
    </row>
    <row r="63" spans="1:8" s="5" customFormat="1" x14ac:dyDescent="0.25">
      <c r="A63" s="88"/>
      <c r="B63" s="176" t="s">
        <v>110</v>
      </c>
      <c r="C63" s="177">
        <v>8</v>
      </c>
      <c r="D63" s="178">
        <v>1186</v>
      </c>
      <c r="E63" s="178"/>
      <c r="F63" s="178">
        <v>15</v>
      </c>
      <c r="G63" s="178">
        <v>1714.9499999999998</v>
      </c>
      <c r="H63" s="178">
        <v>2901</v>
      </c>
    </row>
    <row r="64" spans="1:8" s="5" customFormat="1" x14ac:dyDescent="0.25">
      <c r="A64" s="88"/>
      <c r="B64" s="176" t="s">
        <v>111</v>
      </c>
      <c r="C64" s="177">
        <v>12</v>
      </c>
      <c r="D64" s="178">
        <v>1780</v>
      </c>
      <c r="E64" s="178"/>
      <c r="F64" s="178">
        <v>6</v>
      </c>
      <c r="G64" s="178">
        <v>685.9799999999999</v>
      </c>
      <c r="H64" s="178">
        <v>2466</v>
      </c>
    </row>
    <row r="65" spans="1:8" s="5" customFormat="1" x14ac:dyDescent="0.25">
      <c r="A65" s="34"/>
      <c r="B65" s="179" t="s">
        <v>112</v>
      </c>
      <c r="C65" s="177">
        <v>8</v>
      </c>
      <c r="D65" s="178">
        <v>1187</v>
      </c>
      <c r="E65" s="178"/>
      <c r="F65" s="178">
        <v>9</v>
      </c>
      <c r="G65" s="178">
        <v>1028.97</v>
      </c>
      <c r="H65" s="178">
        <v>2216</v>
      </c>
    </row>
    <row r="66" spans="1:8" s="5" customFormat="1" x14ac:dyDescent="0.25">
      <c r="A66" s="168">
        <v>11</v>
      </c>
      <c r="B66" s="169" t="s">
        <v>40</v>
      </c>
      <c r="C66" s="170">
        <v>183</v>
      </c>
      <c r="D66" s="171">
        <v>26633</v>
      </c>
      <c r="E66" s="171"/>
      <c r="F66" s="171">
        <f t="shared" ref="F66" si="11">SUM(F67:F70)</f>
        <v>199</v>
      </c>
      <c r="G66" s="171">
        <v>22752</v>
      </c>
      <c r="H66" s="171">
        <f>D66+G66</f>
        <v>49385</v>
      </c>
    </row>
    <row r="67" spans="1:8" s="5" customFormat="1" x14ac:dyDescent="0.25">
      <c r="A67" s="88"/>
      <c r="B67" s="173" t="s">
        <v>109</v>
      </c>
      <c r="C67" s="174">
        <v>66</v>
      </c>
      <c r="D67" s="175">
        <v>9279</v>
      </c>
      <c r="E67" s="175"/>
      <c r="F67" s="175">
        <v>53</v>
      </c>
      <c r="G67" s="175">
        <v>6059.4899999999989</v>
      </c>
      <c r="H67" s="175">
        <v>15339</v>
      </c>
    </row>
    <row r="68" spans="1:8" s="5" customFormat="1" x14ac:dyDescent="0.25">
      <c r="A68" s="88"/>
      <c r="B68" s="176" t="s">
        <v>110</v>
      </c>
      <c r="C68" s="177">
        <v>34</v>
      </c>
      <c r="D68" s="178">
        <v>5043</v>
      </c>
      <c r="E68" s="178"/>
      <c r="F68" s="178">
        <v>64</v>
      </c>
      <c r="G68" s="178">
        <v>7317.12</v>
      </c>
      <c r="H68" s="178">
        <v>12360</v>
      </c>
    </row>
    <row r="69" spans="1:8" s="5" customFormat="1" x14ac:dyDescent="0.25">
      <c r="A69" s="88"/>
      <c r="B69" s="176" t="s">
        <v>111</v>
      </c>
      <c r="C69" s="177">
        <v>42</v>
      </c>
      <c r="D69" s="178">
        <v>6230</v>
      </c>
      <c r="E69" s="178"/>
      <c r="F69" s="178">
        <v>37</v>
      </c>
      <c r="G69" s="178">
        <v>4230.2099999999991</v>
      </c>
      <c r="H69" s="178">
        <v>10460</v>
      </c>
    </row>
    <row r="70" spans="1:8" s="5" customFormat="1" x14ac:dyDescent="0.25">
      <c r="A70" s="34"/>
      <c r="B70" s="179" t="s">
        <v>112</v>
      </c>
      <c r="C70" s="177">
        <v>41</v>
      </c>
      <c r="D70" s="178">
        <v>6081</v>
      </c>
      <c r="E70" s="178"/>
      <c r="F70" s="178">
        <v>45</v>
      </c>
      <c r="G70" s="178">
        <v>5144.8500000000004</v>
      </c>
      <c r="H70" s="178">
        <v>11226</v>
      </c>
    </row>
    <row r="71" spans="1:8" s="5" customFormat="1" x14ac:dyDescent="0.25">
      <c r="A71" s="168">
        <v>12</v>
      </c>
      <c r="B71" s="169" t="s">
        <v>34</v>
      </c>
      <c r="C71" s="170">
        <v>82</v>
      </c>
      <c r="D71" s="171">
        <v>12008</v>
      </c>
      <c r="E71" s="171"/>
      <c r="F71" s="171">
        <f t="shared" ref="F71" si="12">SUM(F72:F75)</f>
        <v>81</v>
      </c>
      <c r="G71" s="171">
        <v>9261</v>
      </c>
      <c r="H71" s="171">
        <f>D71+G71</f>
        <v>21269</v>
      </c>
    </row>
    <row r="72" spans="1:8" s="5" customFormat="1" x14ac:dyDescent="0.25">
      <c r="A72" s="88"/>
      <c r="B72" s="173" t="s">
        <v>109</v>
      </c>
      <c r="C72" s="174">
        <v>20</v>
      </c>
      <c r="D72" s="175">
        <v>2812</v>
      </c>
      <c r="E72" s="175"/>
      <c r="F72" s="175">
        <v>21</v>
      </c>
      <c r="G72" s="175">
        <v>2400.9300000000003</v>
      </c>
      <c r="H72" s="175">
        <v>5213</v>
      </c>
    </row>
    <row r="73" spans="1:8" s="5" customFormat="1" x14ac:dyDescent="0.25">
      <c r="A73" s="88"/>
      <c r="B73" s="176" t="s">
        <v>110</v>
      </c>
      <c r="C73" s="177">
        <v>20</v>
      </c>
      <c r="D73" s="178">
        <v>2967</v>
      </c>
      <c r="E73" s="178"/>
      <c r="F73" s="178">
        <v>18</v>
      </c>
      <c r="G73" s="178">
        <v>2057.94</v>
      </c>
      <c r="H73" s="178">
        <v>5025</v>
      </c>
    </row>
    <row r="74" spans="1:8" s="5" customFormat="1" x14ac:dyDescent="0.25">
      <c r="A74" s="88"/>
      <c r="B74" s="176" t="s">
        <v>111</v>
      </c>
      <c r="C74" s="177">
        <v>19</v>
      </c>
      <c r="D74" s="178">
        <v>2818</v>
      </c>
      <c r="E74" s="178"/>
      <c r="F74" s="178">
        <v>22</v>
      </c>
      <c r="G74" s="178">
        <v>2515.2599999999998</v>
      </c>
      <c r="H74" s="178">
        <v>5333</v>
      </c>
    </row>
    <row r="75" spans="1:8" s="5" customFormat="1" x14ac:dyDescent="0.25">
      <c r="A75" s="34"/>
      <c r="B75" s="179" t="s">
        <v>112</v>
      </c>
      <c r="C75" s="177">
        <v>23</v>
      </c>
      <c r="D75" s="178">
        <v>3411</v>
      </c>
      <c r="E75" s="178"/>
      <c r="F75" s="178">
        <v>20</v>
      </c>
      <c r="G75" s="178">
        <v>2286.6</v>
      </c>
      <c r="H75" s="178">
        <v>5698</v>
      </c>
    </row>
    <row r="76" spans="1:8" s="5" customFormat="1" x14ac:dyDescent="0.25">
      <c r="A76" s="168">
        <v>13</v>
      </c>
      <c r="B76" s="169" t="s">
        <v>114</v>
      </c>
      <c r="C76" s="170">
        <v>134</v>
      </c>
      <c r="D76" s="171">
        <v>19574</v>
      </c>
      <c r="E76" s="171"/>
      <c r="F76" s="171">
        <f t="shared" ref="F76" si="13">SUM(F77:F80)</f>
        <v>147</v>
      </c>
      <c r="G76" s="171">
        <v>16807</v>
      </c>
      <c r="H76" s="171">
        <f>D76+G76</f>
        <v>36381</v>
      </c>
    </row>
    <row r="77" spans="1:8" s="5" customFormat="1" x14ac:dyDescent="0.25">
      <c r="A77" s="88"/>
      <c r="B77" s="173" t="s">
        <v>109</v>
      </c>
      <c r="C77" s="174">
        <v>39</v>
      </c>
      <c r="D77" s="175">
        <v>5483</v>
      </c>
      <c r="E77" s="175"/>
      <c r="F77" s="175">
        <f>49-2</f>
        <v>47</v>
      </c>
      <c r="G77" s="175">
        <v>5373.51</v>
      </c>
      <c r="H77" s="175">
        <v>10856</v>
      </c>
    </row>
    <row r="78" spans="1:8" s="5" customFormat="1" x14ac:dyDescent="0.25">
      <c r="A78" s="88"/>
      <c r="B78" s="176" t="s">
        <v>110</v>
      </c>
      <c r="C78" s="177">
        <v>33</v>
      </c>
      <c r="D78" s="178">
        <v>4895</v>
      </c>
      <c r="E78" s="178"/>
      <c r="F78" s="178">
        <v>39</v>
      </c>
      <c r="G78" s="178">
        <v>4458.87</v>
      </c>
      <c r="H78" s="178">
        <v>9354</v>
      </c>
    </row>
    <row r="79" spans="1:8" s="5" customFormat="1" x14ac:dyDescent="0.25">
      <c r="A79" s="88"/>
      <c r="B79" s="176" t="s">
        <v>111</v>
      </c>
      <c r="C79" s="177">
        <v>32</v>
      </c>
      <c r="D79" s="178">
        <v>4746</v>
      </c>
      <c r="E79" s="178"/>
      <c r="F79" s="178">
        <f>35-2</f>
        <v>33</v>
      </c>
      <c r="G79" s="178">
        <v>3772.89</v>
      </c>
      <c r="H79" s="178">
        <v>8519</v>
      </c>
    </row>
    <row r="80" spans="1:8" s="5" customFormat="1" x14ac:dyDescent="0.25">
      <c r="A80" s="34"/>
      <c r="B80" s="179" t="s">
        <v>112</v>
      </c>
      <c r="C80" s="177">
        <v>30</v>
      </c>
      <c r="D80" s="178">
        <v>4450</v>
      </c>
      <c r="E80" s="178"/>
      <c r="F80" s="178">
        <f>29-1</f>
        <v>28</v>
      </c>
      <c r="G80" s="178">
        <v>3201.24</v>
      </c>
      <c r="H80" s="178">
        <v>7651</v>
      </c>
    </row>
    <row r="81" spans="1:8" s="5" customFormat="1" x14ac:dyDescent="0.25">
      <c r="A81" s="168">
        <v>14</v>
      </c>
      <c r="B81" s="169" t="s">
        <v>35</v>
      </c>
      <c r="C81" s="170">
        <v>315</v>
      </c>
      <c r="D81" s="171">
        <v>46064</v>
      </c>
      <c r="E81" s="171"/>
      <c r="F81" s="171">
        <f t="shared" ref="F81" si="14">SUM(F82:F85)</f>
        <v>316</v>
      </c>
      <c r="G81" s="171">
        <v>36128</v>
      </c>
      <c r="H81" s="171">
        <f>D81+G81</f>
        <v>82192</v>
      </c>
    </row>
    <row r="82" spans="1:8" s="5" customFormat="1" x14ac:dyDescent="0.25">
      <c r="A82" s="88"/>
      <c r="B82" s="173" t="s">
        <v>109</v>
      </c>
      <c r="C82" s="174">
        <v>85</v>
      </c>
      <c r="D82" s="175">
        <v>11951</v>
      </c>
      <c r="E82" s="175"/>
      <c r="F82" s="175">
        <v>81</v>
      </c>
      <c r="G82" s="175">
        <v>9260.73</v>
      </c>
      <c r="H82" s="175">
        <v>21212</v>
      </c>
    </row>
    <row r="83" spans="1:8" s="5" customFormat="1" x14ac:dyDescent="0.25">
      <c r="A83" s="88"/>
      <c r="B83" s="176" t="s">
        <v>110</v>
      </c>
      <c r="C83" s="177">
        <v>80</v>
      </c>
      <c r="D83" s="178">
        <v>11866</v>
      </c>
      <c r="E83" s="178"/>
      <c r="F83" s="178">
        <v>84</v>
      </c>
      <c r="G83" s="178">
        <v>9603.7200000000012</v>
      </c>
      <c r="H83" s="178">
        <v>21469</v>
      </c>
    </row>
    <row r="84" spans="1:8" s="5" customFormat="1" x14ac:dyDescent="0.25">
      <c r="A84" s="88"/>
      <c r="B84" s="176" t="s">
        <v>111</v>
      </c>
      <c r="C84" s="177">
        <v>70</v>
      </c>
      <c r="D84" s="178">
        <v>10382</v>
      </c>
      <c r="E84" s="178"/>
      <c r="F84" s="178">
        <v>79</v>
      </c>
      <c r="G84" s="178">
        <v>9032.07</v>
      </c>
      <c r="H84" s="178">
        <v>19414</v>
      </c>
    </row>
    <row r="85" spans="1:8" s="5" customFormat="1" x14ac:dyDescent="0.25">
      <c r="A85" s="34"/>
      <c r="B85" s="179" t="s">
        <v>112</v>
      </c>
      <c r="C85" s="177">
        <v>80</v>
      </c>
      <c r="D85" s="178">
        <v>11865</v>
      </c>
      <c r="E85" s="178"/>
      <c r="F85" s="178">
        <v>72</v>
      </c>
      <c r="G85" s="178">
        <v>8231.76</v>
      </c>
      <c r="H85" s="178">
        <v>20097</v>
      </c>
    </row>
    <row r="86" spans="1:8" s="5" customFormat="1" x14ac:dyDescent="0.25">
      <c r="A86" s="168">
        <v>15</v>
      </c>
      <c r="B86" s="169" t="s">
        <v>115</v>
      </c>
      <c r="C86" s="170">
        <v>192</v>
      </c>
      <c r="D86" s="171">
        <v>28107</v>
      </c>
      <c r="E86" s="171"/>
      <c r="F86" s="171">
        <f t="shared" ref="F86" si="15">SUM(F87:F90)</f>
        <v>187</v>
      </c>
      <c r="G86" s="171">
        <v>21380</v>
      </c>
      <c r="H86" s="171">
        <f>D86+G86</f>
        <v>49487</v>
      </c>
    </row>
    <row r="87" spans="1:8" s="5" customFormat="1" x14ac:dyDescent="0.25">
      <c r="A87" s="88"/>
      <c r="B87" s="173" t="s">
        <v>109</v>
      </c>
      <c r="C87" s="174">
        <v>48</v>
      </c>
      <c r="D87" s="175">
        <v>6748</v>
      </c>
      <c r="E87" s="175"/>
      <c r="F87" s="175">
        <v>51</v>
      </c>
      <c r="G87" s="175">
        <v>5830.83</v>
      </c>
      <c r="H87" s="175">
        <v>12579</v>
      </c>
    </row>
    <row r="88" spans="1:8" s="5" customFormat="1" x14ac:dyDescent="0.25">
      <c r="A88" s="88"/>
      <c r="B88" s="176" t="s">
        <v>110</v>
      </c>
      <c r="C88" s="177">
        <v>52</v>
      </c>
      <c r="D88" s="178">
        <v>7713</v>
      </c>
      <c r="E88" s="178"/>
      <c r="F88" s="178">
        <v>48</v>
      </c>
      <c r="G88" s="178">
        <v>5487.8399999999992</v>
      </c>
      <c r="H88" s="178">
        <v>13201</v>
      </c>
    </row>
    <row r="89" spans="1:8" s="5" customFormat="1" x14ac:dyDescent="0.25">
      <c r="A89" s="88"/>
      <c r="B89" s="176" t="s">
        <v>111</v>
      </c>
      <c r="C89" s="177">
        <v>43</v>
      </c>
      <c r="D89" s="178">
        <v>6378</v>
      </c>
      <c r="E89" s="178"/>
      <c r="F89" s="178">
        <v>48</v>
      </c>
      <c r="G89" s="178">
        <v>5487.8399999999992</v>
      </c>
      <c r="H89" s="178">
        <v>11866</v>
      </c>
    </row>
    <row r="90" spans="1:8" s="5" customFormat="1" x14ac:dyDescent="0.25">
      <c r="A90" s="34"/>
      <c r="B90" s="179" t="s">
        <v>112</v>
      </c>
      <c r="C90" s="177">
        <v>49</v>
      </c>
      <c r="D90" s="178">
        <v>7268</v>
      </c>
      <c r="E90" s="178"/>
      <c r="F90" s="178">
        <v>40</v>
      </c>
      <c r="G90" s="178">
        <v>4573.2</v>
      </c>
      <c r="H90" s="178">
        <v>11841</v>
      </c>
    </row>
    <row r="91" spans="1:8" s="5" customFormat="1" x14ac:dyDescent="0.25">
      <c r="A91" s="168">
        <v>16</v>
      </c>
      <c r="B91" s="169" t="s">
        <v>24</v>
      </c>
      <c r="C91" s="170">
        <v>417</v>
      </c>
      <c r="D91" s="171">
        <v>61000</v>
      </c>
      <c r="E91" s="171">
        <v>15125.18</v>
      </c>
      <c r="F91" s="171">
        <f t="shared" ref="F91" si="16">SUM(F92:F95)</f>
        <v>436</v>
      </c>
      <c r="G91" s="171">
        <v>34723</v>
      </c>
      <c r="H91" s="171">
        <f>D91+G91+E91</f>
        <v>110848.18</v>
      </c>
    </row>
    <row r="92" spans="1:8" s="5" customFormat="1" x14ac:dyDescent="0.25">
      <c r="A92" s="88"/>
      <c r="B92" s="173" t="s">
        <v>109</v>
      </c>
      <c r="C92" s="174">
        <v>110</v>
      </c>
      <c r="D92" s="175">
        <v>15466</v>
      </c>
      <c r="E92" s="175">
        <v>3815.99</v>
      </c>
      <c r="F92" s="175">
        <v>110</v>
      </c>
      <c r="G92" s="175">
        <v>8760</v>
      </c>
      <c r="H92" s="175">
        <v>28042</v>
      </c>
    </row>
    <row r="93" spans="1:8" s="5" customFormat="1" x14ac:dyDescent="0.25">
      <c r="A93" s="88"/>
      <c r="B93" s="176" t="s">
        <v>110</v>
      </c>
      <c r="C93" s="177">
        <v>109</v>
      </c>
      <c r="D93" s="178">
        <v>16167</v>
      </c>
      <c r="E93" s="178">
        <v>3746.6</v>
      </c>
      <c r="F93" s="178">
        <v>108</v>
      </c>
      <c r="G93" s="178">
        <v>8601</v>
      </c>
      <c r="H93" s="178">
        <v>28515</v>
      </c>
    </row>
    <row r="94" spans="1:8" s="5" customFormat="1" x14ac:dyDescent="0.25">
      <c r="A94" s="88"/>
      <c r="B94" s="176" t="s">
        <v>111</v>
      </c>
      <c r="C94" s="177">
        <v>106</v>
      </c>
      <c r="D94" s="178">
        <v>15722</v>
      </c>
      <c r="E94" s="178">
        <v>3781.29</v>
      </c>
      <c r="F94" s="178">
        <v>109</v>
      </c>
      <c r="G94" s="178">
        <v>8681</v>
      </c>
      <c r="H94" s="178">
        <v>28184</v>
      </c>
    </row>
    <row r="95" spans="1:8" s="5" customFormat="1" x14ac:dyDescent="0.25">
      <c r="A95" s="34"/>
      <c r="B95" s="179" t="s">
        <v>112</v>
      </c>
      <c r="C95" s="177">
        <v>92</v>
      </c>
      <c r="D95" s="178">
        <v>13645</v>
      </c>
      <c r="E95" s="178">
        <v>3781.3</v>
      </c>
      <c r="F95" s="178">
        <v>109</v>
      </c>
      <c r="G95" s="178">
        <v>8681</v>
      </c>
      <c r="H95" s="178">
        <v>26107</v>
      </c>
    </row>
    <row r="96" spans="1:8" s="5" customFormat="1" x14ac:dyDescent="0.25">
      <c r="A96" s="168">
        <v>17</v>
      </c>
      <c r="B96" s="169" t="s">
        <v>25</v>
      </c>
      <c r="C96" s="170">
        <v>397</v>
      </c>
      <c r="D96" s="171">
        <v>58049</v>
      </c>
      <c r="E96" s="171">
        <v>254.9300000000012</v>
      </c>
      <c r="F96" s="171">
        <f t="shared" ref="F96" si="17">SUM(F97:F100)</f>
        <v>406</v>
      </c>
      <c r="G96" s="171">
        <v>46163</v>
      </c>
      <c r="H96" s="171">
        <f>D96+G96+E96</f>
        <v>104466.93000000001</v>
      </c>
    </row>
    <row r="97" spans="1:8" s="5" customFormat="1" x14ac:dyDescent="0.25">
      <c r="A97" s="88"/>
      <c r="B97" s="173" t="s">
        <v>109</v>
      </c>
      <c r="C97" s="180">
        <v>108</v>
      </c>
      <c r="D97" s="181">
        <v>15184</v>
      </c>
      <c r="E97" s="181">
        <v>64.3100000000004</v>
      </c>
      <c r="F97" s="181">
        <v>107</v>
      </c>
      <c r="G97" s="181">
        <v>12169</v>
      </c>
      <c r="H97" s="181">
        <v>27417</v>
      </c>
    </row>
    <row r="98" spans="1:8" s="5" customFormat="1" x14ac:dyDescent="0.25">
      <c r="A98" s="88"/>
      <c r="B98" s="176" t="s">
        <v>110</v>
      </c>
      <c r="C98" s="182">
        <v>104</v>
      </c>
      <c r="D98" s="183">
        <v>15425</v>
      </c>
      <c r="E98" s="183">
        <v>63.150000000000091</v>
      </c>
      <c r="F98" s="183">
        <v>104</v>
      </c>
      <c r="G98" s="183">
        <v>11827</v>
      </c>
      <c r="H98" s="183">
        <v>27315</v>
      </c>
    </row>
    <row r="99" spans="1:8" s="5" customFormat="1" x14ac:dyDescent="0.25">
      <c r="A99" s="88"/>
      <c r="B99" s="176" t="s">
        <v>111</v>
      </c>
      <c r="C99" s="182">
        <v>89</v>
      </c>
      <c r="D99" s="183">
        <v>13201</v>
      </c>
      <c r="E99" s="183">
        <v>63.740000000000236</v>
      </c>
      <c r="F99" s="183">
        <f>106-1</f>
        <v>105</v>
      </c>
      <c r="G99" s="183">
        <v>11941</v>
      </c>
      <c r="H99" s="183">
        <v>25206</v>
      </c>
    </row>
    <row r="100" spans="1:8" s="5" customFormat="1" x14ac:dyDescent="0.25">
      <c r="A100" s="34"/>
      <c r="B100" s="179" t="s">
        <v>112</v>
      </c>
      <c r="C100" s="182">
        <v>96</v>
      </c>
      <c r="D100" s="183">
        <v>14239</v>
      </c>
      <c r="E100" s="183">
        <v>63.730000000000473</v>
      </c>
      <c r="F100" s="183">
        <f>92-2</f>
        <v>90</v>
      </c>
      <c r="G100" s="183">
        <v>10226</v>
      </c>
      <c r="H100" s="183">
        <v>24529</v>
      </c>
    </row>
    <row r="101" spans="1:8" s="5" customFormat="1" x14ac:dyDescent="0.25">
      <c r="A101" s="168">
        <v>18</v>
      </c>
      <c r="B101" s="169" t="s">
        <v>116</v>
      </c>
      <c r="C101" s="170">
        <v>99</v>
      </c>
      <c r="D101" s="171">
        <v>14421</v>
      </c>
      <c r="E101" s="171"/>
      <c r="F101" s="171">
        <f t="shared" ref="F101" si="18">SUM(F102:F105)</f>
        <v>114</v>
      </c>
      <c r="G101" s="171">
        <v>13034</v>
      </c>
      <c r="H101" s="171">
        <f>D101+G101+E101</f>
        <v>27455</v>
      </c>
    </row>
    <row r="102" spans="1:8" s="5" customFormat="1" x14ac:dyDescent="0.25">
      <c r="A102" s="88"/>
      <c r="B102" s="173" t="s">
        <v>109</v>
      </c>
      <c r="C102" s="174">
        <v>34</v>
      </c>
      <c r="D102" s="175">
        <v>4780</v>
      </c>
      <c r="E102" s="175"/>
      <c r="F102" s="175">
        <v>26</v>
      </c>
      <c r="G102" s="175">
        <v>2972.58</v>
      </c>
      <c r="H102" s="175">
        <v>7753</v>
      </c>
    </row>
    <row r="103" spans="1:8" s="5" customFormat="1" x14ac:dyDescent="0.25">
      <c r="A103" s="88"/>
      <c r="B103" s="176" t="s">
        <v>110</v>
      </c>
      <c r="C103" s="177">
        <v>27</v>
      </c>
      <c r="D103" s="178">
        <v>4005</v>
      </c>
      <c r="E103" s="178"/>
      <c r="F103" s="178">
        <v>32</v>
      </c>
      <c r="G103" s="178">
        <v>3658.56</v>
      </c>
      <c r="H103" s="178">
        <v>7664</v>
      </c>
    </row>
    <row r="104" spans="1:8" s="5" customFormat="1" x14ac:dyDescent="0.25">
      <c r="A104" s="88"/>
      <c r="B104" s="176" t="s">
        <v>111</v>
      </c>
      <c r="C104" s="177">
        <v>25</v>
      </c>
      <c r="D104" s="178">
        <v>3708</v>
      </c>
      <c r="E104" s="178"/>
      <c r="F104" s="178">
        <v>33</v>
      </c>
      <c r="G104" s="178">
        <v>3772.89</v>
      </c>
      <c r="H104" s="178">
        <v>7481</v>
      </c>
    </row>
    <row r="105" spans="1:8" s="5" customFormat="1" x14ac:dyDescent="0.25">
      <c r="A105" s="34"/>
      <c r="B105" s="179" t="s">
        <v>112</v>
      </c>
      <c r="C105" s="177">
        <v>13</v>
      </c>
      <c r="D105" s="178">
        <v>1928</v>
      </c>
      <c r="E105" s="178"/>
      <c r="F105" s="178">
        <v>23</v>
      </c>
      <c r="G105" s="178">
        <v>2629.59</v>
      </c>
      <c r="H105" s="178">
        <v>4557</v>
      </c>
    </row>
    <row r="106" spans="1:8" s="5" customFormat="1" x14ac:dyDescent="0.25">
      <c r="A106" s="168">
        <v>19</v>
      </c>
      <c r="B106" s="169" t="s">
        <v>117</v>
      </c>
      <c r="C106" s="170">
        <v>32</v>
      </c>
      <c r="D106" s="171">
        <v>4653</v>
      </c>
      <c r="E106" s="171"/>
      <c r="F106" s="171">
        <f t="shared" ref="F106" si="19">SUM(F107:F110)</f>
        <v>31</v>
      </c>
      <c r="G106" s="171">
        <v>3544</v>
      </c>
      <c r="H106" s="171">
        <f>D106+G106+E106</f>
        <v>8197</v>
      </c>
    </row>
    <row r="107" spans="1:8" s="5" customFormat="1" x14ac:dyDescent="0.25">
      <c r="A107" s="88"/>
      <c r="B107" s="173" t="s">
        <v>109</v>
      </c>
      <c r="C107" s="174">
        <v>12</v>
      </c>
      <c r="D107" s="175">
        <v>1687</v>
      </c>
      <c r="E107" s="175"/>
      <c r="F107" s="175">
        <v>8</v>
      </c>
      <c r="G107" s="175">
        <v>914.64</v>
      </c>
      <c r="H107" s="175">
        <v>2601</v>
      </c>
    </row>
    <row r="108" spans="1:8" s="5" customFormat="1" x14ac:dyDescent="0.25">
      <c r="A108" s="88"/>
      <c r="B108" s="176" t="s">
        <v>110</v>
      </c>
      <c r="C108" s="177">
        <v>5</v>
      </c>
      <c r="D108" s="178">
        <v>741</v>
      </c>
      <c r="E108" s="178"/>
      <c r="F108" s="178">
        <v>7</v>
      </c>
      <c r="G108" s="178">
        <v>800.31</v>
      </c>
      <c r="H108" s="178">
        <v>1541</v>
      </c>
    </row>
    <row r="109" spans="1:8" s="5" customFormat="1" x14ac:dyDescent="0.25">
      <c r="A109" s="88"/>
      <c r="B109" s="176" t="s">
        <v>111</v>
      </c>
      <c r="C109" s="177">
        <v>12</v>
      </c>
      <c r="D109" s="178">
        <v>1780</v>
      </c>
      <c r="E109" s="178"/>
      <c r="F109" s="178">
        <v>5</v>
      </c>
      <c r="G109" s="178">
        <v>571.65</v>
      </c>
      <c r="H109" s="178">
        <v>2352</v>
      </c>
    </row>
    <row r="110" spans="1:8" s="5" customFormat="1" x14ac:dyDescent="0.25">
      <c r="A110" s="34"/>
      <c r="B110" s="179" t="s">
        <v>112</v>
      </c>
      <c r="C110" s="184">
        <v>3</v>
      </c>
      <c r="D110" s="185">
        <v>445</v>
      </c>
      <c r="E110" s="185"/>
      <c r="F110" s="185">
        <v>11</v>
      </c>
      <c r="G110" s="185">
        <v>1257.6299999999999</v>
      </c>
      <c r="H110" s="185">
        <v>1703</v>
      </c>
    </row>
    <row r="111" spans="1:8" s="5" customFormat="1" ht="11.4" x14ac:dyDescent="0.2"/>
    <row r="112" spans="1:8" s="5" customFormat="1" ht="11.4" x14ac:dyDescent="0.2"/>
    <row r="113" spans="1:5" s="5" customFormat="1" ht="11.4" x14ac:dyDescent="0.2"/>
    <row r="114" spans="1:5" s="5" customFormat="1" ht="11.4" x14ac:dyDescent="0.2"/>
    <row r="115" spans="1:5" s="5" customFormat="1" ht="11.4" x14ac:dyDescent="0.2"/>
    <row r="116" spans="1:5" s="5" customFormat="1" ht="11.4" x14ac:dyDescent="0.2"/>
    <row r="117" spans="1:5" s="5" customFormat="1" ht="11.4" x14ac:dyDescent="0.2"/>
    <row r="118" spans="1:5" s="5" customFormat="1" ht="11.4" x14ac:dyDescent="0.2"/>
    <row r="119" spans="1:5" s="5" customFormat="1" ht="11.4" x14ac:dyDescent="0.2"/>
    <row r="120" spans="1:5" s="5" customFormat="1" ht="11.4" x14ac:dyDescent="0.2"/>
    <row r="121" spans="1:5" s="5" customFormat="1" ht="12" x14ac:dyDescent="0.25">
      <c r="B121" s="155"/>
      <c r="C121" s="155"/>
      <c r="D121" s="155"/>
      <c r="E121" s="155"/>
    </row>
    <row r="122" spans="1:5" x14ac:dyDescent="0.25">
      <c r="A122" s="5"/>
      <c r="B122" s="155"/>
      <c r="C122" s="155"/>
      <c r="D122" s="155"/>
      <c r="E122" s="155"/>
    </row>
    <row r="123" spans="1:5" x14ac:dyDescent="0.25">
      <c r="A123" s="5"/>
      <c r="B123" s="155"/>
      <c r="C123" s="155"/>
      <c r="D123" s="155"/>
      <c r="E123" s="155"/>
    </row>
    <row r="124" spans="1:5" x14ac:dyDescent="0.25">
      <c r="A124" s="5"/>
      <c r="B124" s="155"/>
      <c r="C124" s="155"/>
      <c r="D124" s="155"/>
      <c r="E124" s="155"/>
    </row>
    <row r="125" spans="1:5" x14ac:dyDescent="0.25">
      <c r="A125" s="5"/>
      <c r="B125" s="155"/>
      <c r="C125" s="155"/>
      <c r="D125" s="155"/>
      <c r="E125" s="155"/>
    </row>
    <row r="126" spans="1:5" x14ac:dyDescent="0.25">
      <c r="A126" s="5"/>
      <c r="B126" s="155"/>
      <c r="C126" s="155"/>
      <c r="D126" s="155"/>
      <c r="E126" s="155"/>
    </row>
  </sheetData>
  <mergeCells count="2">
    <mergeCell ref="A10:A13"/>
    <mergeCell ref="B10:B13"/>
  </mergeCells>
  <pageMargins left="0.70866141732283472" right="0.70866141732283472" top="0.74803149606299213" bottom="0.74803149606299213" header="0.31496062992125984" footer="0.31496062992125984"/>
  <pageSetup paperSize="9" scale="68" fitToHeight="2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C4382-5C18-4995-80DE-C513DC48C68D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1.pielikums</vt:lpstr>
      <vt:lpstr>2.pielikums</vt:lpstr>
      <vt:lpstr>3.pielikums</vt:lpstr>
      <vt:lpstr>4.pielikums</vt:lpstr>
      <vt:lpstr>5.piel.</vt:lpstr>
      <vt:lpstr>6.piel.</vt:lpstr>
      <vt:lpstr>7.piel.</vt:lpstr>
      <vt:lpstr>8.piel. </vt:lpstr>
      <vt:lpstr>9.pielik.</vt:lpstr>
      <vt:lpstr>Sheet1</vt:lpstr>
      <vt:lpstr>'9.pielik.'!Print_Titles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2024-12-28T08:41:40Z</cp:lastPrinted>
  <dcterms:created xsi:type="dcterms:W3CDTF">2024-02-16T12:58:28Z</dcterms:created>
  <dcterms:modified xsi:type="dcterms:W3CDTF">2025-01-02T12:24:37Z</dcterms:modified>
</cp:coreProperties>
</file>