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6E9D576-4054-425E-BFBB-14BB193B52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_pielikums" sheetId="1" r:id="rId1"/>
  </sheets>
  <definedNames>
    <definedName name="Excel_BuiltIn_Print_Titles_1" localSheetId="0">'6_pielikums'!$A$4:$IM$6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O168" i="1"/>
  <c r="N168" i="1"/>
  <c r="M168" i="1"/>
  <c r="L168" i="1"/>
  <c r="K168" i="1"/>
  <c r="J168" i="1"/>
  <c r="I168" i="1"/>
  <c r="Q166" i="1"/>
  <c r="P166" i="1"/>
  <c r="O166" i="1"/>
  <c r="N166" i="1"/>
  <c r="M166" i="1"/>
  <c r="L166" i="1"/>
  <c r="K166" i="1"/>
  <c r="J166" i="1"/>
  <c r="I166" i="1"/>
  <c r="H166" i="1"/>
  <c r="G166" i="1"/>
  <c r="Q162" i="1"/>
  <c r="P162" i="1"/>
  <c r="O162" i="1"/>
  <c r="N162" i="1"/>
  <c r="M162" i="1"/>
  <c r="L162" i="1"/>
  <c r="K162" i="1"/>
  <c r="J162" i="1"/>
  <c r="I162" i="1"/>
  <c r="H162" i="1"/>
  <c r="G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AL147" i="1"/>
  <c r="AK147" i="1"/>
  <c r="AJ147" i="1"/>
  <c r="AI147" i="1"/>
  <c r="AH147" i="1"/>
  <c r="AG147" i="1"/>
  <c r="AF147" i="1"/>
  <c r="AE147" i="1"/>
  <c r="AD147" i="1"/>
  <c r="AC147" i="1"/>
  <c r="AB147" i="1"/>
  <c r="AA147" i="1"/>
  <c r="Z147" i="1"/>
  <c r="Y147" i="1"/>
  <c r="X147" i="1"/>
  <c r="W147" i="1"/>
  <c r="V147" i="1"/>
  <c r="U147" i="1"/>
  <c r="T147" i="1"/>
  <c r="S147" i="1"/>
  <c r="R147" i="1"/>
  <c r="Q147" i="1"/>
  <c r="P147" i="1"/>
  <c r="O147" i="1"/>
  <c r="N147" i="1"/>
  <c r="M147" i="1"/>
  <c r="L147" i="1"/>
  <c r="K147" i="1"/>
  <c r="J147" i="1"/>
  <c r="I147" i="1"/>
  <c r="H147" i="1"/>
  <c r="G147" i="1"/>
  <c r="Q146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H120" i="1"/>
  <c r="Q119" i="1"/>
  <c r="H119" i="1"/>
  <c r="Q118" i="1"/>
  <c r="Q117" i="1"/>
  <c r="H117" i="1"/>
  <c r="Q116" i="1"/>
  <c r="H116" i="1"/>
  <c r="Q115" i="1"/>
  <c r="Q114" i="1"/>
  <c r="Q113" i="1"/>
  <c r="Q112" i="1"/>
  <c r="Q111" i="1"/>
  <c r="H111" i="1"/>
  <c r="Q110" i="1"/>
  <c r="H110" i="1"/>
  <c r="Q109" i="1"/>
  <c r="H109" i="1"/>
  <c r="Q108" i="1"/>
  <c r="H108" i="1"/>
  <c r="Q107" i="1"/>
  <c r="H107" i="1"/>
  <c r="Q106" i="1"/>
  <c r="H106" i="1"/>
  <c r="Q105" i="1"/>
  <c r="H105" i="1"/>
  <c r="Q104" i="1"/>
  <c r="Q103" i="1"/>
  <c r="H103" i="1"/>
  <c r="Q102" i="1"/>
  <c r="H102" i="1"/>
  <c r="Q101" i="1"/>
  <c r="H101" i="1"/>
  <c r="Q100" i="1"/>
  <c r="H100" i="1"/>
  <c r="Q99" i="1"/>
  <c r="H99" i="1"/>
  <c r="Q98" i="1"/>
  <c r="H98" i="1"/>
  <c r="Q97" i="1"/>
  <c r="H97" i="1"/>
  <c r="Q96" i="1"/>
  <c r="H96" i="1"/>
  <c r="Q95" i="1"/>
  <c r="H95" i="1"/>
  <c r="Q94" i="1"/>
  <c r="Q93" i="1"/>
  <c r="H93" i="1"/>
  <c r="Q92" i="1"/>
  <c r="H92" i="1"/>
  <c r="Q91" i="1"/>
  <c r="H91" i="1"/>
  <c r="Q90" i="1"/>
  <c r="H90" i="1"/>
  <c r="Q89" i="1"/>
  <c r="H89" i="1"/>
  <c r="Q88" i="1"/>
  <c r="H88" i="1"/>
  <c r="Q87" i="1"/>
  <c r="H87" i="1"/>
  <c r="Q86" i="1"/>
  <c r="H86" i="1"/>
  <c r="Q85" i="1"/>
  <c r="H85" i="1"/>
  <c r="Q84" i="1"/>
  <c r="H84" i="1"/>
  <c r="Q83" i="1"/>
  <c r="H83" i="1"/>
  <c r="Q82" i="1"/>
  <c r="H82" i="1"/>
  <c r="Q81" i="1"/>
  <c r="H81" i="1"/>
  <c r="Q80" i="1"/>
  <c r="H80" i="1"/>
  <c r="Q79" i="1"/>
  <c r="H79" i="1"/>
  <c r="Q78" i="1"/>
  <c r="H78" i="1"/>
  <c r="Q77" i="1"/>
  <c r="H77" i="1"/>
  <c r="Q76" i="1"/>
  <c r="H76" i="1"/>
  <c r="Q75" i="1"/>
  <c r="H75" i="1"/>
  <c r="Q74" i="1"/>
  <c r="H74" i="1"/>
  <c r="Q73" i="1"/>
  <c r="H73" i="1"/>
  <c r="Q72" i="1"/>
  <c r="H72" i="1"/>
  <c r="Q71" i="1"/>
  <c r="H71" i="1"/>
  <c r="Q70" i="1"/>
  <c r="H70" i="1"/>
  <c r="Q69" i="1"/>
  <c r="H69" i="1"/>
  <c r="Q68" i="1"/>
  <c r="H68" i="1"/>
  <c r="Q67" i="1"/>
  <c r="H67" i="1"/>
  <c r="Q66" i="1"/>
  <c r="H66" i="1"/>
  <c r="Q65" i="1"/>
  <c r="Q64" i="1"/>
  <c r="H64" i="1"/>
  <c r="Q63" i="1"/>
  <c r="H63" i="1"/>
  <c r="Q62" i="1"/>
  <c r="H62" i="1"/>
  <c r="Q61" i="1"/>
  <c r="H61" i="1"/>
  <c r="Q60" i="1"/>
  <c r="H60" i="1"/>
  <c r="Q59" i="1"/>
  <c r="H59" i="1"/>
  <c r="Q58" i="1"/>
  <c r="H58" i="1"/>
  <c r="AN57" i="1"/>
  <c r="Q57" i="1"/>
  <c r="H57" i="1"/>
  <c r="AN56" i="1"/>
  <c r="Q56" i="1"/>
  <c r="H56" i="1"/>
  <c r="Q55" i="1"/>
  <c r="H55" i="1"/>
  <c r="Q54" i="1"/>
  <c r="H54" i="1"/>
  <c r="Q53" i="1"/>
  <c r="H53" i="1"/>
  <c r="Q52" i="1"/>
  <c r="H52" i="1"/>
  <c r="Q51" i="1"/>
  <c r="H51" i="1"/>
  <c r="Q50" i="1"/>
  <c r="H50" i="1"/>
  <c r="Q49" i="1"/>
  <c r="H49" i="1"/>
  <c r="Q48" i="1"/>
  <c r="H48" i="1"/>
  <c r="Q47" i="1"/>
  <c r="H47" i="1"/>
  <c r="Q46" i="1"/>
  <c r="H46" i="1"/>
  <c r="Q45" i="1"/>
  <c r="H45" i="1"/>
  <c r="Q44" i="1"/>
  <c r="H44" i="1"/>
  <c r="Q43" i="1"/>
  <c r="H43" i="1"/>
  <c r="Q42" i="1"/>
  <c r="H42" i="1"/>
  <c r="Q41" i="1"/>
  <c r="H41" i="1"/>
  <c r="Q40" i="1"/>
  <c r="H40" i="1"/>
  <c r="Q39" i="1"/>
  <c r="H39" i="1"/>
  <c r="Q38" i="1"/>
  <c r="H38" i="1"/>
  <c r="Q37" i="1"/>
  <c r="H37" i="1"/>
  <c r="Q36" i="1"/>
  <c r="H36" i="1"/>
  <c r="Q35" i="1"/>
  <c r="H35" i="1"/>
  <c r="Q34" i="1"/>
  <c r="H34" i="1"/>
  <c r="Q33" i="1"/>
  <c r="H33" i="1"/>
  <c r="Q32" i="1"/>
  <c r="H32" i="1"/>
  <c r="Q31" i="1"/>
  <c r="H31" i="1"/>
  <c r="Q30" i="1"/>
  <c r="H30" i="1"/>
  <c r="Q29" i="1"/>
  <c r="H29" i="1"/>
  <c r="Q28" i="1"/>
  <c r="H28" i="1"/>
  <c r="Q27" i="1"/>
  <c r="H27" i="1"/>
  <c r="Q26" i="1"/>
  <c r="H26" i="1"/>
  <c r="Q25" i="1"/>
  <c r="H25" i="1"/>
  <c r="Q24" i="1"/>
  <c r="H24" i="1"/>
  <c r="Q23" i="1"/>
  <c r="H23" i="1"/>
  <c r="Q22" i="1"/>
  <c r="H22" i="1"/>
  <c r="Q21" i="1"/>
  <c r="H21" i="1"/>
  <c r="Q20" i="1"/>
  <c r="H20" i="1"/>
  <c r="Q19" i="1"/>
  <c r="H19" i="1"/>
  <c r="Q18" i="1"/>
  <c r="H18" i="1"/>
  <c r="Q17" i="1"/>
  <c r="H17" i="1"/>
  <c r="Q16" i="1"/>
  <c r="H16" i="1"/>
  <c r="Q15" i="1"/>
  <c r="Q14" i="1"/>
  <c r="H14" i="1"/>
  <c r="Q13" i="1"/>
  <c r="Q12" i="1"/>
  <c r="Q11" i="1"/>
  <c r="Q10" i="1"/>
  <c r="H10" i="1"/>
  <c r="Q9" i="1"/>
  <c r="Q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Ilona Spurķe</author>
  </authors>
  <commentList>
    <comment ref="G154" authorId="0" shapeId="0" xr:uid="{0917ECBC-3A45-4CAB-989C-3C7379416299}">
      <text>
        <r>
          <rPr>
            <b/>
            <sz val="9"/>
            <rFont val="Tahoma"/>
            <family val="2"/>
            <charset val="186"/>
          </rPr>
          <t>Ilona Spurķe:</t>
        </r>
        <r>
          <rPr>
            <sz val="9"/>
            <rFont val="Tahoma"/>
            <family val="2"/>
            <charset val="186"/>
          </rPr>
          <t xml:space="preserve">
precizētas summa 2024 MP par 01</t>
        </r>
      </text>
    </comment>
    <comment ref="G155" authorId="0" shapeId="0" xr:uid="{2668552B-3120-4CFC-BD8A-A3D12776A8F7}">
      <text>
        <r>
          <rPr>
            <b/>
            <sz val="9"/>
            <rFont val="Tahoma"/>
            <family val="2"/>
            <charset val="186"/>
          </rPr>
          <t>Ilona Spurķe:</t>
        </r>
        <r>
          <rPr>
            <sz val="9"/>
            <rFont val="Tahoma"/>
            <family val="2"/>
            <charset val="186"/>
          </rPr>
          <t xml:space="preserve">
precizēta summa 2024 Mppar 01</t>
        </r>
      </text>
    </comment>
  </commentList>
</comments>
</file>

<file path=xl/sharedStrings.xml><?xml version="1.0" encoding="utf-8"?>
<sst xmlns="http://schemas.openxmlformats.org/spreadsheetml/2006/main" count="793" uniqueCount="537">
  <si>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</si>
  <si>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x</t>
  </si>
  <si>
    <t>Saistību apjoms % no plānotajiem pamatbudžeta ieņēmumiem</t>
  </si>
  <si>
    <t>Kopā saistības</t>
  </si>
  <si>
    <t>Citas ilgtermiņa saistības</t>
  </si>
  <si>
    <t>KOPĀ:</t>
  </si>
  <si>
    <t>21.10.2024.</t>
  </si>
  <si>
    <t>16.11.2022.</t>
  </si>
  <si>
    <t>G/22/520</t>
  </si>
  <si>
    <t>SIA "Mūsu saimnieks" kurināmā iegādei</t>
  </si>
  <si>
    <t>Valsts kase</t>
  </si>
  <si>
    <t>12</t>
  </si>
  <si>
    <t>20.09.2040.</t>
  </si>
  <si>
    <t>27.10.2020.</t>
  </si>
  <si>
    <t>G/20/773</t>
  </si>
  <si>
    <t>11</t>
  </si>
  <si>
    <t>20.12.2040.</t>
  </si>
  <si>
    <t>04.06.2020.</t>
  </si>
  <si>
    <t>G/20/311</t>
  </si>
  <si>
    <t>10</t>
  </si>
  <si>
    <t>G/20/309</t>
  </si>
  <si>
    <t>Kohēzijas fonda projekta Nr.4.3.1.0/17/A/078 "Esošā siltumavota pārbūve Iecavā, uzstādot jaunu biomasas katlu" īstenošanai</t>
  </si>
  <si>
    <t>9</t>
  </si>
  <si>
    <t>22.09.2039.</t>
  </si>
  <si>
    <t>15.10.2018.</t>
  </si>
  <si>
    <t>G/18/727</t>
  </si>
  <si>
    <t>Kohēzijas fonda projekta "Ūdenssaimniecības pakalpojumu attīstība Iecavā, 2.kārta" īstenošanai</t>
  </si>
  <si>
    <t>8</t>
  </si>
  <si>
    <t>20.11.2032.</t>
  </si>
  <si>
    <t>20.11.2015.</t>
  </si>
  <si>
    <t>G/15/623</t>
  </si>
  <si>
    <t>Kohēzijas fonda projekta "Siltuma ražošanas efektivitātes paaugstināšana Bauskā" īstenošanai</t>
  </si>
  <si>
    <t>7</t>
  </si>
  <si>
    <t>20.12.2033.</t>
  </si>
  <si>
    <t>27.01.2014.</t>
  </si>
  <si>
    <t>G/14/27</t>
  </si>
  <si>
    <t>SIA "Mūsu saimnieks" projekta "Ūdenssaimniecības  pakalpojumu attīstība Vecumnieku pagasta Vecumniekos" realizācija</t>
  </si>
  <si>
    <t>6</t>
  </si>
  <si>
    <t>20.01.2034.</t>
  </si>
  <si>
    <t>G/14/25</t>
  </si>
  <si>
    <t>SIA "Mūsu saimnieks" projekta "Siltumtrašu rekonstrukcija Vecumnieku novada Vecumniekos" īstenošanai</t>
  </si>
  <si>
    <t>5</t>
  </si>
  <si>
    <t>20.12.2032.</t>
  </si>
  <si>
    <t>21.12.2012.</t>
  </si>
  <si>
    <t>G/12/820</t>
  </si>
  <si>
    <t>Kohēzijas fonda projekta "Ūdenssaimniecības pakalpojuma attīstība Bauskā" īstenošanai</t>
  </si>
  <si>
    <t>4</t>
  </si>
  <si>
    <t>20.04.2032.</t>
  </si>
  <si>
    <t>10.09.2012.</t>
  </si>
  <si>
    <t>G/12/500</t>
  </si>
  <si>
    <t>Ūdenssaimniecības pakalpojumu attīstība Iecavas novada Zālītes ciemā</t>
  </si>
  <si>
    <t>3</t>
  </si>
  <si>
    <t>G/12/498</t>
  </si>
  <si>
    <t>Ūdenssaimniecības pakalpojumu attīstība Iecavas novada Zorģu ciemā</t>
  </si>
  <si>
    <t>2</t>
  </si>
  <si>
    <t>20.10.2034.</t>
  </si>
  <si>
    <t>G/12/496</t>
  </si>
  <si>
    <t>Ūdenssaimniecības pakalpojumu attīstība Iecavas novadā</t>
  </si>
  <si>
    <t>1</t>
  </si>
  <si>
    <t>28.10.2024.</t>
  </si>
  <si>
    <t>A2/1/24/276</t>
  </si>
  <si>
    <t>20.06.2034.</t>
  </si>
  <si>
    <t>26.06.2024.</t>
  </si>
  <si>
    <t>A2/1/24/70</t>
  </si>
  <si>
    <t>A2/1/24/69</t>
  </si>
  <si>
    <t>A2/1/24/68</t>
  </si>
  <si>
    <t>A2/1/24/67</t>
  </si>
  <si>
    <t>Projekta "Pilskalna ielas I posma no Upmalas ielas līdz Salātu ielai būvniecība un būvuzraudzība" investīciju īstenošanai</t>
  </si>
  <si>
    <t>20.06.2044.</t>
  </si>
  <si>
    <t>A2/1/24/66</t>
  </si>
  <si>
    <t>Projekta "Salātu ielas posma no Zaļās ielas līdz Dārza ielai pārbūve un būvuzraudzība" investīciju īstenošanai</t>
  </si>
  <si>
    <t>20.05.2054.</t>
  </si>
  <si>
    <t>30.05.2024.</t>
  </si>
  <si>
    <t>A2/1/24/39</t>
  </si>
  <si>
    <t>20.05.2044.</t>
  </si>
  <si>
    <t>A2/1/24/38</t>
  </si>
  <si>
    <t>20.05.2031.</t>
  </si>
  <si>
    <t>A2/1/24/37</t>
  </si>
  <si>
    <t>Transporta iegāde skolēnu pārvadāšanai</t>
  </si>
  <si>
    <t>20.09.2030.</t>
  </si>
  <si>
    <t>26.09.2023.</t>
  </si>
  <si>
    <t>A2/1/23/405</t>
  </si>
  <si>
    <t>20.09.2053.</t>
  </si>
  <si>
    <t>A2/1/23/404</t>
  </si>
  <si>
    <t>20.08.2038.</t>
  </si>
  <si>
    <t>06.09.2023.</t>
  </si>
  <si>
    <t>A2/1/23/299</t>
  </si>
  <si>
    <t>A2/1/23/298</t>
  </si>
  <si>
    <t>A2/1/23/297</t>
  </si>
  <si>
    <t>20.07.2033.</t>
  </si>
  <si>
    <t>14.08.2023.</t>
  </si>
  <si>
    <t>A2/1/23/262</t>
  </si>
  <si>
    <t>18.04.2024.</t>
  </si>
  <si>
    <t>03.08.2023.</t>
  </si>
  <si>
    <t>A2/1/23/242</t>
  </si>
  <si>
    <t>21.06.2038.</t>
  </si>
  <si>
    <t>12.07.2023.</t>
  </si>
  <si>
    <t>A2/1/23/201</t>
  </si>
  <si>
    <t>A2/1/23/200</t>
  </si>
  <si>
    <t>21.03.2033.</t>
  </si>
  <si>
    <t>19.06.2023.</t>
  </si>
  <si>
    <t>A2/1/23/142</t>
  </si>
  <si>
    <t>20.04.2043.</t>
  </si>
  <si>
    <t>03.05.2023.</t>
  </si>
  <si>
    <t>A2/1/23/98</t>
  </si>
  <si>
    <t>20.01.2043.</t>
  </si>
  <si>
    <t>20.02.2023.</t>
  </si>
  <si>
    <t>A2/1/23/22</t>
  </si>
  <si>
    <t>20.03.2029.</t>
  </si>
  <si>
    <t>04.11.2022.</t>
  </si>
  <si>
    <t>A2/1/22/487</t>
  </si>
  <si>
    <t>ERAF projekta (Nr.4.2.2.0/21/A/056) "Energoefektivitātes paaugstināšana veselības aprūpes pakalpojumu ēkai Bauskā, Slimnīcas ielā 4" īstenošanai</t>
  </si>
  <si>
    <t>A2/1/22/486</t>
  </si>
  <si>
    <t>ERAF projekta (Nr.4.2.2.0/21/A/055) "Energoefektivitātes paaugstināšana sabiedrībā balstītu sociālo pakalpojumu ēkai Bauskā, Slimnīcas ielā 4" īstenošanai</t>
  </si>
  <si>
    <t>22.09.2042.</t>
  </si>
  <si>
    <t>A2/1/22/485</t>
  </si>
  <si>
    <t>20.07.2032.</t>
  </si>
  <si>
    <t>12.08.2022.</t>
  </si>
  <si>
    <t>A2/1/22/285</t>
  </si>
  <si>
    <t>A2/1/22/282</t>
  </si>
  <si>
    <t>A2/1/22/281</t>
  </si>
  <si>
    <t>A2/1/22/280</t>
  </si>
  <si>
    <t>A2/1/22/279</t>
  </si>
  <si>
    <t>20.03.2024.</t>
  </si>
  <si>
    <t>A2/1/22/277</t>
  </si>
  <si>
    <t>21.06.2032.</t>
  </si>
  <si>
    <t>07.07.2022.</t>
  </si>
  <si>
    <t>A2/1/22/197</t>
  </si>
  <si>
    <t>20.06.2042.</t>
  </si>
  <si>
    <t>A2/1/22/196</t>
  </si>
  <si>
    <t>20.05.2042.</t>
  </si>
  <si>
    <t>26.05.2022.</t>
  </si>
  <si>
    <t>A2/1/22/107</t>
  </si>
  <si>
    <t>20.06.2050.</t>
  </si>
  <si>
    <t>A2/1/22/106</t>
  </si>
  <si>
    <t>30.11.2021.</t>
  </si>
  <si>
    <t>A2/1/21/725</t>
  </si>
  <si>
    <t>22.09.2031.</t>
  </si>
  <si>
    <t>14.10.2021.</t>
  </si>
  <si>
    <t>A2/1/21/631</t>
  </si>
  <si>
    <t>05.10.2021.</t>
  </si>
  <si>
    <t>A2/1/21/597</t>
  </si>
  <si>
    <t>Projekta "Ceriņu ielas pārbūve Vecumniekos, Bauskas novadā, Sporta un Strauta ielu pārbūve Skaistkalnē, Bauskas novadā" īstenošanai</t>
  </si>
  <si>
    <t>20.08.2031.</t>
  </si>
  <si>
    <t>27.08.2021.</t>
  </si>
  <si>
    <t>A2/1/21/511</t>
  </si>
  <si>
    <t>Prioritārā investīciju projekta "Mēmeles gaisa tiltiņa rekonstrukcija" īstenošanai</t>
  </si>
  <si>
    <t>22.06.2026.</t>
  </si>
  <si>
    <t>A2/1/21/510</t>
  </si>
  <si>
    <t>20.06.2051.</t>
  </si>
  <si>
    <t>14.07.2021.</t>
  </si>
  <si>
    <t>A2/1/21/405</t>
  </si>
  <si>
    <t>Projekta "Sporta zāles būvniecība pie Iecavas pamatskolas" īstenošanai</t>
  </si>
  <si>
    <t>29.06.2021.</t>
  </si>
  <si>
    <t>A2/1/21/350</t>
  </si>
  <si>
    <t>Projekta "Iecavas vidusskolas pārbūve" īstenošanai</t>
  </si>
  <si>
    <t>28.06.2021.</t>
  </si>
  <si>
    <t xml:space="preserve">A2/1/21/346       </t>
  </si>
  <si>
    <t>Projekta "Vecumnieku vidusskolas ēkas pārbūve" īstenošanai</t>
  </si>
  <si>
    <t>21.06.2027.</t>
  </si>
  <si>
    <t>A2/1/21/343</t>
  </si>
  <si>
    <t>Projekta "Pārupes ielas pārbūve Bauskā" īstenošanai</t>
  </si>
  <si>
    <t>20.05.2041.</t>
  </si>
  <si>
    <t>27.05.2021.</t>
  </si>
  <si>
    <t>A2/1/21/239</t>
  </si>
  <si>
    <t>Prioritārā investīciju projekta "Mežotnes baznīcas ēkas pārbūve II kārta" īstenošanai</t>
  </si>
  <si>
    <t>20.10.2027.</t>
  </si>
  <si>
    <t>02.11.2020.</t>
  </si>
  <si>
    <t>A2/1/20/795</t>
  </si>
  <si>
    <t>20.09.2035.</t>
  </si>
  <si>
    <t>02.10.2020.</t>
  </si>
  <si>
    <t>A2/1/20/691</t>
  </si>
  <si>
    <t>01.09.2020.</t>
  </si>
  <si>
    <t>A2/1/20/617</t>
  </si>
  <si>
    <t>Projekta "Lauku ielas pārbūve posmā no Lauku ielas un Baldones ielas krustojuma līdz Iecavas vidusskolas iebrauktuvei" īstenošanai</t>
  </si>
  <si>
    <t>A2/1/20/616</t>
  </si>
  <si>
    <t>A2/1/20/615</t>
  </si>
  <si>
    <t>Projekta "Zemgales ielas pārbūve posmā no Rīgas ielas līdz Dārza ielai un Tirgus ielas pārbūve posmā no Skolas ielas līdz Zemgales ielai" īstenošanai</t>
  </si>
  <si>
    <t>20.08.2035.</t>
  </si>
  <si>
    <t>27.08.2020.</t>
  </si>
  <si>
    <t>A2/1/20/583</t>
  </si>
  <si>
    <t>Projekta "Liepu ielas un Lauku ielas posmu atjaunošana  Īslīces pagastā" īstenošanai</t>
  </si>
  <si>
    <t>20.08.2050.</t>
  </si>
  <si>
    <t>A2/1/20/582</t>
  </si>
  <si>
    <t>Projekta "Pilskalna ielas pārbūve Bauskā " īstenošanai</t>
  </si>
  <si>
    <t>20.08.2025.</t>
  </si>
  <si>
    <t>26.08.2020.</t>
  </si>
  <si>
    <t xml:space="preserve">A2/1/20/580        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</si>
  <si>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</si>
  <si>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>20.07.2050.</t>
  </si>
  <si>
    <t>03.08.2020.</t>
  </si>
  <si>
    <t>A2/1/20/481</t>
  </si>
  <si>
    <t>Projekta "Bauskas novada pašvaldības grants ceļu pārbūve Dāviņu pagastā" īstenošanai</t>
  </si>
  <si>
    <t>25.01.2029.</t>
  </si>
  <si>
    <t>02.07.2020.</t>
  </si>
  <si>
    <t>A2/1/20/373</t>
  </si>
  <si>
    <t>20.05.2050.</t>
  </si>
  <si>
    <t>17.06.2020.</t>
  </si>
  <si>
    <t>A2/1/20/352</t>
  </si>
  <si>
    <t>ERAF projekta (Nr.8.1.2.0/17/I/011) "Bauskas Valsts ģimnāzijas un Bauskas 2.vidusskolas infrastruktūras sakārtošana" īstenošanai</t>
  </si>
  <si>
    <t>20.01.2050.</t>
  </si>
  <si>
    <t>18.02.2020.</t>
  </si>
  <si>
    <t>A2/1/20/43</t>
  </si>
  <si>
    <t>ERAF projekta (Nr.5.5.1.0/17/I/002) "Nozīmīga kultūrvēsturiskā mantojuma saglabāšana un attīstība kultūras tūrisma piedāvājuma pilnveidošanai Zemgales reģionā" īstenošanai</t>
  </si>
  <si>
    <t>20.09.2047.</t>
  </si>
  <si>
    <t>11.02.2020.</t>
  </si>
  <si>
    <t>A2/1/20/39</t>
  </si>
  <si>
    <t>ERAF projekta (Nr.5.6.2.0/19/I/004) "Teritorijas revitalizācija Bauskas pilsētas ziemeļu aglomerācijā" īstenošanai</t>
  </si>
  <si>
    <t>20.01.2040.</t>
  </si>
  <si>
    <t>07.02.2020.</t>
  </si>
  <si>
    <t xml:space="preserve">A2/1/20/36      </t>
  </si>
  <si>
    <t xml:space="preserve">ERAF projekta (Nr.9.3.1.1./18/I/020) "Dienas aprūpes centra izveidošana Vecumnieku novadā personām ar garīga rakstura un bērniem ar funkcionāliem traucējumiem" īstenošanai </t>
  </si>
  <si>
    <t>20.11.2034.</t>
  </si>
  <si>
    <t>04.12.2019.</t>
  </si>
  <si>
    <t>A2/1/19/448</t>
  </si>
  <si>
    <t>22.12.2025.</t>
  </si>
  <si>
    <t>02.09.2019.</t>
  </si>
  <si>
    <t>A2/1/19/313</t>
  </si>
  <si>
    <t>ELFLA projekta (Nr.-18-06-A00702-000040) "Bauskas novada pašvaldības grants ceļu pārbūve Codes pagastā" īstenošanai</t>
  </si>
  <si>
    <t>20.12.2027.</t>
  </si>
  <si>
    <t>A2/1/19/312</t>
  </si>
  <si>
    <t>ELFLA projekta (Nr.18-06-A00702-000061) "Bauskas novada pašvaldības grants ceļu pārbūve Īslīces pagastā" īstenošanai</t>
  </si>
  <si>
    <t>20.08.2026.</t>
  </si>
  <si>
    <t>A2/1/19/311</t>
  </si>
  <si>
    <t>ELFLA projekta (Nr.18-06-A00702-000065) "Bauskas novada pašvaldības grants ceļu pārbūve Mežotnes pagastā" īstenošanai</t>
  </si>
  <si>
    <t>21.07.2031.</t>
  </si>
  <si>
    <t>12.08.2019.</t>
  </si>
  <si>
    <t>A2/1/19/301</t>
  </si>
  <si>
    <t>ELFLA projekta (Nr.18-06-A00702-000043) "Bauskas novada pašvaldības grants ceļu pārbūve Ceraukstes pagastā" īstenošanai</t>
  </si>
  <si>
    <t>20.03.2040.</t>
  </si>
  <si>
    <t>05.06.2019.</t>
  </si>
  <si>
    <t>A2/1/19/197</t>
  </si>
  <si>
    <t>ERAF projekta (Nr.5.6.2.0/17/I/021) "Bauskas industriālās teritorijas attīstība, reģenerējot degradētās teritorijas" īstenošanai</t>
  </si>
  <si>
    <t>20.06.2031.</t>
  </si>
  <si>
    <t>14.05.2019.</t>
  </si>
  <si>
    <t>A2/1/19/137</t>
  </si>
  <si>
    <t>20.11.2033.</t>
  </si>
  <si>
    <t>16.11.2018.</t>
  </si>
  <si>
    <t>A2/1/18/805</t>
  </si>
  <si>
    <t xml:space="preserve">Projekta "Ielu seguma atjaunošana Bauskas novada Dāviņu un Vecsaules pagastā" īstenošanai </t>
  </si>
  <si>
    <t>20.10.2043.</t>
  </si>
  <si>
    <t>23.10.2018.</t>
  </si>
  <si>
    <t>A2/1/18/739</t>
  </si>
  <si>
    <t>20.08.2028.</t>
  </si>
  <si>
    <t>30.08.2018.</t>
  </si>
  <si>
    <t>A2/1/18/590</t>
  </si>
  <si>
    <t>20.12.2028.</t>
  </si>
  <si>
    <t>08.08.2018.</t>
  </si>
  <si>
    <t>A2/1/18/547</t>
  </si>
  <si>
    <t>Investīciju projektu īstenošanai (saistību pārjaunojums)</t>
  </si>
  <si>
    <t>20.07.2028.</t>
  </si>
  <si>
    <t>02.08.2018.</t>
  </si>
  <si>
    <t xml:space="preserve">A2/1/18/519   </t>
  </si>
  <si>
    <t>20.07.2048.</t>
  </si>
  <si>
    <t>31.07.2018.</t>
  </si>
  <si>
    <t>A2/1/18/508</t>
  </si>
  <si>
    <t>20.06.2028.</t>
  </si>
  <si>
    <t>04.07.2018.</t>
  </si>
  <si>
    <t>A2/1/18/407</t>
  </si>
  <si>
    <t>26.06.2018.</t>
  </si>
  <si>
    <t>A2/1/18/353</t>
  </si>
  <si>
    <t xml:space="preserve">Investīciju projektu īstenošanai (saistību pārjaunojums) _x000D_
</t>
  </si>
  <si>
    <t>20.05.2038.</t>
  </si>
  <si>
    <t>30.05.2018.</t>
  </si>
  <si>
    <t>A2/1/18/277</t>
  </si>
  <si>
    <t>22.05.2034.</t>
  </si>
  <si>
    <t>A2/1/18/276</t>
  </si>
  <si>
    <t>A2/1/18/275</t>
  </si>
  <si>
    <t>20.12.2030.</t>
  </si>
  <si>
    <t>A2/1/18/274</t>
  </si>
  <si>
    <t>20.12.2024.</t>
  </si>
  <si>
    <t>A2/1/18/273</t>
  </si>
  <si>
    <t>20.05.2033.</t>
  </si>
  <si>
    <t>A2/1/18/272</t>
  </si>
  <si>
    <t>A2/1/18/271</t>
  </si>
  <si>
    <t>25.05.2018.</t>
  </si>
  <si>
    <t>A2/1/18/247</t>
  </si>
  <si>
    <t>Prioritārā investīciju projekta "Pašvaldības aģentūras "Iecavas veselības centrs" teritorijas labiekārtošana" īstenošanai</t>
  </si>
  <si>
    <t>26.04.2018.</t>
  </si>
  <si>
    <t>A2/1/18/188</t>
  </si>
  <si>
    <t>Prioritārā investīciju projekta "Multifunkcionālā centra 4. kārtas būvniecība" īstenošanai</t>
  </si>
  <si>
    <t>20.04.2048.</t>
  </si>
  <si>
    <t>25.04.2018.</t>
  </si>
  <si>
    <t>A2/1/18/180</t>
  </si>
  <si>
    <t>20.02.2043.</t>
  </si>
  <si>
    <t>02.03.2018.</t>
  </si>
  <si>
    <t>A2/1/18/68</t>
  </si>
  <si>
    <t>ELFLA projekta (Nr.17-06+A00702-000105) "Pašvaldības ceļa "Pilsrundāle-Svitene" pārbūve"  īstenošanai</t>
  </si>
  <si>
    <t>14.12.2017.</t>
  </si>
  <si>
    <t>A2/1/17/894</t>
  </si>
  <si>
    <t>Projekta "Ielu seguma pārbūve Bauskas novada Codes un Ceraukstes pagastā" īstenošanai</t>
  </si>
  <si>
    <t>27.10.2017.</t>
  </si>
  <si>
    <t>A2/1/17/778</t>
  </si>
  <si>
    <t>ELFLA projekta (Nr.17-06-A00702-000053) ''Bauskas novada pašvaldības grants ceļu pārbūve Brunavas pagastā" īstenošanai</t>
  </si>
  <si>
    <t>20.10.2032.</t>
  </si>
  <si>
    <t>19.10.2017.</t>
  </si>
  <si>
    <t>A2/1/17/767</t>
  </si>
  <si>
    <t xml:space="preserve">Projekta "Gājēju un veloceliņa gar Ziedoņu ielu izbūve" īstenošanai </t>
  </si>
  <si>
    <t>20.08.2024.</t>
  </si>
  <si>
    <t>30.08.2017.</t>
  </si>
  <si>
    <t>A2/1/17/626</t>
  </si>
  <si>
    <t xml:space="preserve">Pašvaldības autonomo funkciju veikšanai nepieciešamā transporta (automašīnu un autobusu) iegādei </t>
  </si>
  <si>
    <t>20.08.2047.</t>
  </si>
  <si>
    <t>A2/1/17/624</t>
  </si>
  <si>
    <t xml:space="preserve">ERAF projekta (Nr.3.3.1.0/17/I/004) "Privāto investīciju palielināšana Bauskas pilsētas dienvidu aglomerācijā uzņēmējdarbības veicināšanai" īstenošanai </t>
  </si>
  <si>
    <t>22.07.2047.</t>
  </si>
  <si>
    <t>28.07.2017.</t>
  </si>
  <si>
    <t>A2/1/17/504</t>
  </si>
  <si>
    <t>20.06.2047.</t>
  </si>
  <si>
    <t>28.06.2017.</t>
  </si>
  <si>
    <t>A2/1/17/428</t>
  </si>
  <si>
    <t xml:space="preserve">Projekta "Bauskas pilsētas pamatskolas ēku pārbūve" īstenošana </t>
  </si>
  <si>
    <t>22.06.2037.</t>
  </si>
  <si>
    <t>A2/1/17/425</t>
  </si>
  <si>
    <t>A2/1/17/424</t>
  </si>
  <si>
    <t>A2/1/17/423</t>
  </si>
  <si>
    <t>22.06.2017.</t>
  </si>
  <si>
    <t>A2/1/17/398</t>
  </si>
  <si>
    <t>Ceļu un to kompleksa investīciju projekta "Skolas ielas rekonstrukcija, Iecavā, Iecavas novadā" īstenošanai</t>
  </si>
  <si>
    <t>22.04.2047.</t>
  </si>
  <si>
    <t>28.04.2017.</t>
  </si>
  <si>
    <t>A2/1/17/210</t>
  </si>
  <si>
    <t xml:space="preserve">Izglītības iestādes investīciju projekta "Sporta halles izbūve profesionālās ievirzes izglītības iestādei "Bauska novada Bērnu un jaunatnes sporta skola"" īstenošanai </t>
  </si>
  <si>
    <t>20.03.2042.</t>
  </si>
  <si>
    <t>03.04.2017.</t>
  </si>
  <si>
    <t>A2/1/17/174</t>
  </si>
  <si>
    <t>Prioritārā investīciju projekta "Multifunkcionālā centra 1. un 3. kārtas būvniecība" īstenošanai</t>
  </si>
  <si>
    <t>20.03.2037.</t>
  </si>
  <si>
    <t>27.03.2017.</t>
  </si>
  <si>
    <t>A2/1/17/148</t>
  </si>
  <si>
    <t xml:space="preserve">Izglītības iestādes investīciju projekta "Bauskas Valsts ģimnāzijas sporta nama jumta atjaunošanas un lietusūdens kanalizācijas un drenāžas ierīkošanas būvdarbi" īstenošanai </t>
  </si>
  <si>
    <t>20.09.2026.</t>
  </si>
  <si>
    <t>01.03.2017.</t>
  </si>
  <si>
    <t>A2/1/17/93</t>
  </si>
  <si>
    <t>ELFLA projekta (Nr.16-06-AL07-A019.2201-000005) "Viļa Plūdoņa muzeja klēts restaurācija un atjaunošana" īstenošanai</t>
  </si>
  <si>
    <t>20.12.2026.</t>
  </si>
  <si>
    <t>A2/1/17/92</t>
  </si>
  <si>
    <t>ELFLA projekta (Nr.16-06-AL07-A019.2201-000006) "Viļa Plūdoņa muzeja ratnīcas restaurācija" īstenošanai</t>
  </si>
  <si>
    <t>22.12.2031.</t>
  </si>
  <si>
    <t>19.12.2016.</t>
  </si>
  <si>
    <t>A2/1/16/512</t>
  </si>
  <si>
    <t>ELFLA projekta (Nr. 16-06-AL07-A019.2201-000004) "Atklātas daudzfunkcionālas arēnas būvniecība Svitenē" īstenošanai</t>
  </si>
  <si>
    <t>A2/1/16/511</t>
  </si>
  <si>
    <t>ELFLA projekta (Nr.16-06-AL07-A019.2202-000003) "Apgaismota gājēju celiņa būvniecība Pilsrundāles ciemā (II kārta)" īstenošanai</t>
  </si>
  <si>
    <t>20.12.2041.</t>
  </si>
  <si>
    <t>08.12.2016.</t>
  </si>
  <si>
    <t>A2/1/16/494</t>
  </si>
  <si>
    <t>20.10.2031.</t>
  </si>
  <si>
    <t>25.10.2016.</t>
  </si>
  <si>
    <t>A2/1/16/453</t>
  </si>
  <si>
    <t xml:space="preserve">Projekta "Miera ielas un Mūsas ielas, Bauskā seguma pārbūve" īstenošanai </t>
  </si>
  <si>
    <t>06.10.2016.</t>
  </si>
  <si>
    <t>A2/1/16/424</t>
  </si>
  <si>
    <t>Projekta "Iecavas pirmsskolas izglītības iestādes "Cālītis" teritorijas labiekārtošana" īstenošanai</t>
  </si>
  <si>
    <t>07.10.2016.</t>
  </si>
  <si>
    <t xml:space="preserve">A2/1/16/398   </t>
  </si>
  <si>
    <t>20.08.2046.</t>
  </si>
  <si>
    <t>17.08.2016.</t>
  </si>
  <si>
    <t>A2/1/16/313</t>
  </si>
  <si>
    <t xml:space="preserve">Projekta "Gājēju tilta pār Mūsu būvniecība" īstenošanai </t>
  </si>
  <si>
    <t>20.07.2036.</t>
  </si>
  <si>
    <t>27.07.2016.</t>
  </si>
  <si>
    <t>A2/1/16/277</t>
  </si>
  <si>
    <t xml:space="preserve">Projekta "Remontdarbu veikšana Bauskas novada pašvaldības izglītības iestādēs" īstenošanai </t>
  </si>
  <si>
    <t>18.05.2016.</t>
  </si>
  <si>
    <t>A2/1/16/141</t>
  </si>
  <si>
    <t xml:space="preserve">Projekta "Dreņģerkalna un Torņa ielas pārbūve" īstenošanai </t>
  </si>
  <si>
    <t>20.04.2031.</t>
  </si>
  <si>
    <t>29.04.2016.</t>
  </si>
  <si>
    <t>A2/1/16/108</t>
  </si>
  <si>
    <t xml:space="preserve">Projekta "Bauskas Mūzikas skolas rekonstrukcijas 1.kārta" īstenošanai </t>
  </si>
  <si>
    <t>20.04.2046.</t>
  </si>
  <si>
    <t>A2/1/16/107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</si>
  <si>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</si>
  <si>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20.02.2041.</t>
  </si>
  <si>
    <t>03.03.2016.</t>
  </si>
  <si>
    <t>A2/1/16/45</t>
  </si>
  <si>
    <t xml:space="preserve">Projekta "Higiēnas centra būvniecība" īstenošanai </t>
  </si>
  <si>
    <t>20.02.2036.</t>
  </si>
  <si>
    <t>A2/1/16/44</t>
  </si>
  <si>
    <t xml:space="preserve">Projekta "Bauskas Valsts ģimnāzijas un Bauskas sākumskolas ēkas energoefektivitātes paaugstināšana" īstenošanai </t>
  </si>
  <si>
    <t>20.12.2035.</t>
  </si>
  <si>
    <t>02.10.2015.</t>
  </si>
  <si>
    <t>A2/1/15/570</t>
  </si>
  <si>
    <t>18.09.2015.</t>
  </si>
  <si>
    <t>A2/1/15/526</t>
  </si>
  <si>
    <t>Projekta "Gājēju un veloceliņa uz Rītausmām, Īslīces pagastā būvniecība" īstenošanai</t>
  </si>
  <si>
    <t>22.09.2025.</t>
  </si>
  <si>
    <t>16.09.2015.</t>
  </si>
  <si>
    <t>A2/1/15/524</t>
  </si>
  <si>
    <t xml:space="preserve">Projekta "Zemgaļu ielas, Bauskā seguma rekonstrukcija" īstenošanai </t>
  </si>
  <si>
    <t>20.08.2015.</t>
  </si>
  <si>
    <t>A2/1/15/454</t>
  </si>
  <si>
    <t xml:space="preserve">Projekta "Bauskas pilsētas pamatskolas sporta zāles renovācija" īstenošanai </t>
  </si>
  <si>
    <t>20.07.2025.</t>
  </si>
  <si>
    <t>21.07.2015.</t>
  </si>
  <si>
    <t xml:space="preserve">A2/1/15/370   </t>
  </si>
  <si>
    <t>20.06.2025.</t>
  </si>
  <si>
    <t>17.06.2015.</t>
  </si>
  <si>
    <t xml:space="preserve">A2/1/15/303   </t>
  </si>
  <si>
    <t>20.05.2035.</t>
  </si>
  <si>
    <t>12.06.2015.</t>
  </si>
  <si>
    <t>A2/1/15/297</t>
  </si>
  <si>
    <t>Projekta "Remontdarbu veikšana Bauskas novada pašvaldības izglītības iestādēs" īstenošanai</t>
  </si>
  <si>
    <t>20.05.2025.</t>
  </si>
  <si>
    <t>21.05.2015.</t>
  </si>
  <si>
    <t xml:space="preserve">A2/1/15/252   </t>
  </si>
  <si>
    <t>20.05.2015.</t>
  </si>
  <si>
    <t>A2/1/15/221</t>
  </si>
  <si>
    <t>Projekta "Ūdensvada un kanalizācijas tīklu remontdarbi Bauskas novada pašvaldības izglītības iestādēs" īstenošanai</t>
  </si>
  <si>
    <t>18.05.2015.</t>
  </si>
  <si>
    <t>A2/1/15/220</t>
  </si>
  <si>
    <t xml:space="preserve">Projekta "Apkures griestu paneļu uzstādīšana Bauskas 2.vidusskolas sporta zālē" īstenošanai </t>
  </si>
  <si>
    <t>23.04.2030.</t>
  </si>
  <si>
    <t>07.05.2015.</t>
  </si>
  <si>
    <t>A2/1/15/195</t>
  </si>
  <si>
    <t>20.03.2025.</t>
  </si>
  <si>
    <t>18.03.2015.</t>
  </si>
  <si>
    <t>A2/1/15/114</t>
  </si>
  <si>
    <t>20.09.2029.</t>
  </si>
  <si>
    <t>30.09.2014.</t>
  </si>
  <si>
    <t>A2/1/14/732</t>
  </si>
  <si>
    <t>26.08.2014.</t>
  </si>
  <si>
    <t xml:space="preserve">A2/1/14/596   </t>
  </si>
  <si>
    <t xml:space="preserve">A2/1/14/595   </t>
  </si>
  <si>
    <t>20.03.2034.</t>
  </si>
  <si>
    <t>23.04.2014.</t>
  </si>
  <si>
    <t>A2/1/14/271</t>
  </si>
  <si>
    <t>20.03.2014.</t>
  </si>
  <si>
    <t xml:space="preserve">A2/1/14/158   </t>
  </si>
  <si>
    <t>20.03.2028.</t>
  </si>
  <si>
    <t>18.03.2013.</t>
  </si>
  <si>
    <t>A2/1/13/90</t>
  </si>
  <si>
    <t>Projekta "Pirmsskolas izglītības iestādes Svitene vienkāršotā renovācija" īstenošanai</t>
  </si>
  <si>
    <t>02.03.2011.</t>
  </si>
  <si>
    <t>A2/1/11/67</t>
  </si>
  <si>
    <t>ELFLA projekta (Nr.10-06-L32100-000257) "Publiskās infrastruktūras kvalitātes uzlabošana Rundāles novadā_2" īstenošanai</t>
  </si>
  <si>
    <t>05.12.2008.</t>
  </si>
  <si>
    <t>A2/1/08/949</t>
  </si>
  <si>
    <t>Jauna bērnudārza celtniecībai Rundāles pagasta Saulainē</t>
  </si>
  <si>
    <t>25.08.2008.</t>
  </si>
  <si>
    <t xml:space="preserve">A2/1/08/716   </t>
  </si>
  <si>
    <t>Kurmenes skolas ēkas rekonstrukcijai</t>
  </si>
  <si>
    <t>22.03.2027.</t>
  </si>
  <si>
    <t>01.06.2007.</t>
  </si>
  <si>
    <t xml:space="preserve">A2/1/07/243   </t>
  </si>
  <si>
    <t>Centralizētās siltumapgādes sistēmas rekonstrukcijai (Vecumnieku)</t>
  </si>
  <si>
    <t>20.09.2032.</t>
  </si>
  <si>
    <t>28.12.2006.</t>
  </si>
  <si>
    <t xml:space="preserve">A2/1/06/806   </t>
  </si>
  <si>
    <t xml:space="preserve">Valles vidusskolas sporta halles celtniecībai </t>
  </si>
  <si>
    <t>20.11.2026.</t>
  </si>
  <si>
    <t>30.11.2006.</t>
  </si>
  <si>
    <t xml:space="preserve">A2/1/06/699   </t>
  </si>
  <si>
    <t>20.01.2026.</t>
  </si>
  <si>
    <t>24.02.2006.</t>
  </si>
  <si>
    <t>A2/1/06/68</t>
  </si>
  <si>
    <t>ERAF projekta "Rundāles pagasta ūdensssaimniecības attīstība" īstenošanai</t>
  </si>
  <si>
    <t>Aizņēmumi</t>
  </si>
  <si>
    <t>kopā</t>
  </si>
  <si>
    <t>turpmākajos gados</t>
  </si>
  <si>
    <t>Saistību apmērs (pamatsumma+procenti)</t>
  </si>
  <si>
    <t>Saistību pamatsummas parāds uz 01.01.2024.</t>
  </si>
  <si>
    <t>Aizņēmuma summa</t>
  </si>
  <si>
    <t>Atmaksas termiņš</t>
  </si>
  <si>
    <t>Līguma noslēgšanas datums</t>
  </si>
  <si>
    <t>Līguma Nr.</t>
  </si>
  <si>
    <t>Mērķis</t>
  </si>
  <si>
    <t>Aizdevējs</t>
  </si>
  <si>
    <t>Nr.p.k.</t>
  </si>
  <si>
    <t>Bauskas novada pašvaldības saistību apmērs 2024. gadā un turpmākajos gados (EUR)</t>
  </si>
  <si>
    <t>6. pielikums</t>
  </si>
  <si>
    <t xml:space="preserve">Galvojumi </t>
  </si>
  <si>
    <t xml:space="preserve">Bauskas novada domes 28.11.2024.
    saistošajiem noteikumiem Nr. 20 </t>
  </si>
  <si>
    <t>Prioritārā investīciju projekta "Liepu ielas Brunavas pagastā pārbūve" īstenošanai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</si>
  <si>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</si>
  <si>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</si>
  <si>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KPFI projekta (Nr.KPFI-15.3/149) "Kompleksi risinājumi siltumnīcefekta gāzu emisijas samazināšanai Misas vidusskolā" īstenošanai 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</si>
  <si>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</si>
  <si>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</si>
  <si>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</si>
  <si>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</si>
  <si>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</si>
  <si>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</si>
  <si>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</si>
  <si>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</si>
  <si>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Prioritārā investīciju projekta "Videonovērošanas sistēmas Bauskā izbūves 2. un 3.kārta" īstenošanai </t>
  </si>
  <si>
    <t>Projekta "Seguma maiņa Zemgaļu ielas posmam no Skolas ielas līdz Lauku ielai un Lauku ielai Bauskas pilsētā"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</si>
  <si>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</si>
  <si>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</si>
  <si>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</si>
  <si>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</si>
  <si>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</si>
  <si>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ERAF projekta (Nr.4.2.2.0/22/A/005) "Energoefektivitātes paaugstināšana sporta namam "Dartija""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</si>
  <si>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</si>
  <si>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</si>
  <si>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</si>
  <si>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</si>
  <si>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</si>
  <si>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</si>
  <si>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Prioritārais investīciju projekts "Lifta ierīkošana un telpu remontdarbi Bauskas pilsētas pamatskolā"</t>
  </si>
  <si>
    <t>Kohēzijas fonda projekta Nr.4.3.1.0/17/A077 "Siltumtīklu pārbūve Iecavā" īstenošanai</t>
  </si>
  <si>
    <t>Kohēzijas fonda projekta Nr.5.3.1.0/17/I/020 "Bauskas ūdenssaimniecības attīstība III kārta" īstenošanai</t>
  </si>
  <si>
    <t>Latvijas–Lietuvas pārrobežu sadarbības programmas projekta (Nr.LL-00126) "Atklāj un sajūti zaļos noslēpumus Zemgalē un Žemaitijā!" īstenošanai</t>
  </si>
  <si>
    <t>Projekta "Autoceļa A9 "Dārza iela–Cielavas–Bružas–P93, Dārza ielas posms no Dzintaru ielas līdz autoceļam P93 2.kārta" pārbūve" investīciju īstenošanai</t>
  </si>
  <si>
    <t>Projekta "Autoceļa A10 "V1040–Smiltaiņi–Audrupi–Jaunsvirkaļi 2.kārta" pārbūve" investīciju īstenošanai</t>
  </si>
  <si>
    <t>Projekts "Autoceļa A18 "Plūdoņi–Bērziņi" pārbūves 2. kārta" īstenošanai</t>
  </si>
  <si>
    <t>Investīciju projekta "Autoceļa A10 "V 1040–Smiltaiņi–Audrupi–Jaunsvirkaļi" pārbūve" īstenošanai</t>
  </si>
  <si>
    <t>Investīciju projekta "Autoceļa "Dārza iela–Cielavas–Bružas–P93" un Dārza ielas posma no Dzintaru ielas līdz autoceļam
A9 "Dārza iela–Cielavas–Bružas–P93" pārbūve" īstenošanai</t>
  </si>
  <si>
    <t>Projekta "Autoceļa A18 "Plūdoņi–Bērziņi" pārbūve" investīciju īstenošanai</t>
  </si>
  <si>
    <t>Projekta "Piebraucamā ceļa izbūve posmā no Valsts reģionālā autoceļa P92 Iecava–Stelpe" investīciju īstenošanai</t>
  </si>
  <si>
    <t>Projekta "Seguma maiņa objektā Vecsaules pagasta autoceļa A6 "Kalte–Cīruļi" posms" investīciju īstenošanai</t>
  </si>
  <si>
    <t>Projekta "Seguma atjaunošana objektā Mežotnes pagasta autoceļa B2 "Jumpravu kapi–Tomi" posmam" investīciju īstenošanai</t>
  </si>
  <si>
    <t>Latvijas–Lietuvas pārrobežu sadarbības programmas projekta (Nr.LLI-498) "Vēsturiskais ceļš: Raudondvaris–Bauska" investīciju daļas īstenošanai</t>
  </si>
  <si>
    <t>ERAF projekta (Nr.9.3.1.1/18/I/023) "Dienas aprūpes centra izveide Iecavā, Bauskas novadā" īstenošanai</t>
  </si>
  <si>
    <t>ERAF projekta (Nr.8.1.2.0/17/I/011) "Bauskas Valsts ģimnāzijas un Bauskas 2. vidusskolas infrastruktūras sakārtošana" īstenošanai</t>
  </si>
  <si>
    <t>Projekta "Autoceļa "V1040-Roņi–Tāmas–Renceles–A7" pārbūves 2.kārta" īstenošanai</t>
  </si>
  <si>
    <t>Projekta "Pašvaldības autocļa A3 "Pilsrundāle–Dzirnavu pietura" posma pārbūve" īstenošanai</t>
  </si>
  <si>
    <t>Projekta "Autoceļa A7–Papardes–Gāršas–Spītes–Podāzeļi pārbūve (1.kārta)" īstenošanai</t>
  </si>
  <si>
    <t>Latvijas–Lietuvas–Baltkrievijas pārrobežu sadarbības programmas projekta (Nr.ENI-LLB-2-340) "Inovatīvs kultūras tūrisms: atslēga Rundāles un Svisločas pievilcības un konkurētspējas uzlabošanai" investīciju daļas īstenošanai</t>
  </si>
  <si>
    <t>Latvijas–Krievijas pārrobežu sadarbības programmas projekta (Nr.LV-RU-052) "Ainava kā resurss: atbalsts jauniem pakalpojumiem un tūrismam Rundālē, Raunā, Ropšā" investīciju daļas īstenošanai</t>
  </si>
  <si>
    <t>Latvijas–Lietuvas pārrobežu sadarbības programmas projekta (LLI-291) "Zaļās infrastruktūras pilnveidošana zemieņu upju ainavā" investīciju daļas īstenošanai</t>
  </si>
  <si>
    <t xml:space="preserve">ERAF projekta (Nr.3DP/3.4.1.1.0/13/APIA/CFLA/137/112) "Ūdenssaimniecības attīstība Vecumnieku novada Valles ciemā" īstenošanai </t>
  </si>
  <si>
    <t xml:space="preserve">Projekta "Rātsnama vēsturiskā interjera izveide" īstenošanai </t>
  </si>
  <si>
    <t xml:space="preserve">Prioritārā investīciju projekta "Bērnu laukuma un sadzīves atkritumu konteineru laukumu izbūves II-III kārta" īstenošanai </t>
  </si>
  <si>
    <t xml:space="preserve">Projekta "Celtnieku ielas, Līdumnieku ielas posma no Celtnieku ielas līdz Rudzu ielai, Ainavu ielas posma no Celtnieku ielas līdz Pārupes ielai pārbūve" īstenošanai </t>
  </si>
  <si>
    <t xml:space="preserve">ELFLA projekta (Nr.18-06-A00702-000026) "Vecumnieku novada pašvaldības autoceļa A10 (Mednieki–Gali), autoceļa posma A1 (Ķekavas šoseja–Dzeguzes) un autoceļa posma B2 (Spodras–Krieviņi) pārbūve Vecumnieku novadā" īstenošanai </t>
  </si>
  <si>
    <t>ERAF projekta (Nr.5.6.2.0/17/I/010) "Teritorijas revitalizācija Gailīšu pagastā, rekonstruējot vietējā autoceļa posmu" īstenošanai</t>
  </si>
  <si>
    <t>ELFLA projekta (Nr.17-06-AL07-A019.2201-000009) "Garozas muižas parka labiekārtošana" īstenošanai</t>
  </si>
  <si>
    <t xml:space="preserve">Projekta "Bauskas 2.vidusskolas ēkas energoefektivitātes paaugstināšana  ēkas fasādes siltināšana" īstenošanai </t>
  </si>
  <si>
    <t xml:space="preserve">Projekta "Bauskas Mūzikas skolas rekonstrukcijas 2. kārta" īstenošanai </t>
  </si>
  <si>
    <t>Projekta "Mežotnes pamatskolas pārbūve" īstenošanai</t>
  </si>
  <si>
    <t>Projekta "Remontdarbu veikšana Bauskas novada pašvaldības izglītības iestādēs" īstenošanai (atbilstoši iepirkumu komisijas lēmumos minētajām izglītības iestādēm)</t>
  </si>
  <si>
    <t>Projekta "Ēkas rekonstrukcija un funkcijas maiņa–Iecavas mākslas un mūzikas skola" īstenošanai</t>
  </si>
  <si>
    <t>ERAF projekta (Nr.3DP/3.4.1.1.0/13/APIA/CFLA/048/075) "Ūdenssaimniecības attīstība Rundāles novada Svitenes pagasta Svitenes ciemā" īstenošanai</t>
  </si>
  <si>
    <t>ERAF projekta (Nr.3DP/3.4.1.1.0/13APIA/CFLA/045/054) "Ūdenssaimniecības attīstība Rundāles novada Rundāles pagasta Pilsrundāles ciemā" īstenošanai</t>
  </si>
  <si>
    <t>KPFI projekta (Nr.KPFI-15.2/33) "Kompleksi risinājumi siltumnīcefekta gāzu emisiju samazināšanai Pilsrundāles vidusskolas un Pilsrundāles vidusskolas Bērsteles struktūrvienības ēkā"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</si>
</sst>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000"/>
  </numFmts>
  <fonts count="1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sz val="11"/>
      <name val="Calibri"/>
      <family val="2"/>
      <charset val="186"/>
      <scheme val="minor"/>
    </font>
    <font>
      <i/>
      <sz val="9"/>
      <name val="Arial"/>
      <family val="2"/>
      <charset val="186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9"/>
      <color rgb="FFFF0000"/>
      <name val="Arial"/>
      <family val="2"/>
      <charset val="186"/>
    </font>
    <font>
      <b/>
      <sz val="11"/>
      <name val="Arial"/>
      <family val="2"/>
      <charset val="186"/>
    </font>
    <font>
      <sz val="10"/>
      <name val="Times New Roman"/>
      <family val="1"/>
      <charset val="186"/>
    </font>
    <font>
      <b/>
      <sz val="9"/>
      <color rgb="FFFF0000"/>
      <name val="Arial"/>
      <family val="2"/>
      <charset val="186"/>
    </font>
    <font>
      <sz val="9"/>
      <color rgb="FF0070C0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Tahoma"/>
      <family val="2"/>
      <charset val="186"/>
    </font>
    <font>
      <sz val="9"/>
      <name val="Tahoma"/>
      <family val="2"/>
      <charset val="186"/>
    </font>
    <font>
      <sz val="10"/>
      <color rgb="FFFF0000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/>
      <diagonal/>
    </border>
    <border>
      <left style="thin">
        <color theme="0" tint="-0.34965056306649983"/>
      </left>
      <right style="thin">
        <color theme="0" tint="-0.34965056306649983"/>
      </right>
      <top style="thin">
        <color theme="0" tint="-0.34965056306649983"/>
      </top>
      <bottom style="thin">
        <color theme="0" tint="-0.34965056306649983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/>
    <xf numFmtId="43" fontId="1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6" fillId="0" borderId="0" applyFont="0" applyFill="0" applyBorder="0" applyAlignment="0" applyProtection="0"/>
  </cellStyleXfs>
  <cellXfs count="172">
    <xf numFmtId="0" fontId="0" fillId="0" borderId="0" xfId="0"/>
    <xf numFmtId="49" fontId="1" fillId="0" borderId="3" xfId="3" applyNumberFormat="1" applyBorder="1" applyAlignment="1" applyProtection="1">
      <alignment horizontal="left" vertical="center" wrapText="1"/>
      <protection locked="0"/>
    </xf>
    <xf numFmtId="0" fontId="1" fillId="0" borderId="3" xfId="3" applyBorder="1" applyAlignment="1" applyProtection="1">
      <alignment horizontal="center" vertical="center" wrapText="1"/>
      <protection locked="0"/>
    </xf>
    <xf numFmtId="0" fontId="2" fillId="0" borderId="0" xfId="2" applyFont="1"/>
    <xf numFmtId="0" fontId="2" fillId="0" borderId="0" xfId="3" applyFont="1" applyProtection="1">
      <protection locked="0"/>
    </xf>
    <xf numFmtId="0" fontId="2" fillId="0" borderId="0" xfId="3" applyFont="1"/>
    <xf numFmtId="0" fontId="2" fillId="2" borderId="0" xfId="3" applyFont="1" applyFill="1"/>
    <xf numFmtId="164" fontId="2" fillId="0" borderId="0" xfId="3" applyNumberFormat="1" applyFont="1" applyAlignment="1" applyProtection="1">
      <alignment wrapText="1"/>
      <protection locked="0"/>
    </xf>
    <xf numFmtId="0" fontId="2" fillId="0" borderId="0" xfId="3" applyFont="1" applyAlignment="1" applyProtection="1">
      <alignment wrapText="1"/>
      <protection locked="0"/>
    </xf>
    <xf numFmtId="0" fontId="3" fillId="0" borderId="0" xfId="0" applyFont="1" applyAlignment="1">
      <alignment horizontal="center" wrapText="1"/>
    </xf>
    <xf numFmtId="165" fontId="2" fillId="0" borderId="0" xfId="3" applyNumberFormat="1" applyFont="1" applyProtection="1">
      <protection locked="0"/>
    </xf>
    <xf numFmtId="1" fontId="2" fillId="0" borderId="0" xfId="3" applyNumberFormat="1" applyFont="1" applyProtection="1">
      <protection locked="0"/>
    </xf>
    <xf numFmtId="0" fontId="4" fillId="0" borderId="0" xfId="3" applyFont="1" applyProtection="1">
      <protection locked="0"/>
    </xf>
    <xf numFmtId="49" fontId="4" fillId="2" borderId="0" xfId="3" applyNumberFormat="1" applyFont="1" applyFill="1" applyProtection="1">
      <protection locked="0"/>
    </xf>
    <xf numFmtId="49" fontId="2" fillId="0" borderId="0" xfId="3" applyNumberFormat="1" applyFont="1" applyProtection="1">
      <protection locked="0"/>
    </xf>
    <xf numFmtId="49" fontId="2" fillId="2" borderId="0" xfId="3" applyNumberFormat="1" applyFont="1" applyFill="1" applyAlignment="1">
      <alignment horizontal="left" vertical="center" wrapText="1"/>
    </xf>
    <xf numFmtId="49" fontId="1" fillId="0" borderId="0" xfId="3" applyNumberFormat="1" applyAlignment="1" applyProtection="1">
      <alignment wrapText="1"/>
      <protection locked="0"/>
    </xf>
    <xf numFmtId="0" fontId="5" fillId="0" borderId="5" xfId="3" applyFont="1" applyBorder="1" applyAlignment="1" applyProtection="1">
      <alignment vertical="center"/>
      <protection locked="0"/>
    </xf>
    <xf numFmtId="49" fontId="5" fillId="2" borderId="0" xfId="3" applyNumberFormat="1" applyFont="1" applyFill="1" applyAlignment="1">
      <alignment vertical="center" wrapText="1"/>
    </xf>
    <xf numFmtId="49" fontId="5" fillId="0" borderId="0" xfId="3" applyNumberFormat="1" applyFont="1" applyAlignment="1">
      <alignment vertical="center" wrapText="1"/>
    </xf>
    <xf numFmtId="49" fontId="1" fillId="0" borderId="0" xfId="3" applyNumberFormat="1" applyAlignment="1" applyProtection="1">
      <alignment vertical="center" wrapText="1"/>
      <protection locked="0"/>
    </xf>
    <xf numFmtId="164" fontId="1" fillId="0" borderId="3" xfId="1" applyNumberFormat="1" applyFont="1" applyBorder="1" applyAlignment="1">
      <alignment horizontal="center" vertical="center" wrapText="1"/>
    </xf>
    <xf numFmtId="43" fontId="1" fillId="0" borderId="3" xfId="1" applyFont="1" applyBorder="1" applyAlignment="1">
      <alignment horizontal="center" vertical="center" wrapText="1"/>
    </xf>
    <xf numFmtId="164" fontId="1" fillId="2" borderId="3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3" applyNumberFormat="1" applyAlignment="1" applyProtection="1">
      <alignment horizontal="center" vertical="center" wrapText="1"/>
      <protection locked="0"/>
    </xf>
    <xf numFmtId="164" fontId="1" fillId="0" borderId="0" xfId="1" applyNumberFormat="1" applyFont="1" applyFill="1" applyAlignment="1">
      <alignment horizontal="center" vertical="center" wrapText="1"/>
    </xf>
    <xf numFmtId="164" fontId="1" fillId="0" borderId="0" xfId="1" applyNumberFormat="1" applyFont="1" applyFill="1" applyAlignment="1" applyProtection="1">
      <alignment horizontal="center" vertical="center" wrapText="1"/>
      <protection locked="0"/>
    </xf>
    <xf numFmtId="164" fontId="6" fillId="2" borderId="0" xfId="1" applyNumberFormat="1" applyFont="1" applyFill="1" applyAlignment="1" applyProtection="1">
      <alignment horizontal="center" vertical="center" wrapText="1"/>
      <protection locked="0"/>
    </xf>
    <xf numFmtId="49" fontId="6" fillId="0" borderId="0" xfId="3" applyNumberFormat="1" applyFont="1" applyAlignment="1" applyProtection="1">
      <alignment vertical="center" wrapText="1"/>
      <protection locked="0"/>
    </xf>
    <xf numFmtId="164" fontId="6" fillId="0" borderId="6" xfId="1" applyNumberFormat="1" applyFont="1" applyFill="1" applyBorder="1" applyAlignment="1">
      <alignment horizontal="center" vertical="center" wrapText="1"/>
    </xf>
    <xf numFmtId="164" fontId="6" fillId="2" borderId="6" xfId="1" applyNumberFormat="1" applyFont="1" applyFill="1" applyBorder="1" applyAlignment="1">
      <alignment horizontal="center" vertical="center" wrapText="1"/>
    </xf>
    <xf numFmtId="49" fontId="1" fillId="0" borderId="6" xfId="4" applyNumberFormat="1" applyBorder="1" applyAlignment="1">
      <alignment horizontal="center" vertical="center" wrapText="1"/>
    </xf>
    <xf numFmtId="49" fontId="1" fillId="0" borderId="7" xfId="4" applyNumberFormat="1" applyBorder="1" applyAlignment="1">
      <alignment vertical="center" wrapText="1"/>
    </xf>
    <xf numFmtId="49" fontId="6" fillId="0" borderId="8" xfId="3" applyNumberFormat="1" applyFont="1" applyBorder="1" applyAlignment="1" applyProtection="1">
      <alignment vertical="center" wrapText="1"/>
      <protection locked="0"/>
    </xf>
    <xf numFmtId="164" fontId="1" fillId="0" borderId="4" xfId="1" applyNumberFormat="1" applyFont="1" applyFill="1" applyBorder="1" applyAlignment="1">
      <alignment horizontal="center" vertical="center" wrapText="1"/>
    </xf>
    <xf numFmtId="49" fontId="6" fillId="0" borderId="0" xfId="3" applyNumberFormat="1" applyFont="1" applyAlignment="1" applyProtection="1">
      <alignment horizontal="center" vertical="center" wrapText="1"/>
      <protection locked="0"/>
    </xf>
    <xf numFmtId="164" fontId="6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3" applyNumberFormat="1" applyBorder="1" applyAlignment="1" applyProtection="1">
      <alignment horizontal="center" vertical="center" wrapText="1"/>
      <protection locked="0"/>
    </xf>
    <xf numFmtId="164" fontId="1" fillId="2" borderId="0" xfId="1" applyNumberFormat="1" applyFont="1" applyFill="1" applyAlignment="1" applyProtection="1">
      <alignment horizontal="center" vertical="center" wrapText="1"/>
      <protection locked="0"/>
    </xf>
    <xf numFmtId="164" fontId="6" fillId="0" borderId="9" xfId="1" applyNumberFormat="1" applyFont="1" applyFill="1" applyBorder="1" applyAlignment="1" applyProtection="1">
      <alignment horizontal="center" vertical="center" wrapText="1"/>
      <protection locked="0"/>
    </xf>
    <xf numFmtId="164" fontId="6" fillId="2" borderId="9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3" applyNumberFormat="1" applyBorder="1" applyAlignment="1" applyProtection="1">
      <alignment horizontal="center" vertical="center" wrapText="1"/>
      <protection locked="0"/>
    </xf>
    <xf numFmtId="49" fontId="6" fillId="0" borderId="9" xfId="3" applyNumberFormat="1" applyFont="1" applyBorder="1" applyAlignment="1" applyProtection="1">
      <alignment vertical="center" wrapText="1"/>
      <protection locked="0"/>
    </xf>
    <xf numFmtId="0" fontId="2" fillId="0" borderId="0" xfId="3" applyFont="1" applyAlignment="1" applyProtection="1">
      <alignment horizontal="center" vertical="center" wrapText="1"/>
      <protection locked="0"/>
    </xf>
    <xf numFmtId="0" fontId="2" fillId="0" borderId="0" xfId="3" applyFont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164" fontId="1" fillId="2" borderId="9" xfId="1" applyNumberFormat="1" applyFont="1" applyFill="1" applyBorder="1" applyAlignment="1" applyProtection="1">
      <alignment horizontal="center" vertical="center"/>
      <protection locked="0"/>
    </xf>
    <xf numFmtId="164" fontId="1" fillId="2" borderId="9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5" applyNumberFormat="1" applyBorder="1" applyAlignment="1">
      <alignment horizontal="center" vertical="center" wrapText="1"/>
    </xf>
    <xf numFmtId="49" fontId="1" fillId="0" borderId="9" xfId="3" applyNumberFormat="1" applyBorder="1" applyAlignment="1" applyProtection="1">
      <alignment horizontal="left" vertical="center" wrapText="1"/>
      <protection locked="0"/>
    </xf>
    <xf numFmtId="49" fontId="1" fillId="0" borderId="2" xfId="3" applyNumberFormat="1" applyBorder="1" applyAlignment="1" applyProtection="1">
      <alignment horizontal="center" vertical="center" wrapText="1"/>
      <protection locked="0"/>
    </xf>
    <xf numFmtId="164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5" applyNumberFormat="1" applyBorder="1" applyAlignment="1">
      <alignment horizontal="center" vertical="center" wrapText="1"/>
    </xf>
    <xf numFmtId="49" fontId="1" fillId="0" borderId="2" xfId="3" applyNumberFormat="1" applyBorder="1" applyAlignment="1" applyProtection="1">
      <alignment horizontal="left" vertical="center" wrapText="1"/>
      <protection locked="0"/>
    </xf>
    <xf numFmtId="164" fontId="6" fillId="0" borderId="3" xfId="1" applyNumberFormat="1" applyFont="1" applyFill="1" applyBorder="1" applyAlignment="1">
      <alignment horizontal="center" vertical="center" wrapText="1"/>
    </xf>
    <xf numFmtId="49" fontId="1" fillId="0" borderId="11" xfId="5" applyNumberFormat="1" applyBorder="1" applyAlignment="1">
      <alignment horizontal="center" vertical="center" wrapText="1"/>
    </xf>
    <xf numFmtId="164" fontId="6" fillId="0" borderId="9" xfId="1" applyNumberFormat="1" applyFont="1" applyFill="1" applyBorder="1" applyAlignment="1">
      <alignment horizontal="center" vertical="center" wrapText="1"/>
    </xf>
    <xf numFmtId="164" fontId="1" fillId="2" borderId="9" xfId="1" applyNumberFormat="1" applyFont="1" applyFill="1" applyBorder="1" applyAlignment="1">
      <alignment horizontal="center" vertical="center"/>
    </xf>
    <xf numFmtId="49" fontId="1" fillId="2" borderId="9" xfId="5" applyNumberFormat="1" applyFill="1" applyBorder="1" applyAlignment="1">
      <alignment horizontal="center" vertical="center"/>
    </xf>
    <xf numFmtId="49" fontId="1" fillId="0" borderId="9" xfId="5" applyNumberFormat="1" applyBorder="1" applyAlignment="1">
      <alignment horizontal="left" wrapText="1"/>
    </xf>
    <xf numFmtId="164" fontId="1" fillId="0" borderId="0" xfId="1" applyNumberFormat="1" applyFont="1" applyAlignment="1" applyProtection="1">
      <alignment horizontal="center" vertical="center" wrapText="1"/>
      <protection locked="0"/>
    </xf>
    <xf numFmtId="49" fontId="6" fillId="0" borderId="0" xfId="3" applyNumberFormat="1" applyFont="1" applyAlignment="1" applyProtection="1">
      <alignment wrapText="1"/>
      <protection locked="0"/>
    </xf>
    <xf numFmtId="49" fontId="6" fillId="0" borderId="0" xfId="3" applyNumberFormat="1" applyFont="1" applyAlignment="1" applyProtection="1">
      <alignment horizontal="left" wrapText="1"/>
      <protection locked="0"/>
    </xf>
    <xf numFmtId="164" fontId="2" fillId="0" borderId="0" xfId="3" applyNumberFormat="1" applyFont="1" applyProtection="1">
      <protection locked="0"/>
    </xf>
    <xf numFmtId="164" fontId="6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3" applyNumberFormat="1" applyBorder="1" applyAlignment="1" applyProtection="1">
      <alignment horizontal="center" vertical="center" wrapText="1"/>
      <protection locked="0"/>
    </xf>
    <xf numFmtId="49" fontId="1" fillId="0" borderId="12" xfId="3" applyNumberFormat="1" applyBorder="1" applyAlignment="1" applyProtection="1">
      <alignment horizontal="center" vertical="center" wrapText="1"/>
      <protection locked="0"/>
    </xf>
    <xf numFmtId="0" fontId="9" fillId="0" borderId="13" xfId="0" applyFont="1" applyBorder="1"/>
    <xf numFmtId="49" fontId="6" fillId="0" borderId="14" xfId="3" applyNumberFormat="1" applyFont="1" applyBorder="1" applyAlignment="1" applyProtection="1">
      <alignment horizontal="left" vertical="center" wrapText="1"/>
      <protection locked="0"/>
    </xf>
    <xf numFmtId="0" fontId="2" fillId="0" borderId="0" xfId="3" applyFont="1" applyAlignment="1">
      <alignment horizontal="center" wrapText="1"/>
    </xf>
    <xf numFmtId="0" fontId="2" fillId="0" borderId="0" xfId="3" applyFont="1" applyAlignment="1">
      <alignment horizontal="center"/>
    </xf>
    <xf numFmtId="164" fontId="1" fillId="0" borderId="9" xfId="1" applyNumberFormat="1" applyFont="1" applyBorder="1" applyAlignment="1">
      <alignment horizontal="center" vertical="center" wrapText="1"/>
    </xf>
    <xf numFmtId="164" fontId="1" fillId="0" borderId="9" xfId="1" applyNumberFormat="1" applyFont="1" applyFill="1" applyBorder="1" applyAlignment="1">
      <alignment horizontal="right" vertical="center"/>
    </xf>
    <xf numFmtId="164" fontId="1" fillId="0" borderId="9" xfId="1" applyNumberFormat="1" applyFont="1" applyFill="1" applyBorder="1" applyAlignment="1" applyProtection="1">
      <alignment horizontal="right" vertical="center"/>
      <protection locked="0"/>
    </xf>
    <xf numFmtId="164" fontId="1" fillId="0" borderId="9" xfId="1" applyNumberFormat="1" applyFont="1" applyBorder="1" applyAlignment="1">
      <alignment horizontal="right" vertical="center" wrapText="1"/>
    </xf>
    <xf numFmtId="49" fontId="1" fillId="0" borderId="9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9" xfId="3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wrapText="1"/>
    </xf>
    <xf numFmtId="0" fontId="1" fillId="0" borderId="2" xfId="3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>
      <alignment wrapText="1"/>
    </xf>
    <xf numFmtId="49" fontId="1" fillId="0" borderId="16" xfId="0" applyNumberFormat="1" applyFont="1" applyBorder="1" applyAlignment="1">
      <alignment horizontal="center" vertical="center" wrapText="1"/>
    </xf>
    <xf numFmtId="0" fontId="7" fillId="0" borderId="0" xfId="3" applyFont="1" applyAlignment="1">
      <alignment horizontal="center" vertical="center" wrapText="1"/>
    </xf>
    <xf numFmtId="0" fontId="1" fillId="0" borderId="0" xfId="3" applyAlignment="1">
      <alignment horizontal="center" wrapText="1"/>
    </xf>
    <xf numFmtId="0" fontId="1" fillId="0" borderId="0" xfId="3" applyAlignment="1">
      <alignment horizontal="center"/>
    </xf>
    <xf numFmtId="164" fontId="1" fillId="2" borderId="9" xfId="1" applyNumberFormat="1" applyFont="1" applyFill="1" applyBorder="1" applyAlignment="1">
      <alignment horizontal="center" vertical="center" wrapText="1"/>
    </xf>
    <xf numFmtId="0" fontId="1" fillId="0" borderId="9" xfId="3" applyBorder="1" applyAlignment="1">
      <alignment horizontal="left" wrapText="1"/>
    </xf>
    <xf numFmtId="49" fontId="1" fillId="2" borderId="9" xfId="0" applyNumberFormat="1" applyFont="1" applyFill="1" applyBorder="1" applyAlignment="1">
      <alignment horizontal="center" vertical="center"/>
    </xf>
    <xf numFmtId="164" fontId="1" fillId="0" borderId="9" xfId="1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wrapText="1"/>
    </xf>
    <xf numFmtId="164" fontId="1" fillId="0" borderId="9" xfId="1" applyNumberFormat="1" applyFont="1" applyFill="1" applyBorder="1" applyAlignment="1" applyProtection="1">
      <alignment horizontal="center" vertical="center"/>
      <protection locked="0"/>
    </xf>
    <xf numFmtId="164" fontId="6" fillId="0" borderId="16" xfId="1" applyNumberFormat="1" applyFont="1" applyFill="1" applyBorder="1" applyAlignment="1">
      <alignment horizontal="center" vertical="center" wrapText="1"/>
    </xf>
    <xf numFmtId="164" fontId="1" fillId="2" borderId="16" xfId="1" applyNumberFormat="1" applyFont="1" applyFill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49" fontId="1" fillId="0" borderId="16" xfId="3" applyNumberForma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wrapText="1"/>
    </xf>
    <xf numFmtId="49" fontId="1" fillId="0" borderId="17" xfId="0" applyNumberFormat="1" applyFont="1" applyBorder="1" applyAlignment="1">
      <alignment horizontal="center" vertical="center" wrapText="1"/>
    </xf>
    <xf numFmtId="0" fontId="2" fillId="2" borderId="0" xfId="3" applyFont="1" applyFill="1" applyAlignment="1">
      <alignment horizontal="center" wrapText="1"/>
    </xf>
    <xf numFmtId="164" fontId="1" fillId="0" borderId="16" xfId="1" applyNumberFormat="1" applyFont="1" applyFill="1" applyBorder="1" applyAlignment="1">
      <alignment horizontal="center" vertical="center"/>
    </xf>
    <xf numFmtId="164" fontId="1" fillId="0" borderId="16" xfId="1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left" wrapText="1"/>
    </xf>
    <xf numFmtId="0" fontId="2" fillId="0" borderId="18" xfId="3" applyFont="1" applyBorder="1" applyAlignment="1">
      <alignment horizontal="center" wrapText="1"/>
    </xf>
    <xf numFmtId="0" fontId="2" fillId="0" borderId="9" xfId="3" applyFont="1" applyBorder="1" applyAlignment="1">
      <alignment horizontal="center" wrapText="1"/>
    </xf>
    <xf numFmtId="0" fontId="2" fillId="0" borderId="9" xfId="3" applyFont="1" applyBorder="1" applyAlignment="1">
      <alignment horizontal="center"/>
    </xf>
    <xf numFmtId="0" fontId="2" fillId="0" borderId="19" xfId="3" applyFont="1" applyBorder="1" applyAlignment="1">
      <alignment horizontal="center"/>
    </xf>
    <xf numFmtId="49" fontId="1" fillId="0" borderId="16" xfId="3" applyNumberFormat="1" applyBorder="1" applyAlignment="1" applyProtection="1">
      <alignment horizontal="left" wrapText="1"/>
      <protection locked="0"/>
    </xf>
    <xf numFmtId="49" fontId="1" fillId="0" borderId="9" xfId="3" applyNumberFormat="1" applyBorder="1" applyAlignment="1" applyProtection="1">
      <alignment horizontal="left" wrapText="1"/>
      <protection locked="0"/>
    </xf>
    <xf numFmtId="0" fontId="10" fillId="0" borderId="0" xfId="3" applyFont="1" applyAlignment="1">
      <alignment horizontal="center" vertical="center" wrapText="1"/>
    </xf>
    <xf numFmtId="49" fontId="1" fillId="0" borderId="20" xfId="3" applyNumberFormat="1" applyBorder="1" applyAlignment="1" applyProtection="1">
      <alignment horizontal="center" vertical="center" wrapText="1"/>
      <protection locked="0"/>
    </xf>
    <xf numFmtId="164" fontId="6" fillId="0" borderId="21" xfId="1" applyNumberFormat="1" applyFont="1" applyFill="1" applyBorder="1" applyAlignment="1">
      <alignment horizontal="center" vertical="center" wrapText="1"/>
    </xf>
    <xf numFmtId="164" fontId="1" fillId="0" borderId="21" xfId="1" applyNumberFormat="1" applyFont="1" applyFill="1" applyBorder="1" applyAlignment="1">
      <alignment horizontal="center" vertical="center"/>
    </xf>
    <xf numFmtId="164" fontId="1" fillId="0" borderId="21" xfId="1" applyNumberFormat="1" applyFont="1" applyFill="1" applyBorder="1" applyAlignment="1" applyProtection="1">
      <alignment horizontal="center" vertical="center"/>
      <protection locked="0"/>
    </xf>
    <xf numFmtId="164" fontId="1" fillId="2" borderId="21" xfId="1" applyNumberFormat="1" applyFont="1" applyFill="1" applyBorder="1" applyAlignment="1">
      <alignment horizontal="center" vertical="center"/>
    </xf>
    <xf numFmtId="49" fontId="1" fillId="0" borderId="21" xfId="0" applyNumberFormat="1" applyFont="1" applyBorder="1" applyAlignment="1">
      <alignment horizontal="center" vertical="center"/>
    </xf>
    <xf numFmtId="49" fontId="1" fillId="0" borderId="22" xfId="3" applyNumberFormat="1" applyBorder="1" applyAlignment="1" applyProtection="1">
      <alignment horizontal="center" vertical="center" wrapText="1"/>
      <protection locked="0"/>
    </xf>
    <xf numFmtId="49" fontId="1" fillId="0" borderId="21" xfId="3" applyNumberFormat="1" applyBorder="1" applyAlignment="1" applyProtection="1">
      <alignment horizontal="left" wrapText="1"/>
      <protection locked="0"/>
    </xf>
    <xf numFmtId="164" fontId="1" fillId="0" borderId="3" xfId="1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wrapText="1"/>
    </xf>
    <xf numFmtId="0" fontId="11" fillId="0" borderId="0" xfId="3" applyFont="1" applyAlignment="1">
      <alignment horizontal="center"/>
    </xf>
    <xf numFmtId="0" fontId="11" fillId="2" borderId="0" xfId="3" applyFont="1" applyFill="1" applyAlignment="1">
      <alignment horizontal="center" wrapText="1"/>
    </xf>
    <xf numFmtId="0" fontId="11" fillId="2" borderId="0" xfId="3" applyFont="1" applyFill="1" applyAlignment="1">
      <alignment horizontal="center"/>
    </xf>
    <xf numFmtId="49" fontId="1" fillId="2" borderId="3" xfId="3" applyNumberFormat="1" applyFill="1" applyBorder="1" applyAlignment="1" applyProtection="1">
      <alignment horizontal="center" vertical="center" wrapText="1"/>
      <protection locked="0"/>
    </xf>
    <xf numFmtId="49" fontId="1" fillId="2" borderId="3" xfId="3" applyNumberFormat="1" applyFill="1" applyBorder="1" applyAlignment="1" applyProtection="1">
      <alignment horizontal="left" vertical="center" wrapText="1"/>
      <protection locked="0"/>
    </xf>
    <xf numFmtId="0" fontId="1" fillId="2" borderId="3" xfId="3" applyFill="1" applyBorder="1" applyAlignment="1" applyProtection="1">
      <alignment horizontal="center" vertical="center" wrapText="1"/>
      <protection locked="0"/>
    </xf>
    <xf numFmtId="0" fontId="2" fillId="2" borderId="0" xfId="3" applyFont="1" applyFill="1" applyAlignment="1">
      <alignment horizontal="center"/>
    </xf>
    <xf numFmtId="0" fontId="1" fillId="2" borderId="2" xfId="3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Border="1" applyAlignment="1">
      <alignment horizontal="left" wrapText="1"/>
    </xf>
    <xf numFmtId="164" fontId="6" fillId="2" borderId="3" xfId="1" applyNumberFormat="1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left" vertical="center" wrapText="1"/>
    </xf>
    <xf numFmtId="164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3" applyNumberFormat="1" applyBorder="1" applyAlignment="1" applyProtection="1">
      <alignment horizontal="left" vertical="center" wrapText="1"/>
      <protection locked="0"/>
    </xf>
    <xf numFmtId="49" fontId="1" fillId="0" borderId="16" xfId="0" applyNumberFormat="1" applyFont="1" applyBorder="1" applyAlignment="1">
      <alignment horizontal="left" wrapText="1"/>
    </xf>
    <xf numFmtId="49" fontId="12" fillId="2" borderId="0" xfId="3" applyNumberFormat="1" applyFont="1" applyFill="1" applyAlignment="1">
      <alignment horizontal="left" wrapText="1"/>
    </xf>
    <xf numFmtId="49" fontId="6" fillId="0" borderId="0" xfId="3" applyNumberFormat="1" applyFont="1" applyAlignment="1">
      <alignment horizontal="left" wrapText="1"/>
    </xf>
    <xf numFmtId="0" fontId="12" fillId="0" borderId="0" xfId="3" applyFont="1" applyAlignment="1">
      <alignment horizontal="center" vertical="center" wrapText="1"/>
    </xf>
    <xf numFmtId="0" fontId="12" fillId="0" borderId="0" xfId="3" applyFont="1" applyAlignment="1">
      <alignment horizontal="center" wrapText="1"/>
    </xf>
    <xf numFmtId="0" fontId="6" fillId="0" borderId="3" xfId="3" applyFont="1" applyBorder="1" applyAlignment="1">
      <alignment horizontal="center" vertical="center" wrapText="1"/>
    </xf>
    <xf numFmtId="0" fontId="1" fillId="0" borderId="3" xfId="3" applyBorder="1" applyAlignment="1">
      <alignment horizontal="center" vertical="center" wrapText="1"/>
    </xf>
    <xf numFmtId="0" fontId="4" fillId="0" borderId="0" xfId="3" applyFont="1" applyAlignment="1" applyProtection="1">
      <alignment horizontal="right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164" fontId="6" fillId="0" borderId="1" xfId="1" applyNumberFormat="1" applyFont="1" applyBorder="1" applyAlignment="1">
      <alignment horizontal="center" vertical="center" wrapText="1"/>
    </xf>
    <xf numFmtId="164" fontId="1" fillId="2" borderId="3" xfId="1" applyNumberFormat="1" applyFont="1" applyFill="1" applyBorder="1" applyAlignment="1" applyProtection="1">
      <alignment horizontal="center" vertical="center"/>
      <protection locked="0"/>
    </xf>
    <xf numFmtId="164" fontId="6" fillId="2" borderId="9" xfId="1" applyNumberFormat="1" applyFont="1" applyFill="1" applyBorder="1" applyAlignment="1">
      <alignment horizontal="center" vertical="center" wrapText="1"/>
    </xf>
    <xf numFmtId="164" fontId="1" fillId="0" borderId="3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1" applyNumberFormat="1" applyFont="1" applyAlignment="1">
      <alignment horizontal="center" vertical="center" wrapText="1"/>
    </xf>
    <xf numFmtId="0" fontId="1" fillId="0" borderId="9" xfId="3" applyBorder="1" applyAlignment="1">
      <alignment horizontal="center" vertical="center" wrapText="1"/>
    </xf>
    <xf numFmtId="3" fontId="1" fillId="0" borderId="9" xfId="3" applyNumberFormat="1" applyBorder="1" applyAlignment="1">
      <alignment horizontal="right" vertical="center" wrapText="1"/>
    </xf>
    <xf numFmtId="49" fontId="1" fillId="0" borderId="9" xfId="5" applyNumberFormat="1" applyBorder="1" applyAlignment="1">
      <alignment horizontal="center" vertical="center"/>
    </xf>
    <xf numFmtId="164" fontId="1" fillId="2" borderId="2" xfId="1" applyNumberFormat="1" applyFont="1" applyFill="1" applyBorder="1" applyAlignment="1" applyProtection="1">
      <alignment horizontal="center" vertical="center"/>
      <protection locked="0"/>
    </xf>
    <xf numFmtId="164" fontId="1" fillId="2" borderId="3" xfId="6" applyNumberFormat="1" applyFont="1" applyFill="1" applyBorder="1" applyAlignment="1" applyProtection="1">
      <alignment horizontal="center" vertical="center"/>
      <protection locked="0"/>
    </xf>
    <xf numFmtId="0" fontId="1" fillId="0" borderId="4" xfId="3" applyBorder="1" applyAlignment="1" applyProtection="1">
      <alignment vertical="center"/>
      <protection locked="0"/>
    </xf>
    <xf numFmtId="49" fontId="1" fillId="0" borderId="23" xfId="3" applyNumberFormat="1" applyBorder="1" applyAlignment="1">
      <alignment horizontal="left" vertical="center" wrapText="1"/>
    </xf>
    <xf numFmtId="49" fontId="1" fillId="2" borderId="0" xfId="3" applyNumberFormat="1" applyFill="1" applyAlignment="1">
      <alignment horizontal="left" vertical="center" wrapText="1"/>
    </xf>
    <xf numFmtId="0" fontId="1" fillId="0" borderId="0" xfId="3" applyAlignment="1">
      <alignment vertical="center"/>
    </xf>
    <xf numFmtId="0" fontId="1" fillId="0" borderId="24" xfId="3" applyBorder="1" applyAlignment="1">
      <alignment horizontal="right" vertical="center"/>
    </xf>
    <xf numFmtId="164" fontId="1" fillId="0" borderId="25" xfId="1" applyNumberFormat="1" applyFont="1" applyFill="1" applyBorder="1" applyAlignment="1">
      <alignment horizontal="center" vertical="center" wrapText="1"/>
    </xf>
    <xf numFmtId="164" fontId="6" fillId="0" borderId="26" xfId="1" applyNumberFormat="1" applyFont="1" applyFill="1" applyBorder="1" applyAlignment="1">
      <alignment horizontal="center" vertical="center" wrapText="1"/>
    </xf>
    <xf numFmtId="3" fontId="15" fillId="3" borderId="12" xfId="3" applyNumberFormat="1" applyFont="1" applyFill="1" applyBorder="1" applyAlignment="1" applyProtection="1">
      <alignment horizontal="right" vertical="center"/>
      <protection locked="0"/>
    </xf>
    <xf numFmtId="49" fontId="8" fillId="0" borderId="4" xfId="3" applyNumberFormat="1" applyFont="1" applyBorder="1" applyAlignment="1">
      <alignment horizontal="center" vertical="center" wrapText="1"/>
    </xf>
    <xf numFmtId="49" fontId="8" fillId="0" borderId="4" xfId="3" applyNumberFormat="1" applyFont="1" applyBorder="1" applyAlignment="1" applyProtection="1">
      <alignment horizontal="center" vertical="center" wrapText="1"/>
      <protection locked="0"/>
    </xf>
    <xf numFmtId="49" fontId="1" fillId="0" borderId="3" xfId="3" applyNumberFormat="1" applyBorder="1" applyAlignment="1" applyProtection="1">
      <alignment horizontal="left" vertical="center" wrapText="1"/>
      <protection locked="0"/>
    </xf>
    <xf numFmtId="49" fontId="4" fillId="0" borderId="0" xfId="3" applyNumberFormat="1" applyFont="1" applyAlignment="1" applyProtection="1">
      <alignment horizontal="left" wrapText="1"/>
      <protection locked="0"/>
    </xf>
    <xf numFmtId="49" fontId="1" fillId="0" borderId="3" xfId="3" applyNumberFormat="1" applyBorder="1" applyAlignment="1">
      <alignment horizontal="left" vertical="center" wrapText="1"/>
    </xf>
    <xf numFmtId="0" fontId="2" fillId="0" borderId="0" xfId="3" applyFont="1" applyAlignment="1" applyProtection="1">
      <alignment horizontal="right"/>
      <protection locked="0"/>
    </xf>
    <xf numFmtId="0" fontId="2" fillId="0" borderId="0" xfId="3" applyFont="1" applyAlignment="1" applyProtection="1">
      <alignment horizontal="right" wrapText="1"/>
      <protection locked="0"/>
    </xf>
    <xf numFmtId="0" fontId="8" fillId="0" borderId="0" xfId="3" applyFont="1" applyAlignment="1" applyProtection="1">
      <alignment horizontal="center"/>
      <protection locked="0"/>
    </xf>
    <xf numFmtId="49" fontId="1" fillId="0" borderId="3" xfId="3" applyNumberFormat="1" applyBorder="1" applyAlignment="1">
      <alignment horizontal="center" vertical="center" wrapText="1"/>
    </xf>
    <xf numFmtId="0" fontId="1" fillId="0" borderId="3" xfId="3" applyBorder="1" applyAlignment="1" applyProtection="1">
      <alignment horizontal="center" vertical="center" wrapText="1"/>
      <protection locked="0"/>
    </xf>
    <xf numFmtId="49" fontId="1" fillId="0" borderId="2" xfId="3" applyNumberFormat="1" applyBorder="1" applyAlignment="1">
      <alignment horizontal="center" vertical="center" wrapText="1"/>
    </xf>
    <xf numFmtId="49" fontId="1" fillId="0" borderId="1" xfId="3" applyNumberFormat="1" applyBorder="1" applyAlignment="1">
      <alignment horizontal="center" vertical="center" wrapText="1"/>
    </xf>
    <xf numFmtId="49" fontId="1" fillId="2" borderId="2" xfId="3" applyNumberFormat="1" applyFill="1" applyBorder="1" applyAlignment="1">
      <alignment horizontal="center" vertical="center" wrapText="1"/>
    </xf>
    <xf numFmtId="49" fontId="1" fillId="2" borderId="1" xfId="3" applyNumberFormat="1" applyFill="1" applyBorder="1" applyAlignment="1">
      <alignment horizontal="center" vertical="center" wrapText="1"/>
    </xf>
  </cellXfs>
  <cellStyles count="7">
    <cellStyle name="Comma" xfId="1" builtinId="3"/>
    <cellStyle name="Comma 2" xfId="6" xr:uid="{00000000-0005-0000-0000-00000A000000}"/>
    <cellStyle name="Normal" xfId="0" builtinId="0"/>
    <cellStyle name="Normal 2 2" xfId="2" xr:uid="{00000000-0005-0000-0000-000006000000}"/>
    <cellStyle name="Normal_Pamatformas" xfId="3" xr:uid="{00000000-0005-0000-0000-000007000000}"/>
    <cellStyle name="Normal_Veidlapa_2008_oktobris_(4.piel)" xfId="5" xr:uid="{00000000-0005-0000-0000-000009000000}"/>
    <cellStyle name="Normal_Veidlapa_2008_oktobris_(5.piel)_(2)" xfId="4" xr:uid="{00000000-0005-0000-0000-000008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498D0-A668-4D47-8FF1-761971F174DD}">
  <sheetPr>
    <pageSetUpPr fitToPage="1"/>
  </sheetPr>
  <dimension ref="A1:IN174"/>
  <sheetViews>
    <sheetView showGridLines="0" tabSelected="1" zoomScale="95" zoomScaleNormal="95" zoomScaleSheetLayoutView="100" workbookViewId="0">
      <pane ySplit="6" topLeftCell="A7" activePane="bottomLeft" state="frozen"/>
      <selection activeCell="C1" sqref="C1"/>
      <selection pane="bottomLeft" activeCell="C17" sqref="C17"/>
    </sheetView>
  </sheetViews>
  <sheetFormatPr defaultRowHeight="11.4" x14ac:dyDescent="0.2"/>
  <cols>
    <col min="1" max="1" width="7.44140625" style="4" customWidth="1"/>
    <col min="2" max="2" width="11.44140625" style="5" customWidth="1"/>
    <col min="3" max="3" width="28.88671875" style="5" customWidth="1"/>
    <col min="4" max="4" width="12.88671875" style="5" customWidth="1"/>
    <col min="5" max="6" width="12.33203125" style="5" customWidth="1"/>
    <col min="7" max="7" width="12.33203125" style="6" customWidth="1"/>
    <col min="8" max="8" width="13.5546875" style="6" customWidth="1"/>
    <col min="9" max="17" width="13.33203125" style="4" customWidth="1"/>
    <col min="18" max="21" width="0" style="4" hidden="1" customWidth="1"/>
    <col min="22" max="22" width="0" style="5" hidden="1" customWidth="1"/>
    <col min="23" max="24" width="0" style="4" hidden="1" customWidth="1"/>
    <col min="25" max="25" width="0" style="5" hidden="1" customWidth="1"/>
    <col min="26" max="38" width="0" style="4" hidden="1" customWidth="1"/>
    <col min="39" max="39" width="11.6640625" style="4" customWidth="1"/>
    <col min="40" max="40" width="12.109375" style="4" customWidth="1"/>
    <col min="41" max="248" width="8.88671875" style="4"/>
    <col min="249" max="258" width="8.88671875" style="3"/>
    <col min="259" max="259" width="11.109375" style="3" customWidth="1"/>
    <col min="260" max="260" width="29.6640625" style="3" customWidth="1"/>
    <col min="261" max="261" width="12.44140625" style="3" customWidth="1"/>
    <col min="262" max="262" width="25" style="3" customWidth="1"/>
    <col min="263" max="263" width="12.33203125" style="3" customWidth="1"/>
    <col min="264" max="272" width="13.33203125" style="3" customWidth="1"/>
    <col min="273" max="293" width="0" style="3" hidden="1" customWidth="1"/>
    <col min="294" max="514" width="8.88671875" style="3"/>
    <col min="515" max="515" width="11.109375" style="3" customWidth="1"/>
    <col min="516" max="516" width="29.6640625" style="3" customWidth="1"/>
    <col min="517" max="517" width="12.44140625" style="3" customWidth="1"/>
    <col min="518" max="518" width="25" style="3" customWidth="1"/>
    <col min="519" max="519" width="12.33203125" style="3" customWidth="1"/>
    <col min="520" max="528" width="13.33203125" style="3" customWidth="1"/>
    <col min="529" max="549" width="0" style="3" hidden="1" customWidth="1"/>
    <col min="550" max="770" width="8.88671875" style="3"/>
    <col min="771" max="771" width="11.109375" style="3" customWidth="1"/>
    <col min="772" max="772" width="29.6640625" style="3" customWidth="1"/>
    <col min="773" max="773" width="12.44140625" style="3" customWidth="1"/>
    <col min="774" max="774" width="25" style="3" customWidth="1"/>
    <col min="775" max="775" width="12.33203125" style="3" customWidth="1"/>
    <col min="776" max="784" width="13.33203125" style="3" customWidth="1"/>
    <col min="785" max="805" width="0" style="3" hidden="1" customWidth="1"/>
    <col min="806" max="1026" width="8.88671875" style="3"/>
    <col min="1027" max="1027" width="11.109375" style="3" customWidth="1"/>
    <col min="1028" max="1028" width="29.6640625" style="3" customWidth="1"/>
    <col min="1029" max="1029" width="12.44140625" style="3" customWidth="1"/>
    <col min="1030" max="1030" width="25" style="3" customWidth="1"/>
    <col min="1031" max="1031" width="12.33203125" style="3" customWidth="1"/>
    <col min="1032" max="1040" width="13.33203125" style="3" customWidth="1"/>
    <col min="1041" max="1061" width="0" style="3" hidden="1" customWidth="1"/>
    <col min="1062" max="1282" width="8.88671875" style="3"/>
    <col min="1283" max="1283" width="11.109375" style="3" customWidth="1"/>
    <col min="1284" max="1284" width="29.6640625" style="3" customWidth="1"/>
    <col min="1285" max="1285" width="12.44140625" style="3" customWidth="1"/>
    <col min="1286" max="1286" width="25" style="3" customWidth="1"/>
    <col min="1287" max="1287" width="12.33203125" style="3" customWidth="1"/>
    <col min="1288" max="1296" width="13.33203125" style="3" customWidth="1"/>
    <col min="1297" max="1317" width="0" style="3" hidden="1" customWidth="1"/>
    <col min="1318" max="1538" width="8.88671875" style="3"/>
    <col min="1539" max="1539" width="11.109375" style="3" customWidth="1"/>
    <col min="1540" max="1540" width="29.6640625" style="3" customWidth="1"/>
    <col min="1541" max="1541" width="12.44140625" style="3" customWidth="1"/>
    <col min="1542" max="1542" width="25" style="3" customWidth="1"/>
    <col min="1543" max="1543" width="12.33203125" style="3" customWidth="1"/>
    <col min="1544" max="1552" width="13.33203125" style="3" customWidth="1"/>
    <col min="1553" max="1573" width="0" style="3" hidden="1" customWidth="1"/>
    <col min="1574" max="1794" width="8.88671875" style="3"/>
    <col min="1795" max="1795" width="11.109375" style="3" customWidth="1"/>
    <col min="1796" max="1796" width="29.6640625" style="3" customWidth="1"/>
    <col min="1797" max="1797" width="12.44140625" style="3" customWidth="1"/>
    <col min="1798" max="1798" width="25" style="3" customWidth="1"/>
    <col min="1799" max="1799" width="12.33203125" style="3" customWidth="1"/>
    <col min="1800" max="1808" width="13.33203125" style="3" customWidth="1"/>
    <col min="1809" max="1829" width="0" style="3" hidden="1" customWidth="1"/>
    <col min="1830" max="2050" width="8.88671875" style="3"/>
    <col min="2051" max="2051" width="11.109375" style="3" customWidth="1"/>
    <col min="2052" max="2052" width="29.6640625" style="3" customWidth="1"/>
    <col min="2053" max="2053" width="12.44140625" style="3" customWidth="1"/>
    <col min="2054" max="2054" width="25" style="3" customWidth="1"/>
    <col min="2055" max="2055" width="12.33203125" style="3" customWidth="1"/>
    <col min="2056" max="2064" width="13.33203125" style="3" customWidth="1"/>
    <col min="2065" max="2085" width="0" style="3" hidden="1" customWidth="1"/>
    <col min="2086" max="2306" width="8.88671875" style="3"/>
    <col min="2307" max="2307" width="11.109375" style="3" customWidth="1"/>
    <col min="2308" max="2308" width="29.6640625" style="3" customWidth="1"/>
    <col min="2309" max="2309" width="12.44140625" style="3" customWidth="1"/>
    <col min="2310" max="2310" width="25" style="3" customWidth="1"/>
    <col min="2311" max="2311" width="12.33203125" style="3" customWidth="1"/>
    <col min="2312" max="2320" width="13.33203125" style="3" customWidth="1"/>
    <col min="2321" max="2341" width="0" style="3" hidden="1" customWidth="1"/>
    <col min="2342" max="2562" width="8.88671875" style="3"/>
    <col min="2563" max="2563" width="11.109375" style="3" customWidth="1"/>
    <col min="2564" max="2564" width="29.6640625" style="3" customWidth="1"/>
    <col min="2565" max="2565" width="12.44140625" style="3" customWidth="1"/>
    <col min="2566" max="2566" width="25" style="3" customWidth="1"/>
    <col min="2567" max="2567" width="12.33203125" style="3" customWidth="1"/>
    <col min="2568" max="2576" width="13.33203125" style="3" customWidth="1"/>
    <col min="2577" max="2597" width="0" style="3" hidden="1" customWidth="1"/>
    <col min="2598" max="2818" width="8.88671875" style="3"/>
    <col min="2819" max="2819" width="11.109375" style="3" customWidth="1"/>
    <col min="2820" max="2820" width="29.6640625" style="3" customWidth="1"/>
    <col min="2821" max="2821" width="12.44140625" style="3" customWidth="1"/>
    <col min="2822" max="2822" width="25" style="3" customWidth="1"/>
    <col min="2823" max="2823" width="12.33203125" style="3" customWidth="1"/>
    <col min="2824" max="2832" width="13.33203125" style="3" customWidth="1"/>
    <col min="2833" max="2853" width="0" style="3" hidden="1" customWidth="1"/>
    <col min="2854" max="3074" width="8.88671875" style="3"/>
    <col min="3075" max="3075" width="11.109375" style="3" customWidth="1"/>
    <col min="3076" max="3076" width="29.6640625" style="3" customWidth="1"/>
    <col min="3077" max="3077" width="12.44140625" style="3" customWidth="1"/>
    <col min="3078" max="3078" width="25" style="3" customWidth="1"/>
    <col min="3079" max="3079" width="12.33203125" style="3" customWidth="1"/>
    <col min="3080" max="3088" width="13.33203125" style="3" customWidth="1"/>
    <col min="3089" max="3109" width="0" style="3" hidden="1" customWidth="1"/>
    <col min="3110" max="3330" width="8.88671875" style="3"/>
    <col min="3331" max="3331" width="11.109375" style="3" customWidth="1"/>
    <col min="3332" max="3332" width="29.6640625" style="3" customWidth="1"/>
    <col min="3333" max="3333" width="12.44140625" style="3" customWidth="1"/>
    <col min="3334" max="3334" width="25" style="3" customWidth="1"/>
    <col min="3335" max="3335" width="12.33203125" style="3" customWidth="1"/>
    <col min="3336" max="3344" width="13.33203125" style="3" customWidth="1"/>
    <col min="3345" max="3365" width="0" style="3" hidden="1" customWidth="1"/>
    <col min="3366" max="3586" width="8.88671875" style="3"/>
    <col min="3587" max="3587" width="11.109375" style="3" customWidth="1"/>
    <col min="3588" max="3588" width="29.6640625" style="3" customWidth="1"/>
    <col min="3589" max="3589" width="12.44140625" style="3" customWidth="1"/>
    <col min="3590" max="3590" width="25" style="3" customWidth="1"/>
    <col min="3591" max="3591" width="12.33203125" style="3" customWidth="1"/>
    <col min="3592" max="3600" width="13.33203125" style="3" customWidth="1"/>
    <col min="3601" max="3621" width="0" style="3" hidden="1" customWidth="1"/>
    <col min="3622" max="3842" width="8.88671875" style="3"/>
    <col min="3843" max="3843" width="11.109375" style="3" customWidth="1"/>
    <col min="3844" max="3844" width="29.6640625" style="3" customWidth="1"/>
    <col min="3845" max="3845" width="12.44140625" style="3" customWidth="1"/>
    <col min="3846" max="3846" width="25" style="3" customWidth="1"/>
    <col min="3847" max="3847" width="12.33203125" style="3" customWidth="1"/>
    <col min="3848" max="3856" width="13.33203125" style="3" customWidth="1"/>
    <col min="3857" max="3877" width="0" style="3" hidden="1" customWidth="1"/>
    <col min="3878" max="4098" width="8.88671875" style="3"/>
    <col min="4099" max="4099" width="11.109375" style="3" customWidth="1"/>
    <col min="4100" max="4100" width="29.6640625" style="3" customWidth="1"/>
    <col min="4101" max="4101" width="12.44140625" style="3" customWidth="1"/>
    <col min="4102" max="4102" width="25" style="3" customWidth="1"/>
    <col min="4103" max="4103" width="12.33203125" style="3" customWidth="1"/>
    <col min="4104" max="4112" width="13.33203125" style="3" customWidth="1"/>
    <col min="4113" max="4133" width="0" style="3" hidden="1" customWidth="1"/>
    <col min="4134" max="4354" width="8.88671875" style="3"/>
    <col min="4355" max="4355" width="11.109375" style="3" customWidth="1"/>
    <col min="4356" max="4356" width="29.6640625" style="3" customWidth="1"/>
    <col min="4357" max="4357" width="12.44140625" style="3" customWidth="1"/>
    <col min="4358" max="4358" width="25" style="3" customWidth="1"/>
    <col min="4359" max="4359" width="12.33203125" style="3" customWidth="1"/>
    <col min="4360" max="4368" width="13.33203125" style="3" customWidth="1"/>
    <col min="4369" max="4389" width="0" style="3" hidden="1" customWidth="1"/>
    <col min="4390" max="4610" width="8.88671875" style="3"/>
    <col min="4611" max="4611" width="11.109375" style="3" customWidth="1"/>
    <col min="4612" max="4612" width="29.6640625" style="3" customWidth="1"/>
    <col min="4613" max="4613" width="12.44140625" style="3" customWidth="1"/>
    <col min="4614" max="4614" width="25" style="3" customWidth="1"/>
    <col min="4615" max="4615" width="12.33203125" style="3" customWidth="1"/>
    <col min="4616" max="4624" width="13.33203125" style="3" customWidth="1"/>
    <col min="4625" max="4645" width="0" style="3" hidden="1" customWidth="1"/>
    <col min="4646" max="4866" width="8.88671875" style="3"/>
    <col min="4867" max="4867" width="11.109375" style="3" customWidth="1"/>
    <col min="4868" max="4868" width="29.6640625" style="3" customWidth="1"/>
    <col min="4869" max="4869" width="12.44140625" style="3" customWidth="1"/>
    <col min="4870" max="4870" width="25" style="3" customWidth="1"/>
    <col min="4871" max="4871" width="12.33203125" style="3" customWidth="1"/>
    <col min="4872" max="4880" width="13.33203125" style="3" customWidth="1"/>
    <col min="4881" max="4901" width="0" style="3" hidden="1" customWidth="1"/>
    <col min="4902" max="5122" width="8.88671875" style="3"/>
    <col min="5123" max="5123" width="11.109375" style="3" customWidth="1"/>
    <col min="5124" max="5124" width="29.6640625" style="3" customWidth="1"/>
    <col min="5125" max="5125" width="12.44140625" style="3" customWidth="1"/>
    <col min="5126" max="5126" width="25" style="3" customWidth="1"/>
    <col min="5127" max="5127" width="12.33203125" style="3" customWidth="1"/>
    <col min="5128" max="5136" width="13.33203125" style="3" customWidth="1"/>
    <col min="5137" max="5157" width="0" style="3" hidden="1" customWidth="1"/>
    <col min="5158" max="5378" width="8.88671875" style="3"/>
    <col min="5379" max="5379" width="11.109375" style="3" customWidth="1"/>
    <col min="5380" max="5380" width="29.6640625" style="3" customWidth="1"/>
    <col min="5381" max="5381" width="12.44140625" style="3" customWidth="1"/>
    <col min="5382" max="5382" width="25" style="3" customWidth="1"/>
    <col min="5383" max="5383" width="12.33203125" style="3" customWidth="1"/>
    <col min="5384" max="5392" width="13.33203125" style="3" customWidth="1"/>
    <col min="5393" max="5413" width="0" style="3" hidden="1" customWidth="1"/>
    <col min="5414" max="5634" width="8.88671875" style="3"/>
    <col min="5635" max="5635" width="11.109375" style="3" customWidth="1"/>
    <col min="5636" max="5636" width="29.6640625" style="3" customWidth="1"/>
    <col min="5637" max="5637" width="12.44140625" style="3" customWidth="1"/>
    <col min="5638" max="5638" width="25" style="3" customWidth="1"/>
    <col min="5639" max="5639" width="12.33203125" style="3" customWidth="1"/>
    <col min="5640" max="5648" width="13.33203125" style="3" customWidth="1"/>
    <col min="5649" max="5669" width="0" style="3" hidden="1" customWidth="1"/>
    <col min="5670" max="5890" width="8.88671875" style="3"/>
    <col min="5891" max="5891" width="11.109375" style="3" customWidth="1"/>
    <col min="5892" max="5892" width="29.6640625" style="3" customWidth="1"/>
    <col min="5893" max="5893" width="12.44140625" style="3" customWidth="1"/>
    <col min="5894" max="5894" width="25" style="3" customWidth="1"/>
    <col min="5895" max="5895" width="12.33203125" style="3" customWidth="1"/>
    <col min="5896" max="5904" width="13.33203125" style="3" customWidth="1"/>
    <col min="5905" max="5925" width="0" style="3" hidden="1" customWidth="1"/>
    <col min="5926" max="6146" width="8.88671875" style="3"/>
    <col min="6147" max="6147" width="11.109375" style="3" customWidth="1"/>
    <col min="6148" max="6148" width="29.6640625" style="3" customWidth="1"/>
    <col min="6149" max="6149" width="12.44140625" style="3" customWidth="1"/>
    <col min="6150" max="6150" width="25" style="3" customWidth="1"/>
    <col min="6151" max="6151" width="12.33203125" style="3" customWidth="1"/>
    <col min="6152" max="6160" width="13.33203125" style="3" customWidth="1"/>
    <col min="6161" max="6181" width="0" style="3" hidden="1" customWidth="1"/>
    <col min="6182" max="6402" width="8.88671875" style="3"/>
    <col min="6403" max="6403" width="11.109375" style="3" customWidth="1"/>
    <col min="6404" max="6404" width="29.6640625" style="3" customWidth="1"/>
    <col min="6405" max="6405" width="12.44140625" style="3" customWidth="1"/>
    <col min="6406" max="6406" width="25" style="3" customWidth="1"/>
    <col min="6407" max="6407" width="12.33203125" style="3" customWidth="1"/>
    <col min="6408" max="6416" width="13.33203125" style="3" customWidth="1"/>
    <col min="6417" max="6437" width="0" style="3" hidden="1" customWidth="1"/>
    <col min="6438" max="6658" width="8.88671875" style="3"/>
    <col min="6659" max="6659" width="11.109375" style="3" customWidth="1"/>
    <col min="6660" max="6660" width="29.6640625" style="3" customWidth="1"/>
    <col min="6661" max="6661" width="12.44140625" style="3" customWidth="1"/>
    <col min="6662" max="6662" width="25" style="3" customWidth="1"/>
    <col min="6663" max="6663" width="12.33203125" style="3" customWidth="1"/>
    <col min="6664" max="6672" width="13.33203125" style="3" customWidth="1"/>
    <col min="6673" max="6693" width="0" style="3" hidden="1" customWidth="1"/>
    <col min="6694" max="6914" width="8.88671875" style="3"/>
    <col min="6915" max="6915" width="11.109375" style="3" customWidth="1"/>
    <col min="6916" max="6916" width="29.6640625" style="3" customWidth="1"/>
    <col min="6917" max="6917" width="12.44140625" style="3" customWidth="1"/>
    <col min="6918" max="6918" width="25" style="3" customWidth="1"/>
    <col min="6919" max="6919" width="12.33203125" style="3" customWidth="1"/>
    <col min="6920" max="6928" width="13.33203125" style="3" customWidth="1"/>
    <col min="6929" max="6949" width="0" style="3" hidden="1" customWidth="1"/>
    <col min="6950" max="7170" width="8.88671875" style="3"/>
    <col min="7171" max="7171" width="11.109375" style="3" customWidth="1"/>
    <col min="7172" max="7172" width="29.6640625" style="3" customWidth="1"/>
    <col min="7173" max="7173" width="12.44140625" style="3" customWidth="1"/>
    <col min="7174" max="7174" width="25" style="3" customWidth="1"/>
    <col min="7175" max="7175" width="12.33203125" style="3" customWidth="1"/>
    <col min="7176" max="7184" width="13.33203125" style="3" customWidth="1"/>
    <col min="7185" max="7205" width="0" style="3" hidden="1" customWidth="1"/>
    <col min="7206" max="7426" width="8.88671875" style="3"/>
    <col min="7427" max="7427" width="11.109375" style="3" customWidth="1"/>
    <col min="7428" max="7428" width="29.6640625" style="3" customWidth="1"/>
    <col min="7429" max="7429" width="12.44140625" style="3" customWidth="1"/>
    <col min="7430" max="7430" width="25" style="3" customWidth="1"/>
    <col min="7431" max="7431" width="12.33203125" style="3" customWidth="1"/>
    <col min="7432" max="7440" width="13.33203125" style="3" customWidth="1"/>
    <col min="7441" max="7461" width="0" style="3" hidden="1" customWidth="1"/>
    <col min="7462" max="7682" width="8.88671875" style="3"/>
    <col min="7683" max="7683" width="11.109375" style="3" customWidth="1"/>
    <col min="7684" max="7684" width="29.6640625" style="3" customWidth="1"/>
    <col min="7685" max="7685" width="12.44140625" style="3" customWidth="1"/>
    <col min="7686" max="7686" width="25" style="3" customWidth="1"/>
    <col min="7687" max="7687" width="12.33203125" style="3" customWidth="1"/>
    <col min="7688" max="7696" width="13.33203125" style="3" customWidth="1"/>
    <col min="7697" max="7717" width="0" style="3" hidden="1" customWidth="1"/>
    <col min="7718" max="7938" width="8.88671875" style="3"/>
    <col min="7939" max="7939" width="11.109375" style="3" customWidth="1"/>
    <col min="7940" max="7940" width="29.6640625" style="3" customWidth="1"/>
    <col min="7941" max="7941" width="12.44140625" style="3" customWidth="1"/>
    <col min="7942" max="7942" width="25" style="3" customWidth="1"/>
    <col min="7943" max="7943" width="12.33203125" style="3" customWidth="1"/>
    <col min="7944" max="7952" width="13.33203125" style="3" customWidth="1"/>
    <col min="7953" max="7973" width="0" style="3" hidden="1" customWidth="1"/>
    <col min="7974" max="8194" width="8.88671875" style="3"/>
    <col min="8195" max="8195" width="11.109375" style="3" customWidth="1"/>
    <col min="8196" max="8196" width="29.6640625" style="3" customWidth="1"/>
    <col min="8197" max="8197" width="12.44140625" style="3" customWidth="1"/>
    <col min="8198" max="8198" width="25" style="3" customWidth="1"/>
    <col min="8199" max="8199" width="12.33203125" style="3" customWidth="1"/>
    <col min="8200" max="8208" width="13.33203125" style="3" customWidth="1"/>
    <col min="8209" max="8229" width="0" style="3" hidden="1" customWidth="1"/>
    <col min="8230" max="8450" width="8.88671875" style="3"/>
    <col min="8451" max="8451" width="11.109375" style="3" customWidth="1"/>
    <col min="8452" max="8452" width="29.6640625" style="3" customWidth="1"/>
    <col min="8453" max="8453" width="12.44140625" style="3" customWidth="1"/>
    <col min="8454" max="8454" width="25" style="3" customWidth="1"/>
    <col min="8455" max="8455" width="12.33203125" style="3" customWidth="1"/>
    <col min="8456" max="8464" width="13.33203125" style="3" customWidth="1"/>
    <col min="8465" max="8485" width="0" style="3" hidden="1" customWidth="1"/>
    <col min="8486" max="8706" width="8.88671875" style="3"/>
    <col min="8707" max="8707" width="11.109375" style="3" customWidth="1"/>
    <col min="8708" max="8708" width="29.6640625" style="3" customWidth="1"/>
    <col min="8709" max="8709" width="12.44140625" style="3" customWidth="1"/>
    <col min="8710" max="8710" width="25" style="3" customWidth="1"/>
    <col min="8711" max="8711" width="12.33203125" style="3" customWidth="1"/>
    <col min="8712" max="8720" width="13.33203125" style="3" customWidth="1"/>
    <col min="8721" max="8741" width="0" style="3" hidden="1" customWidth="1"/>
    <col min="8742" max="8962" width="8.88671875" style="3"/>
    <col min="8963" max="8963" width="11.109375" style="3" customWidth="1"/>
    <col min="8964" max="8964" width="29.6640625" style="3" customWidth="1"/>
    <col min="8965" max="8965" width="12.44140625" style="3" customWidth="1"/>
    <col min="8966" max="8966" width="25" style="3" customWidth="1"/>
    <col min="8967" max="8967" width="12.33203125" style="3" customWidth="1"/>
    <col min="8968" max="8976" width="13.33203125" style="3" customWidth="1"/>
    <col min="8977" max="8997" width="0" style="3" hidden="1" customWidth="1"/>
    <col min="8998" max="9218" width="8.88671875" style="3"/>
    <col min="9219" max="9219" width="11.109375" style="3" customWidth="1"/>
    <col min="9220" max="9220" width="29.6640625" style="3" customWidth="1"/>
    <col min="9221" max="9221" width="12.44140625" style="3" customWidth="1"/>
    <col min="9222" max="9222" width="25" style="3" customWidth="1"/>
    <col min="9223" max="9223" width="12.33203125" style="3" customWidth="1"/>
    <col min="9224" max="9232" width="13.33203125" style="3" customWidth="1"/>
    <col min="9233" max="9253" width="0" style="3" hidden="1" customWidth="1"/>
    <col min="9254" max="9474" width="8.88671875" style="3"/>
    <col min="9475" max="9475" width="11.109375" style="3" customWidth="1"/>
    <col min="9476" max="9476" width="29.6640625" style="3" customWidth="1"/>
    <col min="9477" max="9477" width="12.44140625" style="3" customWidth="1"/>
    <col min="9478" max="9478" width="25" style="3" customWidth="1"/>
    <col min="9479" max="9479" width="12.33203125" style="3" customWidth="1"/>
    <col min="9480" max="9488" width="13.33203125" style="3" customWidth="1"/>
    <col min="9489" max="9509" width="0" style="3" hidden="1" customWidth="1"/>
    <col min="9510" max="9730" width="8.88671875" style="3"/>
    <col min="9731" max="9731" width="11.109375" style="3" customWidth="1"/>
    <col min="9732" max="9732" width="29.6640625" style="3" customWidth="1"/>
    <col min="9733" max="9733" width="12.44140625" style="3" customWidth="1"/>
    <col min="9734" max="9734" width="25" style="3" customWidth="1"/>
    <col min="9735" max="9735" width="12.33203125" style="3" customWidth="1"/>
    <col min="9736" max="9744" width="13.33203125" style="3" customWidth="1"/>
    <col min="9745" max="9765" width="0" style="3" hidden="1" customWidth="1"/>
    <col min="9766" max="9986" width="8.88671875" style="3"/>
    <col min="9987" max="9987" width="11.109375" style="3" customWidth="1"/>
    <col min="9988" max="9988" width="29.6640625" style="3" customWidth="1"/>
    <col min="9989" max="9989" width="12.44140625" style="3" customWidth="1"/>
    <col min="9990" max="9990" width="25" style="3" customWidth="1"/>
    <col min="9991" max="9991" width="12.33203125" style="3" customWidth="1"/>
    <col min="9992" max="10000" width="13.33203125" style="3" customWidth="1"/>
    <col min="10001" max="10021" width="0" style="3" hidden="1" customWidth="1"/>
    <col min="10022" max="10242" width="8.88671875" style="3"/>
    <col min="10243" max="10243" width="11.109375" style="3" customWidth="1"/>
    <col min="10244" max="10244" width="29.6640625" style="3" customWidth="1"/>
    <col min="10245" max="10245" width="12.44140625" style="3" customWidth="1"/>
    <col min="10246" max="10246" width="25" style="3" customWidth="1"/>
    <col min="10247" max="10247" width="12.33203125" style="3" customWidth="1"/>
    <col min="10248" max="10256" width="13.33203125" style="3" customWidth="1"/>
    <col min="10257" max="10277" width="0" style="3" hidden="1" customWidth="1"/>
    <col min="10278" max="10498" width="8.88671875" style="3"/>
    <col min="10499" max="10499" width="11.109375" style="3" customWidth="1"/>
    <col min="10500" max="10500" width="29.6640625" style="3" customWidth="1"/>
    <col min="10501" max="10501" width="12.44140625" style="3" customWidth="1"/>
    <col min="10502" max="10502" width="25" style="3" customWidth="1"/>
    <col min="10503" max="10503" width="12.33203125" style="3" customWidth="1"/>
    <col min="10504" max="10512" width="13.33203125" style="3" customWidth="1"/>
    <col min="10513" max="10533" width="0" style="3" hidden="1" customWidth="1"/>
    <col min="10534" max="10754" width="8.88671875" style="3"/>
    <col min="10755" max="10755" width="11.109375" style="3" customWidth="1"/>
    <col min="10756" max="10756" width="29.6640625" style="3" customWidth="1"/>
    <col min="10757" max="10757" width="12.44140625" style="3" customWidth="1"/>
    <col min="10758" max="10758" width="25" style="3" customWidth="1"/>
    <col min="10759" max="10759" width="12.33203125" style="3" customWidth="1"/>
    <col min="10760" max="10768" width="13.33203125" style="3" customWidth="1"/>
    <col min="10769" max="10789" width="0" style="3" hidden="1" customWidth="1"/>
    <col min="10790" max="11010" width="8.88671875" style="3"/>
    <col min="11011" max="11011" width="11.109375" style="3" customWidth="1"/>
    <col min="11012" max="11012" width="29.6640625" style="3" customWidth="1"/>
    <col min="11013" max="11013" width="12.44140625" style="3" customWidth="1"/>
    <col min="11014" max="11014" width="25" style="3" customWidth="1"/>
    <col min="11015" max="11015" width="12.33203125" style="3" customWidth="1"/>
    <col min="11016" max="11024" width="13.33203125" style="3" customWidth="1"/>
    <col min="11025" max="11045" width="0" style="3" hidden="1" customWidth="1"/>
    <col min="11046" max="11266" width="8.88671875" style="3"/>
    <col min="11267" max="11267" width="11.109375" style="3" customWidth="1"/>
    <col min="11268" max="11268" width="29.6640625" style="3" customWidth="1"/>
    <col min="11269" max="11269" width="12.44140625" style="3" customWidth="1"/>
    <col min="11270" max="11270" width="25" style="3" customWidth="1"/>
    <col min="11271" max="11271" width="12.33203125" style="3" customWidth="1"/>
    <col min="11272" max="11280" width="13.33203125" style="3" customWidth="1"/>
    <col min="11281" max="11301" width="0" style="3" hidden="1" customWidth="1"/>
    <col min="11302" max="11522" width="8.88671875" style="3"/>
    <col min="11523" max="11523" width="11.109375" style="3" customWidth="1"/>
    <col min="11524" max="11524" width="29.6640625" style="3" customWidth="1"/>
    <col min="11525" max="11525" width="12.44140625" style="3" customWidth="1"/>
    <col min="11526" max="11526" width="25" style="3" customWidth="1"/>
    <col min="11527" max="11527" width="12.33203125" style="3" customWidth="1"/>
    <col min="11528" max="11536" width="13.33203125" style="3" customWidth="1"/>
    <col min="11537" max="11557" width="0" style="3" hidden="1" customWidth="1"/>
    <col min="11558" max="11778" width="8.88671875" style="3"/>
    <col min="11779" max="11779" width="11.109375" style="3" customWidth="1"/>
    <col min="11780" max="11780" width="29.6640625" style="3" customWidth="1"/>
    <col min="11781" max="11781" width="12.44140625" style="3" customWidth="1"/>
    <col min="11782" max="11782" width="25" style="3" customWidth="1"/>
    <col min="11783" max="11783" width="12.33203125" style="3" customWidth="1"/>
    <col min="11784" max="11792" width="13.33203125" style="3" customWidth="1"/>
    <col min="11793" max="11813" width="0" style="3" hidden="1" customWidth="1"/>
    <col min="11814" max="12034" width="8.88671875" style="3"/>
    <col min="12035" max="12035" width="11.109375" style="3" customWidth="1"/>
    <col min="12036" max="12036" width="29.6640625" style="3" customWidth="1"/>
    <col min="12037" max="12037" width="12.44140625" style="3" customWidth="1"/>
    <col min="12038" max="12038" width="25" style="3" customWidth="1"/>
    <col min="12039" max="12039" width="12.33203125" style="3" customWidth="1"/>
    <col min="12040" max="12048" width="13.33203125" style="3" customWidth="1"/>
    <col min="12049" max="12069" width="0" style="3" hidden="1" customWidth="1"/>
    <col min="12070" max="12290" width="8.88671875" style="3"/>
    <col min="12291" max="12291" width="11.109375" style="3" customWidth="1"/>
    <col min="12292" max="12292" width="29.6640625" style="3" customWidth="1"/>
    <col min="12293" max="12293" width="12.44140625" style="3" customWidth="1"/>
    <col min="12294" max="12294" width="25" style="3" customWidth="1"/>
    <col min="12295" max="12295" width="12.33203125" style="3" customWidth="1"/>
    <col min="12296" max="12304" width="13.33203125" style="3" customWidth="1"/>
    <col min="12305" max="12325" width="0" style="3" hidden="1" customWidth="1"/>
    <col min="12326" max="12546" width="8.88671875" style="3"/>
    <col min="12547" max="12547" width="11.109375" style="3" customWidth="1"/>
    <col min="12548" max="12548" width="29.6640625" style="3" customWidth="1"/>
    <col min="12549" max="12549" width="12.44140625" style="3" customWidth="1"/>
    <col min="12550" max="12550" width="25" style="3" customWidth="1"/>
    <col min="12551" max="12551" width="12.33203125" style="3" customWidth="1"/>
    <col min="12552" max="12560" width="13.33203125" style="3" customWidth="1"/>
    <col min="12561" max="12581" width="0" style="3" hidden="1" customWidth="1"/>
    <col min="12582" max="12802" width="8.88671875" style="3"/>
    <col min="12803" max="12803" width="11.109375" style="3" customWidth="1"/>
    <col min="12804" max="12804" width="29.6640625" style="3" customWidth="1"/>
    <col min="12805" max="12805" width="12.44140625" style="3" customWidth="1"/>
    <col min="12806" max="12806" width="25" style="3" customWidth="1"/>
    <col min="12807" max="12807" width="12.33203125" style="3" customWidth="1"/>
    <col min="12808" max="12816" width="13.33203125" style="3" customWidth="1"/>
    <col min="12817" max="12837" width="0" style="3" hidden="1" customWidth="1"/>
    <col min="12838" max="13058" width="8.88671875" style="3"/>
    <col min="13059" max="13059" width="11.109375" style="3" customWidth="1"/>
    <col min="13060" max="13060" width="29.6640625" style="3" customWidth="1"/>
    <col min="13061" max="13061" width="12.44140625" style="3" customWidth="1"/>
    <col min="13062" max="13062" width="25" style="3" customWidth="1"/>
    <col min="13063" max="13063" width="12.33203125" style="3" customWidth="1"/>
    <col min="13064" max="13072" width="13.33203125" style="3" customWidth="1"/>
    <col min="13073" max="13093" width="0" style="3" hidden="1" customWidth="1"/>
    <col min="13094" max="13314" width="8.88671875" style="3"/>
    <col min="13315" max="13315" width="11.109375" style="3" customWidth="1"/>
    <col min="13316" max="13316" width="29.6640625" style="3" customWidth="1"/>
    <col min="13317" max="13317" width="12.44140625" style="3" customWidth="1"/>
    <col min="13318" max="13318" width="25" style="3" customWidth="1"/>
    <col min="13319" max="13319" width="12.33203125" style="3" customWidth="1"/>
    <col min="13320" max="13328" width="13.33203125" style="3" customWidth="1"/>
    <col min="13329" max="13349" width="0" style="3" hidden="1" customWidth="1"/>
    <col min="13350" max="13570" width="8.88671875" style="3"/>
    <col min="13571" max="13571" width="11.109375" style="3" customWidth="1"/>
    <col min="13572" max="13572" width="29.6640625" style="3" customWidth="1"/>
    <col min="13573" max="13573" width="12.44140625" style="3" customWidth="1"/>
    <col min="13574" max="13574" width="25" style="3" customWidth="1"/>
    <col min="13575" max="13575" width="12.33203125" style="3" customWidth="1"/>
    <col min="13576" max="13584" width="13.33203125" style="3" customWidth="1"/>
    <col min="13585" max="13605" width="0" style="3" hidden="1" customWidth="1"/>
    <col min="13606" max="13826" width="8.88671875" style="3"/>
    <col min="13827" max="13827" width="11.109375" style="3" customWidth="1"/>
    <col min="13828" max="13828" width="29.6640625" style="3" customWidth="1"/>
    <col min="13829" max="13829" width="12.44140625" style="3" customWidth="1"/>
    <col min="13830" max="13830" width="25" style="3" customWidth="1"/>
    <col min="13831" max="13831" width="12.33203125" style="3" customWidth="1"/>
    <col min="13832" max="13840" width="13.33203125" style="3" customWidth="1"/>
    <col min="13841" max="13861" width="0" style="3" hidden="1" customWidth="1"/>
    <col min="13862" max="14082" width="8.88671875" style="3"/>
    <col min="14083" max="14083" width="11.109375" style="3" customWidth="1"/>
    <col min="14084" max="14084" width="29.6640625" style="3" customWidth="1"/>
    <col min="14085" max="14085" width="12.44140625" style="3" customWidth="1"/>
    <col min="14086" max="14086" width="25" style="3" customWidth="1"/>
    <col min="14087" max="14087" width="12.33203125" style="3" customWidth="1"/>
    <col min="14088" max="14096" width="13.33203125" style="3" customWidth="1"/>
    <col min="14097" max="14117" width="0" style="3" hidden="1" customWidth="1"/>
    <col min="14118" max="14338" width="8.88671875" style="3"/>
    <col min="14339" max="14339" width="11.109375" style="3" customWidth="1"/>
    <col min="14340" max="14340" width="29.6640625" style="3" customWidth="1"/>
    <col min="14341" max="14341" width="12.44140625" style="3" customWidth="1"/>
    <col min="14342" max="14342" width="25" style="3" customWidth="1"/>
    <col min="14343" max="14343" width="12.33203125" style="3" customWidth="1"/>
    <col min="14344" max="14352" width="13.33203125" style="3" customWidth="1"/>
    <col min="14353" max="14373" width="0" style="3" hidden="1" customWidth="1"/>
    <col min="14374" max="14594" width="8.88671875" style="3"/>
    <col min="14595" max="14595" width="11.109375" style="3" customWidth="1"/>
    <col min="14596" max="14596" width="29.6640625" style="3" customWidth="1"/>
    <col min="14597" max="14597" width="12.44140625" style="3" customWidth="1"/>
    <col min="14598" max="14598" width="25" style="3" customWidth="1"/>
    <col min="14599" max="14599" width="12.33203125" style="3" customWidth="1"/>
    <col min="14600" max="14608" width="13.33203125" style="3" customWidth="1"/>
    <col min="14609" max="14629" width="0" style="3" hidden="1" customWidth="1"/>
    <col min="14630" max="14850" width="8.88671875" style="3"/>
    <col min="14851" max="14851" width="11.109375" style="3" customWidth="1"/>
    <col min="14852" max="14852" width="29.6640625" style="3" customWidth="1"/>
    <col min="14853" max="14853" width="12.44140625" style="3" customWidth="1"/>
    <col min="14854" max="14854" width="25" style="3" customWidth="1"/>
    <col min="14855" max="14855" width="12.33203125" style="3" customWidth="1"/>
    <col min="14856" max="14864" width="13.33203125" style="3" customWidth="1"/>
    <col min="14865" max="14885" width="0" style="3" hidden="1" customWidth="1"/>
    <col min="14886" max="15106" width="8.88671875" style="3"/>
    <col min="15107" max="15107" width="11.109375" style="3" customWidth="1"/>
    <col min="15108" max="15108" width="29.6640625" style="3" customWidth="1"/>
    <col min="15109" max="15109" width="12.44140625" style="3" customWidth="1"/>
    <col min="15110" max="15110" width="25" style="3" customWidth="1"/>
    <col min="15111" max="15111" width="12.33203125" style="3" customWidth="1"/>
    <col min="15112" max="15120" width="13.33203125" style="3" customWidth="1"/>
    <col min="15121" max="15141" width="0" style="3" hidden="1" customWidth="1"/>
    <col min="15142" max="15362" width="8.88671875" style="3"/>
    <col min="15363" max="15363" width="11.109375" style="3" customWidth="1"/>
    <col min="15364" max="15364" width="29.6640625" style="3" customWidth="1"/>
    <col min="15365" max="15365" width="12.44140625" style="3" customWidth="1"/>
    <col min="15366" max="15366" width="25" style="3" customWidth="1"/>
    <col min="15367" max="15367" width="12.33203125" style="3" customWidth="1"/>
    <col min="15368" max="15376" width="13.33203125" style="3" customWidth="1"/>
    <col min="15377" max="15397" width="0" style="3" hidden="1" customWidth="1"/>
    <col min="15398" max="15618" width="8.88671875" style="3"/>
    <col min="15619" max="15619" width="11.109375" style="3" customWidth="1"/>
    <col min="15620" max="15620" width="29.6640625" style="3" customWidth="1"/>
    <col min="15621" max="15621" width="12.44140625" style="3" customWidth="1"/>
    <col min="15622" max="15622" width="25" style="3" customWidth="1"/>
    <col min="15623" max="15623" width="12.33203125" style="3" customWidth="1"/>
    <col min="15624" max="15632" width="13.33203125" style="3" customWidth="1"/>
    <col min="15633" max="15653" width="0" style="3" hidden="1" customWidth="1"/>
    <col min="15654" max="15874" width="8.88671875" style="3"/>
    <col min="15875" max="15875" width="11.109375" style="3" customWidth="1"/>
    <col min="15876" max="15876" width="29.6640625" style="3" customWidth="1"/>
    <col min="15877" max="15877" width="12.44140625" style="3" customWidth="1"/>
    <col min="15878" max="15878" width="25" style="3" customWidth="1"/>
    <col min="15879" max="15879" width="12.33203125" style="3" customWidth="1"/>
    <col min="15880" max="15888" width="13.33203125" style="3" customWidth="1"/>
    <col min="15889" max="15909" width="0" style="3" hidden="1" customWidth="1"/>
    <col min="15910" max="16130" width="8.88671875" style="3"/>
    <col min="16131" max="16131" width="11.109375" style="3" customWidth="1"/>
    <col min="16132" max="16132" width="29.6640625" style="3" customWidth="1"/>
    <col min="16133" max="16133" width="12.44140625" style="3" customWidth="1"/>
    <col min="16134" max="16134" width="25" style="3" customWidth="1"/>
    <col min="16135" max="16135" width="12.33203125" style="3" customWidth="1"/>
    <col min="16136" max="16144" width="13.33203125" style="3" customWidth="1"/>
    <col min="16145" max="16165" width="0" style="3" hidden="1" customWidth="1"/>
    <col min="16166" max="16384" width="8.88671875" style="3"/>
  </cols>
  <sheetData>
    <row r="1" spans="1:25" s="4" customFormat="1" ht="13.2" x14ac:dyDescent="0.2">
      <c r="B1" s="5"/>
      <c r="C1" s="5"/>
      <c r="D1" s="24"/>
      <c r="E1" s="5"/>
      <c r="F1" s="5"/>
      <c r="G1" s="6"/>
      <c r="H1" s="6"/>
      <c r="O1" s="163" t="s">
        <v>471</v>
      </c>
      <c r="P1" s="163"/>
      <c r="Q1" s="163"/>
      <c r="V1" s="5"/>
      <c r="Y1" s="5"/>
    </row>
    <row r="2" spans="1:25" s="4" customFormat="1" ht="24.75" customHeight="1" x14ac:dyDescent="0.2">
      <c r="B2" s="5"/>
      <c r="C2" s="5"/>
      <c r="D2" s="5"/>
      <c r="E2" s="5"/>
      <c r="F2" s="5"/>
      <c r="G2" s="6"/>
      <c r="H2" s="6"/>
      <c r="O2" s="164" t="s">
        <v>473</v>
      </c>
      <c r="P2" s="164"/>
      <c r="Q2" s="164"/>
      <c r="V2" s="5"/>
      <c r="Y2" s="5"/>
    </row>
    <row r="3" spans="1:25" s="4" customFormat="1" ht="13.8" x14ac:dyDescent="0.25">
      <c r="A3" s="165" t="s">
        <v>470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V3" s="5"/>
      <c r="Y3" s="5"/>
    </row>
    <row r="4" spans="1:25" s="4" customFormat="1" x14ac:dyDescent="0.2">
      <c r="B4" s="5"/>
      <c r="C4" s="5"/>
      <c r="D4" s="5"/>
      <c r="E4" s="5"/>
      <c r="F4" s="5"/>
      <c r="G4" s="6"/>
      <c r="H4" s="6"/>
      <c r="Q4" s="138"/>
      <c r="V4" s="5"/>
      <c r="Y4" s="5"/>
    </row>
    <row r="5" spans="1:25" s="4" customFormat="1" ht="15.75" customHeight="1" x14ac:dyDescent="0.2">
      <c r="A5" s="166" t="s">
        <v>469</v>
      </c>
      <c r="B5" s="166" t="s">
        <v>468</v>
      </c>
      <c r="C5" s="166" t="s">
        <v>467</v>
      </c>
      <c r="D5" s="168" t="s">
        <v>466</v>
      </c>
      <c r="E5" s="166" t="s">
        <v>465</v>
      </c>
      <c r="F5" s="168" t="s">
        <v>464</v>
      </c>
      <c r="G5" s="170" t="s">
        <v>463</v>
      </c>
      <c r="H5" s="170" t="s">
        <v>462</v>
      </c>
      <c r="I5" s="167" t="s">
        <v>461</v>
      </c>
      <c r="J5" s="167"/>
      <c r="K5" s="167"/>
      <c r="L5" s="167"/>
      <c r="M5" s="167"/>
      <c r="N5" s="167"/>
      <c r="O5" s="167"/>
      <c r="P5" s="167"/>
      <c r="Q5" s="167"/>
      <c r="V5" s="5"/>
      <c r="Y5" s="5"/>
    </row>
    <row r="6" spans="1:25" s="69" customFormat="1" ht="45.75" customHeight="1" x14ac:dyDescent="0.25">
      <c r="A6" s="166"/>
      <c r="B6" s="166"/>
      <c r="C6" s="166"/>
      <c r="D6" s="169"/>
      <c r="E6" s="166"/>
      <c r="F6" s="169"/>
      <c r="G6" s="171"/>
      <c r="H6" s="171"/>
      <c r="I6" s="137">
        <v>2024</v>
      </c>
      <c r="J6" s="137">
        <v>2025</v>
      </c>
      <c r="K6" s="137">
        <v>2026</v>
      </c>
      <c r="L6" s="137">
        <v>2027</v>
      </c>
      <c r="M6" s="137">
        <v>2028</v>
      </c>
      <c r="N6" s="137">
        <v>2029</v>
      </c>
      <c r="O6" s="137">
        <v>2030</v>
      </c>
      <c r="P6" s="137" t="s">
        <v>460</v>
      </c>
      <c r="Q6" s="136" t="s">
        <v>459</v>
      </c>
      <c r="R6" s="135"/>
      <c r="S6" s="135"/>
      <c r="T6" s="135"/>
      <c r="U6" s="135"/>
      <c r="V6" s="134"/>
      <c r="W6" s="135"/>
      <c r="X6" s="135"/>
      <c r="Y6" s="134"/>
    </row>
    <row r="7" spans="1:25" s="69" customFormat="1" ht="13.8" x14ac:dyDescent="0.25">
      <c r="A7" s="83"/>
      <c r="B7" s="158" t="s">
        <v>458</v>
      </c>
      <c r="C7" s="158"/>
      <c r="D7" s="133"/>
      <c r="E7" s="133"/>
      <c r="F7" s="133"/>
      <c r="G7" s="132"/>
      <c r="H7" s="132"/>
      <c r="I7" s="84"/>
      <c r="J7" s="84"/>
      <c r="K7" s="84"/>
      <c r="L7" s="84"/>
      <c r="M7" s="84"/>
      <c r="N7" s="84"/>
      <c r="O7" s="84"/>
      <c r="P7" s="84"/>
      <c r="Q7" s="84"/>
      <c r="R7" s="70"/>
      <c r="S7" s="70"/>
      <c r="T7" s="70"/>
      <c r="U7" s="70"/>
      <c r="V7" s="70"/>
      <c r="W7" s="70"/>
      <c r="X7" s="70"/>
      <c r="Y7" s="70"/>
    </row>
    <row r="8" spans="1:25" s="69" customFormat="1" ht="39.6" x14ac:dyDescent="0.2">
      <c r="A8" s="2">
        <v>1</v>
      </c>
      <c r="B8" s="37" t="s">
        <v>10</v>
      </c>
      <c r="C8" s="1" t="s">
        <v>457</v>
      </c>
      <c r="D8" s="37" t="s">
        <v>456</v>
      </c>
      <c r="E8" s="37" t="s">
        <v>455</v>
      </c>
      <c r="F8" s="37" t="s">
        <v>454</v>
      </c>
      <c r="G8" s="23">
        <v>640292</v>
      </c>
      <c r="H8" s="23">
        <f>59600-5960</f>
        <v>53640</v>
      </c>
      <c r="I8" s="116">
        <v>26026</v>
      </c>
      <c r="J8" s="116">
        <v>24913</v>
      </c>
      <c r="K8" s="116">
        <v>6089</v>
      </c>
      <c r="L8" s="116">
        <v>0</v>
      </c>
      <c r="M8" s="116">
        <v>0</v>
      </c>
      <c r="N8" s="116"/>
      <c r="O8" s="116">
        <v>0</v>
      </c>
      <c r="P8" s="116">
        <v>0</v>
      </c>
      <c r="Q8" s="54">
        <f t="shared" ref="Q8:Q39" si="0">SUM(I8:P8)</f>
        <v>57028</v>
      </c>
      <c r="R8" s="70"/>
      <c r="S8" s="70"/>
      <c r="T8" s="70"/>
      <c r="U8" s="70"/>
      <c r="V8" s="70"/>
      <c r="W8" s="70"/>
      <c r="X8" s="70"/>
      <c r="Y8" s="70"/>
    </row>
    <row r="9" spans="1:25" s="69" customFormat="1" ht="52.8" x14ac:dyDescent="0.25">
      <c r="A9" s="2">
        <v>2</v>
      </c>
      <c r="B9" s="76" t="s">
        <v>10</v>
      </c>
      <c r="C9" s="126" t="s">
        <v>475</v>
      </c>
      <c r="D9" s="76" t="s">
        <v>453</v>
      </c>
      <c r="E9" s="75" t="s">
        <v>452</v>
      </c>
      <c r="F9" s="75" t="s">
        <v>451</v>
      </c>
      <c r="G9" s="57">
        <v>643379</v>
      </c>
      <c r="H9" s="57">
        <v>95744</v>
      </c>
      <c r="I9" s="88">
        <v>33284</v>
      </c>
      <c r="J9" s="88">
        <v>32902</v>
      </c>
      <c r="K9" s="88">
        <v>31626</v>
      </c>
      <c r="L9" s="88">
        <v>12</v>
      </c>
      <c r="M9" s="88">
        <v>0</v>
      </c>
      <c r="N9" s="88">
        <v>0</v>
      </c>
      <c r="O9" s="90">
        <v>0</v>
      </c>
      <c r="P9" s="88">
        <v>0</v>
      </c>
      <c r="Q9" s="56">
        <f t="shared" si="0"/>
        <v>97824</v>
      </c>
      <c r="R9" s="70"/>
      <c r="S9" s="70"/>
      <c r="T9" s="70"/>
      <c r="U9" s="70"/>
      <c r="V9" s="70"/>
      <c r="W9" s="70"/>
      <c r="X9" s="70"/>
      <c r="Y9" s="70"/>
    </row>
    <row r="10" spans="1:25" s="69" customFormat="1" ht="26.4" x14ac:dyDescent="0.25">
      <c r="A10" s="79">
        <v>3</v>
      </c>
      <c r="B10" s="81" t="s">
        <v>10</v>
      </c>
      <c r="C10" s="131" t="s">
        <v>450</v>
      </c>
      <c r="D10" s="81" t="s">
        <v>449</v>
      </c>
      <c r="E10" s="93" t="s">
        <v>448</v>
      </c>
      <c r="F10" s="93" t="s">
        <v>447</v>
      </c>
      <c r="G10" s="92">
        <v>569149</v>
      </c>
      <c r="H10" s="92">
        <f>181764-5049</f>
        <v>176715</v>
      </c>
      <c r="I10" s="98">
        <v>22243</v>
      </c>
      <c r="J10" s="98">
        <v>22000</v>
      </c>
      <c r="K10" s="98">
        <v>21763</v>
      </c>
      <c r="L10" s="98">
        <v>21525</v>
      </c>
      <c r="M10" s="98">
        <v>23356</v>
      </c>
      <c r="N10" s="98">
        <v>22910</v>
      </c>
      <c r="O10" s="99">
        <v>22155</v>
      </c>
      <c r="P10" s="98">
        <v>37000</v>
      </c>
      <c r="Q10" s="91">
        <f t="shared" si="0"/>
        <v>192952</v>
      </c>
      <c r="R10" s="70"/>
      <c r="S10" s="70"/>
      <c r="T10" s="70"/>
      <c r="U10" s="70"/>
      <c r="V10" s="70"/>
      <c r="W10" s="70"/>
      <c r="X10" s="70"/>
      <c r="Y10" s="70"/>
    </row>
    <row r="11" spans="1:25" s="69" customFormat="1" ht="39.6" x14ac:dyDescent="0.25">
      <c r="A11" s="2">
        <v>4</v>
      </c>
      <c r="B11" s="76" t="s">
        <v>10</v>
      </c>
      <c r="C11" s="126" t="s">
        <v>446</v>
      </c>
      <c r="D11" s="76" t="s">
        <v>445</v>
      </c>
      <c r="E11" s="75" t="s">
        <v>444</v>
      </c>
      <c r="F11" s="75" t="s">
        <v>443</v>
      </c>
      <c r="G11" s="57">
        <v>256117</v>
      </c>
      <c r="H11" s="57">
        <v>42097</v>
      </c>
      <c r="I11" s="88">
        <v>13443</v>
      </c>
      <c r="J11" s="88">
        <v>13290</v>
      </c>
      <c r="K11" s="88">
        <v>13137</v>
      </c>
      <c r="L11" s="88">
        <v>3211</v>
      </c>
      <c r="M11" s="88">
        <v>0</v>
      </c>
      <c r="N11" s="88">
        <v>0</v>
      </c>
      <c r="O11" s="90">
        <v>0</v>
      </c>
      <c r="P11" s="88">
        <v>0</v>
      </c>
      <c r="Q11" s="56">
        <f t="shared" si="0"/>
        <v>43081</v>
      </c>
      <c r="R11" s="70"/>
      <c r="S11" s="70"/>
      <c r="T11" s="70"/>
      <c r="U11" s="70"/>
      <c r="V11" s="70"/>
      <c r="W11" s="70"/>
      <c r="X11" s="70"/>
      <c r="Y11" s="70"/>
    </row>
    <row r="12" spans="1:25" s="69" customFormat="1" ht="26.4" x14ac:dyDescent="0.25">
      <c r="A12" s="2">
        <v>5</v>
      </c>
      <c r="B12" s="76" t="s">
        <v>10</v>
      </c>
      <c r="C12" s="126" t="s">
        <v>442</v>
      </c>
      <c r="D12" s="76" t="s">
        <v>441</v>
      </c>
      <c r="E12" s="75" t="s">
        <v>440</v>
      </c>
      <c r="F12" s="75" t="s">
        <v>243</v>
      </c>
      <c r="G12" s="57">
        <v>261808</v>
      </c>
      <c r="H12" s="57">
        <v>64570</v>
      </c>
      <c r="I12" s="88">
        <v>14339</v>
      </c>
      <c r="J12" s="88">
        <v>14177</v>
      </c>
      <c r="K12" s="88">
        <v>14018</v>
      </c>
      <c r="L12" s="88">
        <v>13857</v>
      </c>
      <c r="M12" s="88">
        <v>10408</v>
      </c>
      <c r="N12" s="88">
        <v>0</v>
      </c>
      <c r="O12" s="90">
        <v>0</v>
      </c>
      <c r="P12" s="88">
        <v>0</v>
      </c>
      <c r="Q12" s="56">
        <f t="shared" si="0"/>
        <v>66799</v>
      </c>
      <c r="R12" s="70"/>
      <c r="S12" s="70"/>
      <c r="T12" s="70"/>
      <c r="U12" s="70"/>
      <c r="V12" s="70"/>
      <c r="W12" s="70"/>
      <c r="X12" s="70"/>
      <c r="Y12" s="70"/>
    </row>
    <row r="13" spans="1:25" s="69" customFormat="1" ht="26.4" x14ac:dyDescent="0.2">
      <c r="A13" s="2">
        <v>6</v>
      </c>
      <c r="B13" s="37" t="s">
        <v>10</v>
      </c>
      <c r="C13" s="1" t="s">
        <v>439</v>
      </c>
      <c r="D13" s="37" t="s">
        <v>438</v>
      </c>
      <c r="E13" s="37" t="s">
        <v>437</v>
      </c>
      <c r="F13" s="37" t="s">
        <v>89</v>
      </c>
      <c r="G13" s="23">
        <v>1410533</v>
      </c>
      <c r="H13" s="23">
        <v>535467</v>
      </c>
      <c r="I13" s="116">
        <v>108637</v>
      </c>
      <c r="J13" s="116">
        <v>103734</v>
      </c>
      <c r="K13" s="116">
        <v>100153</v>
      </c>
      <c r="L13" s="116">
        <v>96562</v>
      </c>
      <c r="M13" s="116">
        <v>92986</v>
      </c>
      <c r="N13" s="116">
        <v>89375</v>
      </c>
      <c r="O13" s="116">
        <v>23905</v>
      </c>
      <c r="P13" s="116">
        <v>0</v>
      </c>
      <c r="Q13" s="54">
        <f t="shared" si="0"/>
        <v>615352</v>
      </c>
      <c r="R13" s="70"/>
      <c r="S13" s="70"/>
      <c r="T13" s="70"/>
      <c r="U13" s="70"/>
      <c r="V13" s="70"/>
      <c r="W13" s="70"/>
      <c r="X13" s="70"/>
      <c r="Y13" s="70"/>
    </row>
    <row r="14" spans="1:25" s="69" customFormat="1" ht="66" x14ac:dyDescent="0.2">
      <c r="A14" s="79">
        <v>7</v>
      </c>
      <c r="B14" s="37" t="s">
        <v>10</v>
      </c>
      <c r="C14" s="1" t="s">
        <v>436</v>
      </c>
      <c r="D14" s="37" t="s">
        <v>435</v>
      </c>
      <c r="E14" s="37" t="s">
        <v>434</v>
      </c>
      <c r="F14" s="37" t="s">
        <v>378</v>
      </c>
      <c r="G14" s="23">
        <v>82912</v>
      </c>
      <c r="H14" s="23">
        <f>46565-932</f>
        <v>45633</v>
      </c>
      <c r="I14" s="116">
        <v>5569</v>
      </c>
      <c r="J14" s="116">
        <v>5436</v>
      </c>
      <c r="K14" s="116">
        <v>5288</v>
      </c>
      <c r="L14" s="116">
        <v>5133</v>
      </c>
      <c r="M14" s="116">
        <v>4982</v>
      </c>
      <c r="N14" s="116">
        <v>4824</v>
      </c>
      <c r="O14" s="116">
        <v>4669</v>
      </c>
      <c r="P14" s="116">
        <v>21948</v>
      </c>
      <c r="Q14" s="54">
        <f t="shared" si="0"/>
        <v>57849</v>
      </c>
      <c r="R14" s="70"/>
      <c r="S14" s="70"/>
      <c r="T14" s="70"/>
      <c r="U14" s="70"/>
      <c r="V14" s="70"/>
      <c r="W14" s="70"/>
      <c r="X14" s="70"/>
      <c r="Y14" s="70"/>
    </row>
    <row r="15" spans="1:25" s="69" customFormat="1" ht="39.6" x14ac:dyDescent="0.2">
      <c r="A15" s="2">
        <v>8</v>
      </c>
      <c r="B15" s="37" t="s">
        <v>10</v>
      </c>
      <c r="C15" s="1" t="s">
        <v>433</v>
      </c>
      <c r="D15" s="37" t="s">
        <v>432</v>
      </c>
      <c r="E15" s="37" t="s">
        <v>431</v>
      </c>
      <c r="F15" s="37" t="s">
        <v>430</v>
      </c>
      <c r="G15" s="23">
        <v>357811</v>
      </c>
      <c r="H15" s="23">
        <v>108608</v>
      </c>
      <c r="I15" s="116">
        <v>29959</v>
      </c>
      <c r="J15" s="116">
        <v>28832</v>
      </c>
      <c r="K15" s="116">
        <v>27778</v>
      </c>
      <c r="L15" s="116">
        <v>26717</v>
      </c>
      <c r="M15" s="116">
        <v>6570</v>
      </c>
      <c r="N15" s="116">
        <v>0</v>
      </c>
      <c r="O15" s="116">
        <v>0</v>
      </c>
      <c r="P15" s="116"/>
      <c r="Q15" s="54">
        <f t="shared" si="0"/>
        <v>119856</v>
      </c>
      <c r="R15" s="70"/>
      <c r="S15" s="70"/>
      <c r="T15" s="70"/>
      <c r="U15" s="70"/>
      <c r="V15" s="70"/>
      <c r="W15" s="70"/>
      <c r="X15" s="70"/>
      <c r="Y15" s="70"/>
    </row>
    <row r="16" spans="1:25" s="69" customFormat="1" ht="66" x14ac:dyDescent="0.25">
      <c r="A16" s="2">
        <v>9</v>
      </c>
      <c r="B16" s="76" t="s">
        <v>10</v>
      </c>
      <c r="C16" s="126" t="s">
        <v>476</v>
      </c>
      <c r="D16" s="76" t="s">
        <v>429</v>
      </c>
      <c r="E16" s="75" t="s">
        <v>428</v>
      </c>
      <c r="F16" s="75" t="s">
        <v>123</v>
      </c>
      <c r="G16" s="57">
        <v>208227</v>
      </c>
      <c r="H16" s="57">
        <f>9696-4848</f>
        <v>4848</v>
      </c>
      <c r="I16" s="88">
        <v>4970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56">
        <f t="shared" si="0"/>
        <v>4970</v>
      </c>
      <c r="R16" s="70"/>
      <c r="S16" s="70"/>
      <c r="T16" s="70"/>
      <c r="U16" s="70"/>
      <c r="V16" s="70"/>
      <c r="W16" s="70"/>
      <c r="X16" s="70"/>
      <c r="Y16" s="70"/>
    </row>
    <row r="17" spans="1:25" s="69" customFormat="1" ht="112.5" customHeight="1" x14ac:dyDescent="0.2">
      <c r="A17" s="2">
        <v>10</v>
      </c>
      <c r="B17" s="37" t="s">
        <v>10</v>
      </c>
      <c r="C17" s="1" t="s">
        <v>536</v>
      </c>
      <c r="D17" s="37" t="s">
        <v>427</v>
      </c>
      <c r="E17" s="37" t="s">
        <v>426</v>
      </c>
      <c r="F17" s="37" t="s">
        <v>425</v>
      </c>
      <c r="G17" s="23">
        <v>586346</v>
      </c>
      <c r="H17" s="23">
        <f>180726-4303</f>
        <v>176423</v>
      </c>
      <c r="I17" s="116">
        <v>24136</v>
      </c>
      <c r="J17" s="116">
        <v>23573</v>
      </c>
      <c r="K17" s="116">
        <v>22840</v>
      </c>
      <c r="L17" s="116">
        <v>22144</v>
      </c>
      <c r="M17" s="116">
        <v>21459</v>
      </c>
      <c r="N17" s="116">
        <v>20752</v>
      </c>
      <c r="O17" s="116">
        <v>20057</v>
      </c>
      <c r="P17" s="116">
        <v>60431</v>
      </c>
      <c r="Q17" s="54">
        <f t="shared" si="0"/>
        <v>215392</v>
      </c>
      <c r="R17" s="70"/>
      <c r="S17" s="70"/>
      <c r="T17" s="70"/>
      <c r="U17" s="70"/>
      <c r="V17" s="70"/>
      <c r="W17" s="70"/>
      <c r="X17" s="70"/>
      <c r="Y17" s="70"/>
    </row>
    <row r="18" spans="1:25" s="69" customFormat="1" ht="66" x14ac:dyDescent="0.25">
      <c r="A18" s="2">
        <v>11</v>
      </c>
      <c r="B18" s="76" t="s">
        <v>10</v>
      </c>
      <c r="C18" s="126" t="s">
        <v>522</v>
      </c>
      <c r="D18" s="76" t="s">
        <v>424</v>
      </c>
      <c r="E18" s="75" t="s">
        <v>422</v>
      </c>
      <c r="F18" s="75" t="s">
        <v>298</v>
      </c>
      <c r="G18" s="57">
        <v>128058</v>
      </c>
      <c r="H18" s="57">
        <f>9012-2253</f>
        <v>6759</v>
      </c>
      <c r="I18" s="88">
        <v>6988</v>
      </c>
      <c r="J18" s="88">
        <v>0</v>
      </c>
      <c r="K18" s="88">
        <v>0</v>
      </c>
      <c r="L18" s="88">
        <v>0</v>
      </c>
      <c r="M18" s="88">
        <v>0</v>
      </c>
      <c r="N18" s="88">
        <v>0</v>
      </c>
      <c r="O18" s="88">
        <v>0</v>
      </c>
      <c r="P18" s="88">
        <v>0</v>
      </c>
      <c r="Q18" s="56">
        <f t="shared" si="0"/>
        <v>6988</v>
      </c>
      <c r="R18" s="70"/>
      <c r="S18" s="70"/>
      <c r="T18" s="70"/>
      <c r="U18" s="70"/>
      <c r="V18" s="70"/>
      <c r="W18" s="70"/>
      <c r="X18" s="70"/>
      <c r="Y18" s="70"/>
    </row>
    <row r="19" spans="1:25" s="69" customFormat="1" ht="66" x14ac:dyDescent="0.25">
      <c r="A19" s="79">
        <v>12</v>
      </c>
      <c r="B19" s="76" t="s">
        <v>10</v>
      </c>
      <c r="C19" s="126" t="s">
        <v>477</v>
      </c>
      <c r="D19" s="76" t="s">
        <v>423</v>
      </c>
      <c r="E19" s="75" t="s">
        <v>422</v>
      </c>
      <c r="F19" s="75" t="s">
        <v>298</v>
      </c>
      <c r="G19" s="57">
        <v>426467</v>
      </c>
      <c r="H19" s="57">
        <f>43292-10823</f>
        <v>32469</v>
      </c>
      <c r="I19" s="88">
        <v>33570</v>
      </c>
      <c r="J19" s="88">
        <v>0</v>
      </c>
      <c r="K19" s="88">
        <v>0</v>
      </c>
      <c r="L19" s="88">
        <v>0</v>
      </c>
      <c r="M19" s="88">
        <v>0</v>
      </c>
      <c r="N19" s="88">
        <v>0</v>
      </c>
      <c r="O19" s="88">
        <v>0</v>
      </c>
      <c r="P19" s="88">
        <v>0</v>
      </c>
      <c r="Q19" s="56">
        <f t="shared" si="0"/>
        <v>33570</v>
      </c>
      <c r="R19" s="70"/>
      <c r="S19" s="70"/>
      <c r="T19" s="70"/>
      <c r="U19" s="70"/>
      <c r="V19" s="70"/>
      <c r="W19" s="70"/>
      <c r="X19" s="70"/>
      <c r="Y19" s="70"/>
    </row>
    <row r="20" spans="1:25" s="69" customFormat="1" ht="79.2" x14ac:dyDescent="0.2">
      <c r="A20" s="2">
        <v>13</v>
      </c>
      <c r="B20" s="37" t="s">
        <v>10</v>
      </c>
      <c r="C20" s="1" t="s">
        <v>535</v>
      </c>
      <c r="D20" s="37" t="s">
        <v>421</v>
      </c>
      <c r="E20" s="37" t="s">
        <v>420</v>
      </c>
      <c r="F20" s="37" t="s">
        <v>419</v>
      </c>
      <c r="G20" s="23">
        <v>151196</v>
      </c>
      <c r="H20" s="23">
        <f>32856-1369</f>
        <v>31487</v>
      </c>
      <c r="I20" s="116">
        <v>6860</v>
      </c>
      <c r="J20" s="116">
        <v>6311</v>
      </c>
      <c r="K20" s="116">
        <v>6129</v>
      </c>
      <c r="L20" s="116">
        <v>5948</v>
      </c>
      <c r="M20" s="116">
        <v>5766</v>
      </c>
      <c r="N20" s="116">
        <v>4215</v>
      </c>
      <c r="O20" s="116">
        <v>0</v>
      </c>
      <c r="P20" s="116">
        <v>0</v>
      </c>
      <c r="Q20" s="54">
        <f t="shared" si="0"/>
        <v>35229</v>
      </c>
      <c r="R20" s="70"/>
      <c r="S20" s="70"/>
      <c r="T20" s="70"/>
      <c r="U20" s="70"/>
      <c r="V20" s="70"/>
      <c r="W20" s="70"/>
      <c r="X20" s="70"/>
      <c r="Y20" s="70"/>
    </row>
    <row r="21" spans="1:25" s="69" customFormat="1" ht="26.4" x14ac:dyDescent="0.2">
      <c r="A21" s="2">
        <v>14</v>
      </c>
      <c r="B21" s="65" t="s">
        <v>10</v>
      </c>
      <c r="C21" s="130" t="s">
        <v>523</v>
      </c>
      <c r="D21" s="65" t="s">
        <v>418</v>
      </c>
      <c r="E21" s="65" t="s">
        <v>417</v>
      </c>
      <c r="F21" s="65" t="s">
        <v>416</v>
      </c>
      <c r="G21" s="129">
        <v>186591</v>
      </c>
      <c r="H21" s="129">
        <f>34278-5724</f>
        <v>28554</v>
      </c>
      <c r="I21" s="139">
        <v>23862</v>
      </c>
      <c r="J21" s="139">
        <v>5819</v>
      </c>
      <c r="K21" s="139">
        <v>0</v>
      </c>
      <c r="L21" s="139">
        <v>0</v>
      </c>
      <c r="M21" s="139">
        <v>0</v>
      </c>
      <c r="N21" s="139">
        <v>0</v>
      </c>
      <c r="O21" s="139">
        <v>0</v>
      </c>
      <c r="P21" s="139">
        <v>0</v>
      </c>
      <c r="Q21" s="140">
        <f t="shared" si="0"/>
        <v>29681</v>
      </c>
      <c r="R21" s="70"/>
      <c r="S21" s="70"/>
      <c r="T21" s="70"/>
      <c r="U21" s="70"/>
      <c r="V21" s="70"/>
      <c r="W21" s="70"/>
      <c r="X21" s="70"/>
      <c r="Y21" s="70"/>
    </row>
    <row r="22" spans="1:25" s="69" customFormat="1" ht="79.2" x14ac:dyDescent="0.2">
      <c r="A22" s="2">
        <v>15</v>
      </c>
      <c r="B22" s="37" t="s">
        <v>10</v>
      </c>
      <c r="C22" s="1" t="s">
        <v>534</v>
      </c>
      <c r="D22" s="37" t="s">
        <v>415</v>
      </c>
      <c r="E22" s="121" t="s">
        <v>414</v>
      </c>
      <c r="F22" s="37" t="s">
        <v>413</v>
      </c>
      <c r="G22" s="23">
        <v>184386</v>
      </c>
      <c r="H22" s="23">
        <f>34506-1278</f>
        <v>33228</v>
      </c>
      <c r="I22" s="116">
        <v>6450</v>
      </c>
      <c r="J22" s="116">
        <v>6214</v>
      </c>
      <c r="K22" s="116">
        <v>6007</v>
      </c>
      <c r="L22" s="116">
        <v>5800</v>
      </c>
      <c r="M22" s="116">
        <v>5596</v>
      </c>
      <c r="N22" s="116">
        <v>5389</v>
      </c>
      <c r="O22" s="116">
        <v>2621</v>
      </c>
      <c r="P22" s="116">
        <v>0</v>
      </c>
      <c r="Q22" s="54">
        <f t="shared" si="0"/>
        <v>38077</v>
      </c>
      <c r="R22" s="70"/>
      <c r="S22" s="70"/>
      <c r="T22" s="70"/>
      <c r="U22" s="70"/>
      <c r="V22" s="70"/>
      <c r="W22" s="70"/>
      <c r="X22" s="70"/>
      <c r="Y22" s="70"/>
    </row>
    <row r="23" spans="1:25" s="69" customFormat="1" ht="52.8" x14ac:dyDescent="0.2">
      <c r="A23" s="79">
        <v>16</v>
      </c>
      <c r="B23" s="37" t="s">
        <v>10</v>
      </c>
      <c r="C23" s="1" t="s">
        <v>412</v>
      </c>
      <c r="D23" s="37" t="s">
        <v>411</v>
      </c>
      <c r="E23" s="37" t="s">
        <v>410</v>
      </c>
      <c r="F23" s="37" t="s">
        <v>404</v>
      </c>
      <c r="G23" s="23">
        <v>36001</v>
      </c>
      <c r="H23" s="23">
        <f>6636-948</f>
        <v>5688</v>
      </c>
      <c r="I23" s="116">
        <v>4001</v>
      </c>
      <c r="J23" s="116">
        <v>1946</v>
      </c>
      <c r="K23" s="116"/>
      <c r="L23" s="116">
        <v>0</v>
      </c>
      <c r="M23" s="116">
        <v>0</v>
      </c>
      <c r="N23" s="116">
        <v>0</v>
      </c>
      <c r="O23" s="116">
        <v>0</v>
      </c>
      <c r="P23" s="116">
        <v>0</v>
      </c>
      <c r="Q23" s="54">
        <f t="shared" si="0"/>
        <v>5947</v>
      </c>
      <c r="R23" s="70"/>
      <c r="S23" s="70"/>
      <c r="T23" s="70"/>
      <c r="U23" s="70"/>
      <c r="V23" s="70"/>
      <c r="W23" s="70"/>
      <c r="X23" s="70"/>
      <c r="Y23" s="70"/>
    </row>
    <row r="24" spans="1:25" s="69" customFormat="1" ht="52.8" x14ac:dyDescent="0.2">
      <c r="A24" s="2">
        <v>17</v>
      </c>
      <c r="B24" s="37" t="s">
        <v>10</v>
      </c>
      <c r="C24" s="1" t="s">
        <v>409</v>
      </c>
      <c r="D24" s="37" t="s">
        <v>408</v>
      </c>
      <c r="E24" s="37" t="s">
        <v>407</v>
      </c>
      <c r="F24" s="37" t="s">
        <v>404</v>
      </c>
      <c r="G24" s="23">
        <v>35830</v>
      </c>
      <c r="H24" s="23">
        <f>6601-943</f>
        <v>5658</v>
      </c>
      <c r="I24" s="116">
        <v>3980</v>
      </c>
      <c r="J24" s="116">
        <v>1936</v>
      </c>
      <c r="K24" s="116"/>
      <c r="L24" s="116">
        <v>0</v>
      </c>
      <c r="M24" s="116">
        <v>0</v>
      </c>
      <c r="N24" s="116">
        <v>0</v>
      </c>
      <c r="O24" s="116">
        <v>0</v>
      </c>
      <c r="P24" s="116">
        <v>0</v>
      </c>
      <c r="Q24" s="54">
        <f t="shared" si="0"/>
        <v>5916</v>
      </c>
      <c r="R24" s="70"/>
      <c r="S24" s="70"/>
      <c r="T24" s="70"/>
      <c r="U24" s="70"/>
      <c r="V24" s="70"/>
      <c r="W24" s="70"/>
      <c r="X24" s="70"/>
      <c r="Y24" s="70"/>
    </row>
    <row r="25" spans="1:25" s="69" customFormat="1" ht="39.6" x14ac:dyDescent="0.2">
      <c r="A25" s="2">
        <v>18</v>
      </c>
      <c r="B25" s="76" t="s">
        <v>10</v>
      </c>
      <c r="C25" s="128" t="s">
        <v>478</v>
      </c>
      <c r="D25" s="76" t="s">
        <v>406</v>
      </c>
      <c r="E25" s="75" t="s">
        <v>405</v>
      </c>
      <c r="F25" s="75" t="s">
        <v>404</v>
      </c>
      <c r="G25" s="57">
        <v>98806</v>
      </c>
      <c r="H25" s="57">
        <f>18697-2671</f>
        <v>16026</v>
      </c>
      <c r="I25" s="88">
        <v>11273</v>
      </c>
      <c r="J25" s="88">
        <v>5484</v>
      </c>
      <c r="K25" s="88"/>
      <c r="L25" s="88">
        <v>0</v>
      </c>
      <c r="M25" s="88">
        <v>0</v>
      </c>
      <c r="N25" s="88">
        <v>0</v>
      </c>
      <c r="O25" s="90">
        <v>0</v>
      </c>
      <c r="P25" s="88">
        <v>0</v>
      </c>
      <c r="Q25" s="56">
        <f t="shared" si="0"/>
        <v>16757</v>
      </c>
      <c r="R25" s="70"/>
      <c r="S25" s="70"/>
      <c r="T25" s="70"/>
      <c r="U25" s="70"/>
      <c r="V25" s="70"/>
      <c r="W25" s="70"/>
      <c r="X25" s="70"/>
      <c r="Y25" s="70"/>
    </row>
    <row r="26" spans="1:25" s="69" customFormat="1" ht="39.6" x14ac:dyDescent="0.2">
      <c r="A26" s="2">
        <v>19</v>
      </c>
      <c r="B26" s="37" t="s">
        <v>10</v>
      </c>
      <c r="C26" s="1" t="s">
        <v>403</v>
      </c>
      <c r="D26" s="37" t="s">
        <v>402</v>
      </c>
      <c r="E26" s="37" t="s">
        <v>401</v>
      </c>
      <c r="F26" s="37" t="s">
        <v>400</v>
      </c>
      <c r="G26" s="23">
        <v>387136</v>
      </c>
      <c r="H26" s="23">
        <f>233308-4964</f>
        <v>228344</v>
      </c>
      <c r="I26" s="116">
        <v>29222</v>
      </c>
      <c r="J26" s="116">
        <v>28133</v>
      </c>
      <c r="K26" s="116">
        <v>27283</v>
      </c>
      <c r="L26" s="116">
        <v>26488</v>
      </c>
      <c r="M26" s="116">
        <v>25707</v>
      </c>
      <c r="N26" s="116">
        <v>24896</v>
      </c>
      <c r="O26" s="116">
        <v>24101</v>
      </c>
      <c r="P26" s="116">
        <v>98663</v>
      </c>
      <c r="Q26" s="56">
        <f t="shared" si="0"/>
        <v>284493</v>
      </c>
      <c r="R26" s="70"/>
      <c r="S26" s="70"/>
      <c r="T26" s="70"/>
      <c r="U26" s="70"/>
      <c r="V26" s="70"/>
      <c r="W26" s="70"/>
      <c r="X26" s="70"/>
      <c r="Y26" s="70"/>
    </row>
    <row r="27" spans="1:25" s="69" customFormat="1" ht="53.25" customHeight="1" x14ac:dyDescent="0.2">
      <c r="A27" s="2">
        <v>20</v>
      </c>
      <c r="B27" s="76" t="s">
        <v>10</v>
      </c>
      <c r="C27" s="128" t="s">
        <v>479</v>
      </c>
      <c r="D27" s="76" t="s">
        <v>399</v>
      </c>
      <c r="E27" s="75" t="s">
        <v>398</v>
      </c>
      <c r="F27" s="75" t="s">
        <v>397</v>
      </c>
      <c r="G27" s="57">
        <v>220260</v>
      </c>
      <c r="H27" s="57">
        <f>41671-5953</f>
        <v>35718</v>
      </c>
      <c r="I27" s="88">
        <v>25163</v>
      </c>
      <c r="J27" s="88">
        <v>12245</v>
      </c>
      <c r="K27" s="88"/>
      <c r="L27" s="88">
        <v>0</v>
      </c>
      <c r="M27" s="88">
        <v>0</v>
      </c>
      <c r="N27" s="88">
        <v>0</v>
      </c>
      <c r="O27" s="90">
        <v>0</v>
      </c>
      <c r="P27" s="88">
        <v>0</v>
      </c>
      <c r="Q27" s="56">
        <f t="shared" si="0"/>
        <v>37408</v>
      </c>
      <c r="R27" s="70"/>
      <c r="S27" s="70"/>
      <c r="T27" s="70"/>
      <c r="U27" s="70"/>
      <c r="V27" s="70"/>
      <c r="W27" s="70"/>
      <c r="X27" s="70"/>
      <c r="Y27" s="70"/>
    </row>
    <row r="28" spans="1:25" s="69" customFormat="1" ht="52.8" x14ac:dyDescent="0.25">
      <c r="A28" s="79">
        <v>21</v>
      </c>
      <c r="B28" s="76" t="s">
        <v>10</v>
      </c>
      <c r="C28" s="126" t="s">
        <v>524</v>
      </c>
      <c r="D28" s="76" t="s">
        <v>396</v>
      </c>
      <c r="E28" s="75" t="s">
        <v>395</v>
      </c>
      <c r="F28" s="75" t="s">
        <v>394</v>
      </c>
      <c r="G28" s="57">
        <v>80000</v>
      </c>
      <c r="H28" s="57">
        <f>17304-2163</f>
        <v>15141</v>
      </c>
      <c r="I28" s="88">
        <v>9259</v>
      </c>
      <c r="J28" s="88">
        <v>6676</v>
      </c>
      <c r="K28" s="88"/>
      <c r="L28" s="88">
        <v>0</v>
      </c>
      <c r="M28" s="88">
        <v>0</v>
      </c>
      <c r="N28" s="88">
        <v>0</v>
      </c>
      <c r="O28" s="90">
        <v>0</v>
      </c>
      <c r="P28" s="88">
        <v>0</v>
      </c>
      <c r="Q28" s="56">
        <f t="shared" si="0"/>
        <v>15935</v>
      </c>
      <c r="R28" s="70"/>
      <c r="S28" s="70"/>
      <c r="T28" s="70"/>
      <c r="U28" s="70"/>
      <c r="V28" s="70"/>
      <c r="W28" s="70"/>
      <c r="X28" s="70"/>
      <c r="Y28" s="70"/>
    </row>
    <row r="29" spans="1:25" s="69" customFormat="1" ht="39.6" x14ac:dyDescent="0.2">
      <c r="A29" s="2">
        <v>22</v>
      </c>
      <c r="B29" s="37" t="s">
        <v>10</v>
      </c>
      <c r="C29" s="1" t="s">
        <v>393</v>
      </c>
      <c r="D29" s="37" t="s">
        <v>392</v>
      </c>
      <c r="E29" s="37" t="s">
        <v>391</v>
      </c>
      <c r="F29" s="37" t="s">
        <v>178</v>
      </c>
      <c r="G29" s="23">
        <v>299523</v>
      </c>
      <c r="H29" s="23">
        <f>182016-3792</f>
        <v>178224</v>
      </c>
      <c r="I29" s="116">
        <v>22833</v>
      </c>
      <c r="J29" s="116">
        <v>21114</v>
      </c>
      <c r="K29" s="116">
        <v>20475</v>
      </c>
      <c r="L29" s="116">
        <v>19922</v>
      </c>
      <c r="M29" s="116">
        <v>19379</v>
      </c>
      <c r="N29" s="116">
        <v>18814</v>
      </c>
      <c r="O29" s="116">
        <v>18261</v>
      </c>
      <c r="P29" s="116">
        <v>79215</v>
      </c>
      <c r="Q29" s="56">
        <f t="shared" si="0"/>
        <v>220013</v>
      </c>
      <c r="R29" s="70"/>
      <c r="S29" s="70"/>
      <c r="T29" s="70"/>
      <c r="U29" s="70"/>
      <c r="V29" s="70"/>
      <c r="W29" s="70"/>
      <c r="X29" s="70"/>
      <c r="Y29" s="70"/>
    </row>
    <row r="30" spans="1:25" s="69" customFormat="1" ht="39.6" x14ac:dyDescent="0.2">
      <c r="A30" s="2">
        <v>23</v>
      </c>
      <c r="B30" s="37" t="s">
        <v>10</v>
      </c>
      <c r="C30" s="1" t="s">
        <v>390</v>
      </c>
      <c r="D30" s="37" t="s">
        <v>389</v>
      </c>
      <c r="E30" s="37" t="s">
        <v>388</v>
      </c>
      <c r="F30" s="37" t="s">
        <v>387</v>
      </c>
      <c r="G30" s="23">
        <v>58458</v>
      </c>
      <c r="H30" s="23">
        <f>11992-1499</f>
        <v>10493</v>
      </c>
      <c r="I30" s="116">
        <v>6421</v>
      </c>
      <c r="J30" s="116">
        <v>4622</v>
      </c>
      <c r="K30" s="116">
        <v>0</v>
      </c>
      <c r="L30" s="116">
        <v>0</v>
      </c>
      <c r="M30" s="116">
        <v>0</v>
      </c>
      <c r="N30" s="116">
        <v>0</v>
      </c>
      <c r="O30" s="116">
        <v>0</v>
      </c>
      <c r="P30" s="116">
        <v>0</v>
      </c>
      <c r="Q30" s="56">
        <f t="shared" si="0"/>
        <v>11043</v>
      </c>
      <c r="R30" s="70"/>
      <c r="S30" s="70"/>
      <c r="T30" s="70"/>
      <c r="U30" s="70"/>
      <c r="V30" s="70"/>
      <c r="W30" s="70"/>
      <c r="X30" s="70"/>
      <c r="Y30" s="70"/>
    </row>
    <row r="31" spans="1:25" s="69" customFormat="1" ht="39.6" x14ac:dyDescent="0.2">
      <c r="A31" s="2">
        <v>24</v>
      </c>
      <c r="B31" s="37" t="s">
        <v>10</v>
      </c>
      <c r="C31" s="1" t="s">
        <v>386</v>
      </c>
      <c r="D31" s="37" t="s">
        <v>385</v>
      </c>
      <c r="E31" s="37" t="s">
        <v>384</v>
      </c>
      <c r="F31" s="37" t="s">
        <v>12</v>
      </c>
      <c r="G31" s="23">
        <v>480161</v>
      </c>
      <c r="H31" s="23">
        <f>349055-5150</f>
        <v>343905</v>
      </c>
      <c r="I31" s="116">
        <v>35714</v>
      </c>
      <c r="J31" s="116">
        <v>31913</v>
      </c>
      <c r="K31" s="116">
        <v>30540</v>
      </c>
      <c r="L31" s="116">
        <v>29856</v>
      </c>
      <c r="M31" s="116">
        <v>29194</v>
      </c>
      <c r="N31" s="116">
        <v>28487</v>
      </c>
      <c r="O31" s="116">
        <v>27804</v>
      </c>
      <c r="P31" s="116">
        <v>234231</v>
      </c>
      <c r="Q31" s="56">
        <f t="shared" si="0"/>
        <v>447739</v>
      </c>
      <c r="R31" s="70"/>
      <c r="S31" s="70"/>
      <c r="T31" s="70"/>
      <c r="U31" s="70"/>
      <c r="V31" s="70"/>
      <c r="W31" s="70"/>
      <c r="X31" s="70"/>
      <c r="Y31" s="70"/>
    </row>
    <row r="32" spans="1:25" s="97" customFormat="1" ht="39.6" x14ac:dyDescent="0.2">
      <c r="A32" s="125">
        <v>25</v>
      </c>
      <c r="B32" s="121" t="s">
        <v>10</v>
      </c>
      <c r="C32" s="122" t="s">
        <v>533</v>
      </c>
      <c r="D32" s="121" t="s">
        <v>383</v>
      </c>
      <c r="E32" s="121" t="s">
        <v>382</v>
      </c>
      <c r="F32" s="121" t="s">
        <v>381</v>
      </c>
      <c r="G32" s="23">
        <v>1300000</v>
      </c>
      <c r="H32" s="23">
        <f>796250-16250</f>
        <v>780000</v>
      </c>
      <c r="I32" s="141">
        <v>99829</v>
      </c>
      <c r="J32" s="141">
        <v>88392</v>
      </c>
      <c r="K32" s="141">
        <v>84954</v>
      </c>
      <c r="L32" s="141">
        <v>82926</v>
      </c>
      <c r="M32" s="141">
        <v>80939</v>
      </c>
      <c r="N32" s="141">
        <v>78868</v>
      </c>
      <c r="O32" s="141">
        <v>76841</v>
      </c>
      <c r="P32" s="141">
        <v>353952</v>
      </c>
      <c r="Q32" s="127">
        <f t="shared" si="0"/>
        <v>946701</v>
      </c>
      <c r="R32" s="124"/>
      <c r="S32" s="124"/>
      <c r="T32" s="124"/>
      <c r="U32" s="124"/>
      <c r="V32" s="124"/>
      <c r="W32" s="124"/>
      <c r="X32" s="124"/>
      <c r="Y32" s="124"/>
    </row>
    <row r="33" spans="1:25" s="69" customFormat="1" ht="66" x14ac:dyDescent="0.2">
      <c r="A33" s="2">
        <v>26</v>
      </c>
      <c r="B33" s="37" t="s">
        <v>10</v>
      </c>
      <c r="C33" s="1" t="s">
        <v>380</v>
      </c>
      <c r="D33" s="37" t="s">
        <v>379</v>
      </c>
      <c r="E33" s="37" t="s">
        <v>375</v>
      </c>
      <c r="F33" s="37" t="s">
        <v>378</v>
      </c>
      <c r="G33" s="23">
        <v>151608</v>
      </c>
      <c r="H33" s="23">
        <f>98450-1969</f>
        <v>96481</v>
      </c>
      <c r="I33" s="116">
        <v>11744</v>
      </c>
      <c r="J33" s="116">
        <v>11487</v>
      </c>
      <c r="K33" s="116">
        <v>11175</v>
      </c>
      <c r="L33" s="116">
        <v>10848</v>
      </c>
      <c r="M33" s="116">
        <v>10528</v>
      </c>
      <c r="N33" s="116">
        <v>10194</v>
      </c>
      <c r="O33" s="116">
        <v>9867</v>
      </c>
      <c r="P33" s="116">
        <v>46458</v>
      </c>
      <c r="Q33" s="54">
        <f t="shared" si="0"/>
        <v>122301</v>
      </c>
      <c r="R33" s="70"/>
      <c r="S33" s="70"/>
      <c r="T33" s="70"/>
      <c r="U33" s="70"/>
      <c r="V33" s="70"/>
      <c r="W33" s="70"/>
      <c r="X33" s="70"/>
      <c r="Y33" s="70"/>
    </row>
    <row r="34" spans="1:25" s="69" customFormat="1" ht="26.4" x14ac:dyDescent="0.2">
      <c r="A34" s="2">
        <v>27</v>
      </c>
      <c r="B34" s="37" t="s">
        <v>10</v>
      </c>
      <c r="C34" s="1" t="s">
        <v>377</v>
      </c>
      <c r="D34" s="37" t="s">
        <v>376</v>
      </c>
      <c r="E34" s="37" t="s">
        <v>375</v>
      </c>
      <c r="F34" s="37" t="s">
        <v>374</v>
      </c>
      <c r="G34" s="23">
        <v>242413</v>
      </c>
      <c r="H34" s="23">
        <f>175210-2503</f>
        <v>172707</v>
      </c>
      <c r="I34" s="116">
        <v>16962</v>
      </c>
      <c r="J34" s="116">
        <v>16672</v>
      </c>
      <c r="K34" s="116">
        <v>16283</v>
      </c>
      <c r="L34" s="116">
        <v>15867</v>
      </c>
      <c r="M34" s="116">
        <v>15466</v>
      </c>
      <c r="N34" s="116">
        <v>15035</v>
      </c>
      <c r="O34" s="116">
        <v>14620</v>
      </c>
      <c r="P34" s="116">
        <v>125943</v>
      </c>
      <c r="Q34" s="54">
        <f t="shared" si="0"/>
        <v>236848</v>
      </c>
      <c r="R34" s="70"/>
      <c r="S34" s="70"/>
      <c r="T34" s="70"/>
      <c r="U34" s="70"/>
      <c r="V34" s="70"/>
      <c r="W34" s="70"/>
      <c r="X34" s="70"/>
      <c r="Y34" s="70"/>
    </row>
    <row r="35" spans="1:25" s="97" customFormat="1" ht="105.6" x14ac:dyDescent="0.2">
      <c r="A35" s="123">
        <v>28</v>
      </c>
      <c r="B35" s="121" t="s">
        <v>10</v>
      </c>
      <c r="C35" s="122" t="s">
        <v>373</v>
      </c>
      <c r="D35" s="121" t="s">
        <v>372</v>
      </c>
      <c r="E35" s="121" t="s">
        <v>368</v>
      </c>
      <c r="F35" s="121" t="s">
        <v>371</v>
      </c>
      <c r="G35" s="23">
        <v>1637158</v>
      </c>
      <c r="H35" s="23">
        <f>1306942-14362</f>
        <v>1292580</v>
      </c>
      <c r="I35" s="141">
        <v>110560</v>
      </c>
      <c r="J35" s="141">
        <v>107211</v>
      </c>
      <c r="K35" s="141">
        <v>104651</v>
      </c>
      <c r="L35" s="141">
        <v>102329</v>
      </c>
      <c r="M35" s="141">
        <v>100120</v>
      </c>
      <c r="N35" s="141">
        <v>97683</v>
      </c>
      <c r="O35" s="141">
        <v>95363</v>
      </c>
      <c r="P35" s="141">
        <v>1181757</v>
      </c>
      <c r="Q35" s="127">
        <f t="shared" si="0"/>
        <v>1899674</v>
      </c>
      <c r="R35" s="124"/>
      <c r="S35" s="124"/>
      <c r="T35" s="124"/>
      <c r="U35" s="124"/>
      <c r="V35" s="124"/>
      <c r="W35" s="124"/>
      <c r="X35" s="124"/>
      <c r="Y35" s="124"/>
    </row>
    <row r="36" spans="1:25" s="69" customFormat="1" ht="39.6" x14ac:dyDescent="0.2">
      <c r="A36" s="2">
        <v>29</v>
      </c>
      <c r="B36" s="37" t="s">
        <v>10</v>
      </c>
      <c r="C36" s="1" t="s">
        <v>370</v>
      </c>
      <c r="D36" s="37" t="s">
        <v>369</v>
      </c>
      <c r="E36" s="37" t="s">
        <v>368</v>
      </c>
      <c r="F36" s="37" t="s">
        <v>367</v>
      </c>
      <c r="G36" s="23">
        <v>88488</v>
      </c>
      <c r="H36" s="23">
        <f>47306-1526</f>
        <v>45780</v>
      </c>
      <c r="I36" s="116">
        <v>7959</v>
      </c>
      <c r="J36" s="116">
        <v>7676</v>
      </c>
      <c r="K36" s="116">
        <v>7422</v>
      </c>
      <c r="L36" s="116">
        <v>7175</v>
      </c>
      <c r="M36" s="116">
        <v>6930</v>
      </c>
      <c r="N36" s="116">
        <v>6682</v>
      </c>
      <c r="O36" s="116">
        <v>6435</v>
      </c>
      <c r="P36" s="116">
        <v>3129</v>
      </c>
      <c r="Q36" s="54">
        <f t="shared" si="0"/>
        <v>53408</v>
      </c>
      <c r="R36" s="70"/>
      <c r="S36" s="70"/>
      <c r="T36" s="70"/>
      <c r="U36" s="70"/>
      <c r="V36" s="70"/>
      <c r="W36" s="70"/>
      <c r="X36" s="70"/>
      <c r="Y36" s="70"/>
    </row>
    <row r="37" spans="1:25" s="69" customFormat="1" ht="26.4" x14ac:dyDescent="0.2">
      <c r="A37" s="79">
        <v>30</v>
      </c>
      <c r="B37" s="37" t="s">
        <v>10</v>
      </c>
      <c r="C37" s="1" t="s">
        <v>366</v>
      </c>
      <c r="D37" s="37" t="s">
        <v>365</v>
      </c>
      <c r="E37" s="37" t="s">
        <v>364</v>
      </c>
      <c r="F37" s="37" t="s">
        <v>76</v>
      </c>
      <c r="G37" s="23">
        <v>166843</v>
      </c>
      <c r="H37" s="23">
        <f>89187-2877</f>
        <v>86310</v>
      </c>
      <c r="I37" s="116">
        <v>14969</v>
      </c>
      <c r="J37" s="116">
        <v>14460</v>
      </c>
      <c r="K37" s="116">
        <v>14013</v>
      </c>
      <c r="L37" s="116">
        <v>13544</v>
      </c>
      <c r="M37" s="116">
        <v>13079</v>
      </c>
      <c r="N37" s="116">
        <v>12606</v>
      </c>
      <c r="O37" s="116">
        <v>12137</v>
      </c>
      <c r="P37" s="116">
        <v>5907</v>
      </c>
      <c r="Q37" s="54">
        <f t="shared" si="0"/>
        <v>100715</v>
      </c>
      <c r="R37" s="70"/>
      <c r="S37" s="70"/>
      <c r="T37" s="70"/>
      <c r="U37" s="70"/>
      <c r="V37" s="70"/>
      <c r="W37" s="70"/>
      <c r="X37" s="70"/>
      <c r="Y37" s="70"/>
    </row>
    <row r="38" spans="1:25" s="69" customFormat="1" ht="39.6" x14ac:dyDescent="0.2">
      <c r="A38" s="2">
        <v>31</v>
      </c>
      <c r="B38" s="37" t="s">
        <v>10</v>
      </c>
      <c r="C38" s="1" t="s">
        <v>363</v>
      </c>
      <c r="D38" s="37" t="s">
        <v>362</v>
      </c>
      <c r="E38" s="37" t="s">
        <v>361</v>
      </c>
      <c r="F38" s="37" t="s">
        <v>360</v>
      </c>
      <c r="G38" s="23">
        <v>265803</v>
      </c>
      <c r="H38" s="23">
        <f>175552-3376</f>
        <v>172176</v>
      </c>
      <c r="I38" s="116">
        <v>20957</v>
      </c>
      <c r="J38" s="116">
        <v>19614</v>
      </c>
      <c r="K38" s="116">
        <v>19088</v>
      </c>
      <c r="L38" s="116">
        <v>18561</v>
      </c>
      <c r="M38" s="116">
        <v>18045</v>
      </c>
      <c r="N38" s="116">
        <v>17505</v>
      </c>
      <c r="O38" s="116">
        <v>16978</v>
      </c>
      <c r="P38" s="116">
        <v>87417</v>
      </c>
      <c r="Q38" s="54">
        <f t="shared" si="0"/>
        <v>218165</v>
      </c>
      <c r="R38" s="70"/>
      <c r="S38" s="70"/>
      <c r="T38" s="70"/>
      <c r="U38" s="70"/>
      <c r="V38" s="70"/>
      <c r="W38" s="70"/>
      <c r="X38" s="70"/>
      <c r="Y38" s="70"/>
    </row>
    <row r="39" spans="1:25" s="97" customFormat="1" ht="26.4" x14ac:dyDescent="0.2">
      <c r="A39" s="123">
        <v>32</v>
      </c>
      <c r="B39" s="121" t="s">
        <v>10</v>
      </c>
      <c r="C39" s="122" t="s">
        <v>359</v>
      </c>
      <c r="D39" s="121" t="s">
        <v>358</v>
      </c>
      <c r="E39" s="121" t="s">
        <v>357</v>
      </c>
      <c r="F39" s="121" t="s">
        <v>356</v>
      </c>
      <c r="G39" s="23">
        <v>610898</v>
      </c>
      <c r="H39" s="23">
        <f>472328-5134</f>
        <v>467194</v>
      </c>
      <c r="I39" s="141">
        <v>40548</v>
      </c>
      <c r="J39" s="141">
        <v>36942</v>
      </c>
      <c r="K39" s="141">
        <v>35957</v>
      </c>
      <c r="L39" s="141">
        <v>35208</v>
      </c>
      <c r="M39" s="141">
        <v>34496</v>
      </c>
      <c r="N39" s="141">
        <v>33709</v>
      </c>
      <c r="O39" s="141">
        <v>32960</v>
      </c>
      <c r="P39" s="141">
        <v>420466</v>
      </c>
      <c r="Q39" s="127">
        <f t="shared" si="0"/>
        <v>670286</v>
      </c>
      <c r="R39" s="124"/>
      <c r="S39" s="124"/>
      <c r="T39" s="124"/>
      <c r="U39" s="124"/>
      <c r="V39" s="124"/>
      <c r="W39" s="124"/>
      <c r="X39" s="124"/>
      <c r="Y39" s="124"/>
    </row>
    <row r="40" spans="1:25" s="69" customFormat="1" ht="79.2" x14ac:dyDescent="0.25">
      <c r="A40" s="2">
        <v>33</v>
      </c>
      <c r="B40" s="76" t="s">
        <v>10</v>
      </c>
      <c r="C40" s="126" t="s">
        <v>480</v>
      </c>
      <c r="D40" s="76" t="s">
        <v>355</v>
      </c>
      <c r="E40" s="75" t="s">
        <v>354</v>
      </c>
      <c r="F40" s="75" t="s">
        <v>331</v>
      </c>
      <c r="G40" s="57">
        <v>663400</v>
      </c>
      <c r="H40" s="57">
        <f>204132-17011</f>
        <v>187121</v>
      </c>
      <c r="I40" s="88">
        <v>75980</v>
      </c>
      <c r="J40" s="88">
        <v>71613</v>
      </c>
      <c r="K40" s="88">
        <v>52300</v>
      </c>
      <c r="L40" s="88">
        <v>0</v>
      </c>
      <c r="M40" s="88">
        <v>0</v>
      </c>
      <c r="N40" s="88">
        <v>0</v>
      </c>
      <c r="O40" s="90">
        <v>0</v>
      </c>
      <c r="P40" s="88">
        <v>0</v>
      </c>
      <c r="Q40" s="56">
        <f t="shared" ref="Q40:Q71" si="1">SUM(I40:P40)</f>
        <v>199893</v>
      </c>
      <c r="R40" s="70"/>
      <c r="S40" s="70"/>
      <c r="T40" s="70"/>
      <c r="U40" s="70"/>
      <c r="V40" s="70"/>
      <c r="W40" s="70"/>
      <c r="X40" s="70"/>
      <c r="Y40" s="70"/>
    </row>
    <row r="41" spans="1:25" s="69" customFormat="1" ht="52.8" x14ac:dyDescent="0.2">
      <c r="A41" s="79">
        <v>34</v>
      </c>
      <c r="B41" s="37" t="s">
        <v>10</v>
      </c>
      <c r="C41" s="1" t="s">
        <v>353</v>
      </c>
      <c r="D41" s="37" t="s">
        <v>352</v>
      </c>
      <c r="E41" s="37" t="s">
        <v>351</v>
      </c>
      <c r="F41" s="37" t="s">
        <v>42</v>
      </c>
      <c r="G41" s="23">
        <v>693304</v>
      </c>
      <c r="H41" s="23">
        <f>427572-11556</f>
        <v>416016</v>
      </c>
      <c r="I41" s="116">
        <v>64645</v>
      </c>
      <c r="J41" s="116">
        <v>58124</v>
      </c>
      <c r="K41" s="116">
        <v>56098</v>
      </c>
      <c r="L41" s="116">
        <v>54649</v>
      </c>
      <c r="M41" s="116">
        <v>53223</v>
      </c>
      <c r="N41" s="116">
        <v>51762</v>
      </c>
      <c r="O41" s="116">
        <v>50321</v>
      </c>
      <c r="P41" s="116">
        <v>96409</v>
      </c>
      <c r="Q41" s="54">
        <f t="shared" si="1"/>
        <v>485231</v>
      </c>
      <c r="R41" s="70"/>
      <c r="S41" s="70"/>
      <c r="T41" s="70"/>
      <c r="U41" s="70"/>
      <c r="V41" s="70"/>
      <c r="W41" s="70"/>
      <c r="X41" s="70"/>
      <c r="Y41" s="70"/>
    </row>
    <row r="42" spans="1:25" s="69" customFormat="1" ht="39.6" x14ac:dyDescent="0.2">
      <c r="A42" s="2">
        <v>35</v>
      </c>
      <c r="B42" s="37" t="s">
        <v>10</v>
      </c>
      <c r="C42" s="1" t="s">
        <v>350</v>
      </c>
      <c r="D42" s="37" t="s">
        <v>349</v>
      </c>
      <c r="E42" s="37" t="s">
        <v>348</v>
      </c>
      <c r="F42" s="37" t="s">
        <v>347</v>
      </c>
      <c r="G42" s="23">
        <v>118952</v>
      </c>
      <c r="H42" s="23">
        <f>66561-2017</f>
        <v>64544</v>
      </c>
      <c r="I42" s="116">
        <v>10878</v>
      </c>
      <c r="J42" s="116">
        <v>9844</v>
      </c>
      <c r="K42" s="116">
        <v>9539</v>
      </c>
      <c r="L42" s="116">
        <v>9287</v>
      </c>
      <c r="M42" s="116">
        <v>9037</v>
      </c>
      <c r="N42" s="116">
        <v>8783</v>
      </c>
      <c r="O42" s="116">
        <v>8532</v>
      </c>
      <c r="P42" s="116">
        <v>8284</v>
      </c>
      <c r="Q42" s="54">
        <f t="shared" si="1"/>
        <v>74184</v>
      </c>
      <c r="R42" s="70"/>
      <c r="S42" s="70"/>
      <c r="T42" s="70"/>
      <c r="U42" s="70"/>
      <c r="V42" s="70"/>
      <c r="W42" s="70"/>
      <c r="X42" s="70"/>
      <c r="Y42" s="70"/>
    </row>
    <row r="43" spans="1:25" s="69" customFormat="1" ht="39.6" x14ac:dyDescent="0.2">
      <c r="A43" s="2">
        <v>36</v>
      </c>
      <c r="B43" s="37" t="s">
        <v>10</v>
      </c>
      <c r="C43" s="1" t="s">
        <v>326</v>
      </c>
      <c r="D43" s="37" t="s">
        <v>346</v>
      </c>
      <c r="E43" s="37" t="s">
        <v>345</v>
      </c>
      <c r="F43" s="37" t="s">
        <v>344</v>
      </c>
      <c r="G43" s="23">
        <v>400000</v>
      </c>
      <c r="H43" s="23">
        <f>304191-4167</f>
        <v>300024</v>
      </c>
      <c r="I43" s="116">
        <v>29088</v>
      </c>
      <c r="J43" s="116">
        <v>28575</v>
      </c>
      <c r="K43" s="116">
        <v>27771</v>
      </c>
      <c r="L43" s="116">
        <v>27070</v>
      </c>
      <c r="M43" s="116">
        <v>26394</v>
      </c>
      <c r="N43" s="116">
        <v>25667</v>
      </c>
      <c r="O43" s="116">
        <v>24966</v>
      </c>
      <c r="P43" s="116">
        <v>228463</v>
      </c>
      <c r="Q43" s="54">
        <f t="shared" si="1"/>
        <v>417994</v>
      </c>
      <c r="R43" s="70"/>
      <c r="S43" s="70"/>
      <c r="T43" s="70"/>
      <c r="U43" s="70"/>
      <c r="V43" s="70"/>
      <c r="W43" s="70"/>
      <c r="X43" s="70"/>
      <c r="Y43" s="70"/>
    </row>
    <row r="44" spans="1:25" s="69" customFormat="1" ht="66" x14ac:dyDescent="0.2">
      <c r="A44" s="2">
        <v>37</v>
      </c>
      <c r="B44" s="37" t="s">
        <v>10</v>
      </c>
      <c r="C44" s="1" t="s">
        <v>343</v>
      </c>
      <c r="D44" s="37" t="s">
        <v>342</v>
      </c>
      <c r="E44" s="37" t="s">
        <v>339</v>
      </c>
      <c r="F44" s="37" t="s">
        <v>338</v>
      </c>
      <c r="G44" s="23">
        <v>131949</v>
      </c>
      <c r="H44" s="23">
        <f>55209-1673</f>
        <v>53536</v>
      </c>
      <c r="I44" s="116">
        <v>8825</v>
      </c>
      <c r="J44" s="116">
        <v>8627</v>
      </c>
      <c r="K44" s="116">
        <v>8337</v>
      </c>
      <c r="L44" s="116">
        <v>8055</v>
      </c>
      <c r="M44" s="116">
        <v>7776</v>
      </c>
      <c r="N44" s="116">
        <v>7492</v>
      </c>
      <c r="O44" s="116">
        <v>7211</v>
      </c>
      <c r="P44" s="116">
        <v>6945</v>
      </c>
      <c r="Q44" s="54">
        <f t="shared" si="1"/>
        <v>63268</v>
      </c>
      <c r="R44" s="70"/>
      <c r="S44" s="70"/>
      <c r="T44" s="70"/>
      <c r="U44" s="70"/>
      <c r="V44" s="70"/>
      <c r="W44" s="70"/>
      <c r="X44" s="70"/>
      <c r="Y44" s="70"/>
    </row>
    <row r="45" spans="1:25" s="69" customFormat="1" ht="52.8" x14ac:dyDescent="0.2">
      <c r="A45" s="2">
        <v>38</v>
      </c>
      <c r="B45" s="37" t="s">
        <v>10</v>
      </c>
      <c r="C45" s="1" t="s">
        <v>341</v>
      </c>
      <c r="D45" s="37" t="s">
        <v>340</v>
      </c>
      <c r="E45" s="37" t="s">
        <v>339</v>
      </c>
      <c r="F45" s="37" t="s">
        <v>338</v>
      </c>
      <c r="G45" s="23">
        <v>117679</v>
      </c>
      <c r="H45" s="23">
        <f>40821-1237</f>
        <v>39584</v>
      </c>
      <c r="I45" s="116">
        <v>6525</v>
      </c>
      <c r="J45" s="116">
        <v>6378</v>
      </c>
      <c r="K45" s="116">
        <v>6164</v>
      </c>
      <c r="L45" s="116">
        <v>5956</v>
      </c>
      <c r="M45" s="116">
        <v>5750</v>
      </c>
      <c r="N45" s="116">
        <v>5539</v>
      </c>
      <c r="O45" s="116">
        <v>5331</v>
      </c>
      <c r="P45" s="116">
        <v>5137</v>
      </c>
      <c r="Q45" s="54">
        <f t="shared" si="1"/>
        <v>46780</v>
      </c>
      <c r="R45" s="70"/>
      <c r="S45" s="70"/>
      <c r="T45" s="70"/>
      <c r="U45" s="70"/>
      <c r="V45" s="70"/>
      <c r="W45" s="70"/>
      <c r="X45" s="70"/>
      <c r="Y45" s="70"/>
    </row>
    <row r="46" spans="1:25" s="69" customFormat="1" ht="52.8" x14ac:dyDescent="0.2">
      <c r="A46" s="79">
        <v>39</v>
      </c>
      <c r="B46" s="37" t="s">
        <v>10</v>
      </c>
      <c r="C46" s="1" t="s">
        <v>337</v>
      </c>
      <c r="D46" s="37" t="s">
        <v>336</v>
      </c>
      <c r="E46" s="37" t="s">
        <v>332</v>
      </c>
      <c r="F46" s="37" t="s">
        <v>335</v>
      </c>
      <c r="G46" s="23">
        <v>95705</v>
      </c>
      <c r="H46" s="23">
        <f>21567-1659</f>
        <v>19908</v>
      </c>
      <c r="I46" s="116">
        <v>7401</v>
      </c>
      <c r="J46" s="116">
        <v>7142</v>
      </c>
      <c r="K46" s="116">
        <v>6869</v>
      </c>
      <c r="L46" s="116">
        <v>15</v>
      </c>
      <c r="M46" s="116"/>
      <c r="N46" s="116">
        <v>0</v>
      </c>
      <c r="O46" s="116">
        <v>0</v>
      </c>
      <c r="P46" s="116">
        <v>0</v>
      </c>
      <c r="Q46" s="54">
        <f t="shared" si="1"/>
        <v>21427</v>
      </c>
      <c r="R46" s="70"/>
      <c r="S46" s="70"/>
      <c r="T46" s="70"/>
      <c r="U46" s="70"/>
      <c r="V46" s="70"/>
      <c r="W46" s="70"/>
      <c r="X46" s="70"/>
      <c r="Y46" s="70"/>
    </row>
    <row r="47" spans="1:25" s="69" customFormat="1" ht="52.8" x14ac:dyDescent="0.2">
      <c r="A47" s="2">
        <v>40</v>
      </c>
      <c r="B47" s="37" t="s">
        <v>10</v>
      </c>
      <c r="C47" s="1" t="s">
        <v>334</v>
      </c>
      <c r="D47" s="37" t="s">
        <v>333</v>
      </c>
      <c r="E47" s="37" t="s">
        <v>332</v>
      </c>
      <c r="F47" s="37" t="s">
        <v>331</v>
      </c>
      <c r="G47" s="23">
        <v>92003</v>
      </c>
      <c r="H47" s="23">
        <f>19212-1601</f>
        <v>17611</v>
      </c>
      <c r="I47" s="116">
        <v>7078</v>
      </c>
      <c r="J47" s="116">
        <v>6826</v>
      </c>
      <c r="K47" s="116">
        <v>4961</v>
      </c>
      <c r="L47" s="116">
        <v>0</v>
      </c>
      <c r="M47" s="116">
        <v>0</v>
      </c>
      <c r="N47" s="116">
        <v>0</v>
      </c>
      <c r="O47" s="116">
        <v>0</v>
      </c>
      <c r="P47" s="116">
        <v>0</v>
      </c>
      <c r="Q47" s="54">
        <f t="shared" si="1"/>
        <v>18865</v>
      </c>
      <c r="R47" s="70"/>
      <c r="S47" s="70"/>
      <c r="T47" s="70"/>
      <c r="U47" s="70"/>
      <c r="V47" s="70"/>
      <c r="W47" s="70"/>
      <c r="X47" s="70"/>
      <c r="Y47" s="70"/>
    </row>
    <row r="48" spans="1:25" s="69" customFormat="1" ht="79.2" x14ac:dyDescent="0.2">
      <c r="A48" s="2">
        <v>41</v>
      </c>
      <c r="B48" s="37" t="s">
        <v>10</v>
      </c>
      <c r="C48" s="1" t="s">
        <v>330</v>
      </c>
      <c r="D48" s="37" t="s">
        <v>329</v>
      </c>
      <c r="E48" s="37" t="s">
        <v>328</v>
      </c>
      <c r="F48" s="37" t="s">
        <v>327</v>
      </c>
      <c r="G48" s="23">
        <v>238827</v>
      </c>
      <c r="H48" s="23">
        <f>167508-3102</f>
        <v>164406</v>
      </c>
      <c r="I48" s="116">
        <v>18975</v>
      </c>
      <c r="J48" s="116">
        <v>18622</v>
      </c>
      <c r="K48" s="116">
        <v>18120</v>
      </c>
      <c r="L48" s="116">
        <v>17605</v>
      </c>
      <c r="M48" s="116">
        <v>17102</v>
      </c>
      <c r="N48" s="116">
        <v>16574</v>
      </c>
      <c r="O48" s="116">
        <v>16060</v>
      </c>
      <c r="P48" s="116">
        <v>88750</v>
      </c>
      <c r="Q48" s="54">
        <f t="shared" si="1"/>
        <v>211808</v>
      </c>
      <c r="R48" s="70"/>
      <c r="S48" s="70"/>
      <c r="T48" s="70"/>
      <c r="U48" s="70"/>
      <c r="V48" s="70"/>
      <c r="W48" s="70"/>
      <c r="X48" s="70"/>
      <c r="Y48" s="70"/>
    </row>
    <row r="49" spans="1:40" s="69" customFormat="1" ht="39.6" x14ac:dyDescent="0.2">
      <c r="A49" s="2">
        <v>42</v>
      </c>
      <c r="B49" s="37" t="s">
        <v>10</v>
      </c>
      <c r="C49" s="1" t="s">
        <v>326</v>
      </c>
      <c r="D49" s="37" t="s">
        <v>325</v>
      </c>
      <c r="E49" s="37" t="s">
        <v>324</v>
      </c>
      <c r="F49" s="37" t="s">
        <v>323</v>
      </c>
      <c r="G49" s="23">
        <v>399990</v>
      </c>
      <c r="H49" s="23">
        <f>332630-4495</f>
        <v>328135</v>
      </c>
      <c r="I49" s="116">
        <v>31231</v>
      </c>
      <c r="J49" s="116">
        <v>30536</v>
      </c>
      <c r="K49" s="116">
        <v>29668</v>
      </c>
      <c r="L49" s="116">
        <v>28941</v>
      </c>
      <c r="M49" s="116">
        <v>28241</v>
      </c>
      <c r="N49" s="116">
        <v>27487</v>
      </c>
      <c r="O49" s="116">
        <v>26761</v>
      </c>
      <c r="P49" s="116">
        <v>251112</v>
      </c>
      <c r="Q49" s="54">
        <f t="shared" si="1"/>
        <v>453977</v>
      </c>
      <c r="R49" s="70"/>
      <c r="S49" s="70"/>
      <c r="T49" s="70"/>
      <c r="U49" s="70"/>
      <c r="V49" s="70"/>
      <c r="W49" s="70"/>
      <c r="X49" s="70"/>
      <c r="Y49" s="70"/>
    </row>
    <row r="50" spans="1:40" s="97" customFormat="1" ht="79.2" x14ac:dyDescent="0.2">
      <c r="A50" s="125">
        <v>43</v>
      </c>
      <c r="B50" s="121" t="s">
        <v>10</v>
      </c>
      <c r="C50" s="122" t="s">
        <v>322</v>
      </c>
      <c r="D50" s="121" t="s">
        <v>321</v>
      </c>
      <c r="E50" s="121" t="s">
        <v>320</v>
      </c>
      <c r="F50" s="121" t="s">
        <v>319</v>
      </c>
      <c r="G50" s="23">
        <v>4102470</v>
      </c>
      <c r="H50" s="23">
        <f>3543120-37296</f>
        <v>3505824</v>
      </c>
      <c r="I50" s="141">
        <v>293272</v>
      </c>
      <c r="J50" s="141">
        <v>284463</v>
      </c>
      <c r="K50" s="141">
        <v>277787</v>
      </c>
      <c r="L50" s="141">
        <v>271758</v>
      </c>
      <c r="M50" s="141">
        <v>266039</v>
      </c>
      <c r="N50" s="141">
        <v>259693</v>
      </c>
      <c r="O50" s="141">
        <v>253668</v>
      </c>
      <c r="P50" s="141">
        <v>3316565</v>
      </c>
      <c r="Q50" s="127">
        <f t="shared" si="1"/>
        <v>5223245</v>
      </c>
      <c r="R50" s="124"/>
      <c r="S50" s="124"/>
      <c r="T50" s="124"/>
      <c r="U50" s="124"/>
      <c r="V50" s="124"/>
      <c r="W50" s="124"/>
      <c r="X50" s="124"/>
      <c r="Y50" s="124"/>
    </row>
    <row r="51" spans="1:40" s="69" customFormat="1" ht="52.8" x14ac:dyDescent="0.2">
      <c r="A51" s="2">
        <v>44</v>
      </c>
      <c r="B51" s="37" t="s">
        <v>10</v>
      </c>
      <c r="C51" s="1" t="s">
        <v>318</v>
      </c>
      <c r="D51" s="37" t="s">
        <v>317</v>
      </c>
      <c r="E51" s="37" t="s">
        <v>316</v>
      </c>
      <c r="F51" s="37" t="s">
        <v>42</v>
      </c>
      <c r="G51" s="23">
        <v>1100000</v>
      </c>
      <c r="H51" s="23">
        <f>678358-18334</f>
        <v>660024</v>
      </c>
      <c r="I51" s="116">
        <v>100534</v>
      </c>
      <c r="J51" s="116">
        <v>96307</v>
      </c>
      <c r="K51" s="116">
        <v>93429</v>
      </c>
      <c r="L51" s="116">
        <v>90492</v>
      </c>
      <c r="M51" s="116">
        <v>87590</v>
      </c>
      <c r="N51" s="116">
        <v>84615</v>
      </c>
      <c r="O51" s="116">
        <v>81680</v>
      </c>
      <c r="P51" s="116">
        <v>154738</v>
      </c>
      <c r="Q51" s="54">
        <f t="shared" si="1"/>
        <v>789385</v>
      </c>
      <c r="R51" s="70"/>
      <c r="S51" s="70"/>
      <c r="T51" s="70"/>
      <c r="U51" s="70"/>
      <c r="V51" s="70"/>
      <c r="W51" s="70"/>
      <c r="X51" s="70"/>
      <c r="Y51" s="70"/>
    </row>
    <row r="52" spans="1:40" s="69" customFormat="1" ht="39.6" x14ac:dyDescent="0.2">
      <c r="A52" s="2">
        <v>45</v>
      </c>
      <c r="B52" s="37" t="s">
        <v>10</v>
      </c>
      <c r="C52" s="1" t="s">
        <v>530</v>
      </c>
      <c r="D52" s="37" t="s">
        <v>315</v>
      </c>
      <c r="E52" s="37" t="s">
        <v>309</v>
      </c>
      <c r="F52" s="37" t="s">
        <v>128</v>
      </c>
      <c r="G52" s="23">
        <v>574514</v>
      </c>
      <c r="H52" s="23">
        <f>444225-5923</f>
        <v>438302</v>
      </c>
      <c r="I52" s="116">
        <v>42282</v>
      </c>
      <c r="J52" s="116">
        <v>40137</v>
      </c>
      <c r="K52" s="116">
        <v>39190</v>
      </c>
      <c r="L52" s="116">
        <v>38242</v>
      </c>
      <c r="M52" s="116">
        <v>37328</v>
      </c>
      <c r="N52" s="116">
        <v>36343</v>
      </c>
      <c r="O52" s="116">
        <v>35395</v>
      </c>
      <c r="P52" s="116">
        <v>339007</v>
      </c>
      <c r="Q52" s="54">
        <f t="shared" si="1"/>
        <v>607924</v>
      </c>
      <c r="R52" s="70"/>
      <c r="S52" s="70"/>
      <c r="T52" s="70"/>
      <c r="U52" s="70"/>
      <c r="V52" s="70"/>
      <c r="W52" s="70"/>
      <c r="X52" s="70"/>
      <c r="Y52" s="70"/>
    </row>
    <row r="53" spans="1:40" s="69" customFormat="1" ht="26.4" x14ac:dyDescent="0.2">
      <c r="A53" s="2">
        <v>46</v>
      </c>
      <c r="B53" s="37" t="s">
        <v>10</v>
      </c>
      <c r="C53" s="1" t="s">
        <v>531</v>
      </c>
      <c r="D53" s="37" t="s">
        <v>314</v>
      </c>
      <c r="E53" s="37" t="s">
        <v>309</v>
      </c>
      <c r="F53" s="37" t="s">
        <v>308</v>
      </c>
      <c r="G53" s="23">
        <v>642766</v>
      </c>
      <c r="H53" s="23">
        <f>526490-5542</f>
        <v>520948</v>
      </c>
      <c r="I53" s="116">
        <v>44300</v>
      </c>
      <c r="J53" s="116">
        <v>41990</v>
      </c>
      <c r="K53" s="116">
        <v>41105</v>
      </c>
      <c r="L53" s="116">
        <v>40217</v>
      </c>
      <c r="M53" s="116">
        <v>39375</v>
      </c>
      <c r="N53" s="116">
        <v>38441</v>
      </c>
      <c r="O53" s="116">
        <v>37553</v>
      </c>
      <c r="P53" s="116">
        <v>491714</v>
      </c>
      <c r="Q53" s="54">
        <f t="shared" si="1"/>
        <v>774695</v>
      </c>
      <c r="R53" s="70"/>
      <c r="S53" s="70"/>
      <c r="T53" s="70"/>
      <c r="U53" s="70"/>
      <c r="V53" s="70"/>
      <c r="W53" s="70"/>
      <c r="X53" s="70"/>
      <c r="Y53" s="70"/>
    </row>
    <row r="54" spans="1:40" s="69" customFormat="1" ht="79.2" x14ac:dyDescent="0.2">
      <c r="A54" s="2">
        <v>47</v>
      </c>
      <c r="B54" s="37" t="s">
        <v>10</v>
      </c>
      <c r="C54" s="1" t="s">
        <v>532</v>
      </c>
      <c r="D54" s="37" t="s">
        <v>313</v>
      </c>
      <c r="E54" s="37" t="s">
        <v>309</v>
      </c>
      <c r="F54" s="37" t="s">
        <v>312</v>
      </c>
      <c r="G54" s="23">
        <v>238305</v>
      </c>
      <c r="H54" s="23">
        <f>169785-3087</f>
        <v>166698</v>
      </c>
      <c r="I54" s="116">
        <v>19397</v>
      </c>
      <c r="J54" s="116">
        <v>18448</v>
      </c>
      <c r="K54" s="116">
        <v>17955</v>
      </c>
      <c r="L54" s="116">
        <v>17460</v>
      </c>
      <c r="M54" s="116">
        <v>16978</v>
      </c>
      <c r="N54" s="116">
        <v>16471</v>
      </c>
      <c r="O54" s="116">
        <v>15977</v>
      </c>
      <c r="P54" s="116">
        <v>91843</v>
      </c>
      <c r="Q54" s="54">
        <f t="shared" si="1"/>
        <v>214529</v>
      </c>
      <c r="R54" s="70"/>
      <c r="S54" s="70"/>
      <c r="T54" s="70"/>
      <c r="U54" s="70"/>
      <c r="V54" s="70"/>
      <c r="W54" s="70"/>
      <c r="X54" s="70"/>
      <c r="Y54" s="70"/>
    </row>
    <row r="55" spans="1:40" s="69" customFormat="1" ht="39.6" x14ac:dyDescent="0.2">
      <c r="A55" s="79">
        <v>48</v>
      </c>
      <c r="B55" s="37" t="s">
        <v>10</v>
      </c>
      <c r="C55" s="1" t="s">
        <v>311</v>
      </c>
      <c r="D55" s="37" t="s">
        <v>310</v>
      </c>
      <c r="E55" s="37" t="s">
        <v>309</v>
      </c>
      <c r="F55" s="37" t="s">
        <v>308</v>
      </c>
      <c r="G55" s="23">
        <v>772384</v>
      </c>
      <c r="H55" s="23">
        <f>627190-6602</f>
        <v>620588</v>
      </c>
      <c r="I55" s="116">
        <v>52774</v>
      </c>
      <c r="J55" s="116">
        <v>50022</v>
      </c>
      <c r="K55" s="116">
        <v>48967</v>
      </c>
      <c r="L55" s="116">
        <v>47910</v>
      </c>
      <c r="M55" s="116">
        <v>46906</v>
      </c>
      <c r="N55" s="116">
        <v>45793</v>
      </c>
      <c r="O55" s="116">
        <v>44736</v>
      </c>
      <c r="P55" s="116">
        <v>585760</v>
      </c>
      <c r="Q55" s="54">
        <f t="shared" si="1"/>
        <v>922868</v>
      </c>
      <c r="R55" s="70"/>
      <c r="S55" s="70"/>
      <c r="T55" s="70"/>
      <c r="U55" s="70"/>
      <c r="V55" s="70"/>
      <c r="W55" s="70"/>
      <c r="X55" s="70"/>
      <c r="Y55" s="70"/>
    </row>
    <row r="56" spans="1:40" s="69" customFormat="1" ht="52.8" x14ac:dyDescent="0.2">
      <c r="A56" s="2">
        <v>49</v>
      </c>
      <c r="B56" s="37" t="s">
        <v>10</v>
      </c>
      <c r="C56" s="1" t="s">
        <v>529</v>
      </c>
      <c r="D56" s="37" t="s">
        <v>307</v>
      </c>
      <c r="E56" s="37" t="s">
        <v>306</v>
      </c>
      <c r="F56" s="37" t="s">
        <v>305</v>
      </c>
      <c r="G56" s="23">
        <v>831260</v>
      </c>
      <c r="H56" s="23">
        <f>693984-7229</f>
        <v>686755</v>
      </c>
      <c r="I56" s="116">
        <v>58095</v>
      </c>
      <c r="J56" s="116">
        <v>54895</v>
      </c>
      <c r="K56" s="116">
        <v>53286</v>
      </c>
      <c r="L56" s="116">
        <v>52157</v>
      </c>
      <c r="M56" s="116">
        <v>51087</v>
      </c>
      <c r="N56" s="116">
        <v>49897</v>
      </c>
      <c r="O56" s="116">
        <v>48769</v>
      </c>
      <c r="P56" s="116">
        <v>649285</v>
      </c>
      <c r="Q56" s="54">
        <f t="shared" si="1"/>
        <v>1017471</v>
      </c>
      <c r="R56" s="70"/>
      <c r="S56" s="70"/>
      <c r="T56" s="70"/>
      <c r="U56" s="70"/>
      <c r="V56" s="70"/>
      <c r="W56" s="70"/>
      <c r="X56" s="70"/>
      <c r="Y56" s="70"/>
      <c r="AN56" s="69">
        <f>50744.61+428.87+6921.28</f>
        <v>58094.76</v>
      </c>
    </row>
    <row r="57" spans="1:40" s="69" customFormat="1" ht="79.2" x14ac:dyDescent="0.2">
      <c r="A57" s="2">
        <v>50</v>
      </c>
      <c r="B57" s="37" t="s">
        <v>10</v>
      </c>
      <c r="C57" s="1" t="s">
        <v>304</v>
      </c>
      <c r="D57" s="37" t="s">
        <v>303</v>
      </c>
      <c r="E57" s="37" t="s">
        <v>299</v>
      </c>
      <c r="F57" s="37" t="s">
        <v>302</v>
      </c>
      <c r="G57" s="23">
        <v>828319</v>
      </c>
      <c r="H57" s="23">
        <f>528960-5510</f>
        <v>523450</v>
      </c>
      <c r="I57" s="116">
        <v>44785</v>
      </c>
      <c r="J57" s="116">
        <v>40181</v>
      </c>
      <c r="K57" s="116">
        <v>39380</v>
      </c>
      <c r="L57" s="116">
        <v>38576</v>
      </c>
      <c r="M57" s="116">
        <v>37815</v>
      </c>
      <c r="N57" s="116">
        <v>36968</v>
      </c>
      <c r="O57" s="116">
        <v>36165</v>
      </c>
      <c r="P57" s="116">
        <v>486546</v>
      </c>
      <c r="Q57" s="54">
        <f t="shared" si="1"/>
        <v>760416</v>
      </c>
      <c r="R57" s="70"/>
      <c r="S57" s="70"/>
      <c r="T57" s="70"/>
      <c r="U57" s="70"/>
      <c r="V57" s="70"/>
      <c r="W57" s="70"/>
      <c r="X57" s="70"/>
      <c r="Y57" s="70"/>
      <c r="AN57" s="69">
        <f>50744.61+7350.15</f>
        <v>58094.76</v>
      </c>
    </row>
    <row r="58" spans="1:40" s="69" customFormat="1" ht="52.8" x14ac:dyDescent="0.2">
      <c r="A58" s="2">
        <v>51</v>
      </c>
      <c r="B58" s="37" t="s">
        <v>10</v>
      </c>
      <c r="C58" s="1" t="s">
        <v>301</v>
      </c>
      <c r="D58" s="37" t="s">
        <v>300</v>
      </c>
      <c r="E58" s="37" t="s">
        <v>299</v>
      </c>
      <c r="F58" s="37" t="s">
        <v>298</v>
      </c>
      <c r="G58" s="23">
        <v>129372</v>
      </c>
      <c r="H58" s="23">
        <f>19168-4792</f>
        <v>14376</v>
      </c>
      <c r="I58" s="116">
        <v>14863</v>
      </c>
      <c r="J58" s="116">
        <v>0</v>
      </c>
      <c r="K58" s="116">
        <v>0</v>
      </c>
      <c r="L58" s="116">
        <v>0</v>
      </c>
      <c r="M58" s="116">
        <v>0</v>
      </c>
      <c r="N58" s="116">
        <v>0</v>
      </c>
      <c r="O58" s="116">
        <v>0</v>
      </c>
      <c r="P58" s="116">
        <v>0</v>
      </c>
      <c r="Q58" s="54">
        <f t="shared" si="1"/>
        <v>14863</v>
      </c>
      <c r="R58" s="70"/>
      <c r="S58" s="70"/>
      <c r="T58" s="70"/>
      <c r="U58" s="70"/>
      <c r="V58" s="70"/>
      <c r="W58" s="70"/>
      <c r="X58" s="70"/>
      <c r="Y58" s="70"/>
    </row>
    <row r="59" spans="1:40" s="69" customFormat="1" ht="26.4" x14ac:dyDescent="0.2">
      <c r="A59" s="79">
        <v>52</v>
      </c>
      <c r="B59" s="37" t="s">
        <v>10</v>
      </c>
      <c r="C59" s="1" t="s">
        <v>297</v>
      </c>
      <c r="D59" s="37" t="s">
        <v>296</v>
      </c>
      <c r="E59" s="37" t="s">
        <v>295</v>
      </c>
      <c r="F59" s="37" t="s">
        <v>294</v>
      </c>
      <c r="G59" s="23">
        <v>274947</v>
      </c>
      <c r="H59" s="23">
        <f>177785-4805</f>
        <v>172980</v>
      </c>
      <c r="I59" s="116">
        <v>26685</v>
      </c>
      <c r="J59" s="116">
        <v>24148</v>
      </c>
      <c r="K59" s="116">
        <v>23328</v>
      </c>
      <c r="L59" s="116">
        <v>22723</v>
      </c>
      <c r="M59" s="116">
        <v>22130</v>
      </c>
      <c r="N59" s="116">
        <v>21523</v>
      </c>
      <c r="O59" s="116">
        <v>20924</v>
      </c>
      <c r="P59" s="116">
        <v>40062</v>
      </c>
      <c r="Q59" s="54">
        <f t="shared" si="1"/>
        <v>201523</v>
      </c>
      <c r="R59" s="70"/>
      <c r="S59" s="70"/>
      <c r="T59" s="70"/>
      <c r="U59" s="70"/>
      <c r="V59" s="70"/>
      <c r="W59" s="70"/>
      <c r="X59" s="70"/>
      <c r="Y59" s="70"/>
    </row>
    <row r="60" spans="1:40" s="69" customFormat="1" ht="66" x14ac:dyDescent="0.2">
      <c r="A60" s="2">
        <v>53</v>
      </c>
      <c r="B60" s="37" t="s">
        <v>10</v>
      </c>
      <c r="C60" s="1" t="s">
        <v>293</v>
      </c>
      <c r="D60" s="37" t="s">
        <v>292</v>
      </c>
      <c r="E60" s="37" t="s">
        <v>291</v>
      </c>
      <c r="F60" s="37" t="s">
        <v>246</v>
      </c>
      <c r="G60" s="23">
        <v>995818</v>
      </c>
      <c r="H60" s="23">
        <f>95487-4547</f>
        <v>90940</v>
      </c>
      <c r="I60" s="116">
        <v>22093</v>
      </c>
      <c r="J60" s="116">
        <v>20443</v>
      </c>
      <c r="K60" s="116">
        <v>19802</v>
      </c>
      <c r="L60" s="116">
        <v>19235</v>
      </c>
      <c r="M60" s="116">
        <v>18668</v>
      </c>
      <c r="N60" s="116">
        <v>31</v>
      </c>
      <c r="O60" s="116">
        <v>0</v>
      </c>
      <c r="P60" s="116">
        <v>0</v>
      </c>
      <c r="Q60" s="54">
        <f t="shared" si="1"/>
        <v>100272</v>
      </c>
      <c r="R60" s="70"/>
      <c r="S60" s="70"/>
      <c r="T60" s="70"/>
      <c r="U60" s="70"/>
      <c r="V60" s="70"/>
      <c r="W60" s="70"/>
      <c r="X60" s="70"/>
      <c r="Y60" s="70"/>
    </row>
    <row r="61" spans="1:40" s="69" customFormat="1" ht="39.6" x14ac:dyDescent="0.2">
      <c r="A61" s="2">
        <v>54</v>
      </c>
      <c r="B61" s="37" t="s">
        <v>10</v>
      </c>
      <c r="C61" s="1" t="s">
        <v>290</v>
      </c>
      <c r="D61" s="37" t="s">
        <v>289</v>
      </c>
      <c r="E61" s="37" t="s">
        <v>288</v>
      </c>
      <c r="F61" s="37" t="s">
        <v>42</v>
      </c>
      <c r="G61" s="23">
        <v>303578</v>
      </c>
      <c r="H61" s="23">
        <f>200614-5422</f>
        <v>195192</v>
      </c>
      <c r="I61" s="116">
        <v>29500</v>
      </c>
      <c r="J61" s="116">
        <v>28874</v>
      </c>
      <c r="K61" s="116">
        <v>27930</v>
      </c>
      <c r="L61" s="116">
        <v>27018</v>
      </c>
      <c r="M61" s="116">
        <v>26116</v>
      </c>
      <c r="N61" s="116">
        <v>25192</v>
      </c>
      <c r="O61" s="116">
        <v>24280</v>
      </c>
      <c r="P61" s="116">
        <v>45881</v>
      </c>
      <c r="Q61" s="54">
        <f t="shared" si="1"/>
        <v>234791</v>
      </c>
      <c r="R61" s="70"/>
      <c r="S61" s="70"/>
      <c r="T61" s="70"/>
      <c r="U61" s="70"/>
      <c r="V61" s="70"/>
      <c r="W61" s="70"/>
      <c r="X61" s="70"/>
      <c r="Y61" s="70"/>
    </row>
    <row r="62" spans="1:40" s="69" customFormat="1" ht="52.8" x14ac:dyDescent="0.2">
      <c r="A62" s="2">
        <v>55</v>
      </c>
      <c r="B62" s="37" t="s">
        <v>10</v>
      </c>
      <c r="C62" s="1" t="s">
        <v>287</v>
      </c>
      <c r="D62" s="37" t="s">
        <v>286</v>
      </c>
      <c r="E62" s="37" t="s">
        <v>285</v>
      </c>
      <c r="F62" s="37" t="s">
        <v>284</v>
      </c>
      <c r="G62" s="23">
        <v>1987144</v>
      </c>
      <c r="H62" s="23">
        <f>1536522-19699</f>
        <v>1516823</v>
      </c>
      <c r="I62" s="116">
        <v>140301</v>
      </c>
      <c r="J62" s="116">
        <v>137723</v>
      </c>
      <c r="K62" s="116">
        <v>134687</v>
      </c>
      <c r="L62" s="116">
        <v>131415</v>
      </c>
      <c r="M62" s="116">
        <v>128274</v>
      </c>
      <c r="N62" s="116">
        <v>124868</v>
      </c>
      <c r="O62" s="116">
        <v>121599</v>
      </c>
      <c r="P62" s="116">
        <v>1224641</v>
      </c>
      <c r="Q62" s="54">
        <f t="shared" si="1"/>
        <v>2143508</v>
      </c>
      <c r="R62" s="70"/>
      <c r="S62" s="70"/>
      <c r="T62" s="70"/>
      <c r="U62" s="70"/>
      <c r="V62" s="70"/>
      <c r="W62" s="70"/>
      <c r="X62" s="70"/>
      <c r="Y62" s="70"/>
    </row>
    <row r="63" spans="1:40" s="69" customFormat="1" ht="66" x14ac:dyDescent="0.2">
      <c r="A63" s="2">
        <v>56</v>
      </c>
      <c r="B63" s="37" t="s">
        <v>10</v>
      </c>
      <c r="C63" s="1" t="s">
        <v>199</v>
      </c>
      <c r="D63" s="37" t="s">
        <v>283</v>
      </c>
      <c r="E63" s="37" t="s">
        <v>282</v>
      </c>
      <c r="F63" s="37" t="s">
        <v>281</v>
      </c>
      <c r="G63" s="23">
        <v>1011655</v>
      </c>
      <c r="H63" s="23">
        <f>323829-3271</f>
        <v>320558</v>
      </c>
      <c r="I63" s="116">
        <v>26207</v>
      </c>
      <c r="J63" s="116">
        <v>25489</v>
      </c>
      <c r="K63" s="116">
        <v>24891</v>
      </c>
      <c r="L63" s="116">
        <v>24363</v>
      </c>
      <c r="M63" s="116">
        <v>23862</v>
      </c>
      <c r="N63" s="116">
        <v>23304</v>
      </c>
      <c r="O63" s="116">
        <v>22776</v>
      </c>
      <c r="P63" s="116">
        <v>313130</v>
      </c>
      <c r="Q63" s="54">
        <f t="shared" si="1"/>
        <v>484022</v>
      </c>
      <c r="R63" s="70"/>
      <c r="S63" s="70"/>
      <c r="T63" s="70"/>
      <c r="U63" s="70"/>
      <c r="V63" s="70"/>
      <c r="W63" s="70"/>
      <c r="X63" s="70"/>
      <c r="Y63" s="70"/>
    </row>
    <row r="64" spans="1:40" s="69" customFormat="1" ht="39.6" x14ac:dyDescent="0.2">
      <c r="A64" s="79">
        <v>57</v>
      </c>
      <c r="B64" s="37" t="s">
        <v>10</v>
      </c>
      <c r="C64" s="1" t="s">
        <v>280</v>
      </c>
      <c r="D64" s="37" t="s">
        <v>279</v>
      </c>
      <c r="E64" s="37" t="s">
        <v>278</v>
      </c>
      <c r="F64" s="37" t="s">
        <v>102</v>
      </c>
      <c r="G64" s="23">
        <v>228362</v>
      </c>
      <c r="H64" s="23">
        <f>200502-2538</f>
        <v>197964</v>
      </c>
      <c r="I64" s="116">
        <v>18243</v>
      </c>
      <c r="J64" s="116">
        <v>17716</v>
      </c>
      <c r="K64" s="116">
        <v>17264</v>
      </c>
      <c r="L64" s="116">
        <v>16853</v>
      </c>
      <c r="M64" s="116">
        <v>16460</v>
      </c>
      <c r="N64" s="116">
        <v>16032</v>
      </c>
      <c r="O64" s="116">
        <v>15622</v>
      </c>
      <c r="P64" s="116">
        <v>160725</v>
      </c>
      <c r="Q64" s="54">
        <f t="shared" si="1"/>
        <v>278915</v>
      </c>
      <c r="R64" s="70"/>
      <c r="S64" s="70"/>
      <c r="T64" s="70"/>
      <c r="U64" s="70"/>
      <c r="V64" s="70"/>
      <c r="W64" s="70"/>
      <c r="X64" s="70"/>
      <c r="Y64" s="70"/>
    </row>
    <row r="65" spans="1:25" s="69" customFormat="1" ht="52.8" x14ac:dyDescent="0.2">
      <c r="A65" s="2">
        <v>58</v>
      </c>
      <c r="B65" s="37" t="s">
        <v>10</v>
      </c>
      <c r="C65" s="1" t="s">
        <v>277</v>
      </c>
      <c r="D65" s="37" t="s">
        <v>276</v>
      </c>
      <c r="E65" s="37" t="s">
        <v>275</v>
      </c>
      <c r="F65" s="37" t="s">
        <v>246</v>
      </c>
      <c r="G65" s="23">
        <v>400000</v>
      </c>
      <c r="H65" s="23">
        <v>200000</v>
      </c>
      <c r="I65" s="116">
        <v>47936</v>
      </c>
      <c r="J65" s="116">
        <v>46203</v>
      </c>
      <c r="K65" s="116">
        <v>44605</v>
      </c>
      <c r="L65" s="116">
        <v>42986</v>
      </c>
      <c r="M65" s="116">
        <v>41368</v>
      </c>
      <c r="N65" s="116">
        <v>89</v>
      </c>
      <c r="O65" s="116">
        <v>0</v>
      </c>
      <c r="P65" s="116">
        <v>0</v>
      </c>
      <c r="Q65" s="54">
        <f t="shared" si="1"/>
        <v>223187</v>
      </c>
      <c r="R65" s="70"/>
      <c r="S65" s="70"/>
      <c r="T65" s="70"/>
      <c r="U65" s="70"/>
      <c r="V65" s="70"/>
      <c r="W65" s="70"/>
      <c r="X65" s="70"/>
      <c r="Y65" s="70"/>
    </row>
    <row r="66" spans="1:25" s="69" customFormat="1" ht="66" x14ac:dyDescent="0.2">
      <c r="A66" s="2">
        <v>59</v>
      </c>
      <c r="B66" s="37" t="s">
        <v>10</v>
      </c>
      <c r="C66" s="1" t="s">
        <v>481</v>
      </c>
      <c r="D66" s="37" t="s">
        <v>274</v>
      </c>
      <c r="E66" s="37" t="s">
        <v>263</v>
      </c>
      <c r="F66" s="37" t="s">
        <v>270</v>
      </c>
      <c r="G66" s="23">
        <v>78281</v>
      </c>
      <c r="H66" s="23">
        <f>10575-2115</f>
        <v>8460</v>
      </c>
      <c r="I66" s="116">
        <v>8759</v>
      </c>
      <c r="J66" s="116">
        <v>19</v>
      </c>
      <c r="K66" s="116">
        <v>0</v>
      </c>
      <c r="L66" s="116">
        <v>0</v>
      </c>
      <c r="M66" s="116">
        <v>0</v>
      </c>
      <c r="N66" s="116">
        <v>0</v>
      </c>
      <c r="O66" s="116">
        <v>0</v>
      </c>
      <c r="P66" s="116">
        <v>0</v>
      </c>
      <c r="Q66" s="54">
        <f t="shared" si="1"/>
        <v>8778</v>
      </c>
      <c r="R66" s="70"/>
      <c r="S66" s="70"/>
      <c r="T66" s="70"/>
      <c r="U66" s="70"/>
      <c r="V66" s="70"/>
      <c r="W66" s="70"/>
      <c r="X66" s="70"/>
      <c r="Y66" s="70"/>
    </row>
    <row r="67" spans="1:25" s="69" customFormat="1" ht="66" x14ac:dyDescent="0.2">
      <c r="A67" s="2">
        <v>60</v>
      </c>
      <c r="B67" s="37" t="s">
        <v>10</v>
      </c>
      <c r="C67" s="1" t="s">
        <v>482</v>
      </c>
      <c r="D67" s="37" t="s">
        <v>273</v>
      </c>
      <c r="E67" s="37" t="s">
        <v>263</v>
      </c>
      <c r="F67" s="37" t="s">
        <v>272</v>
      </c>
      <c r="G67" s="23">
        <v>277402</v>
      </c>
      <c r="H67" s="23">
        <f>40833-1047</f>
        <v>39786</v>
      </c>
      <c r="I67" s="116">
        <v>5822</v>
      </c>
      <c r="J67" s="116">
        <v>5608</v>
      </c>
      <c r="K67" s="116">
        <v>5432</v>
      </c>
      <c r="L67" s="116">
        <v>5263</v>
      </c>
      <c r="M67" s="116">
        <v>5096</v>
      </c>
      <c r="N67" s="116">
        <v>4924</v>
      </c>
      <c r="O67" s="116">
        <v>4754</v>
      </c>
      <c r="P67" s="116">
        <v>11151</v>
      </c>
      <c r="Q67" s="54">
        <f t="shared" si="1"/>
        <v>48050</v>
      </c>
      <c r="R67" s="70"/>
      <c r="S67" s="70"/>
      <c r="T67" s="70"/>
      <c r="U67" s="70"/>
      <c r="V67" s="70"/>
      <c r="W67" s="70"/>
      <c r="X67" s="70"/>
      <c r="Y67" s="70"/>
    </row>
    <row r="68" spans="1:25" s="69" customFormat="1" ht="52.8" x14ac:dyDescent="0.2">
      <c r="A68" s="79">
        <v>61</v>
      </c>
      <c r="B68" s="37" t="s">
        <v>10</v>
      </c>
      <c r="C68" s="1" t="s">
        <v>528</v>
      </c>
      <c r="D68" s="37" t="s">
        <v>271</v>
      </c>
      <c r="E68" s="37" t="s">
        <v>263</v>
      </c>
      <c r="F68" s="37" t="s">
        <v>270</v>
      </c>
      <c r="G68" s="23">
        <v>95373</v>
      </c>
      <c r="H68" s="23">
        <f>12370-2474</f>
        <v>9896</v>
      </c>
      <c r="I68" s="116">
        <v>10246</v>
      </c>
      <c r="J68" s="116">
        <v>22</v>
      </c>
      <c r="K68" s="116">
        <v>0</v>
      </c>
      <c r="L68" s="116">
        <v>0</v>
      </c>
      <c r="M68" s="116">
        <v>0</v>
      </c>
      <c r="N68" s="116">
        <v>0</v>
      </c>
      <c r="O68" s="116">
        <v>0</v>
      </c>
      <c r="P68" s="116">
        <v>0</v>
      </c>
      <c r="Q68" s="54">
        <f t="shared" si="1"/>
        <v>10268</v>
      </c>
      <c r="R68" s="70"/>
      <c r="S68" s="70"/>
      <c r="T68" s="70"/>
      <c r="U68" s="70"/>
      <c r="V68" s="70"/>
      <c r="W68" s="70"/>
      <c r="X68" s="70"/>
      <c r="Y68" s="70"/>
    </row>
    <row r="69" spans="1:25" s="69" customFormat="1" ht="66" x14ac:dyDescent="0.2">
      <c r="A69" s="2">
        <v>62</v>
      </c>
      <c r="B69" s="37" t="s">
        <v>10</v>
      </c>
      <c r="C69" s="1" t="s">
        <v>483</v>
      </c>
      <c r="D69" s="37" t="s">
        <v>269</v>
      </c>
      <c r="E69" s="37" t="s">
        <v>263</v>
      </c>
      <c r="F69" s="37" t="s">
        <v>268</v>
      </c>
      <c r="G69" s="23">
        <v>188520</v>
      </c>
      <c r="H69" s="23">
        <f>81142-2798</f>
        <v>78344</v>
      </c>
      <c r="I69" s="116">
        <v>14391</v>
      </c>
      <c r="J69" s="116">
        <v>13849</v>
      </c>
      <c r="K69" s="116">
        <v>13385</v>
      </c>
      <c r="L69" s="116">
        <v>12933</v>
      </c>
      <c r="M69" s="116">
        <v>12483</v>
      </c>
      <c r="N69" s="116">
        <v>12026</v>
      </c>
      <c r="O69" s="116">
        <v>11574</v>
      </c>
      <c r="P69" s="116">
        <v>26</v>
      </c>
      <c r="Q69" s="54">
        <f t="shared" si="1"/>
        <v>90667</v>
      </c>
      <c r="R69" s="70"/>
      <c r="S69" s="70"/>
      <c r="T69" s="70"/>
      <c r="U69" s="70"/>
      <c r="V69" s="70"/>
      <c r="W69" s="70"/>
      <c r="X69" s="70"/>
      <c r="Y69" s="70"/>
    </row>
    <row r="70" spans="1:25" s="69" customFormat="1" ht="66" x14ac:dyDescent="0.2">
      <c r="A70" s="2">
        <v>63</v>
      </c>
      <c r="B70" s="37" t="s">
        <v>10</v>
      </c>
      <c r="C70" s="1" t="s">
        <v>527</v>
      </c>
      <c r="D70" s="37" t="s">
        <v>267</v>
      </c>
      <c r="E70" s="37" t="s">
        <v>263</v>
      </c>
      <c r="F70" s="37" t="s">
        <v>215</v>
      </c>
      <c r="G70" s="23">
        <v>85339</v>
      </c>
      <c r="H70" s="23">
        <f>18216-2024</f>
        <v>16192</v>
      </c>
      <c r="I70" s="116">
        <v>8720</v>
      </c>
      <c r="J70" s="116">
        <v>8374</v>
      </c>
      <c r="K70" s="116">
        <v>18</v>
      </c>
      <c r="L70" s="116">
        <v>0</v>
      </c>
      <c r="M70" s="116">
        <v>0</v>
      </c>
      <c r="N70" s="116">
        <v>0</v>
      </c>
      <c r="O70" s="116">
        <v>0</v>
      </c>
      <c r="P70" s="116">
        <v>0</v>
      </c>
      <c r="Q70" s="54">
        <f t="shared" si="1"/>
        <v>17112</v>
      </c>
      <c r="R70" s="70"/>
      <c r="S70" s="70"/>
      <c r="T70" s="70"/>
      <c r="U70" s="70"/>
      <c r="V70" s="70"/>
      <c r="W70" s="70"/>
      <c r="X70" s="70"/>
      <c r="Y70" s="70"/>
    </row>
    <row r="71" spans="1:25" s="69" customFormat="1" ht="52.8" x14ac:dyDescent="0.2">
      <c r="A71" s="2">
        <v>64</v>
      </c>
      <c r="B71" s="37" t="s">
        <v>10</v>
      </c>
      <c r="C71" s="1" t="s">
        <v>484</v>
      </c>
      <c r="D71" s="37" t="s">
        <v>266</v>
      </c>
      <c r="E71" s="37" t="s">
        <v>263</v>
      </c>
      <c r="F71" s="37" t="s">
        <v>265</v>
      </c>
      <c r="G71" s="23">
        <v>198864</v>
      </c>
      <c r="H71" s="23">
        <f>120744-2808</f>
        <v>117936</v>
      </c>
      <c r="I71" s="116">
        <v>16084</v>
      </c>
      <c r="J71" s="116">
        <v>15495</v>
      </c>
      <c r="K71" s="116">
        <v>15024</v>
      </c>
      <c r="L71" s="116">
        <v>14569</v>
      </c>
      <c r="M71" s="116">
        <v>14122</v>
      </c>
      <c r="N71" s="116">
        <v>13659</v>
      </c>
      <c r="O71" s="116">
        <v>13205</v>
      </c>
      <c r="P71" s="116">
        <v>42661</v>
      </c>
      <c r="Q71" s="54">
        <f t="shared" si="1"/>
        <v>144819</v>
      </c>
      <c r="R71" s="70"/>
      <c r="S71" s="70"/>
      <c r="T71" s="70"/>
      <c r="U71" s="70"/>
      <c r="V71" s="70"/>
      <c r="W71" s="70"/>
      <c r="X71" s="70"/>
      <c r="Y71" s="70"/>
    </row>
    <row r="72" spans="1:25" s="69" customFormat="1" ht="66" x14ac:dyDescent="0.2">
      <c r="A72" s="2">
        <v>65</v>
      </c>
      <c r="B72" s="37" t="s">
        <v>10</v>
      </c>
      <c r="C72" s="1" t="s">
        <v>485</v>
      </c>
      <c r="D72" s="37" t="s">
        <v>264</v>
      </c>
      <c r="E72" s="37" t="s">
        <v>263</v>
      </c>
      <c r="F72" s="37" t="s">
        <v>262</v>
      </c>
      <c r="G72" s="23">
        <v>227673</v>
      </c>
      <c r="H72" s="23">
        <f>161129-2731</f>
        <v>158398</v>
      </c>
      <c r="I72" s="116">
        <v>17467</v>
      </c>
      <c r="J72" s="116">
        <v>16845</v>
      </c>
      <c r="K72" s="116">
        <v>16379</v>
      </c>
      <c r="L72" s="116">
        <v>15937</v>
      </c>
      <c r="M72" s="116">
        <v>15506</v>
      </c>
      <c r="N72" s="116">
        <v>15052</v>
      </c>
      <c r="O72" s="116">
        <v>14610</v>
      </c>
      <c r="P72" s="116">
        <v>95524</v>
      </c>
      <c r="Q72" s="54">
        <f t="shared" ref="Q72:Q103" si="2">SUM(I72:P72)</f>
        <v>207320</v>
      </c>
      <c r="R72" s="70"/>
      <c r="S72" s="70"/>
      <c r="T72" s="70"/>
      <c r="U72" s="70"/>
      <c r="V72" s="70"/>
      <c r="W72" s="70"/>
      <c r="X72" s="70"/>
      <c r="Y72" s="70"/>
    </row>
    <row r="73" spans="1:25" s="69" customFormat="1" ht="39.6" x14ac:dyDescent="0.2">
      <c r="A73" s="79">
        <v>66</v>
      </c>
      <c r="B73" s="37" t="s">
        <v>10</v>
      </c>
      <c r="C73" s="1" t="s">
        <v>261</v>
      </c>
      <c r="D73" s="37" t="s">
        <v>260</v>
      </c>
      <c r="E73" s="37" t="s">
        <v>259</v>
      </c>
      <c r="F73" s="37" t="s">
        <v>74</v>
      </c>
      <c r="G73" s="23">
        <v>10991671</v>
      </c>
      <c r="H73" s="23">
        <f>5738904-207582</f>
        <v>5531322</v>
      </c>
      <c r="I73" s="116">
        <v>1000898</v>
      </c>
      <c r="J73" s="116">
        <v>901728</v>
      </c>
      <c r="K73" s="116">
        <v>868016</v>
      </c>
      <c r="L73" s="116">
        <v>779145</v>
      </c>
      <c r="M73" s="116">
        <v>587218</v>
      </c>
      <c r="N73" s="116">
        <v>463296</v>
      </c>
      <c r="O73" s="116">
        <v>447962</v>
      </c>
      <c r="P73" s="116">
        <v>1667143</v>
      </c>
      <c r="Q73" s="54">
        <f t="shared" si="2"/>
        <v>6715406</v>
      </c>
      <c r="R73" s="70"/>
      <c r="S73" s="70"/>
      <c r="T73" s="70"/>
      <c r="U73" s="70"/>
      <c r="V73" s="70"/>
      <c r="W73" s="70"/>
      <c r="X73" s="70"/>
      <c r="Y73" s="70"/>
    </row>
    <row r="74" spans="1:25" s="69" customFormat="1" ht="39.6" x14ac:dyDescent="0.2">
      <c r="A74" s="2">
        <v>67</v>
      </c>
      <c r="B74" s="37" t="s">
        <v>10</v>
      </c>
      <c r="C74" s="1" t="s">
        <v>403</v>
      </c>
      <c r="D74" s="37" t="s">
        <v>258</v>
      </c>
      <c r="E74" s="37" t="s">
        <v>257</v>
      </c>
      <c r="F74" s="37" t="s">
        <v>256</v>
      </c>
      <c r="G74" s="23">
        <v>386344</v>
      </c>
      <c r="H74" s="23">
        <f>193173-10167</f>
        <v>183006</v>
      </c>
      <c r="I74" s="116">
        <v>48236</v>
      </c>
      <c r="J74" s="116">
        <v>46080</v>
      </c>
      <c r="K74" s="116">
        <v>44392</v>
      </c>
      <c r="L74" s="116">
        <v>42804</v>
      </c>
      <c r="M74" s="116">
        <v>20893</v>
      </c>
      <c r="N74" s="116">
        <v>0</v>
      </c>
      <c r="O74" s="116">
        <v>0</v>
      </c>
      <c r="P74" s="116">
        <v>0</v>
      </c>
      <c r="Q74" s="54">
        <f t="shared" si="2"/>
        <v>202405</v>
      </c>
      <c r="R74" s="70"/>
      <c r="S74" s="70"/>
      <c r="T74" s="70"/>
      <c r="U74" s="70"/>
      <c r="V74" s="70"/>
      <c r="W74" s="70"/>
      <c r="X74" s="70"/>
      <c r="Y74" s="70"/>
    </row>
    <row r="75" spans="1:25" s="69" customFormat="1" ht="92.4" x14ac:dyDescent="0.2">
      <c r="A75" s="2">
        <v>68</v>
      </c>
      <c r="B75" s="37" t="s">
        <v>10</v>
      </c>
      <c r="C75" s="1" t="s">
        <v>203</v>
      </c>
      <c r="D75" s="37" t="s">
        <v>255</v>
      </c>
      <c r="E75" s="37" t="s">
        <v>254</v>
      </c>
      <c r="F75" s="37" t="s">
        <v>253</v>
      </c>
      <c r="G75" s="23">
        <v>622067</v>
      </c>
      <c r="H75" s="23">
        <f>511796-5708</f>
        <v>506088</v>
      </c>
      <c r="I75" s="116">
        <v>44855</v>
      </c>
      <c r="J75" s="116">
        <v>41487</v>
      </c>
      <c r="K75" s="116">
        <v>40316</v>
      </c>
      <c r="L75" s="116">
        <v>39441</v>
      </c>
      <c r="M75" s="116">
        <v>38609</v>
      </c>
      <c r="N75" s="116">
        <v>37692</v>
      </c>
      <c r="O75" s="116">
        <v>36818</v>
      </c>
      <c r="P75" s="116">
        <v>451430</v>
      </c>
      <c r="Q75" s="54">
        <f t="shared" si="2"/>
        <v>730648</v>
      </c>
      <c r="R75" s="70"/>
      <c r="S75" s="70"/>
      <c r="T75" s="70"/>
      <c r="U75" s="70"/>
      <c r="V75" s="70"/>
      <c r="W75" s="70"/>
      <c r="X75" s="70"/>
      <c r="Y75" s="70"/>
    </row>
    <row r="76" spans="1:25" s="69" customFormat="1" ht="105.6" x14ac:dyDescent="0.2">
      <c r="A76" s="2">
        <v>69</v>
      </c>
      <c r="B76" s="76" t="s">
        <v>10</v>
      </c>
      <c r="C76" s="49" t="s">
        <v>526</v>
      </c>
      <c r="D76" s="41" t="s">
        <v>252</v>
      </c>
      <c r="E76" s="75" t="s">
        <v>251</v>
      </c>
      <c r="F76" s="75" t="s">
        <v>250</v>
      </c>
      <c r="G76" s="57">
        <v>825403</v>
      </c>
      <c r="H76" s="57">
        <f>76100-3805</f>
        <v>72295</v>
      </c>
      <c r="I76" s="88">
        <v>18265</v>
      </c>
      <c r="J76" s="88">
        <v>17333</v>
      </c>
      <c r="K76" s="88">
        <v>16661</v>
      </c>
      <c r="L76" s="88">
        <v>16106</v>
      </c>
      <c r="M76" s="88">
        <v>11722</v>
      </c>
      <c r="N76" s="88">
        <v>0</v>
      </c>
      <c r="O76" s="90">
        <v>0</v>
      </c>
      <c r="P76" s="88">
        <v>0</v>
      </c>
      <c r="Q76" s="56">
        <f t="shared" si="2"/>
        <v>80087</v>
      </c>
      <c r="R76" s="70"/>
      <c r="S76" s="70"/>
      <c r="T76" s="70"/>
      <c r="U76" s="70"/>
      <c r="V76" s="70"/>
      <c r="W76" s="70"/>
      <c r="X76" s="70"/>
      <c r="Y76" s="70"/>
    </row>
    <row r="77" spans="1:25" s="69" customFormat="1" ht="26.4" x14ac:dyDescent="0.2">
      <c r="A77" s="79">
        <v>70</v>
      </c>
      <c r="B77" s="37" t="s">
        <v>10</v>
      </c>
      <c r="C77" s="1" t="s">
        <v>249</v>
      </c>
      <c r="D77" s="37" t="s">
        <v>248</v>
      </c>
      <c r="E77" s="37" t="s">
        <v>247</v>
      </c>
      <c r="F77" s="37" t="s">
        <v>246</v>
      </c>
      <c r="G77" s="23">
        <v>1450422</v>
      </c>
      <c r="H77" s="23">
        <f>386130-34854</f>
        <v>351276</v>
      </c>
      <c r="I77" s="116">
        <v>93840</v>
      </c>
      <c r="J77" s="116">
        <v>78064</v>
      </c>
      <c r="K77" s="116">
        <v>75150</v>
      </c>
      <c r="L77" s="116">
        <v>72670</v>
      </c>
      <c r="M77" s="116">
        <v>70188</v>
      </c>
      <c r="N77" s="116">
        <v>136</v>
      </c>
      <c r="O77" s="116">
        <v>0</v>
      </c>
      <c r="P77" s="116">
        <v>0</v>
      </c>
      <c r="Q77" s="54">
        <f t="shared" si="2"/>
        <v>390048</v>
      </c>
      <c r="R77" s="70"/>
      <c r="S77" s="70"/>
      <c r="T77" s="70"/>
      <c r="U77" s="70"/>
      <c r="V77" s="70"/>
      <c r="W77" s="70"/>
      <c r="X77" s="70"/>
      <c r="Y77" s="70"/>
    </row>
    <row r="78" spans="1:25" s="69" customFormat="1" ht="52.8" x14ac:dyDescent="0.2">
      <c r="A78" s="2">
        <v>71</v>
      </c>
      <c r="B78" s="37" t="s">
        <v>10</v>
      </c>
      <c r="C78" s="1" t="s">
        <v>486</v>
      </c>
      <c r="D78" s="37" t="s">
        <v>245</v>
      </c>
      <c r="E78" s="37" t="s">
        <v>244</v>
      </c>
      <c r="F78" s="37" t="s">
        <v>243</v>
      </c>
      <c r="G78" s="23">
        <v>187540</v>
      </c>
      <c r="H78" s="23">
        <f>96180-4809</f>
        <v>91371</v>
      </c>
      <c r="I78" s="116">
        <v>23093</v>
      </c>
      <c r="J78" s="116">
        <v>21757</v>
      </c>
      <c r="K78" s="116">
        <v>21056</v>
      </c>
      <c r="L78" s="116">
        <v>20354</v>
      </c>
      <c r="M78" s="116">
        <v>14829</v>
      </c>
      <c r="N78" s="116">
        <v>0</v>
      </c>
      <c r="O78" s="116">
        <v>0</v>
      </c>
      <c r="P78" s="116">
        <v>0</v>
      </c>
      <c r="Q78" s="54">
        <f t="shared" si="2"/>
        <v>101089</v>
      </c>
      <c r="R78" s="70"/>
      <c r="S78" s="70"/>
      <c r="T78" s="70"/>
      <c r="U78" s="70"/>
      <c r="V78" s="70"/>
      <c r="W78" s="70"/>
      <c r="X78" s="70"/>
      <c r="Y78" s="70"/>
    </row>
    <row r="79" spans="1:25" s="69" customFormat="1" ht="79.2" x14ac:dyDescent="0.2">
      <c r="A79" s="2">
        <v>72</v>
      </c>
      <c r="B79" s="37" t="s">
        <v>10</v>
      </c>
      <c r="C79" s="1" t="s">
        <v>525</v>
      </c>
      <c r="D79" s="37" t="s">
        <v>242</v>
      </c>
      <c r="E79" s="37" t="s">
        <v>241</v>
      </c>
      <c r="F79" s="37" t="s">
        <v>240</v>
      </c>
      <c r="G79" s="23">
        <v>496423</v>
      </c>
      <c r="H79" s="23">
        <f>407757-5933</f>
        <v>401824</v>
      </c>
      <c r="I79" s="116">
        <v>41222</v>
      </c>
      <c r="J79" s="116">
        <v>35965</v>
      </c>
      <c r="K79" s="116">
        <v>34682</v>
      </c>
      <c r="L79" s="116">
        <v>33926</v>
      </c>
      <c r="M79" s="116">
        <v>33210</v>
      </c>
      <c r="N79" s="116">
        <v>32444</v>
      </c>
      <c r="O79" s="116">
        <v>31704</v>
      </c>
      <c r="P79" s="116">
        <v>282930</v>
      </c>
      <c r="Q79" s="54">
        <f t="shared" si="2"/>
        <v>526083</v>
      </c>
      <c r="R79" s="70"/>
      <c r="S79" s="70"/>
      <c r="T79" s="70"/>
      <c r="U79" s="70"/>
      <c r="V79" s="70"/>
      <c r="W79" s="70"/>
      <c r="X79" s="70"/>
      <c r="Y79" s="70"/>
    </row>
    <row r="80" spans="1:25" s="69" customFormat="1" ht="52.8" x14ac:dyDescent="0.2">
      <c r="A80" s="2">
        <v>73</v>
      </c>
      <c r="B80" s="37" t="s">
        <v>10</v>
      </c>
      <c r="C80" s="1" t="s">
        <v>239</v>
      </c>
      <c r="D80" s="37" t="s">
        <v>238</v>
      </c>
      <c r="E80" s="37" t="s">
        <v>237</v>
      </c>
      <c r="F80" s="37" t="s">
        <v>236</v>
      </c>
      <c r="G80" s="23">
        <v>61135</v>
      </c>
      <c r="H80" s="23">
        <f>41902-1022</f>
        <v>40880</v>
      </c>
      <c r="I80" s="116">
        <v>5832</v>
      </c>
      <c r="J80" s="116">
        <v>5620</v>
      </c>
      <c r="K80" s="116">
        <v>5436</v>
      </c>
      <c r="L80" s="116">
        <v>5264</v>
      </c>
      <c r="M80" s="116">
        <v>5095</v>
      </c>
      <c r="N80" s="116">
        <v>4920</v>
      </c>
      <c r="O80" s="116">
        <v>4748</v>
      </c>
      <c r="P80" s="116">
        <v>13222</v>
      </c>
      <c r="Q80" s="54">
        <f t="shared" si="2"/>
        <v>50137</v>
      </c>
      <c r="R80" s="70"/>
      <c r="S80" s="70"/>
      <c r="T80" s="70"/>
      <c r="U80" s="70"/>
      <c r="V80" s="70"/>
      <c r="W80" s="70"/>
      <c r="X80" s="70"/>
      <c r="Y80" s="70"/>
    </row>
    <row r="81" spans="1:38" s="69" customFormat="1" ht="90.75" customHeight="1" x14ac:dyDescent="0.2">
      <c r="A81" s="2">
        <v>74</v>
      </c>
      <c r="B81" s="37" t="s">
        <v>10</v>
      </c>
      <c r="C81" s="1" t="s">
        <v>521</v>
      </c>
      <c r="D81" s="37" t="s">
        <v>235</v>
      </c>
      <c r="E81" s="37" t="s">
        <v>234</v>
      </c>
      <c r="F81" s="37" t="s">
        <v>233</v>
      </c>
      <c r="G81" s="23">
        <v>119137</v>
      </c>
      <c r="H81" s="23">
        <f>36530-1635</f>
        <v>34895</v>
      </c>
      <c r="I81" s="116">
        <v>7939</v>
      </c>
      <c r="J81" s="116">
        <v>7643</v>
      </c>
      <c r="K81" s="116">
        <v>7378</v>
      </c>
      <c r="L81" s="116">
        <v>7115</v>
      </c>
      <c r="M81" s="116">
        <v>6851</v>
      </c>
      <c r="N81" s="116">
        <v>2257</v>
      </c>
      <c r="O81" s="116">
        <v>0</v>
      </c>
      <c r="P81" s="116">
        <v>0</v>
      </c>
      <c r="Q81" s="54">
        <f t="shared" si="2"/>
        <v>39183</v>
      </c>
      <c r="R81" s="70"/>
      <c r="S81" s="70"/>
      <c r="T81" s="70"/>
      <c r="U81" s="70"/>
      <c r="V81" s="70"/>
      <c r="W81" s="70"/>
      <c r="X81" s="70"/>
      <c r="Y81" s="70"/>
    </row>
    <row r="82" spans="1:38" s="69" customFormat="1" ht="66" x14ac:dyDescent="0.2">
      <c r="A82" s="79">
        <v>75</v>
      </c>
      <c r="B82" s="37" t="s">
        <v>10</v>
      </c>
      <c r="C82" s="1" t="s">
        <v>232</v>
      </c>
      <c r="D82" s="37" t="s">
        <v>231</v>
      </c>
      <c r="E82" s="37" t="s">
        <v>230</v>
      </c>
      <c r="F82" s="37" t="s">
        <v>229</v>
      </c>
      <c r="G82" s="23">
        <v>847872</v>
      </c>
      <c r="H82" s="23">
        <f>516516-7826</f>
        <v>508690</v>
      </c>
      <c r="I82" s="116">
        <v>52344</v>
      </c>
      <c r="J82" s="116">
        <v>50431</v>
      </c>
      <c r="K82" s="116">
        <v>48963</v>
      </c>
      <c r="L82" s="116">
        <v>47710</v>
      </c>
      <c r="M82" s="116">
        <v>46495</v>
      </c>
      <c r="N82" s="116">
        <v>45201</v>
      </c>
      <c r="O82" s="116">
        <v>43948</v>
      </c>
      <c r="P82" s="116">
        <v>347260</v>
      </c>
      <c r="Q82" s="54">
        <f t="shared" si="2"/>
        <v>682352</v>
      </c>
      <c r="R82" s="70"/>
      <c r="S82" s="70"/>
      <c r="T82" s="70"/>
      <c r="U82" s="70"/>
      <c r="V82" s="70"/>
      <c r="W82" s="70"/>
      <c r="X82" s="70"/>
      <c r="Y82" s="70"/>
    </row>
    <row r="83" spans="1:38" s="69" customFormat="1" ht="66" x14ac:dyDescent="0.2">
      <c r="A83" s="2">
        <v>76</v>
      </c>
      <c r="B83" s="37" t="s">
        <v>10</v>
      </c>
      <c r="C83" s="1" t="s">
        <v>228</v>
      </c>
      <c r="D83" s="37" t="s">
        <v>227</v>
      </c>
      <c r="E83" s="37" t="s">
        <v>226</v>
      </c>
      <c r="F83" s="37" t="s">
        <v>225</v>
      </c>
      <c r="G83" s="23">
        <v>773964</v>
      </c>
      <c r="H83" s="23">
        <f>146304-4572</f>
        <v>141732</v>
      </c>
      <c r="I83" s="116">
        <v>24315</v>
      </c>
      <c r="J83" s="116">
        <v>22763</v>
      </c>
      <c r="K83" s="116">
        <v>22020</v>
      </c>
      <c r="L83" s="116">
        <v>21352</v>
      </c>
      <c r="M83" s="116">
        <v>20691</v>
      </c>
      <c r="N83" s="116">
        <v>20017</v>
      </c>
      <c r="O83" s="116">
        <v>19350</v>
      </c>
      <c r="P83" s="116">
        <v>14084</v>
      </c>
      <c r="Q83" s="54">
        <f t="shared" si="2"/>
        <v>164592</v>
      </c>
      <c r="R83" s="70"/>
      <c r="S83" s="70"/>
      <c r="T83" s="70"/>
      <c r="U83" s="70"/>
      <c r="V83" s="70"/>
      <c r="W83" s="70"/>
      <c r="X83" s="70"/>
      <c r="Y83" s="70"/>
    </row>
    <row r="84" spans="1:38" s="69" customFormat="1" ht="66" x14ac:dyDescent="0.2">
      <c r="A84" s="2">
        <v>77</v>
      </c>
      <c r="B84" s="37" t="s">
        <v>10</v>
      </c>
      <c r="C84" s="1" t="s">
        <v>224</v>
      </c>
      <c r="D84" s="37" t="s">
        <v>223</v>
      </c>
      <c r="E84" s="37" t="s">
        <v>216</v>
      </c>
      <c r="F84" s="37" t="s">
        <v>222</v>
      </c>
      <c r="G84" s="23">
        <v>517940</v>
      </c>
      <c r="H84" s="23">
        <f>40224-3352</f>
        <v>36872</v>
      </c>
      <c r="I84" s="116">
        <v>14933</v>
      </c>
      <c r="J84" s="116">
        <v>14182</v>
      </c>
      <c r="K84" s="116">
        <v>10312</v>
      </c>
      <c r="L84" s="116">
        <v>0</v>
      </c>
      <c r="M84" s="116">
        <v>0</v>
      </c>
      <c r="N84" s="116">
        <v>0</v>
      </c>
      <c r="O84" s="116">
        <v>0</v>
      </c>
      <c r="P84" s="116">
        <v>0</v>
      </c>
      <c r="Q84" s="54">
        <f t="shared" si="2"/>
        <v>39427</v>
      </c>
      <c r="R84" s="70"/>
      <c r="S84" s="70"/>
      <c r="T84" s="70"/>
      <c r="U84" s="70"/>
      <c r="V84" s="70"/>
      <c r="W84" s="70"/>
      <c r="X84" s="70"/>
      <c r="Y84" s="70"/>
    </row>
    <row r="85" spans="1:38" s="69" customFormat="1" ht="66" x14ac:dyDescent="0.2">
      <c r="A85" s="2">
        <v>78</v>
      </c>
      <c r="B85" s="37" t="s">
        <v>10</v>
      </c>
      <c r="C85" s="1" t="s">
        <v>221</v>
      </c>
      <c r="D85" s="37" t="s">
        <v>220</v>
      </c>
      <c r="E85" s="37" t="s">
        <v>216</v>
      </c>
      <c r="F85" s="37" t="s">
        <v>219</v>
      </c>
      <c r="G85" s="23">
        <v>522498</v>
      </c>
      <c r="H85" s="23">
        <f>48280-2840</f>
        <v>45440</v>
      </c>
      <c r="I85" s="116">
        <v>13273</v>
      </c>
      <c r="J85" s="116">
        <v>12529</v>
      </c>
      <c r="K85" s="116">
        <v>12056</v>
      </c>
      <c r="L85" s="116">
        <v>11679</v>
      </c>
      <c r="M85" s="116">
        <v>21</v>
      </c>
      <c r="N85" s="116">
        <v>0</v>
      </c>
      <c r="O85" s="116">
        <v>0</v>
      </c>
      <c r="P85" s="116">
        <v>0</v>
      </c>
      <c r="Q85" s="54">
        <f t="shared" si="2"/>
        <v>49558</v>
      </c>
      <c r="R85" s="70"/>
      <c r="S85" s="70"/>
      <c r="T85" s="70"/>
      <c r="U85" s="70"/>
      <c r="V85" s="70"/>
      <c r="W85" s="70"/>
      <c r="X85" s="70"/>
      <c r="Y85" s="70"/>
    </row>
    <row r="86" spans="1:38" s="69" customFormat="1" ht="66" x14ac:dyDescent="0.2">
      <c r="A86" s="79">
        <v>79</v>
      </c>
      <c r="B86" s="37" t="s">
        <v>10</v>
      </c>
      <c r="C86" s="1" t="s">
        <v>218</v>
      </c>
      <c r="D86" s="37" t="s">
        <v>217</v>
      </c>
      <c r="E86" s="37" t="s">
        <v>216</v>
      </c>
      <c r="F86" s="37" t="s">
        <v>215</v>
      </c>
      <c r="G86" s="23">
        <v>441877</v>
      </c>
      <c r="H86" s="23">
        <f>30024-3336</f>
        <v>26688</v>
      </c>
      <c r="I86" s="116">
        <v>14424</v>
      </c>
      <c r="J86" s="116">
        <v>13753</v>
      </c>
      <c r="K86" s="116">
        <v>24</v>
      </c>
      <c r="L86" s="116">
        <v>0</v>
      </c>
      <c r="M86" s="116">
        <v>0</v>
      </c>
      <c r="N86" s="116">
        <v>0</v>
      </c>
      <c r="O86" s="116">
        <v>0</v>
      </c>
      <c r="P86" s="116">
        <v>0</v>
      </c>
      <c r="Q86" s="54">
        <f t="shared" si="2"/>
        <v>28201</v>
      </c>
      <c r="R86" s="70"/>
      <c r="S86" s="70"/>
      <c r="T86" s="70"/>
      <c r="U86" s="70"/>
      <c r="V86" s="70"/>
      <c r="W86" s="70"/>
      <c r="X86" s="70"/>
      <c r="Y86" s="70"/>
    </row>
    <row r="87" spans="1:38" s="69" customFormat="1" ht="102.75" customHeight="1" x14ac:dyDescent="0.2">
      <c r="A87" s="2">
        <v>80</v>
      </c>
      <c r="B87" s="37" t="s">
        <v>10</v>
      </c>
      <c r="C87" s="1" t="s">
        <v>520</v>
      </c>
      <c r="D87" s="37" t="s">
        <v>214</v>
      </c>
      <c r="E87" s="37" t="s">
        <v>213</v>
      </c>
      <c r="F87" s="37" t="s">
        <v>212</v>
      </c>
      <c r="G87" s="23">
        <v>184000</v>
      </c>
      <c r="H87" s="23">
        <f>147870-3286</f>
        <v>144584</v>
      </c>
      <c r="I87" s="116">
        <v>19213</v>
      </c>
      <c r="J87" s="116">
        <v>16458</v>
      </c>
      <c r="K87" s="116">
        <v>15692</v>
      </c>
      <c r="L87" s="116">
        <v>15282</v>
      </c>
      <c r="M87" s="116">
        <v>14876</v>
      </c>
      <c r="N87" s="116">
        <v>14461</v>
      </c>
      <c r="O87" s="116">
        <v>14051</v>
      </c>
      <c r="P87" s="116">
        <v>18580</v>
      </c>
      <c r="Q87" s="54">
        <f t="shared" si="2"/>
        <v>128613</v>
      </c>
      <c r="R87" s="70"/>
      <c r="S87" s="70"/>
      <c r="T87" s="70"/>
      <c r="U87" s="70"/>
      <c r="V87" s="70"/>
      <c r="W87" s="70"/>
      <c r="X87" s="70"/>
      <c r="Y87" s="70"/>
    </row>
    <row r="88" spans="1:38" s="69" customFormat="1" ht="92.4" x14ac:dyDescent="0.2">
      <c r="A88" s="2">
        <v>81</v>
      </c>
      <c r="B88" s="76" t="s">
        <v>10</v>
      </c>
      <c r="C88" s="49" t="s">
        <v>211</v>
      </c>
      <c r="D88" s="41" t="s">
        <v>210</v>
      </c>
      <c r="E88" s="75" t="s">
        <v>209</v>
      </c>
      <c r="F88" s="75" t="s">
        <v>208</v>
      </c>
      <c r="G88" s="57">
        <v>360066</v>
      </c>
      <c r="H88" s="57">
        <f>289503-4677</f>
        <v>284826</v>
      </c>
      <c r="I88" s="88">
        <v>31147</v>
      </c>
      <c r="J88" s="88">
        <v>30677</v>
      </c>
      <c r="K88" s="88">
        <v>29897</v>
      </c>
      <c r="L88" s="88">
        <v>29041</v>
      </c>
      <c r="M88" s="88">
        <v>28209</v>
      </c>
      <c r="N88" s="88">
        <v>27326</v>
      </c>
      <c r="O88" s="90">
        <v>26470</v>
      </c>
      <c r="P88" s="88">
        <v>185325</v>
      </c>
      <c r="Q88" s="56">
        <f t="shared" si="2"/>
        <v>388092</v>
      </c>
      <c r="R88" s="118"/>
      <c r="S88" s="118"/>
      <c r="T88" s="118"/>
      <c r="U88" s="118"/>
      <c r="V88" s="118"/>
      <c r="W88" s="118"/>
      <c r="X88" s="118"/>
      <c r="Y88" s="118"/>
      <c r="Z88" s="117"/>
      <c r="AA88" s="117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</row>
    <row r="89" spans="1:38" s="97" customFormat="1" ht="52.8" x14ac:dyDescent="0.2">
      <c r="A89" s="123">
        <v>82</v>
      </c>
      <c r="B89" s="121" t="s">
        <v>10</v>
      </c>
      <c r="C89" s="122" t="s">
        <v>207</v>
      </c>
      <c r="D89" s="121" t="s">
        <v>206</v>
      </c>
      <c r="E89" s="121" t="s">
        <v>205</v>
      </c>
      <c r="F89" s="121" t="s">
        <v>204</v>
      </c>
      <c r="G89" s="23">
        <v>2118102</v>
      </c>
      <c r="H89" s="23">
        <f>1603500-17993</f>
        <v>1585507</v>
      </c>
      <c r="I89" s="141">
        <v>145849</v>
      </c>
      <c r="J89" s="141">
        <v>144191</v>
      </c>
      <c r="K89" s="141">
        <v>141199</v>
      </c>
      <c r="L89" s="141">
        <v>137714</v>
      </c>
      <c r="M89" s="141">
        <v>134393</v>
      </c>
      <c r="N89" s="141">
        <v>130738</v>
      </c>
      <c r="O89" s="141">
        <v>127255</v>
      </c>
      <c r="P89" s="141">
        <v>1493616</v>
      </c>
      <c r="Q89" s="142">
        <f t="shared" si="2"/>
        <v>2454955</v>
      </c>
      <c r="R89" s="120"/>
      <c r="S89" s="120"/>
      <c r="T89" s="120"/>
      <c r="U89" s="120"/>
      <c r="V89" s="120"/>
      <c r="W89" s="120"/>
      <c r="X89" s="120"/>
      <c r="Y89" s="120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119"/>
    </row>
    <row r="90" spans="1:38" s="69" customFormat="1" ht="93.75" customHeight="1" x14ac:dyDescent="0.2">
      <c r="A90" s="2">
        <v>83</v>
      </c>
      <c r="B90" s="37" t="s">
        <v>10</v>
      </c>
      <c r="C90" s="1" t="s">
        <v>203</v>
      </c>
      <c r="D90" s="37" t="s">
        <v>202</v>
      </c>
      <c r="E90" s="37" t="s">
        <v>201</v>
      </c>
      <c r="F90" s="37" t="s">
        <v>200</v>
      </c>
      <c r="G90" s="23">
        <v>252480</v>
      </c>
      <c r="H90" s="23">
        <f>245333-2355</f>
        <v>242978</v>
      </c>
      <c r="I90" s="116">
        <v>20831</v>
      </c>
      <c r="J90" s="116">
        <v>20564</v>
      </c>
      <c r="K90" s="116">
        <v>20197</v>
      </c>
      <c r="L90" s="116">
        <v>19741</v>
      </c>
      <c r="M90" s="116">
        <v>19311</v>
      </c>
      <c r="N90" s="116">
        <v>18828</v>
      </c>
      <c r="O90" s="116">
        <v>18372</v>
      </c>
      <c r="P90" s="116">
        <v>260583</v>
      </c>
      <c r="Q90" s="56">
        <f t="shared" si="2"/>
        <v>398427</v>
      </c>
      <c r="R90" s="118"/>
      <c r="S90" s="118"/>
      <c r="T90" s="118"/>
      <c r="U90" s="118"/>
      <c r="V90" s="118"/>
      <c r="W90" s="118"/>
      <c r="X90" s="118"/>
      <c r="Y90" s="118"/>
      <c r="Z90" s="117"/>
      <c r="AA90" s="117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</row>
    <row r="91" spans="1:38" s="69" customFormat="1" ht="66" x14ac:dyDescent="0.2">
      <c r="A91" s="79">
        <v>84</v>
      </c>
      <c r="B91" s="37" t="s">
        <v>10</v>
      </c>
      <c r="C91" s="1" t="s">
        <v>199</v>
      </c>
      <c r="D91" s="37" t="s">
        <v>198</v>
      </c>
      <c r="E91" s="37" t="s">
        <v>197</v>
      </c>
      <c r="F91" s="37" t="s">
        <v>196</v>
      </c>
      <c r="G91" s="23">
        <v>841650</v>
      </c>
      <c r="H91" s="23">
        <f>527584-5702</f>
        <v>521882</v>
      </c>
      <c r="I91" s="116">
        <v>50488</v>
      </c>
      <c r="J91" s="116">
        <v>47814</v>
      </c>
      <c r="K91" s="116">
        <v>46343</v>
      </c>
      <c r="L91" s="116">
        <v>45207</v>
      </c>
      <c r="M91" s="116">
        <v>44127</v>
      </c>
      <c r="N91" s="116">
        <v>42933</v>
      </c>
      <c r="O91" s="116">
        <v>41798</v>
      </c>
      <c r="P91" s="116">
        <v>511807</v>
      </c>
      <c r="Q91" s="56">
        <f t="shared" si="2"/>
        <v>830517</v>
      </c>
      <c r="R91" s="70"/>
      <c r="S91" s="70"/>
      <c r="T91" s="70"/>
      <c r="U91" s="70"/>
      <c r="V91" s="70"/>
      <c r="W91" s="70"/>
      <c r="X91" s="70"/>
      <c r="Y91" s="70"/>
    </row>
    <row r="92" spans="1:38" s="69" customFormat="1" ht="105.6" x14ac:dyDescent="0.2">
      <c r="A92" s="2">
        <v>85</v>
      </c>
      <c r="B92" s="37" t="s">
        <v>10</v>
      </c>
      <c r="C92" s="1" t="s">
        <v>519</v>
      </c>
      <c r="D92" s="37" t="s">
        <v>195</v>
      </c>
      <c r="E92" s="37" t="s">
        <v>194</v>
      </c>
      <c r="F92" s="37" t="s">
        <v>193</v>
      </c>
      <c r="G92" s="23">
        <v>238979</v>
      </c>
      <c r="H92" s="23">
        <f>91894-4426</f>
        <v>87468</v>
      </c>
      <c r="I92" s="116">
        <v>22119</v>
      </c>
      <c r="J92" s="116">
        <v>20619</v>
      </c>
      <c r="K92" s="116">
        <v>19795</v>
      </c>
      <c r="L92" s="116">
        <v>19044</v>
      </c>
      <c r="M92" s="116">
        <v>17242</v>
      </c>
      <c r="N92" s="116">
        <v>32</v>
      </c>
      <c r="O92" s="116">
        <v>0</v>
      </c>
      <c r="P92" s="116">
        <v>0</v>
      </c>
      <c r="Q92" s="54">
        <f t="shared" si="2"/>
        <v>98851</v>
      </c>
      <c r="R92" s="70"/>
      <c r="S92" s="70"/>
      <c r="T92" s="70"/>
      <c r="U92" s="70"/>
      <c r="V92" s="70"/>
      <c r="W92" s="70"/>
      <c r="X92" s="70"/>
      <c r="Y92" s="70"/>
    </row>
    <row r="93" spans="1:38" s="69" customFormat="1" ht="39.6" x14ac:dyDescent="0.2">
      <c r="A93" s="2">
        <v>86</v>
      </c>
      <c r="B93" s="37" t="s">
        <v>10</v>
      </c>
      <c r="C93" s="1" t="s">
        <v>192</v>
      </c>
      <c r="D93" s="37" t="s">
        <v>191</v>
      </c>
      <c r="E93" s="37" t="s">
        <v>190</v>
      </c>
      <c r="F93" s="37" t="s">
        <v>189</v>
      </c>
      <c r="G93" s="23">
        <v>698589</v>
      </c>
      <c r="H93" s="23">
        <f>639960-6075</f>
        <v>633885</v>
      </c>
      <c r="I93" s="116">
        <v>55382</v>
      </c>
      <c r="J93" s="116">
        <v>49972</v>
      </c>
      <c r="K93" s="116">
        <v>47933</v>
      </c>
      <c r="L93" s="116">
        <v>46944</v>
      </c>
      <c r="M93" s="116">
        <v>46014</v>
      </c>
      <c r="N93" s="116">
        <v>44967</v>
      </c>
      <c r="O93" s="116">
        <v>43979</v>
      </c>
      <c r="P93" s="116">
        <v>650326</v>
      </c>
      <c r="Q93" s="54">
        <f t="shared" si="2"/>
        <v>985517</v>
      </c>
      <c r="R93" s="70"/>
      <c r="S93" s="70"/>
      <c r="T93" s="70"/>
      <c r="U93" s="70"/>
      <c r="V93" s="70"/>
      <c r="W93" s="70"/>
      <c r="X93" s="70"/>
      <c r="Y93" s="70"/>
    </row>
    <row r="94" spans="1:38" s="69" customFormat="1" ht="92.4" x14ac:dyDescent="0.25">
      <c r="A94" s="2">
        <v>87</v>
      </c>
      <c r="B94" s="76" t="s">
        <v>10</v>
      </c>
      <c r="C94" s="106" t="s">
        <v>188</v>
      </c>
      <c r="D94" s="41" t="s">
        <v>187</v>
      </c>
      <c r="E94" s="75" t="s">
        <v>186</v>
      </c>
      <c r="F94" s="75" t="s">
        <v>185</v>
      </c>
      <c r="G94" s="57">
        <v>91175</v>
      </c>
      <c r="H94" s="57">
        <v>15087</v>
      </c>
      <c r="I94" s="88">
        <v>15118</v>
      </c>
      <c r="J94" s="88">
        <v>0</v>
      </c>
      <c r="K94" s="88">
        <v>0</v>
      </c>
      <c r="L94" s="88">
        <v>0</v>
      </c>
      <c r="M94" s="88">
        <v>0</v>
      </c>
      <c r="N94" s="88">
        <v>0</v>
      </c>
      <c r="O94" s="88">
        <v>0</v>
      </c>
      <c r="P94" s="88">
        <v>0</v>
      </c>
      <c r="Q94" s="56">
        <f t="shared" si="2"/>
        <v>15118</v>
      </c>
      <c r="R94" s="70"/>
      <c r="S94" s="70"/>
      <c r="T94" s="70"/>
      <c r="U94" s="70"/>
      <c r="V94" s="70"/>
      <c r="W94" s="70"/>
      <c r="X94" s="70"/>
      <c r="Y94" s="70"/>
    </row>
    <row r="95" spans="1:38" s="69" customFormat="1" ht="26.4" x14ac:dyDescent="0.2">
      <c r="A95" s="79">
        <v>88</v>
      </c>
      <c r="B95" s="37" t="s">
        <v>10</v>
      </c>
      <c r="C95" s="1" t="s">
        <v>184</v>
      </c>
      <c r="D95" s="37" t="s">
        <v>183</v>
      </c>
      <c r="E95" s="37" t="s">
        <v>179</v>
      </c>
      <c r="F95" s="37" t="s">
        <v>182</v>
      </c>
      <c r="G95" s="23">
        <v>660540</v>
      </c>
      <c r="H95" s="23">
        <f>614352-6609</f>
        <v>607743</v>
      </c>
      <c r="I95" s="116">
        <v>56449</v>
      </c>
      <c r="J95" s="116">
        <v>50119</v>
      </c>
      <c r="K95" s="116">
        <v>48925</v>
      </c>
      <c r="L95" s="116">
        <v>47845</v>
      </c>
      <c r="M95" s="116">
        <v>46819</v>
      </c>
      <c r="N95" s="116">
        <v>45684</v>
      </c>
      <c r="O95" s="116">
        <v>44604</v>
      </c>
      <c r="P95" s="116">
        <v>566776</v>
      </c>
      <c r="Q95" s="56">
        <f t="shared" si="2"/>
        <v>907221</v>
      </c>
      <c r="R95" s="70"/>
      <c r="S95" s="70"/>
      <c r="T95" s="70"/>
      <c r="U95" s="70"/>
      <c r="V95" s="70"/>
      <c r="W95" s="70"/>
      <c r="X95" s="70"/>
      <c r="Y95" s="70"/>
    </row>
    <row r="96" spans="1:38" s="69" customFormat="1" ht="39.6" x14ac:dyDescent="0.2">
      <c r="A96" s="2">
        <v>89</v>
      </c>
      <c r="B96" s="37" t="s">
        <v>10</v>
      </c>
      <c r="C96" s="1" t="s">
        <v>181</v>
      </c>
      <c r="D96" s="37" t="s">
        <v>180</v>
      </c>
      <c r="E96" s="37" t="s">
        <v>179</v>
      </c>
      <c r="F96" s="37" t="s">
        <v>178</v>
      </c>
      <c r="G96" s="23">
        <v>315428</v>
      </c>
      <c r="H96" s="23">
        <f>275328-5736</f>
        <v>269592</v>
      </c>
      <c r="I96" s="116">
        <v>35188</v>
      </c>
      <c r="J96" s="116">
        <v>32018</v>
      </c>
      <c r="K96" s="116">
        <v>31119</v>
      </c>
      <c r="L96" s="116">
        <v>30267</v>
      </c>
      <c r="M96" s="116">
        <v>29430</v>
      </c>
      <c r="N96" s="116">
        <v>28561</v>
      </c>
      <c r="O96" s="116">
        <v>27709</v>
      </c>
      <c r="P96" s="116">
        <v>120024</v>
      </c>
      <c r="Q96" s="56">
        <f t="shared" si="2"/>
        <v>334316</v>
      </c>
      <c r="R96" s="70"/>
      <c r="S96" s="70"/>
      <c r="T96" s="70"/>
      <c r="U96" s="70"/>
      <c r="V96" s="70"/>
      <c r="W96" s="70"/>
      <c r="X96" s="70"/>
      <c r="Y96" s="70"/>
    </row>
    <row r="97" spans="1:39" s="69" customFormat="1" ht="66" x14ac:dyDescent="0.2">
      <c r="A97" s="2">
        <v>90</v>
      </c>
      <c r="B97" s="37" t="s">
        <v>10</v>
      </c>
      <c r="C97" s="1" t="s">
        <v>177</v>
      </c>
      <c r="D97" s="37" t="s">
        <v>176</v>
      </c>
      <c r="E97" s="37" t="s">
        <v>172</v>
      </c>
      <c r="F97" s="37" t="s">
        <v>16</v>
      </c>
      <c r="G97" s="23">
        <v>230000</v>
      </c>
      <c r="H97" s="23">
        <f>208863-3027</f>
        <v>205836</v>
      </c>
      <c r="I97" s="116">
        <v>21826</v>
      </c>
      <c r="J97" s="116">
        <v>19357</v>
      </c>
      <c r="K97" s="116">
        <v>18325</v>
      </c>
      <c r="L97" s="116">
        <v>17906</v>
      </c>
      <c r="M97" s="116">
        <v>17501</v>
      </c>
      <c r="N97" s="116">
        <v>17067</v>
      </c>
      <c r="O97" s="116">
        <v>16648</v>
      </c>
      <c r="P97" s="116">
        <v>143500</v>
      </c>
      <c r="Q97" s="54">
        <f t="shared" si="2"/>
        <v>272130</v>
      </c>
      <c r="R97" s="70"/>
      <c r="S97" s="70"/>
      <c r="T97" s="70"/>
      <c r="U97" s="70"/>
      <c r="V97" s="70"/>
      <c r="W97" s="70"/>
      <c r="X97" s="70"/>
      <c r="Y97" s="70"/>
    </row>
    <row r="98" spans="1:39" s="69" customFormat="1" ht="52.8" x14ac:dyDescent="0.2">
      <c r="A98" s="2">
        <v>91</v>
      </c>
      <c r="B98" s="37" t="s">
        <v>10</v>
      </c>
      <c r="C98" s="1" t="s">
        <v>518</v>
      </c>
      <c r="D98" s="37" t="s">
        <v>175</v>
      </c>
      <c r="E98" s="37" t="s">
        <v>172</v>
      </c>
      <c r="F98" s="37" t="s">
        <v>16</v>
      </c>
      <c r="G98" s="23">
        <v>98000</v>
      </c>
      <c r="H98" s="23">
        <f>84525-1225</f>
        <v>83300</v>
      </c>
      <c r="I98" s="116">
        <v>8833</v>
      </c>
      <c r="J98" s="116">
        <v>7833</v>
      </c>
      <c r="K98" s="116">
        <v>7416</v>
      </c>
      <c r="L98" s="116">
        <v>7246</v>
      </c>
      <c r="M98" s="116">
        <v>7082</v>
      </c>
      <c r="N98" s="116">
        <v>6907</v>
      </c>
      <c r="O98" s="116">
        <v>6737</v>
      </c>
      <c r="P98" s="116">
        <v>58074</v>
      </c>
      <c r="Q98" s="54">
        <f t="shared" si="2"/>
        <v>110128</v>
      </c>
      <c r="R98" s="70"/>
      <c r="S98" s="70"/>
      <c r="T98" s="70"/>
      <c r="U98" s="70"/>
      <c r="V98" s="70"/>
      <c r="W98" s="70"/>
      <c r="X98" s="70"/>
      <c r="Y98" s="70"/>
    </row>
    <row r="99" spans="1:39" s="69" customFormat="1" ht="66" x14ac:dyDescent="0.2">
      <c r="A99" s="2">
        <v>92</v>
      </c>
      <c r="B99" s="37" t="s">
        <v>10</v>
      </c>
      <c r="C99" s="1" t="s">
        <v>174</v>
      </c>
      <c r="D99" s="37" t="s">
        <v>173</v>
      </c>
      <c r="E99" s="37" t="s">
        <v>172</v>
      </c>
      <c r="F99" s="37" t="s">
        <v>16</v>
      </c>
      <c r="G99" s="23">
        <v>113860</v>
      </c>
      <c r="H99" s="23">
        <f>98256-1424</f>
        <v>96832</v>
      </c>
      <c r="I99" s="116">
        <v>10268</v>
      </c>
      <c r="J99" s="116">
        <v>9106</v>
      </c>
      <c r="K99" s="116">
        <v>8621</v>
      </c>
      <c r="L99" s="116">
        <v>8423</v>
      </c>
      <c r="M99" s="116">
        <v>8233</v>
      </c>
      <c r="N99" s="116">
        <v>8029</v>
      </c>
      <c r="O99" s="116">
        <v>7832</v>
      </c>
      <c r="P99" s="116">
        <v>67507</v>
      </c>
      <c r="Q99" s="54">
        <f t="shared" si="2"/>
        <v>128019</v>
      </c>
      <c r="R99" s="70"/>
      <c r="S99" s="70"/>
      <c r="T99" s="70"/>
      <c r="U99" s="70"/>
      <c r="V99" s="70"/>
      <c r="W99" s="70"/>
      <c r="X99" s="70"/>
      <c r="Y99" s="70"/>
    </row>
    <row r="100" spans="1:39" s="69" customFormat="1" ht="39.6" x14ac:dyDescent="0.2">
      <c r="A100" s="79">
        <v>93</v>
      </c>
      <c r="B100" s="37" t="s">
        <v>10</v>
      </c>
      <c r="C100" s="1" t="s">
        <v>517</v>
      </c>
      <c r="D100" s="37" t="s">
        <v>171</v>
      </c>
      <c r="E100" s="37" t="s">
        <v>170</v>
      </c>
      <c r="F100" s="37" t="s">
        <v>169</v>
      </c>
      <c r="G100" s="23">
        <v>121491</v>
      </c>
      <c r="H100" s="23">
        <f>106032-2209</f>
        <v>103823</v>
      </c>
      <c r="I100" s="116">
        <v>13853</v>
      </c>
      <c r="J100" s="116">
        <v>12013</v>
      </c>
      <c r="K100" s="116">
        <v>11565</v>
      </c>
      <c r="L100" s="116">
        <v>11280</v>
      </c>
      <c r="M100" s="116">
        <v>11001</v>
      </c>
      <c r="N100" s="116">
        <v>10711</v>
      </c>
      <c r="O100" s="116">
        <v>10426</v>
      </c>
      <c r="P100" s="116">
        <v>45663</v>
      </c>
      <c r="Q100" s="54">
        <f t="shared" si="2"/>
        <v>126512</v>
      </c>
      <c r="R100" s="70"/>
      <c r="S100" s="70"/>
      <c r="T100" s="70"/>
      <c r="U100" s="70"/>
      <c r="V100" s="70"/>
      <c r="W100" s="70"/>
      <c r="X100" s="70"/>
      <c r="Y100" s="70"/>
    </row>
    <row r="101" spans="1:39" s="69" customFormat="1" ht="52.8" x14ac:dyDescent="0.2">
      <c r="A101" s="2">
        <v>94</v>
      </c>
      <c r="B101" s="37" t="s">
        <v>10</v>
      </c>
      <c r="C101" s="1" t="s">
        <v>487</v>
      </c>
      <c r="D101" s="37" t="s">
        <v>168</v>
      </c>
      <c r="E101" s="37" t="s">
        <v>167</v>
      </c>
      <c r="F101" s="37" t="s">
        <v>166</v>
      </c>
      <c r="G101" s="23">
        <v>91190</v>
      </c>
      <c r="H101" s="23">
        <f>64600-3800</f>
        <v>60800</v>
      </c>
      <c r="I101" s="116">
        <v>15348</v>
      </c>
      <c r="J101" s="116">
        <v>15310</v>
      </c>
      <c r="K101" s="116">
        <v>15271</v>
      </c>
      <c r="L101" s="116">
        <v>15233</v>
      </c>
      <c r="M101" s="116">
        <v>1</v>
      </c>
      <c r="N101" s="116"/>
      <c r="O101" s="116">
        <v>0</v>
      </c>
      <c r="P101" s="116">
        <v>0</v>
      </c>
      <c r="Q101" s="54">
        <f t="shared" si="2"/>
        <v>61163</v>
      </c>
      <c r="R101" s="70"/>
      <c r="S101" s="70"/>
      <c r="T101" s="70"/>
      <c r="U101" s="70"/>
      <c r="V101" s="70"/>
      <c r="W101" s="70"/>
      <c r="X101" s="70"/>
      <c r="Y101" s="70"/>
    </row>
    <row r="102" spans="1:39" s="69" customFormat="1" ht="39.6" x14ac:dyDescent="0.2">
      <c r="A102" s="2">
        <v>95</v>
      </c>
      <c r="B102" s="37" t="s">
        <v>10</v>
      </c>
      <c r="C102" s="1" t="s">
        <v>165</v>
      </c>
      <c r="D102" s="37" t="s">
        <v>164</v>
      </c>
      <c r="E102" s="37" t="s">
        <v>163</v>
      </c>
      <c r="F102" s="37" t="s">
        <v>162</v>
      </c>
      <c r="G102" s="23">
        <v>400000</v>
      </c>
      <c r="H102" s="23">
        <f>383826-5406</f>
        <v>378420</v>
      </c>
      <c r="I102" s="116">
        <v>38145</v>
      </c>
      <c r="J102" s="116">
        <v>36599</v>
      </c>
      <c r="K102" s="116">
        <v>35655</v>
      </c>
      <c r="L102" s="116">
        <v>34740</v>
      </c>
      <c r="M102" s="116">
        <v>33857</v>
      </c>
      <c r="N102" s="116">
        <v>32909</v>
      </c>
      <c r="O102" s="116">
        <v>31994</v>
      </c>
      <c r="P102" s="116">
        <v>280828</v>
      </c>
      <c r="Q102" s="54">
        <f t="shared" si="2"/>
        <v>524727</v>
      </c>
      <c r="R102" s="70"/>
      <c r="S102" s="70"/>
      <c r="T102" s="70"/>
      <c r="U102" s="70"/>
      <c r="V102" s="70"/>
      <c r="W102" s="70"/>
      <c r="X102" s="70"/>
      <c r="Y102" s="70"/>
    </row>
    <row r="103" spans="1:39" s="69" customFormat="1" ht="26.4" x14ac:dyDescent="0.2">
      <c r="A103" s="2">
        <v>96</v>
      </c>
      <c r="B103" s="37" t="s">
        <v>10</v>
      </c>
      <c r="C103" s="1" t="s">
        <v>161</v>
      </c>
      <c r="D103" s="37" t="s">
        <v>160</v>
      </c>
      <c r="E103" s="37" t="s">
        <v>156</v>
      </c>
      <c r="F103" s="37" t="s">
        <v>159</v>
      </c>
      <c r="G103" s="23">
        <v>72515</v>
      </c>
      <c r="H103" s="23">
        <f>49455-3297</f>
        <v>46158</v>
      </c>
      <c r="I103" s="116">
        <v>13300</v>
      </c>
      <c r="J103" s="116">
        <v>13266</v>
      </c>
      <c r="K103" s="116">
        <v>13233</v>
      </c>
      <c r="L103" s="116">
        <v>6606</v>
      </c>
      <c r="M103" s="116">
        <v>0</v>
      </c>
      <c r="N103" s="116">
        <v>0</v>
      </c>
      <c r="O103" s="116">
        <v>0</v>
      </c>
      <c r="P103" s="116">
        <v>0</v>
      </c>
      <c r="Q103" s="54">
        <f t="shared" si="2"/>
        <v>46405</v>
      </c>
      <c r="R103" s="70"/>
      <c r="S103" s="70"/>
      <c r="T103" s="70"/>
      <c r="U103" s="70"/>
      <c r="V103" s="70"/>
      <c r="W103" s="70"/>
      <c r="X103" s="70"/>
      <c r="Y103" s="70"/>
    </row>
    <row r="104" spans="1:39" s="69" customFormat="1" ht="40.200000000000003" customHeight="1" x14ac:dyDescent="0.25">
      <c r="A104" s="79">
        <v>97</v>
      </c>
      <c r="B104" s="76" t="s">
        <v>10</v>
      </c>
      <c r="C104" s="106" t="s">
        <v>158</v>
      </c>
      <c r="D104" s="41" t="s">
        <v>157</v>
      </c>
      <c r="E104" s="75" t="s">
        <v>156</v>
      </c>
      <c r="F104" s="75" t="s">
        <v>149</v>
      </c>
      <c r="G104" s="57">
        <v>7677320</v>
      </c>
      <c r="H104" s="57">
        <v>5620803</v>
      </c>
      <c r="I104" s="88">
        <v>529564</v>
      </c>
      <c r="J104" s="88">
        <v>560491</v>
      </c>
      <c r="K104" s="88">
        <v>549352.27</v>
      </c>
      <c r="L104" s="88">
        <v>538026</v>
      </c>
      <c r="M104" s="88">
        <v>527406</v>
      </c>
      <c r="N104" s="88">
        <v>515359</v>
      </c>
      <c r="O104" s="90">
        <v>504041</v>
      </c>
      <c r="P104" s="88">
        <v>7841284</v>
      </c>
      <c r="Q104" s="56">
        <f t="shared" ref="Q104:Q135" si="3">SUM(I104:P104)</f>
        <v>11565523.27</v>
      </c>
      <c r="R104" s="70"/>
      <c r="S104" s="70"/>
      <c r="T104" s="70"/>
      <c r="U104" s="70"/>
      <c r="V104" s="70"/>
      <c r="W104" s="70"/>
      <c r="X104" s="70"/>
      <c r="Y104" s="70"/>
    </row>
    <row r="105" spans="1:39" s="69" customFormat="1" ht="26.4" x14ac:dyDescent="0.2">
      <c r="A105" s="2">
        <v>98</v>
      </c>
      <c r="B105" s="37" t="s">
        <v>10</v>
      </c>
      <c r="C105" s="1" t="s">
        <v>155</v>
      </c>
      <c r="D105" s="37" t="s">
        <v>154</v>
      </c>
      <c r="E105" s="37" t="s">
        <v>153</v>
      </c>
      <c r="F105" s="37" t="s">
        <v>149</v>
      </c>
      <c r="G105" s="23">
        <v>2370000</v>
      </c>
      <c r="H105" s="23">
        <f>2307690-20790</f>
        <v>2286900</v>
      </c>
      <c r="I105" s="116">
        <v>184819</v>
      </c>
      <c r="J105" s="116">
        <v>177629</v>
      </c>
      <c r="K105" s="116">
        <v>174051</v>
      </c>
      <c r="L105" s="116">
        <v>170462</v>
      </c>
      <c r="M105" s="116">
        <v>167097</v>
      </c>
      <c r="N105" s="116">
        <v>163281</v>
      </c>
      <c r="O105" s="116">
        <v>159695</v>
      </c>
      <c r="P105" s="116">
        <v>2484346</v>
      </c>
      <c r="Q105" s="54">
        <f t="shared" si="3"/>
        <v>3681380</v>
      </c>
      <c r="R105" s="70"/>
      <c r="S105" s="70"/>
      <c r="T105" s="70"/>
      <c r="U105" s="70"/>
      <c r="V105" s="70"/>
      <c r="W105" s="70"/>
      <c r="X105" s="70"/>
      <c r="Y105" s="70"/>
    </row>
    <row r="106" spans="1:39" s="69" customFormat="1" ht="39.6" x14ac:dyDescent="0.2">
      <c r="A106" s="2">
        <v>99</v>
      </c>
      <c r="B106" s="37" t="s">
        <v>10</v>
      </c>
      <c r="C106" s="1" t="s">
        <v>152</v>
      </c>
      <c r="D106" s="37" t="s">
        <v>151</v>
      </c>
      <c r="E106" s="37" t="s">
        <v>150</v>
      </c>
      <c r="F106" s="37" t="s">
        <v>149</v>
      </c>
      <c r="G106" s="23">
        <v>2260000</v>
      </c>
      <c r="H106" s="23">
        <f>2200575-19825</f>
        <v>2180750</v>
      </c>
      <c r="I106" s="143">
        <v>183994</v>
      </c>
      <c r="J106" s="143">
        <v>169095</v>
      </c>
      <c r="K106" s="143">
        <v>163465</v>
      </c>
      <c r="L106" s="143">
        <v>160142</v>
      </c>
      <c r="M106" s="143">
        <v>157026</v>
      </c>
      <c r="N106" s="143">
        <v>153492</v>
      </c>
      <c r="O106" s="143">
        <v>150171</v>
      </c>
      <c r="P106" s="143">
        <v>2347537</v>
      </c>
      <c r="Q106" s="54">
        <f t="shared" si="3"/>
        <v>3484922</v>
      </c>
      <c r="R106" s="70"/>
      <c r="S106" s="70"/>
      <c r="T106" s="70"/>
      <c r="U106" s="70"/>
      <c r="V106" s="70"/>
      <c r="W106" s="70"/>
      <c r="X106" s="70"/>
      <c r="Y106" s="70"/>
    </row>
    <row r="107" spans="1:39" s="69" customFormat="1" ht="66" x14ac:dyDescent="0.25">
      <c r="A107" s="2">
        <v>100</v>
      </c>
      <c r="B107" s="76" t="s">
        <v>10</v>
      </c>
      <c r="C107" s="106" t="s">
        <v>513</v>
      </c>
      <c r="D107" s="41" t="s">
        <v>148</v>
      </c>
      <c r="E107" s="75" t="s">
        <v>144</v>
      </c>
      <c r="F107" s="75" t="s">
        <v>147</v>
      </c>
      <c r="G107" s="57">
        <v>160283</v>
      </c>
      <c r="H107" s="57">
        <f>61794-2915</f>
        <v>58879</v>
      </c>
      <c r="I107" s="88">
        <v>7232</v>
      </c>
      <c r="J107" s="88">
        <v>0</v>
      </c>
      <c r="K107" s="88">
        <v>0</v>
      </c>
      <c r="L107" s="88"/>
      <c r="M107" s="88"/>
      <c r="N107" s="88"/>
      <c r="O107" s="90">
        <v>0</v>
      </c>
      <c r="P107" s="88">
        <v>0</v>
      </c>
      <c r="Q107" s="56">
        <f t="shared" si="3"/>
        <v>7232</v>
      </c>
      <c r="R107" s="70"/>
      <c r="S107" s="70"/>
      <c r="T107" s="70"/>
      <c r="U107" s="70"/>
      <c r="V107" s="70"/>
      <c r="W107" s="70"/>
      <c r="X107" s="70"/>
      <c r="Y107" s="70"/>
      <c r="AM107" s="82"/>
    </row>
    <row r="108" spans="1:39" s="69" customFormat="1" ht="39.6" x14ac:dyDescent="0.25">
      <c r="A108" s="2">
        <v>101</v>
      </c>
      <c r="B108" s="96" t="s">
        <v>10</v>
      </c>
      <c r="C108" s="106" t="s">
        <v>146</v>
      </c>
      <c r="D108" s="41" t="s">
        <v>145</v>
      </c>
      <c r="E108" s="75" t="s">
        <v>144</v>
      </c>
      <c r="F108" s="75" t="s">
        <v>143</v>
      </c>
      <c r="G108" s="57">
        <v>208435</v>
      </c>
      <c r="H108" s="57">
        <f>171040-5345</f>
        <v>165695</v>
      </c>
      <c r="I108" s="88">
        <v>28661</v>
      </c>
      <c r="J108" s="88">
        <v>26475</v>
      </c>
      <c r="K108" s="88">
        <v>25679</v>
      </c>
      <c r="L108" s="88">
        <v>24911</v>
      </c>
      <c r="M108" s="88">
        <v>24148</v>
      </c>
      <c r="N108" s="88">
        <v>23372</v>
      </c>
      <c r="O108" s="90">
        <v>22604</v>
      </c>
      <c r="P108" s="88">
        <v>16474</v>
      </c>
      <c r="Q108" s="56">
        <f t="shared" si="3"/>
        <v>192324</v>
      </c>
      <c r="R108" s="70"/>
      <c r="S108" s="70"/>
      <c r="T108" s="70"/>
      <c r="U108" s="70"/>
      <c r="V108" s="70"/>
      <c r="W108" s="70"/>
      <c r="X108" s="70"/>
      <c r="Y108" s="70"/>
    </row>
    <row r="109" spans="1:39" s="69" customFormat="1" ht="66" x14ac:dyDescent="0.25">
      <c r="A109" s="79">
        <v>102</v>
      </c>
      <c r="B109" s="96" t="s">
        <v>10</v>
      </c>
      <c r="C109" s="106" t="s">
        <v>142</v>
      </c>
      <c r="D109" s="41" t="s">
        <v>141</v>
      </c>
      <c r="E109" s="75" t="s">
        <v>140</v>
      </c>
      <c r="F109" s="75" t="s">
        <v>137</v>
      </c>
      <c r="G109" s="57">
        <v>250550</v>
      </c>
      <c r="H109" s="57">
        <f>216704-6772</f>
        <v>209932</v>
      </c>
      <c r="I109" s="88">
        <v>36516</v>
      </c>
      <c r="J109" s="88">
        <v>32563</v>
      </c>
      <c r="K109" s="88">
        <v>31543</v>
      </c>
      <c r="L109" s="88">
        <v>30745</v>
      </c>
      <c r="M109" s="88">
        <v>29955</v>
      </c>
      <c r="N109" s="88">
        <v>29151</v>
      </c>
      <c r="O109" s="90">
        <v>28355</v>
      </c>
      <c r="P109" s="88">
        <v>20789</v>
      </c>
      <c r="Q109" s="56">
        <f t="shared" si="3"/>
        <v>239617</v>
      </c>
      <c r="R109" s="70"/>
      <c r="S109" s="70"/>
      <c r="T109" s="70"/>
      <c r="U109" s="70"/>
      <c r="V109" s="70"/>
      <c r="W109" s="70"/>
      <c r="X109" s="70"/>
      <c r="Y109" s="70"/>
    </row>
    <row r="110" spans="1:39" s="69" customFormat="1" ht="39.6" x14ac:dyDescent="0.25">
      <c r="A110" s="2">
        <v>103</v>
      </c>
      <c r="B110" s="96" t="s">
        <v>10</v>
      </c>
      <c r="C110" s="106" t="s">
        <v>516</v>
      </c>
      <c r="D110" s="41" t="s">
        <v>139</v>
      </c>
      <c r="E110" s="75" t="s">
        <v>138</v>
      </c>
      <c r="F110" s="75" t="s">
        <v>137</v>
      </c>
      <c r="G110" s="57">
        <v>220000</v>
      </c>
      <c r="H110" s="57">
        <f>180544-5642</f>
        <v>174902</v>
      </c>
      <c r="I110" s="88">
        <v>30364</v>
      </c>
      <c r="J110" s="88">
        <v>27446</v>
      </c>
      <c r="K110" s="88">
        <v>26345</v>
      </c>
      <c r="L110" s="88">
        <v>25660</v>
      </c>
      <c r="M110" s="88">
        <v>24992</v>
      </c>
      <c r="N110" s="88">
        <v>24312</v>
      </c>
      <c r="O110" s="90">
        <v>23640</v>
      </c>
      <c r="P110" s="88">
        <v>17326</v>
      </c>
      <c r="Q110" s="56">
        <f t="shared" si="3"/>
        <v>200085</v>
      </c>
      <c r="R110" s="70"/>
      <c r="S110" s="70"/>
      <c r="T110" s="70"/>
      <c r="U110" s="70"/>
      <c r="V110" s="70"/>
      <c r="W110" s="70"/>
      <c r="X110" s="70"/>
      <c r="Y110" s="70"/>
    </row>
    <row r="111" spans="1:39" s="69" customFormat="1" ht="66" x14ac:dyDescent="0.25">
      <c r="A111" s="2">
        <v>104</v>
      </c>
      <c r="B111" s="81" t="s">
        <v>10</v>
      </c>
      <c r="C111" s="115" t="s">
        <v>488</v>
      </c>
      <c r="D111" s="114" t="s">
        <v>136</v>
      </c>
      <c r="E111" s="113" t="s">
        <v>135</v>
      </c>
      <c r="F111" s="113" t="s">
        <v>108</v>
      </c>
      <c r="G111" s="112">
        <v>117198</v>
      </c>
      <c r="H111" s="112">
        <f>70692-3214</f>
        <v>67478</v>
      </c>
      <c r="I111" s="110">
        <v>15685</v>
      </c>
      <c r="J111" s="110">
        <v>15029</v>
      </c>
      <c r="K111" s="110">
        <v>14467</v>
      </c>
      <c r="L111" s="110">
        <v>13946</v>
      </c>
      <c r="M111" s="110">
        <v>13426</v>
      </c>
      <c r="N111" s="110">
        <v>3287</v>
      </c>
      <c r="O111" s="111">
        <v>0</v>
      </c>
      <c r="P111" s="110">
        <v>0</v>
      </c>
      <c r="Q111" s="109">
        <f t="shared" si="3"/>
        <v>75840</v>
      </c>
      <c r="R111" s="70"/>
      <c r="S111" s="70"/>
      <c r="T111" s="70"/>
      <c r="U111" s="70"/>
      <c r="V111" s="70"/>
      <c r="W111" s="70"/>
      <c r="X111" s="70"/>
      <c r="Y111" s="70"/>
    </row>
    <row r="112" spans="1:39" s="69" customFormat="1" ht="69" customHeight="1" x14ac:dyDescent="0.25">
      <c r="A112" s="2">
        <v>105</v>
      </c>
      <c r="B112" s="76" t="s">
        <v>10</v>
      </c>
      <c r="C112" s="106" t="s">
        <v>515</v>
      </c>
      <c r="D112" s="108" t="s">
        <v>134</v>
      </c>
      <c r="E112" s="75" t="s">
        <v>131</v>
      </c>
      <c r="F112" s="75" t="s">
        <v>133</v>
      </c>
      <c r="G112" s="57">
        <v>3249914</v>
      </c>
      <c r="H112" s="57">
        <v>3249914</v>
      </c>
      <c r="I112" s="88">
        <v>284076</v>
      </c>
      <c r="J112" s="88">
        <v>266415</v>
      </c>
      <c r="K112" s="88">
        <v>260363</v>
      </c>
      <c r="L112" s="88">
        <v>254315</v>
      </c>
      <c r="M112" s="88">
        <v>248624</v>
      </c>
      <c r="N112" s="88">
        <v>242209</v>
      </c>
      <c r="O112" s="90">
        <v>236164</v>
      </c>
      <c r="P112" s="88">
        <v>3382385</v>
      </c>
      <c r="Q112" s="91">
        <f t="shared" si="3"/>
        <v>5174551</v>
      </c>
      <c r="R112" s="70"/>
      <c r="S112" s="70"/>
      <c r="T112" s="70"/>
      <c r="U112" s="70"/>
      <c r="V112" s="70"/>
      <c r="W112" s="70"/>
      <c r="X112" s="70"/>
      <c r="Y112" s="70"/>
      <c r="AM112" s="107"/>
    </row>
    <row r="113" spans="1:41" s="69" customFormat="1" ht="73.2" customHeight="1" x14ac:dyDescent="0.25">
      <c r="A113" s="79">
        <v>106</v>
      </c>
      <c r="B113" s="76" t="s">
        <v>10</v>
      </c>
      <c r="C113" s="106" t="s">
        <v>514</v>
      </c>
      <c r="D113" s="41" t="s">
        <v>132</v>
      </c>
      <c r="E113" s="75" t="s">
        <v>131</v>
      </c>
      <c r="F113" s="75" t="s">
        <v>130</v>
      </c>
      <c r="G113" s="57">
        <v>1255956</v>
      </c>
      <c r="H113" s="57">
        <v>1255956</v>
      </c>
      <c r="I113" s="88">
        <v>129334</v>
      </c>
      <c r="J113" s="88">
        <v>123216</v>
      </c>
      <c r="K113" s="88">
        <v>119909</v>
      </c>
      <c r="L113" s="88">
        <v>116600</v>
      </c>
      <c r="M113" s="88">
        <v>113411</v>
      </c>
      <c r="N113" s="25">
        <v>109979</v>
      </c>
      <c r="O113" s="90">
        <v>106673</v>
      </c>
      <c r="P113" s="88">
        <v>947817</v>
      </c>
      <c r="Q113" s="56">
        <f t="shared" si="3"/>
        <v>1766939</v>
      </c>
      <c r="R113" s="70"/>
      <c r="S113" s="70"/>
      <c r="T113" s="70"/>
      <c r="U113" s="70"/>
      <c r="V113" s="70"/>
      <c r="W113" s="70"/>
      <c r="X113" s="70"/>
      <c r="Y113" s="70"/>
      <c r="AN113" s="44"/>
    </row>
    <row r="114" spans="1:41" s="69" customFormat="1" ht="39.6" x14ac:dyDescent="0.25">
      <c r="A114" s="2">
        <v>107</v>
      </c>
      <c r="B114" s="76" t="s">
        <v>10</v>
      </c>
      <c r="C114" s="106" t="s">
        <v>489</v>
      </c>
      <c r="D114" s="41" t="s">
        <v>129</v>
      </c>
      <c r="E114" s="75" t="s">
        <v>126</v>
      </c>
      <c r="F114" s="75" t="s">
        <v>128</v>
      </c>
      <c r="G114" s="57">
        <v>1000000</v>
      </c>
      <c r="H114" s="57">
        <v>1000000</v>
      </c>
      <c r="I114" s="88">
        <v>108235</v>
      </c>
      <c r="J114" s="88">
        <v>100829</v>
      </c>
      <c r="K114" s="88">
        <v>97014</v>
      </c>
      <c r="L114" s="88">
        <v>94385</v>
      </c>
      <c r="M114" s="88">
        <v>91854</v>
      </c>
      <c r="N114" s="88">
        <v>89122</v>
      </c>
      <c r="O114" s="90">
        <v>86494</v>
      </c>
      <c r="P114" s="88">
        <v>806109</v>
      </c>
      <c r="Q114" s="56">
        <f t="shared" si="3"/>
        <v>1474042</v>
      </c>
      <c r="R114" s="70"/>
      <c r="S114" s="70"/>
      <c r="T114" s="70"/>
      <c r="U114" s="70"/>
      <c r="V114" s="70"/>
      <c r="W114" s="70"/>
      <c r="X114" s="70"/>
      <c r="Y114" s="70"/>
    </row>
    <row r="115" spans="1:41" s="69" customFormat="1" ht="67.2" customHeight="1" x14ac:dyDescent="0.25">
      <c r="A115" s="2">
        <v>108</v>
      </c>
      <c r="B115" s="81" t="s">
        <v>10</v>
      </c>
      <c r="C115" s="105" t="s">
        <v>490</v>
      </c>
      <c r="D115" s="94" t="s">
        <v>127</v>
      </c>
      <c r="E115" s="93" t="s">
        <v>126</v>
      </c>
      <c r="F115" s="93" t="s">
        <v>125</v>
      </c>
      <c r="G115" s="92">
        <v>217024</v>
      </c>
      <c r="H115" s="92">
        <v>217024</v>
      </c>
      <c r="I115" s="98">
        <v>35964</v>
      </c>
      <c r="J115" s="98">
        <v>34495</v>
      </c>
      <c r="K115" s="98">
        <v>33070</v>
      </c>
      <c r="L115" s="98">
        <v>31882</v>
      </c>
      <c r="M115" s="98">
        <v>30706</v>
      </c>
      <c r="N115" s="98">
        <v>29505</v>
      </c>
      <c r="O115" s="99">
        <v>28318</v>
      </c>
      <c r="P115" s="98">
        <v>40322</v>
      </c>
      <c r="Q115" s="91">
        <f t="shared" si="3"/>
        <v>264262</v>
      </c>
      <c r="R115" s="70"/>
      <c r="S115" s="70"/>
      <c r="T115" s="70"/>
      <c r="U115" s="70"/>
      <c r="V115" s="70"/>
      <c r="W115" s="70"/>
      <c r="X115" s="70"/>
      <c r="Y115" s="70"/>
      <c r="AN115" s="44"/>
    </row>
    <row r="116" spans="1:41" s="69" customFormat="1" ht="67.2" customHeight="1" x14ac:dyDescent="0.25">
      <c r="A116" s="2">
        <v>109</v>
      </c>
      <c r="B116" s="76" t="s">
        <v>10</v>
      </c>
      <c r="C116" s="78" t="s">
        <v>513</v>
      </c>
      <c r="D116" s="41" t="s">
        <v>124</v>
      </c>
      <c r="E116" s="75" t="s">
        <v>117</v>
      </c>
      <c r="F116" s="75" t="s">
        <v>123</v>
      </c>
      <c r="G116" s="57">
        <v>152598</v>
      </c>
      <c r="H116" s="57">
        <f>11646-3913</f>
        <v>7733</v>
      </c>
      <c r="I116" s="88">
        <v>186</v>
      </c>
      <c r="J116" s="88">
        <v>0</v>
      </c>
      <c r="K116" s="88">
        <v>0</v>
      </c>
      <c r="L116" s="88">
        <v>0</v>
      </c>
      <c r="M116" s="88"/>
      <c r="N116" s="88"/>
      <c r="O116" s="90"/>
      <c r="P116" s="88"/>
      <c r="Q116" s="56">
        <f t="shared" si="3"/>
        <v>186</v>
      </c>
      <c r="R116" s="104"/>
      <c r="S116" s="103"/>
      <c r="T116" s="103"/>
      <c r="U116" s="103"/>
      <c r="V116" s="103"/>
      <c r="W116" s="103"/>
      <c r="X116" s="103"/>
      <c r="Y116" s="103"/>
      <c r="Z116" s="102"/>
      <c r="AA116" s="102"/>
      <c r="AB116" s="102"/>
      <c r="AC116" s="102"/>
      <c r="AD116" s="102"/>
      <c r="AE116" s="102"/>
      <c r="AF116" s="102"/>
      <c r="AG116" s="102"/>
      <c r="AH116" s="102"/>
      <c r="AI116" s="102"/>
      <c r="AJ116" s="102"/>
      <c r="AK116" s="102"/>
      <c r="AL116" s="101"/>
    </row>
    <row r="117" spans="1:41" s="69" customFormat="1" ht="70.95" customHeight="1" x14ac:dyDescent="0.25">
      <c r="A117" s="2">
        <v>110</v>
      </c>
      <c r="B117" s="76" t="s">
        <v>10</v>
      </c>
      <c r="C117" s="78" t="s">
        <v>512</v>
      </c>
      <c r="D117" s="41" t="s">
        <v>122</v>
      </c>
      <c r="E117" s="75" t="s">
        <v>117</v>
      </c>
      <c r="F117" s="75" t="s">
        <v>116</v>
      </c>
      <c r="G117" s="57">
        <v>69808</v>
      </c>
      <c r="H117" s="57">
        <f>63421-1802</f>
        <v>61619</v>
      </c>
      <c r="I117" s="88">
        <v>10524</v>
      </c>
      <c r="J117" s="88">
        <v>9703</v>
      </c>
      <c r="K117" s="57">
        <v>9342</v>
      </c>
      <c r="L117" s="88">
        <v>9008</v>
      </c>
      <c r="M117" s="88">
        <v>8678</v>
      </c>
      <c r="N117" s="88">
        <v>8340</v>
      </c>
      <c r="O117" s="90">
        <v>8006</v>
      </c>
      <c r="P117" s="88">
        <v>11759</v>
      </c>
      <c r="Q117" s="56">
        <f t="shared" si="3"/>
        <v>75360</v>
      </c>
      <c r="R117" s="70"/>
      <c r="S117" s="70"/>
      <c r="T117" s="70"/>
      <c r="U117" s="70"/>
      <c r="V117" s="70"/>
      <c r="W117" s="70"/>
      <c r="X117" s="70"/>
      <c r="Y117" s="70"/>
    </row>
    <row r="118" spans="1:41" s="69" customFormat="1" ht="52.8" x14ac:dyDescent="0.25">
      <c r="A118" s="79">
        <v>111</v>
      </c>
      <c r="B118" s="76" t="s">
        <v>10</v>
      </c>
      <c r="C118" s="78" t="s">
        <v>511</v>
      </c>
      <c r="D118" s="41" t="s">
        <v>121</v>
      </c>
      <c r="E118" s="75" t="s">
        <v>117</v>
      </c>
      <c r="F118" s="75" t="s">
        <v>116</v>
      </c>
      <c r="G118" s="57">
        <v>304590</v>
      </c>
      <c r="H118" s="57">
        <v>304590</v>
      </c>
      <c r="I118" s="88">
        <v>50954</v>
      </c>
      <c r="J118" s="88">
        <v>47190</v>
      </c>
      <c r="K118" s="144">
        <v>45442</v>
      </c>
      <c r="L118" s="57">
        <v>43830</v>
      </c>
      <c r="M118" s="88">
        <v>42235</v>
      </c>
      <c r="N118" s="88">
        <v>40602</v>
      </c>
      <c r="O118" s="88">
        <v>38990</v>
      </c>
      <c r="P118" s="88">
        <v>64371</v>
      </c>
      <c r="Q118" s="56">
        <f t="shared" si="3"/>
        <v>373614</v>
      </c>
      <c r="R118" s="70"/>
      <c r="S118" s="70"/>
      <c r="T118" s="70"/>
      <c r="U118" s="70"/>
      <c r="V118" s="70"/>
      <c r="W118" s="70"/>
      <c r="X118" s="70"/>
      <c r="Y118" s="70"/>
    </row>
    <row r="119" spans="1:41" s="69" customFormat="1" ht="52.8" x14ac:dyDescent="0.25">
      <c r="A119" s="2">
        <v>112</v>
      </c>
      <c r="B119" s="76" t="s">
        <v>10</v>
      </c>
      <c r="C119" s="78" t="s">
        <v>510</v>
      </c>
      <c r="D119" s="41" t="s">
        <v>120</v>
      </c>
      <c r="E119" s="75" t="s">
        <v>117</v>
      </c>
      <c r="F119" s="75" t="s">
        <v>116</v>
      </c>
      <c r="G119" s="57">
        <v>85445</v>
      </c>
      <c r="H119" s="57">
        <f>78659-2266</f>
        <v>76393</v>
      </c>
      <c r="I119" s="88">
        <v>13173</v>
      </c>
      <c r="J119" s="88">
        <v>12151</v>
      </c>
      <c r="K119" s="57">
        <v>11697</v>
      </c>
      <c r="L119" s="88">
        <v>11277</v>
      </c>
      <c r="M119" s="88">
        <v>10861</v>
      </c>
      <c r="N119" s="88">
        <v>10437</v>
      </c>
      <c r="O119" s="90">
        <v>10017</v>
      </c>
      <c r="P119" s="88">
        <v>13607</v>
      </c>
      <c r="Q119" s="56">
        <f t="shared" si="3"/>
        <v>93220</v>
      </c>
      <c r="R119" s="70"/>
      <c r="S119" s="70"/>
      <c r="T119" s="70"/>
      <c r="U119" s="70"/>
      <c r="V119" s="70"/>
      <c r="W119" s="70"/>
      <c r="X119" s="70"/>
      <c r="Y119" s="70"/>
    </row>
    <row r="120" spans="1:41" s="69" customFormat="1" ht="39.6" x14ac:dyDescent="0.25">
      <c r="A120" s="2">
        <v>113</v>
      </c>
      <c r="B120" s="76" t="s">
        <v>10</v>
      </c>
      <c r="C120" s="78" t="s">
        <v>509</v>
      </c>
      <c r="D120" s="41" t="s">
        <v>119</v>
      </c>
      <c r="E120" s="75" t="s">
        <v>117</v>
      </c>
      <c r="F120" s="75" t="s">
        <v>116</v>
      </c>
      <c r="G120" s="57">
        <v>111292</v>
      </c>
      <c r="H120" s="57">
        <f>101399-3307</f>
        <v>98092</v>
      </c>
      <c r="I120" s="88">
        <v>18492</v>
      </c>
      <c r="J120" s="88">
        <v>17105</v>
      </c>
      <c r="K120" s="57">
        <v>16450</v>
      </c>
      <c r="L120" s="88">
        <v>15838</v>
      </c>
      <c r="M120" s="88">
        <v>15229</v>
      </c>
      <c r="N120" s="88">
        <v>14611</v>
      </c>
      <c r="O120" s="90">
        <v>13999</v>
      </c>
      <c r="P120" s="88">
        <v>5674</v>
      </c>
      <c r="Q120" s="56">
        <f t="shared" si="3"/>
        <v>117398</v>
      </c>
      <c r="R120" s="70"/>
      <c r="S120" s="70"/>
      <c r="T120" s="70"/>
      <c r="U120" s="70"/>
      <c r="V120" s="70"/>
      <c r="W120" s="70"/>
      <c r="X120" s="70"/>
      <c r="Y120" s="70"/>
    </row>
    <row r="121" spans="1:41" s="69" customFormat="1" ht="67.2" customHeight="1" x14ac:dyDescent="0.25">
      <c r="A121" s="2">
        <v>114</v>
      </c>
      <c r="B121" s="81" t="s">
        <v>10</v>
      </c>
      <c r="C121" s="95" t="s">
        <v>491</v>
      </c>
      <c r="D121" s="94" t="s">
        <v>118</v>
      </c>
      <c r="E121" s="93" t="s">
        <v>117</v>
      </c>
      <c r="F121" s="93" t="s">
        <v>116</v>
      </c>
      <c r="G121" s="92">
        <v>104699</v>
      </c>
      <c r="H121" s="92">
        <v>100237</v>
      </c>
      <c r="I121" s="98">
        <v>18914</v>
      </c>
      <c r="J121" s="98">
        <v>17560</v>
      </c>
      <c r="K121" s="92">
        <v>16874</v>
      </c>
      <c r="L121" s="98">
        <v>16246</v>
      </c>
      <c r="M121" s="98">
        <v>15624</v>
      </c>
      <c r="N121" s="98">
        <v>14991</v>
      </c>
      <c r="O121" s="99">
        <v>14365</v>
      </c>
      <c r="P121" s="98">
        <v>5199</v>
      </c>
      <c r="Q121" s="91">
        <f t="shared" si="3"/>
        <v>119773</v>
      </c>
      <c r="R121" s="70"/>
      <c r="S121" s="70"/>
      <c r="T121" s="70"/>
      <c r="U121" s="70"/>
      <c r="V121" s="70"/>
      <c r="W121" s="70"/>
      <c r="X121" s="70"/>
      <c r="Y121" s="70"/>
    </row>
    <row r="122" spans="1:41" s="69" customFormat="1" ht="66" x14ac:dyDescent="0.25">
      <c r="A122" s="79">
        <v>115</v>
      </c>
      <c r="B122" s="81" t="s">
        <v>10</v>
      </c>
      <c r="C122" s="100" t="s">
        <v>492</v>
      </c>
      <c r="D122" s="94" t="s">
        <v>115</v>
      </c>
      <c r="E122" s="75" t="s">
        <v>109</v>
      </c>
      <c r="F122" s="75" t="s">
        <v>114</v>
      </c>
      <c r="G122" s="57">
        <v>1561658</v>
      </c>
      <c r="H122" s="57">
        <v>1561658</v>
      </c>
      <c r="I122" s="88">
        <v>176873</v>
      </c>
      <c r="J122" s="88">
        <v>168935</v>
      </c>
      <c r="K122" s="88">
        <v>163958</v>
      </c>
      <c r="L122" s="88">
        <v>158983</v>
      </c>
      <c r="M122" s="88">
        <v>154196</v>
      </c>
      <c r="N122" s="88">
        <v>149025</v>
      </c>
      <c r="O122" s="90">
        <v>144053</v>
      </c>
      <c r="P122" s="88">
        <v>1308167</v>
      </c>
      <c r="Q122" s="91">
        <f t="shared" si="3"/>
        <v>2424190</v>
      </c>
      <c r="R122" s="70"/>
      <c r="S122" s="70"/>
      <c r="T122" s="70"/>
      <c r="U122" s="70"/>
      <c r="V122" s="70"/>
      <c r="W122" s="70"/>
      <c r="X122" s="70"/>
      <c r="Y122" s="70"/>
      <c r="AM122" s="82"/>
    </row>
    <row r="123" spans="1:41" s="69" customFormat="1" ht="92.4" x14ac:dyDescent="0.25">
      <c r="A123" s="2">
        <v>116</v>
      </c>
      <c r="B123" s="81" t="s">
        <v>10</v>
      </c>
      <c r="C123" s="78" t="s">
        <v>113</v>
      </c>
      <c r="D123" s="94" t="s">
        <v>112</v>
      </c>
      <c r="E123" s="75" t="s">
        <v>109</v>
      </c>
      <c r="F123" s="75" t="s">
        <v>108</v>
      </c>
      <c r="G123" s="57">
        <v>188595</v>
      </c>
      <c r="H123" s="57">
        <v>168638</v>
      </c>
      <c r="I123" s="88">
        <v>28150</v>
      </c>
      <c r="J123" s="88">
        <v>25704</v>
      </c>
      <c r="K123" s="88">
        <v>24520</v>
      </c>
      <c r="L123" s="88">
        <v>23332</v>
      </c>
      <c r="M123" s="88">
        <v>22146</v>
      </c>
      <c r="N123" s="88">
        <v>3428</v>
      </c>
      <c r="O123" s="90"/>
      <c r="P123" s="88"/>
      <c r="Q123" s="91">
        <f t="shared" si="3"/>
        <v>127280</v>
      </c>
      <c r="R123" s="70"/>
      <c r="S123" s="70"/>
      <c r="T123" s="70"/>
      <c r="U123" s="70"/>
      <c r="V123" s="70"/>
      <c r="W123" s="70"/>
      <c r="X123" s="70"/>
      <c r="Y123" s="70"/>
    </row>
    <row r="124" spans="1:41" s="69" customFormat="1" ht="92.4" x14ac:dyDescent="0.25">
      <c r="A124" s="2">
        <v>117</v>
      </c>
      <c r="B124" s="76" t="s">
        <v>10</v>
      </c>
      <c r="C124" s="78" t="s">
        <v>111</v>
      </c>
      <c r="D124" s="41" t="s">
        <v>110</v>
      </c>
      <c r="E124" s="75" t="s">
        <v>109</v>
      </c>
      <c r="F124" s="75" t="s">
        <v>108</v>
      </c>
      <c r="G124" s="57">
        <v>75785</v>
      </c>
      <c r="H124" s="92">
        <v>72293</v>
      </c>
      <c r="I124" s="98">
        <v>16264</v>
      </c>
      <c r="J124" s="98">
        <v>15391</v>
      </c>
      <c r="K124" s="98">
        <v>14696</v>
      </c>
      <c r="L124" s="98">
        <v>13999</v>
      </c>
      <c r="M124" s="98">
        <v>13303</v>
      </c>
      <c r="N124" s="98">
        <v>1567</v>
      </c>
      <c r="O124" s="99">
        <v>0</v>
      </c>
      <c r="P124" s="98">
        <v>0</v>
      </c>
      <c r="Q124" s="91">
        <f t="shared" si="3"/>
        <v>75220</v>
      </c>
      <c r="R124" s="70"/>
      <c r="S124" s="70"/>
      <c r="T124" s="70"/>
      <c r="U124" s="70"/>
      <c r="V124" s="70"/>
      <c r="W124" s="70"/>
      <c r="X124" s="70"/>
      <c r="Y124" s="70"/>
    </row>
    <row r="125" spans="1:41" s="69" customFormat="1" ht="66" x14ac:dyDescent="0.25">
      <c r="A125" s="2">
        <v>118</v>
      </c>
      <c r="B125" s="76" t="s">
        <v>10</v>
      </c>
      <c r="C125" s="78" t="s">
        <v>492</v>
      </c>
      <c r="D125" s="41" t="s">
        <v>107</v>
      </c>
      <c r="E125" s="75" t="s">
        <v>106</v>
      </c>
      <c r="F125" s="75" t="s">
        <v>105</v>
      </c>
      <c r="G125" s="57">
        <v>1862367</v>
      </c>
      <c r="H125" s="57">
        <v>1542963</v>
      </c>
      <c r="I125" s="88">
        <v>178250</v>
      </c>
      <c r="J125" s="88">
        <v>174273</v>
      </c>
      <c r="K125" s="88">
        <v>169996</v>
      </c>
      <c r="L125" s="88">
        <v>165718</v>
      </c>
      <c r="M125" s="88">
        <v>161441</v>
      </c>
      <c r="N125" s="90">
        <v>157164</v>
      </c>
      <c r="O125" s="88">
        <v>152887</v>
      </c>
      <c r="P125" s="88">
        <v>1526005</v>
      </c>
      <c r="Q125" s="56">
        <f t="shared" si="3"/>
        <v>2685734</v>
      </c>
      <c r="R125" s="70"/>
      <c r="S125" s="70"/>
      <c r="T125" s="70"/>
      <c r="U125" s="70"/>
      <c r="V125" s="70"/>
      <c r="W125" s="70"/>
      <c r="X125" s="70"/>
      <c r="Y125" s="70"/>
      <c r="AN125" s="97"/>
    </row>
    <row r="126" spans="1:41" s="69" customFormat="1" ht="39.6" x14ac:dyDescent="0.25">
      <c r="A126" s="2">
        <v>119</v>
      </c>
      <c r="B126" s="96" t="s">
        <v>10</v>
      </c>
      <c r="C126" s="95" t="s">
        <v>474</v>
      </c>
      <c r="D126" s="94" t="s">
        <v>104</v>
      </c>
      <c r="E126" s="93" t="s">
        <v>103</v>
      </c>
      <c r="F126" s="93" t="s">
        <v>102</v>
      </c>
      <c r="G126" s="92">
        <v>831711</v>
      </c>
      <c r="H126" s="92">
        <v>831711</v>
      </c>
      <c r="I126" s="98">
        <v>78952</v>
      </c>
      <c r="J126" s="98">
        <v>78390</v>
      </c>
      <c r="K126" s="98">
        <v>76446</v>
      </c>
      <c r="L126" s="98">
        <v>74496</v>
      </c>
      <c r="M126" s="98">
        <v>72626</v>
      </c>
      <c r="N126" s="98">
        <v>70595</v>
      </c>
      <c r="O126" s="99">
        <v>68646</v>
      </c>
      <c r="P126" s="98">
        <v>693878</v>
      </c>
      <c r="Q126" s="91">
        <f t="shared" si="3"/>
        <v>1214029</v>
      </c>
      <c r="R126" s="70"/>
      <c r="S126" s="70"/>
      <c r="T126" s="70"/>
      <c r="U126" s="70"/>
      <c r="V126" s="70"/>
      <c r="W126" s="70"/>
      <c r="X126" s="70"/>
      <c r="Y126" s="70"/>
      <c r="AM126" s="44"/>
    </row>
    <row r="127" spans="1:41" s="69" customFormat="1" ht="73.95" customHeight="1" x14ac:dyDescent="0.25">
      <c r="A127" s="79">
        <v>120</v>
      </c>
      <c r="B127" s="76" t="s">
        <v>10</v>
      </c>
      <c r="C127" s="78" t="s">
        <v>493</v>
      </c>
      <c r="D127" s="41" t="s">
        <v>101</v>
      </c>
      <c r="E127" s="75" t="s">
        <v>100</v>
      </c>
      <c r="F127" s="75" t="s">
        <v>99</v>
      </c>
      <c r="G127" s="57">
        <v>817850</v>
      </c>
      <c r="H127" s="57">
        <v>817850</v>
      </c>
      <c r="I127" s="88">
        <v>118981</v>
      </c>
      <c r="J127" s="88">
        <v>114938</v>
      </c>
      <c r="K127" s="88">
        <v>111271</v>
      </c>
      <c r="L127" s="88">
        <v>107595</v>
      </c>
      <c r="M127" s="88">
        <v>103961</v>
      </c>
      <c r="N127" s="90">
        <v>100237</v>
      </c>
      <c r="O127" s="90">
        <v>96563</v>
      </c>
      <c r="P127" s="88">
        <v>182945</v>
      </c>
      <c r="Q127" s="56">
        <f t="shared" si="3"/>
        <v>936491</v>
      </c>
      <c r="R127" s="70"/>
      <c r="S127" s="70"/>
      <c r="T127" s="70"/>
      <c r="U127" s="70"/>
      <c r="V127" s="70"/>
      <c r="W127" s="70"/>
      <c r="X127" s="70"/>
      <c r="Y127" s="70"/>
      <c r="AM127" s="82"/>
      <c r="AN127" s="44"/>
    </row>
    <row r="128" spans="1:41" s="69" customFormat="1" ht="105.6" x14ac:dyDescent="0.25">
      <c r="A128" s="2">
        <v>121</v>
      </c>
      <c r="B128" s="76" t="s">
        <v>10</v>
      </c>
      <c r="C128" s="78" t="s">
        <v>508</v>
      </c>
      <c r="D128" s="41" t="s">
        <v>98</v>
      </c>
      <c r="E128" s="75" t="s">
        <v>96</v>
      </c>
      <c r="F128" s="75" t="s">
        <v>95</v>
      </c>
      <c r="G128" s="57">
        <v>363474</v>
      </c>
      <c r="H128" s="57">
        <v>363474</v>
      </c>
      <c r="I128" s="88">
        <v>39266</v>
      </c>
      <c r="J128" s="88">
        <v>39943</v>
      </c>
      <c r="K128" s="88">
        <v>38831</v>
      </c>
      <c r="L128" s="88">
        <v>37715</v>
      </c>
      <c r="M128" s="88">
        <v>36630</v>
      </c>
      <c r="N128" s="90">
        <v>35483</v>
      </c>
      <c r="O128" s="90">
        <v>34368</v>
      </c>
      <c r="P128" s="88">
        <v>222317</v>
      </c>
      <c r="Q128" s="56">
        <f t="shared" si="3"/>
        <v>484553</v>
      </c>
      <c r="R128" s="70"/>
      <c r="S128" s="70"/>
      <c r="T128" s="70"/>
      <c r="U128" s="70"/>
      <c r="V128" s="70"/>
      <c r="W128" s="70"/>
      <c r="X128" s="70"/>
      <c r="Y128" s="70"/>
      <c r="AM128" s="82"/>
      <c r="AN128" s="44"/>
      <c r="AO128" s="44"/>
    </row>
    <row r="129" spans="1:41" s="69" customFormat="1" ht="41.4" customHeight="1" x14ac:dyDescent="0.25">
      <c r="A129" s="2">
        <v>122</v>
      </c>
      <c r="B129" s="76" t="s">
        <v>10</v>
      </c>
      <c r="C129" s="78" t="s">
        <v>507</v>
      </c>
      <c r="D129" s="41" t="s">
        <v>97</v>
      </c>
      <c r="E129" s="75" t="s">
        <v>96</v>
      </c>
      <c r="F129" s="75" t="s">
        <v>95</v>
      </c>
      <c r="G129" s="57">
        <v>424514</v>
      </c>
      <c r="H129" s="57">
        <v>424514</v>
      </c>
      <c r="I129" s="88">
        <v>46317</v>
      </c>
      <c r="J129" s="88">
        <v>46653</v>
      </c>
      <c r="K129" s="88">
        <v>45354</v>
      </c>
      <c r="L129" s="88">
        <v>44051</v>
      </c>
      <c r="M129" s="88">
        <v>42783</v>
      </c>
      <c r="N129" s="90">
        <v>41443</v>
      </c>
      <c r="O129" s="90">
        <v>40141</v>
      </c>
      <c r="P129" s="88">
        <v>259630</v>
      </c>
      <c r="Q129" s="56">
        <f t="shared" si="3"/>
        <v>566372</v>
      </c>
      <c r="R129" s="70"/>
      <c r="S129" s="70"/>
      <c r="T129" s="70"/>
      <c r="U129" s="70"/>
      <c r="V129" s="70"/>
      <c r="W129" s="70"/>
      <c r="X129" s="70"/>
      <c r="Y129" s="70"/>
      <c r="AM129" s="82"/>
      <c r="AN129" s="44"/>
      <c r="AO129" s="44"/>
    </row>
    <row r="130" spans="1:41" s="69" customFormat="1" ht="66" x14ac:dyDescent="0.25">
      <c r="A130" s="2">
        <v>123</v>
      </c>
      <c r="B130" s="76" t="s">
        <v>10</v>
      </c>
      <c r="C130" s="89" t="s">
        <v>492</v>
      </c>
      <c r="D130" s="41" t="s">
        <v>94</v>
      </c>
      <c r="E130" s="87" t="s">
        <v>93</v>
      </c>
      <c r="F130" s="75" t="s">
        <v>92</v>
      </c>
      <c r="G130" s="57">
        <v>60653</v>
      </c>
      <c r="H130" s="57">
        <v>60653</v>
      </c>
      <c r="I130" s="88">
        <v>2503</v>
      </c>
      <c r="J130" s="88">
        <v>0</v>
      </c>
      <c r="K130" s="88">
        <v>0</v>
      </c>
      <c r="L130" s="88">
        <v>0</v>
      </c>
      <c r="M130" s="88">
        <v>0</v>
      </c>
      <c r="N130" s="88">
        <v>0</v>
      </c>
      <c r="O130" s="88">
        <v>0</v>
      </c>
      <c r="P130" s="88">
        <v>0</v>
      </c>
      <c r="Q130" s="56">
        <f t="shared" si="3"/>
        <v>2503</v>
      </c>
      <c r="R130" s="70"/>
      <c r="S130" s="70"/>
      <c r="T130" s="70"/>
      <c r="U130" s="70"/>
      <c r="V130" s="70"/>
      <c r="W130" s="70"/>
      <c r="X130" s="70"/>
      <c r="Y130" s="70"/>
      <c r="AM130" s="82"/>
      <c r="AN130" s="44"/>
    </row>
    <row r="131" spans="1:41" s="69" customFormat="1" ht="39.6" x14ac:dyDescent="0.25">
      <c r="A131" s="79">
        <v>124</v>
      </c>
      <c r="B131" s="76" t="s">
        <v>10</v>
      </c>
      <c r="C131" s="78" t="s">
        <v>506</v>
      </c>
      <c r="D131" s="41" t="s">
        <v>91</v>
      </c>
      <c r="E131" s="87" t="s">
        <v>90</v>
      </c>
      <c r="F131" s="75" t="s">
        <v>89</v>
      </c>
      <c r="G131" s="57">
        <v>92004</v>
      </c>
      <c r="H131" s="57">
        <v>92004</v>
      </c>
      <c r="I131" s="88">
        <v>12776</v>
      </c>
      <c r="J131" s="88">
        <v>12860</v>
      </c>
      <c r="K131" s="88">
        <v>12463</v>
      </c>
      <c r="L131" s="88">
        <v>12065</v>
      </c>
      <c r="M131" s="88">
        <v>11672</v>
      </c>
      <c r="N131" s="90">
        <v>11267</v>
      </c>
      <c r="O131" s="90">
        <v>10869</v>
      </c>
      <c r="P131" s="88">
        <v>27810</v>
      </c>
      <c r="Q131" s="56">
        <f t="shared" si="3"/>
        <v>111782</v>
      </c>
      <c r="R131" s="70"/>
      <c r="S131" s="70"/>
      <c r="T131" s="70"/>
      <c r="U131" s="70"/>
      <c r="V131" s="70"/>
      <c r="W131" s="70"/>
      <c r="X131" s="70"/>
      <c r="Y131" s="70"/>
      <c r="AN131" s="44"/>
      <c r="AO131" s="44"/>
    </row>
    <row r="132" spans="1:41" s="69" customFormat="1" ht="52.8" x14ac:dyDescent="0.25">
      <c r="A132" s="2">
        <v>125</v>
      </c>
      <c r="B132" s="76" t="s">
        <v>10</v>
      </c>
      <c r="C132" s="78" t="s">
        <v>494</v>
      </c>
      <c r="D132" s="41" t="s">
        <v>88</v>
      </c>
      <c r="E132" s="75" t="s">
        <v>85</v>
      </c>
      <c r="F132" s="75" t="s">
        <v>84</v>
      </c>
      <c r="G132" s="57">
        <v>239876</v>
      </c>
      <c r="H132" s="57">
        <v>23988</v>
      </c>
      <c r="I132" s="88">
        <v>3521</v>
      </c>
      <c r="J132" s="88">
        <v>27868</v>
      </c>
      <c r="K132" s="88">
        <v>27142</v>
      </c>
      <c r="L132" s="88">
        <v>26372</v>
      </c>
      <c r="M132" s="88">
        <v>25623</v>
      </c>
      <c r="N132" s="90">
        <v>24830</v>
      </c>
      <c r="O132" s="90">
        <v>24061</v>
      </c>
      <c r="P132" s="88">
        <v>160394</v>
      </c>
      <c r="Q132" s="56">
        <f t="shared" si="3"/>
        <v>319811</v>
      </c>
      <c r="R132" s="70"/>
      <c r="S132" s="70"/>
      <c r="T132" s="70"/>
      <c r="U132" s="70"/>
      <c r="V132" s="70"/>
      <c r="W132" s="70"/>
      <c r="X132" s="70"/>
      <c r="Y132" s="70"/>
    </row>
    <row r="133" spans="1:41" s="69" customFormat="1" ht="70.95" customHeight="1" x14ac:dyDescent="0.25">
      <c r="A133" s="2">
        <v>126</v>
      </c>
      <c r="B133" s="76" t="s">
        <v>10</v>
      </c>
      <c r="C133" s="78" t="s">
        <v>495</v>
      </c>
      <c r="D133" s="41" t="s">
        <v>87</v>
      </c>
      <c r="E133" s="75" t="s">
        <v>85</v>
      </c>
      <c r="F133" s="75" t="s">
        <v>84</v>
      </c>
      <c r="G133" s="57">
        <v>472143</v>
      </c>
      <c r="H133" s="57">
        <v>47122</v>
      </c>
      <c r="I133" s="88">
        <v>8107</v>
      </c>
      <c r="J133" s="88">
        <v>54767</v>
      </c>
      <c r="K133" s="88">
        <v>53338</v>
      </c>
      <c r="L133" s="88">
        <v>51822</v>
      </c>
      <c r="M133" s="88">
        <v>50348</v>
      </c>
      <c r="N133" s="90">
        <v>48789</v>
      </c>
      <c r="O133" s="90">
        <v>47274</v>
      </c>
      <c r="P133" s="88">
        <v>313200</v>
      </c>
      <c r="Q133" s="56">
        <f t="shared" si="3"/>
        <v>627645</v>
      </c>
      <c r="R133" s="70"/>
      <c r="S133" s="70"/>
      <c r="T133" s="70"/>
      <c r="U133" s="70"/>
      <c r="V133" s="70"/>
      <c r="W133" s="70"/>
      <c r="X133" s="70"/>
      <c r="Y133" s="70"/>
      <c r="AN133" s="44"/>
      <c r="AO133" s="44"/>
    </row>
    <row r="134" spans="1:41" s="69" customFormat="1" ht="43.2" customHeight="1" x14ac:dyDescent="0.25">
      <c r="A134" s="2">
        <v>127</v>
      </c>
      <c r="B134" s="76" t="s">
        <v>10</v>
      </c>
      <c r="C134" s="78" t="s">
        <v>496</v>
      </c>
      <c r="D134" s="41" t="s">
        <v>86</v>
      </c>
      <c r="E134" s="75" t="s">
        <v>85</v>
      </c>
      <c r="F134" s="75" t="s">
        <v>84</v>
      </c>
      <c r="G134" s="57">
        <v>382014</v>
      </c>
      <c r="H134" s="57">
        <v>382014</v>
      </c>
      <c r="I134" s="88">
        <v>39198</v>
      </c>
      <c r="J134" s="88">
        <v>41432</v>
      </c>
      <c r="K134" s="88">
        <v>40292</v>
      </c>
      <c r="L134" s="88">
        <v>39149</v>
      </c>
      <c r="M134" s="88">
        <v>38036</v>
      </c>
      <c r="N134" s="90">
        <v>36860</v>
      </c>
      <c r="O134" s="90">
        <v>35718</v>
      </c>
      <c r="P134" s="88">
        <v>238144</v>
      </c>
      <c r="Q134" s="56">
        <f t="shared" si="3"/>
        <v>508829</v>
      </c>
      <c r="R134" s="70"/>
      <c r="S134" s="70"/>
      <c r="T134" s="70"/>
      <c r="U134" s="70"/>
      <c r="V134" s="70"/>
      <c r="W134" s="70"/>
      <c r="X134" s="70"/>
      <c r="Y134" s="70"/>
      <c r="AN134" s="44"/>
    </row>
    <row r="135" spans="1:41" s="83" customFormat="1" ht="66" x14ac:dyDescent="0.25">
      <c r="A135" s="2">
        <v>128</v>
      </c>
      <c r="B135" s="76" t="s">
        <v>10</v>
      </c>
      <c r="C135" s="86" t="s">
        <v>497</v>
      </c>
      <c r="D135" s="41" t="s">
        <v>83</v>
      </c>
      <c r="E135" s="75" t="s">
        <v>80</v>
      </c>
      <c r="F135" s="145" t="s">
        <v>82</v>
      </c>
      <c r="G135" s="85">
        <v>324703</v>
      </c>
      <c r="H135" s="85">
        <v>324703</v>
      </c>
      <c r="I135" s="146">
        <v>23743</v>
      </c>
      <c r="J135" s="71">
        <v>26519</v>
      </c>
      <c r="K135" s="71">
        <v>25974</v>
      </c>
      <c r="L135" s="71">
        <v>25428</v>
      </c>
      <c r="M135" s="71">
        <v>24919</v>
      </c>
      <c r="N135" s="71">
        <v>24335</v>
      </c>
      <c r="O135" s="71">
        <v>23789</v>
      </c>
      <c r="P135" s="71">
        <v>393875</v>
      </c>
      <c r="Q135" s="71">
        <f t="shared" si="3"/>
        <v>568582</v>
      </c>
      <c r="R135" s="84"/>
      <c r="S135" s="84"/>
      <c r="T135" s="84"/>
      <c r="U135" s="84"/>
      <c r="V135" s="84"/>
      <c r="W135" s="84"/>
      <c r="X135" s="84"/>
      <c r="Y135" s="84"/>
    </row>
    <row r="136" spans="1:41" s="69" customFormat="1" ht="26.4" x14ac:dyDescent="0.25">
      <c r="A136" s="79">
        <v>129</v>
      </c>
      <c r="B136" s="81" t="s">
        <v>10</v>
      </c>
      <c r="C136" s="78" t="s">
        <v>78</v>
      </c>
      <c r="D136" s="41" t="s">
        <v>81</v>
      </c>
      <c r="E136" s="75" t="s">
        <v>80</v>
      </c>
      <c r="F136" s="75" t="s">
        <v>79</v>
      </c>
      <c r="G136" s="57">
        <v>94525</v>
      </c>
      <c r="H136" s="57">
        <v>94525</v>
      </c>
      <c r="I136" s="74">
        <v>17790</v>
      </c>
      <c r="J136" s="72">
        <v>17319</v>
      </c>
      <c r="K136" s="72">
        <v>16727</v>
      </c>
      <c r="L136" s="72">
        <v>16134</v>
      </c>
      <c r="M136" s="72">
        <v>15545</v>
      </c>
      <c r="N136" s="72">
        <v>14948</v>
      </c>
      <c r="O136" s="73">
        <v>10852</v>
      </c>
      <c r="P136" s="72">
        <v>0</v>
      </c>
      <c r="Q136" s="71">
        <f t="shared" ref="Q136:Q144" si="4">SUM(I136:P136)</f>
        <v>109315</v>
      </c>
      <c r="R136" s="70"/>
      <c r="S136" s="70"/>
      <c r="T136" s="70"/>
      <c r="U136" s="70"/>
      <c r="V136" s="70"/>
      <c r="W136" s="70"/>
      <c r="X136" s="70"/>
      <c r="Y136" s="70"/>
    </row>
    <row r="137" spans="1:41" s="69" customFormat="1" ht="34.950000000000003" customHeight="1" x14ac:dyDescent="0.25">
      <c r="A137" s="2">
        <v>130</v>
      </c>
      <c r="B137" s="81" t="s">
        <v>10</v>
      </c>
      <c r="C137" s="80" t="s">
        <v>78</v>
      </c>
      <c r="D137" s="41" t="s">
        <v>77</v>
      </c>
      <c r="E137" s="75" t="s">
        <v>72</v>
      </c>
      <c r="F137" s="75" t="s">
        <v>76</v>
      </c>
      <c r="G137" s="71">
        <v>593505</v>
      </c>
      <c r="H137" s="57">
        <v>0</v>
      </c>
      <c r="I137" s="57">
        <v>11262</v>
      </c>
      <c r="J137" s="57">
        <v>112532</v>
      </c>
      <c r="K137" s="74">
        <v>109067</v>
      </c>
      <c r="L137" s="72">
        <v>105602</v>
      </c>
      <c r="M137" s="72">
        <v>102137</v>
      </c>
      <c r="N137" s="72">
        <v>98672</v>
      </c>
      <c r="O137" s="72">
        <v>95206</v>
      </c>
      <c r="P137" s="72">
        <v>46306</v>
      </c>
      <c r="Q137" s="71">
        <f t="shared" si="4"/>
        <v>680784</v>
      </c>
      <c r="R137" s="70"/>
      <c r="S137" s="70"/>
      <c r="T137" s="70"/>
      <c r="U137" s="70"/>
      <c r="V137" s="70"/>
      <c r="W137" s="70"/>
      <c r="X137" s="70"/>
      <c r="Y137" s="70"/>
    </row>
    <row r="138" spans="1:41" s="69" customFormat="1" ht="70.2" customHeight="1" x14ac:dyDescent="0.25">
      <c r="A138" s="79">
        <v>131</v>
      </c>
      <c r="B138" s="81" t="s">
        <v>10</v>
      </c>
      <c r="C138" s="80" t="s">
        <v>498</v>
      </c>
      <c r="D138" s="41" t="s">
        <v>75</v>
      </c>
      <c r="E138" s="75" t="s">
        <v>72</v>
      </c>
      <c r="F138" s="75" t="s">
        <v>74</v>
      </c>
      <c r="G138" s="57">
        <v>741280</v>
      </c>
      <c r="H138" s="57">
        <v>0</v>
      </c>
      <c r="I138" s="74">
        <v>7601</v>
      </c>
      <c r="J138" s="72">
        <v>68013</v>
      </c>
      <c r="K138" s="72">
        <v>66444</v>
      </c>
      <c r="L138" s="72">
        <v>64876</v>
      </c>
      <c r="M138" s="72">
        <v>63307</v>
      </c>
      <c r="N138" s="72">
        <v>61739</v>
      </c>
      <c r="O138" s="73">
        <v>60170</v>
      </c>
      <c r="P138" s="72">
        <v>658747</v>
      </c>
      <c r="Q138" s="71">
        <f t="shared" si="4"/>
        <v>1050897</v>
      </c>
      <c r="R138" s="70"/>
      <c r="S138" s="70"/>
      <c r="T138" s="70"/>
      <c r="U138" s="70"/>
      <c r="V138" s="70"/>
      <c r="W138" s="70"/>
      <c r="X138" s="70"/>
      <c r="Y138" s="70"/>
    </row>
    <row r="139" spans="1:41" s="69" customFormat="1" ht="26.4" x14ac:dyDescent="0.25">
      <c r="A139" s="77">
        <v>132</v>
      </c>
      <c r="B139" s="76" t="s">
        <v>10</v>
      </c>
      <c r="C139" s="80" t="s">
        <v>499</v>
      </c>
      <c r="D139" s="41" t="s">
        <v>73</v>
      </c>
      <c r="E139" s="75" t="s">
        <v>72</v>
      </c>
      <c r="F139" s="75" t="s">
        <v>71</v>
      </c>
      <c r="G139" s="57">
        <v>1970727</v>
      </c>
      <c r="H139" s="57">
        <v>0</v>
      </c>
      <c r="I139" s="74">
        <v>19599</v>
      </c>
      <c r="J139" s="72">
        <v>144203</v>
      </c>
      <c r="K139" s="72">
        <v>141546</v>
      </c>
      <c r="L139" s="72">
        <v>138888</v>
      </c>
      <c r="M139" s="72">
        <v>136231</v>
      </c>
      <c r="N139" s="72">
        <v>133573</v>
      </c>
      <c r="O139" s="73">
        <v>130916</v>
      </c>
      <c r="P139" s="72">
        <v>2311509</v>
      </c>
      <c r="Q139" s="71">
        <f t="shared" si="4"/>
        <v>3156465</v>
      </c>
      <c r="R139" s="70"/>
      <c r="S139" s="70"/>
      <c r="T139" s="70"/>
      <c r="U139" s="70"/>
      <c r="V139" s="70"/>
      <c r="W139" s="70"/>
      <c r="X139" s="70"/>
      <c r="Y139" s="70"/>
    </row>
    <row r="140" spans="1:41" s="69" customFormat="1" ht="51.6" customHeight="1" x14ac:dyDescent="0.25">
      <c r="A140" s="79">
        <v>133</v>
      </c>
      <c r="B140" s="76" t="s">
        <v>10</v>
      </c>
      <c r="C140" s="78" t="s">
        <v>70</v>
      </c>
      <c r="D140" s="41" t="s">
        <v>69</v>
      </c>
      <c r="E140" s="75" t="s">
        <v>62</v>
      </c>
      <c r="F140" s="75" t="s">
        <v>68</v>
      </c>
      <c r="G140" s="57">
        <v>1746531</v>
      </c>
      <c r="H140" s="57">
        <v>0</v>
      </c>
      <c r="I140" s="74">
        <v>2648</v>
      </c>
      <c r="J140" s="72">
        <v>39719</v>
      </c>
      <c r="K140" s="72">
        <v>163589</v>
      </c>
      <c r="L140" s="72">
        <v>159772</v>
      </c>
      <c r="M140" s="72">
        <v>155955</v>
      </c>
      <c r="N140" s="72">
        <v>152138</v>
      </c>
      <c r="O140" s="73">
        <v>148321</v>
      </c>
      <c r="P140" s="72">
        <v>1628740</v>
      </c>
      <c r="Q140" s="71">
        <f t="shared" si="4"/>
        <v>2450882</v>
      </c>
      <c r="R140" s="70"/>
      <c r="S140" s="70"/>
      <c r="T140" s="70"/>
      <c r="U140" s="70"/>
      <c r="V140" s="70"/>
      <c r="W140" s="70"/>
      <c r="X140" s="70"/>
      <c r="Y140" s="70"/>
    </row>
    <row r="141" spans="1:41" s="69" customFormat="1" ht="52.95" customHeight="1" x14ac:dyDescent="0.25">
      <c r="A141" s="2">
        <v>134</v>
      </c>
      <c r="B141" s="76" t="s">
        <v>10</v>
      </c>
      <c r="C141" s="78" t="s">
        <v>67</v>
      </c>
      <c r="D141" s="41" t="s">
        <v>66</v>
      </c>
      <c r="E141" s="75" t="s">
        <v>62</v>
      </c>
      <c r="F141" s="75" t="s">
        <v>61</v>
      </c>
      <c r="G141" s="57">
        <v>333685</v>
      </c>
      <c r="H141" s="57">
        <v>0</v>
      </c>
      <c r="I141" s="74">
        <v>402</v>
      </c>
      <c r="J141" s="72">
        <v>6836</v>
      </c>
      <c r="K141" s="72">
        <v>51555</v>
      </c>
      <c r="L141" s="72">
        <v>50042</v>
      </c>
      <c r="M141" s="72">
        <v>48528</v>
      </c>
      <c r="N141" s="72">
        <v>47014</v>
      </c>
      <c r="O141" s="73">
        <v>45500</v>
      </c>
      <c r="P141" s="72">
        <v>147340</v>
      </c>
      <c r="Q141" s="71">
        <f t="shared" si="4"/>
        <v>397217</v>
      </c>
      <c r="R141" s="70"/>
      <c r="S141" s="70"/>
      <c r="T141" s="70"/>
      <c r="U141" s="70"/>
      <c r="V141" s="70"/>
      <c r="W141" s="70"/>
      <c r="X141" s="70"/>
      <c r="Y141" s="70"/>
    </row>
    <row r="142" spans="1:41" s="69" customFormat="1" ht="54.6" customHeight="1" x14ac:dyDescent="0.25">
      <c r="A142" s="79">
        <v>135</v>
      </c>
      <c r="B142" s="76" t="s">
        <v>10</v>
      </c>
      <c r="C142" s="78" t="s">
        <v>505</v>
      </c>
      <c r="D142" s="41" t="s">
        <v>65</v>
      </c>
      <c r="E142" s="75" t="s">
        <v>62</v>
      </c>
      <c r="F142" s="75" t="s">
        <v>61</v>
      </c>
      <c r="G142" s="57">
        <v>309113</v>
      </c>
      <c r="H142" s="57">
        <v>0</v>
      </c>
      <c r="I142" s="74">
        <v>1490</v>
      </c>
      <c r="J142" s="72">
        <v>43989</v>
      </c>
      <c r="K142" s="72">
        <v>42734</v>
      </c>
      <c r="L142" s="72">
        <v>41479</v>
      </c>
      <c r="M142" s="72">
        <v>40225</v>
      </c>
      <c r="N142" s="72">
        <v>38970</v>
      </c>
      <c r="O142" s="73">
        <v>37715</v>
      </c>
      <c r="P142" s="72">
        <v>122105</v>
      </c>
      <c r="Q142" s="71">
        <f t="shared" si="4"/>
        <v>368707</v>
      </c>
      <c r="R142" s="70"/>
      <c r="S142" s="70"/>
      <c r="T142" s="70"/>
      <c r="U142" s="70"/>
      <c r="V142" s="70"/>
      <c r="W142" s="70"/>
      <c r="X142" s="70"/>
      <c r="Y142" s="70"/>
    </row>
    <row r="143" spans="1:41" s="69" customFormat="1" ht="68.400000000000006" customHeight="1" x14ac:dyDescent="0.25">
      <c r="A143" s="77">
        <v>136</v>
      </c>
      <c r="B143" s="76" t="s">
        <v>10</v>
      </c>
      <c r="C143" s="78" t="s">
        <v>504</v>
      </c>
      <c r="D143" s="41" t="s">
        <v>64</v>
      </c>
      <c r="E143" s="75" t="s">
        <v>62</v>
      </c>
      <c r="F143" s="75" t="s">
        <v>61</v>
      </c>
      <c r="G143" s="57">
        <v>368704</v>
      </c>
      <c r="H143" s="57">
        <v>0</v>
      </c>
      <c r="I143" s="74">
        <v>1777</v>
      </c>
      <c r="J143" s="72">
        <v>52468</v>
      </c>
      <c r="K143" s="72">
        <v>50971</v>
      </c>
      <c r="L143" s="72">
        <v>49475</v>
      </c>
      <c r="M143" s="72">
        <v>47978</v>
      </c>
      <c r="N143" s="72">
        <v>46482</v>
      </c>
      <c r="O143" s="73">
        <v>44985</v>
      </c>
      <c r="P143" s="72">
        <v>145652</v>
      </c>
      <c r="Q143" s="71">
        <f t="shared" si="4"/>
        <v>439788</v>
      </c>
      <c r="R143" s="70"/>
      <c r="S143" s="70"/>
      <c r="T143" s="70"/>
      <c r="U143" s="70"/>
      <c r="V143" s="70"/>
      <c r="W143" s="70"/>
      <c r="X143" s="70"/>
      <c r="Y143" s="70"/>
    </row>
    <row r="144" spans="1:41" s="69" customFormat="1" ht="70.95" customHeight="1" x14ac:dyDescent="0.25">
      <c r="A144" s="79">
        <v>137</v>
      </c>
      <c r="B144" s="76" t="s">
        <v>10</v>
      </c>
      <c r="C144" s="78" t="s">
        <v>503</v>
      </c>
      <c r="D144" s="41" t="s">
        <v>63</v>
      </c>
      <c r="E144" s="75" t="s">
        <v>62</v>
      </c>
      <c r="F144" s="75" t="s">
        <v>61</v>
      </c>
      <c r="G144" s="57">
        <v>142482</v>
      </c>
      <c r="H144" s="57">
        <v>0</v>
      </c>
      <c r="I144" s="74">
        <v>687</v>
      </c>
      <c r="J144" s="72">
        <v>5494</v>
      </c>
      <c r="K144" s="72">
        <v>22016</v>
      </c>
      <c r="L144" s="72">
        <v>21369</v>
      </c>
      <c r="M144" s="72">
        <v>20723</v>
      </c>
      <c r="N144" s="72">
        <v>20076</v>
      </c>
      <c r="O144" s="73">
        <v>19430</v>
      </c>
      <c r="P144" s="72">
        <v>62903</v>
      </c>
      <c r="Q144" s="71">
        <f t="shared" si="4"/>
        <v>172698</v>
      </c>
      <c r="R144" s="70"/>
      <c r="S144" s="70"/>
      <c r="T144" s="70"/>
      <c r="U144" s="70"/>
      <c r="V144" s="70"/>
      <c r="W144" s="70"/>
      <c r="X144" s="70"/>
      <c r="Y144" s="70"/>
    </row>
    <row r="145" spans="1:41" s="69" customFormat="1" ht="39" hidden="1" customHeight="1" x14ac:dyDescent="0.25">
      <c r="A145" s="77"/>
      <c r="B145" s="76"/>
      <c r="C145" s="78"/>
      <c r="D145" s="41"/>
      <c r="E145" s="75"/>
      <c r="F145" s="75"/>
      <c r="G145" s="57"/>
      <c r="H145" s="57"/>
      <c r="I145" s="74"/>
      <c r="J145" s="72"/>
      <c r="K145" s="72"/>
      <c r="L145" s="72"/>
      <c r="M145" s="72"/>
      <c r="N145" s="72"/>
      <c r="O145" s="73"/>
      <c r="P145" s="72"/>
      <c r="Q145" s="71"/>
      <c r="R145" s="70"/>
      <c r="S145" s="70"/>
      <c r="T145" s="70"/>
      <c r="U145" s="70"/>
      <c r="V145" s="70"/>
      <c r="W145" s="70"/>
      <c r="X145" s="70"/>
      <c r="Y145" s="70"/>
    </row>
    <row r="146" spans="1:41" s="69" customFormat="1" ht="63" customHeight="1" x14ac:dyDescent="0.25">
      <c r="A146" s="77">
        <v>138</v>
      </c>
      <c r="B146" s="76" t="s">
        <v>10</v>
      </c>
      <c r="C146" s="78" t="s">
        <v>500</v>
      </c>
      <c r="D146" s="41" t="s">
        <v>60</v>
      </c>
      <c r="E146" s="75" t="s">
        <v>59</v>
      </c>
      <c r="F146" s="75" t="s">
        <v>55</v>
      </c>
      <c r="G146" s="57">
        <v>382699</v>
      </c>
      <c r="H146" s="57">
        <v>0</v>
      </c>
      <c r="I146" s="74">
        <v>0</v>
      </c>
      <c r="J146" s="72">
        <v>9996</v>
      </c>
      <c r="K146" s="72">
        <v>62364</v>
      </c>
      <c r="L146" s="72">
        <v>60622</v>
      </c>
      <c r="M146" s="72">
        <v>58881</v>
      </c>
      <c r="N146" s="72">
        <v>53457</v>
      </c>
      <c r="O146" s="73">
        <v>48199</v>
      </c>
      <c r="P146" s="72">
        <v>156799</v>
      </c>
      <c r="Q146" s="71">
        <f>SUM(I146:P146)</f>
        <v>450318</v>
      </c>
      <c r="R146" s="70"/>
      <c r="S146" s="70"/>
      <c r="T146" s="70"/>
      <c r="U146" s="70"/>
      <c r="V146" s="70"/>
      <c r="W146" s="70"/>
      <c r="X146" s="70"/>
      <c r="Y146" s="70"/>
    </row>
    <row r="147" spans="1:41" s="4" customFormat="1" ht="13.2" x14ac:dyDescent="0.25">
      <c r="A147" s="65"/>
      <c r="B147" s="68" t="s">
        <v>5</v>
      </c>
      <c r="C147" s="67"/>
      <c r="D147" s="66"/>
      <c r="E147" s="65" t="s">
        <v>1</v>
      </c>
      <c r="F147" s="65"/>
      <c r="G147" s="64">
        <f>SUM(G8:G146)</f>
        <v>90104881</v>
      </c>
      <c r="H147" s="64">
        <f t="shared" ref="H147:Q147" si="5">SUM(H8:H146)</f>
        <v>54526093</v>
      </c>
      <c r="I147" s="64">
        <f t="shared" si="5"/>
        <v>6654782</v>
      </c>
      <c r="J147" s="64">
        <f t="shared" si="5"/>
        <v>6698147</v>
      </c>
      <c r="K147" s="64">
        <f t="shared" si="5"/>
        <v>6644345.2699999996</v>
      </c>
      <c r="L147" s="64">
        <f t="shared" si="5"/>
        <v>6281660</v>
      </c>
      <c r="M147" s="64">
        <f t="shared" si="5"/>
        <v>5862116</v>
      </c>
      <c r="N147" s="64">
        <f t="shared" si="5"/>
        <v>5339427</v>
      </c>
      <c r="O147" s="64">
        <f t="shared" si="5"/>
        <v>5104843</v>
      </c>
      <c r="P147" s="64">
        <f t="shared" si="5"/>
        <v>47281019</v>
      </c>
      <c r="Q147" s="64">
        <f t="shared" si="5"/>
        <v>89866339.269999996</v>
      </c>
      <c r="R147" s="64">
        <f t="shared" ref="R147:AL147" si="6">SUM(R8:R129)</f>
        <v>0</v>
      </c>
      <c r="S147" s="64">
        <f t="shared" si="6"/>
        <v>0</v>
      </c>
      <c r="T147" s="64">
        <f t="shared" si="6"/>
        <v>0</v>
      </c>
      <c r="U147" s="64">
        <f t="shared" si="6"/>
        <v>0</v>
      </c>
      <c r="V147" s="64">
        <f t="shared" si="6"/>
        <v>0</v>
      </c>
      <c r="W147" s="64">
        <f t="shared" si="6"/>
        <v>0</v>
      </c>
      <c r="X147" s="64">
        <f t="shared" si="6"/>
        <v>0</v>
      </c>
      <c r="Y147" s="64">
        <f t="shared" si="6"/>
        <v>0</v>
      </c>
      <c r="Z147" s="64">
        <f t="shared" si="6"/>
        <v>0</v>
      </c>
      <c r="AA147" s="64">
        <f t="shared" si="6"/>
        <v>0</v>
      </c>
      <c r="AB147" s="64">
        <f t="shared" si="6"/>
        <v>0</v>
      </c>
      <c r="AC147" s="64">
        <f t="shared" si="6"/>
        <v>0</v>
      </c>
      <c r="AD147" s="64">
        <f t="shared" si="6"/>
        <v>0</v>
      </c>
      <c r="AE147" s="64">
        <f t="shared" si="6"/>
        <v>0</v>
      </c>
      <c r="AF147" s="64">
        <f t="shared" si="6"/>
        <v>0</v>
      </c>
      <c r="AG147" s="64">
        <f t="shared" si="6"/>
        <v>0</v>
      </c>
      <c r="AH147" s="64">
        <f t="shared" si="6"/>
        <v>0</v>
      </c>
      <c r="AI147" s="64">
        <f t="shared" si="6"/>
        <v>0</v>
      </c>
      <c r="AJ147" s="64">
        <f t="shared" si="6"/>
        <v>0</v>
      </c>
      <c r="AK147" s="64">
        <f t="shared" si="6"/>
        <v>0</v>
      </c>
      <c r="AL147" s="64">
        <f t="shared" si="6"/>
        <v>0</v>
      </c>
      <c r="AO147" s="63"/>
    </row>
    <row r="148" spans="1:41" s="43" customFormat="1" ht="9" customHeight="1" x14ac:dyDescent="0.25">
      <c r="A148" s="24"/>
      <c r="B148" s="16"/>
      <c r="C148" s="16"/>
      <c r="D148" s="16"/>
      <c r="E148" s="24"/>
      <c r="F148" s="24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V148" s="44"/>
      <c r="Y148" s="44"/>
    </row>
    <row r="149" spans="1:41" s="43" customFormat="1" ht="17.399999999999999" customHeight="1" x14ac:dyDescent="0.25">
      <c r="A149" s="62"/>
      <c r="B149" s="159" t="s">
        <v>472</v>
      </c>
      <c r="C149" s="159"/>
      <c r="D149" s="61"/>
      <c r="E149" s="35"/>
      <c r="F149" s="35"/>
      <c r="G149" s="27"/>
      <c r="H149" s="27"/>
      <c r="I149" s="60"/>
      <c r="J149" s="60"/>
      <c r="K149" s="60"/>
      <c r="L149" s="60"/>
      <c r="M149" s="60"/>
      <c r="N149" s="60"/>
      <c r="O149" s="60"/>
      <c r="P149" s="60"/>
      <c r="Q149" s="60"/>
      <c r="V149" s="44"/>
      <c r="Y149" s="44"/>
    </row>
    <row r="150" spans="1:41" s="43" customFormat="1" ht="37.5" customHeight="1" x14ac:dyDescent="0.3">
      <c r="A150" s="37" t="s">
        <v>58</v>
      </c>
      <c r="B150" s="37" t="s">
        <v>10</v>
      </c>
      <c r="C150" s="1" t="s">
        <v>57</v>
      </c>
      <c r="D150" s="37" t="s">
        <v>56</v>
      </c>
      <c r="E150" s="37" t="s">
        <v>48</v>
      </c>
      <c r="F150" s="37" t="s">
        <v>55</v>
      </c>
      <c r="G150" s="23">
        <v>1665239.53</v>
      </c>
      <c r="H150" s="23">
        <v>915843</v>
      </c>
      <c r="I150" s="141">
        <v>120212</v>
      </c>
      <c r="J150" s="141">
        <v>111009</v>
      </c>
      <c r="K150" s="141">
        <v>107730</v>
      </c>
      <c r="L150" s="141">
        <v>104963</v>
      </c>
      <c r="M150" s="141">
        <v>102243</v>
      </c>
      <c r="N150" s="141">
        <v>99424</v>
      </c>
      <c r="O150" s="141">
        <v>96658</v>
      </c>
      <c r="P150" s="141">
        <v>358960</v>
      </c>
      <c r="Q150" s="54">
        <f t="shared" ref="Q150:Q161" si="7">SUM(I150:P150)</f>
        <v>1101199</v>
      </c>
      <c r="V150" s="44"/>
      <c r="Y150" s="44"/>
    </row>
    <row r="151" spans="1:41" s="43" customFormat="1" ht="39.6" x14ac:dyDescent="0.3">
      <c r="A151" s="37" t="s">
        <v>54</v>
      </c>
      <c r="B151" s="37" t="s">
        <v>10</v>
      </c>
      <c r="C151" s="1" t="s">
        <v>53</v>
      </c>
      <c r="D151" s="37" t="s">
        <v>52</v>
      </c>
      <c r="E151" s="37" t="s">
        <v>48</v>
      </c>
      <c r="F151" s="37" t="s">
        <v>47</v>
      </c>
      <c r="G151" s="23">
        <v>135399.06</v>
      </c>
      <c r="H151" s="23">
        <v>61370</v>
      </c>
      <c r="I151" s="141">
        <v>9688</v>
      </c>
      <c r="J151" s="141">
        <v>9017</v>
      </c>
      <c r="K151" s="141">
        <v>8744</v>
      </c>
      <c r="L151" s="141">
        <v>8504</v>
      </c>
      <c r="M151" s="141">
        <v>8267</v>
      </c>
      <c r="N151" s="141">
        <v>8024</v>
      </c>
      <c r="O151" s="141">
        <v>7784</v>
      </c>
      <c r="P151" s="141">
        <v>11208</v>
      </c>
      <c r="Q151" s="54">
        <f t="shared" si="7"/>
        <v>71236</v>
      </c>
      <c r="V151" s="44"/>
      <c r="Y151" s="44"/>
    </row>
    <row r="152" spans="1:41" s="43" customFormat="1" ht="39.6" x14ac:dyDescent="0.3">
      <c r="A152" s="37" t="s">
        <v>51</v>
      </c>
      <c r="B152" s="37" t="s">
        <v>10</v>
      </c>
      <c r="C152" s="1" t="s">
        <v>50</v>
      </c>
      <c r="D152" s="37" t="s">
        <v>49</v>
      </c>
      <c r="E152" s="37" t="s">
        <v>48</v>
      </c>
      <c r="F152" s="37" t="s">
        <v>47</v>
      </c>
      <c r="G152" s="23">
        <v>197450</v>
      </c>
      <c r="H152" s="23">
        <v>89466</v>
      </c>
      <c r="I152" s="141">
        <v>14129</v>
      </c>
      <c r="J152" s="141">
        <v>13151</v>
      </c>
      <c r="K152" s="141">
        <v>12753</v>
      </c>
      <c r="L152" s="141">
        <v>12403</v>
      </c>
      <c r="M152" s="141">
        <v>12056</v>
      </c>
      <c r="N152" s="141">
        <v>11702</v>
      </c>
      <c r="O152" s="141">
        <v>11352</v>
      </c>
      <c r="P152" s="141">
        <v>16378</v>
      </c>
      <c r="Q152" s="54">
        <f t="shared" si="7"/>
        <v>103924</v>
      </c>
      <c r="V152" s="44"/>
      <c r="Y152" s="44"/>
    </row>
    <row r="153" spans="1:41" s="43" customFormat="1" ht="39.6" x14ac:dyDescent="0.3">
      <c r="A153" s="37" t="s">
        <v>46</v>
      </c>
      <c r="B153" s="37" t="s">
        <v>10</v>
      </c>
      <c r="C153" s="1" t="s">
        <v>45</v>
      </c>
      <c r="D153" s="37" t="s">
        <v>44</v>
      </c>
      <c r="E153" s="37" t="s">
        <v>43</v>
      </c>
      <c r="F153" s="37" t="s">
        <v>42</v>
      </c>
      <c r="G153" s="23">
        <v>383989</v>
      </c>
      <c r="H153" s="23">
        <v>189525</v>
      </c>
      <c r="I153" s="141">
        <v>28201</v>
      </c>
      <c r="J153" s="141">
        <v>27738</v>
      </c>
      <c r="K153" s="141">
        <v>26888</v>
      </c>
      <c r="L153" s="141">
        <v>26036</v>
      </c>
      <c r="M153" s="141">
        <v>25194</v>
      </c>
      <c r="N153" s="141">
        <v>24331</v>
      </c>
      <c r="O153" s="141">
        <v>23479</v>
      </c>
      <c r="P153" s="141">
        <v>44455</v>
      </c>
      <c r="Q153" s="54">
        <f t="shared" si="7"/>
        <v>226322</v>
      </c>
      <c r="V153" s="44"/>
      <c r="Y153" s="44"/>
    </row>
    <row r="154" spans="1:41" s="43" customFormat="1" ht="52.8" x14ac:dyDescent="0.25">
      <c r="A154" s="37" t="s">
        <v>41</v>
      </c>
      <c r="B154" s="41" t="s">
        <v>10</v>
      </c>
      <c r="C154" s="59" t="s">
        <v>40</v>
      </c>
      <c r="D154" s="55" t="s">
        <v>39</v>
      </c>
      <c r="E154" s="58" t="s">
        <v>34</v>
      </c>
      <c r="F154" s="147" t="s">
        <v>38</v>
      </c>
      <c r="G154" s="57">
        <v>381560</v>
      </c>
      <c r="H154" s="57">
        <v>109347</v>
      </c>
      <c r="I154" s="57">
        <v>14553</v>
      </c>
      <c r="J154" s="57">
        <v>14292</v>
      </c>
      <c r="K154" s="57">
        <v>13906</v>
      </c>
      <c r="L154" s="57">
        <v>13505</v>
      </c>
      <c r="M154" s="57">
        <v>13111</v>
      </c>
      <c r="N154" s="57">
        <v>12705</v>
      </c>
      <c r="O154" s="46">
        <v>12305</v>
      </c>
      <c r="P154" s="46">
        <v>37239</v>
      </c>
      <c r="Q154" s="56">
        <f t="shared" si="7"/>
        <v>131616</v>
      </c>
      <c r="V154" s="44"/>
      <c r="Y154" s="44"/>
    </row>
    <row r="155" spans="1:41" s="43" customFormat="1" ht="52.8" x14ac:dyDescent="0.25">
      <c r="A155" s="37" t="s">
        <v>37</v>
      </c>
      <c r="B155" s="41" t="s">
        <v>10</v>
      </c>
      <c r="C155" s="59" t="s">
        <v>36</v>
      </c>
      <c r="D155" s="55" t="s">
        <v>35</v>
      </c>
      <c r="E155" s="58" t="s">
        <v>34</v>
      </c>
      <c r="F155" s="147" t="s">
        <v>33</v>
      </c>
      <c r="G155" s="57">
        <v>29440</v>
      </c>
      <c r="H155" s="57">
        <v>15480</v>
      </c>
      <c r="I155" s="57">
        <v>2098</v>
      </c>
      <c r="J155" s="57">
        <v>2059</v>
      </c>
      <c r="K155" s="57">
        <v>2003</v>
      </c>
      <c r="L155" s="57">
        <v>1945</v>
      </c>
      <c r="M155" s="57">
        <v>1888</v>
      </c>
      <c r="N155" s="57">
        <v>1829</v>
      </c>
      <c r="O155" s="46">
        <v>1771</v>
      </c>
      <c r="P155" s="46">
        <v>4969</v>
      </c>
      <c r="Q155" s="56">
        <f t="shared" si="7"/>
        <v>18562</v>
      </c>
      <c r="V155" s="44"/>
      <c r="Y155" s="44"/>
    </row>
    <row r="156" spans="1:41" s="43" customFormat="1" ht="52.8" x14ac:dyDescent="0.3">
      <c r="A156" s="37" t="s">
        <v>32</v>
      </c>
      <c r="B156" s="37" t="s">
        <v>10</v>
      </c>
      <c r="C156" s="1" t="s">
        <v>31</v>
      </c>
      <c r="D156" s="55" t="s">
        <v>30</v>
      </c>
      <c r="E156" s="37" t="s">
        <v>29</v>
      </c>
      <c r="F156" s="37" t="s">
        <v>28</v>
      </c>
      <c r="G156" s="23">
        <v>2594247</v>
      </c>
      <c r="H156" s="23">
        <v>550908</v>
      </c>
      <c r="I156" s="141">
        <v>83176</v>
      </c>
      <c r="J156" s="141">
        <v>80751</v>
      </c>
      <c r="K156" s="141">
        <v>78158</v>
      </c>
      <c r="L156" s="141">
        <v>75681</v>
      </c>
      <c r="M156" s="141">
        <v>73233</v>
      </c>
      <c r="N156" s="141">
        <v>70724</v>
      </c>
      <c r="O156" s="141">
        <v>68249</v>
      </c>
      <c r="P156" s="141">
        <v>129227</v>
      </c>
      <c r="Q156" s="56">
        <f t="shared" si="7"/>
        <v>659199</v>
      </c>
      <c r="V156" s="44"/>
      <c r="Y156" s="44"/>
    </row>
    <row r="157" spans="1:41" s="43" customFormat="1" ht="52.8" x14ac:dyDescent="0.3">
      <c r="A157" s="37" t="s">
        <v>27</v>
      </c>
      <c r="B157" s="50" t="s">
        <v>10</v>
      </c>
      <c r="C157" s="53" t="s">
        <v>26</v>
      </c>
      <c r="D157" s="55" t="s">
        <v>25</v>
      </c>
      <c r="E157" s="50" t="s">
        <v>24</v>
      </c>
      <c r="F157" s="50" t="s">
        <v>23</v>
      </c>
      <c r="G157" s="51">
        <v>1468540</v>
      </c>
      <c r="H157" s="51">
        <v>1267371</v>
      </c>
      <c r="I157" s="148">
        <v>130542</v>
      </c>
      <c r="J157" s="148">
        <v>128513</v>
      </c>
      <c r="K157" s="148">
        <v>125228</v>
      </c>
      <c r="L157" s="148">
        <v>121933</v>
      </c>
      <c r="M157" s="148">
        <v>118738</v>
      </c>
      <c r="N157" s="148">
        <v>110979</v>
      </c>
      <c r="O157" s="148">
        <v>107971</v>
      </c>
      <c r="P157" s="148">
        <v>822738</v>
      </c>
      <c r="Q157" s="45">
        <f t="shared" si="7"/>
        <v>1666642</v>
      </c>
      <c r="V157" s="44"/>
      <c r="Y157" s="44"/>
    </row>
    <row r="158" spans="1:41" s="43" customFormat="1" ht="66" x14ac:dyDescent="0.3">
      <c r="A158" s="37" t="s">
        <v>22</v>
      </c>
      <c r="B158" s="37" t="s">
        <v>10</v>
      </c>
      <c r="C158" s="1" t="s">
        <v>21</v>
      </c>
      <c r="D158" s="55" t="s">
        <v>20</v>
      </c>
      <c r="E158" s="37" t="s">
        <v>17</v>
      </c>
      <c r="F158" s="37" t="s">
        <v>16</v>
      </c>
      <c r="G158" s="23">
        <v>1093100</v>
      </c>
      <c r="H158" s="23">
        <v>973837</v>
      </c>
      <c r="I158" s="149">
        <v>109926</v>
      </c>
      <c r="J158" s="149">
        <v>105241</v>
      </c>
      <c r="K158" s="149">
        <v>101293</v>
      </c>
      <c r="L158" s="149">
        <v>98312</v>
      </c>
      <c r="M158" s="149">
        <v>95436</v>
      </c>
      <c r="N158" s="149">
        <v>92348</v>
      </c>
      <c r="O158" s="149">
        <v>89370</v>
      </c>
      <c r="P158" s="149">
        <v>730066</v>
      </c>
      <c r="Q158" s="54">
        <f t="shared" si="7"/>
        <v>1421992</v>
      </c>
      <c r="V158" s="44"/>
      <c r="Y158" s="44"/>
    </row>
    <row r="159" spans="1:41" s="43" customFormat="1" ht="39.6" x14ac:dyDescent="0.3">
      <c r="A159" s="37" t="s">
        <v>19</v>
      </c>
      <c r="B159" s="37" t="s">
        <v>10</v>
      </c>
      <c r="C159" s="1" t="s">
        <v>501</v>
      </c>
      <c r="D159" s="55" t="s">
        <v>18</v>
      </c>
      <c r="E159" s="37" t="s">
        <v>17</v>
      </c>
      <c r="F159" s="37" t="s">
        <v>16</v>
      </c>
      <c r="G159" s="23">
        <v>340358</v>
      </c>
      <c r="H159" s="23">
        <v>303227</v>
      </c>
      <c r="I159" s="149">
        <v>34226</v>
      </c>
      <c r="J159" s="149">
        <v>32767</v>
      </c>
      <c r="K159" s="149">
        <v>31538</v>
      </c>
      <c r="L159" s="149">
        <v>30610</v>
      </c>
      <c r="M159" s="149">
        <v>29714</v>
      </c>
      <c r="N159" s="149">
        <v>28753</v>
      </c>
      <c r="O159" s="149">
        <v>27826</v>
      </c>
      <c r="P159" s="149">
        <v>227353</v>
      </c>
      <c r="Q159" s="54">
        <f t="shared" si="7"/>
        <v>442787</v>
      </c>
      <c r="V159" s="44"/>
      <c r="Y159" s="44"/>
    </row>
    <row r="160" spans="1:41" s="43" customFormat="1" ht="52.8" x14ac:dyDescent="0.3">
      <c r="A160" s="37" t="s">
        <v>15</v>
      </c>
      <c r="B160" s="50" t="s">
        <v>10</v>
      </c>
      <c r="C160" s="53" t="s">
        <v>502</v>
      </c>
      <c r="D160" s="52" t="s">
        <v>14</v>
      </c>
      <c r="E160" s="50" t="s">
        <v>13</v>
      </c>
      <c r="F160" s="50" t="s">
        <v>12</v>
      </c>
      <c r="G160" s="51">
        <v>158392</v>
      </c>
      <c r="H160" s="51">
        <v>141504</v>
      </c>
      <c r="I160" s="148">
        <v>15468</v>
      </c>
      <c r="J160" s="148">
        <v>14556</v>
      </c>
      <c r="K160" s="148">
        <v>14120</v>
      </c>
      <c r="L160" s="148">
        <v>13731</v>
      </c>
      <c r="M160" s="148">
        <v>13355</v>
      </c>
      <c r="N160" s="148">
        <v>12953</v>
      </c>
      <c r="O160" s="148">
        <v>12565</v>
      </c>
      <c r="P160" s="148">
        <v>102181</v>
      </c>
      <c r="Q160" s="45">
        <f t="shared" si="7"/>
        <v>198929</v>
      </c>
      <c r="V160" s="44"/>
      <c r="Y160" s="44"/>
    </row>
    <row r="161" spans="1:25" s="43" customFormat="1" ht="26.4" x14ac:dyDescent="0.3">
      <c r="A161" s="37" t="s">
        <v>11</v>
      </c>
      <c r="B161" s="50" t="s">
        <v>10</v>
      </c>
      <c r="C161" s="49" t="s">
        <v>9</v>
      </c>
      <c r="D161" s="48" t="s">
        <v>8</v>
      </c>
      <c r="E161" s="41" t="s">
        <v>7</v>
      </c>
      <c r="F161" s="41" t="s">
        <v>6</v>
      </c>
      <c r="G161" s="47">
        <v>214000</v>
      </c>
      <c r="H161" s="47">
        <v>46892</v>
      </c>
      <c r="I161" s="46">
        <v>48019</v>
      </c>
      <c r="J161" s="46">
        <v>9</v>
      </c>
      <c r="K161" s="46">
        <v>0</v>
      </c>
      <c r="L161" s="46">
        <v>0</v>
      </c>
      <c r="M161" s="46">
        <v>0</v>
      </c>
      <c r="N161" s="46">
        <v>0</v>
      </c>
      <c r="O161" s="46">
        <v>0</v>
      </c>
      <c r="P161" s="46">
        <v>0</v>
      </c>
      <c r="Q161" s="45">
        <f t="shared" si="7"/>
        <v>48028</v>
      </c>
      <c r="V161" s="44"/>
      <c r="Y161" s="44"/>
    </row>
    <row r="162" spans="1:25" s="4" customFormat="1" ht="13.2" x14ac:dyDescent="0.2">
      <c r="A162" s="41"/>
      <c r="B162" s="42" t="s">
        <v>5</v>
      </c>
      <c r="C162" s="41" t="s">
        <v>1</v>
      </c>
      <c r="D162" s="41"/>
      <c r="E162" s="41" t="s">
        <v>1</v>
      </c>
      <c r="F162" s="41"/>
      <c r="G162" s="40">
        <f t="shared" ref="G162:Q162" si="8">SUM(G150:G161)</f>
        <v>8661714.5899999999</v>
      </c>
      <c r="H162" s="40">
        <f t="shared" si="8"/>
        <v>4664770</v>
      </c>
      <c r="I162" s="39">
        <f t="shared" si="8"/>
        <v>610238</v>
      </c>
      <c r="J162" s="39">
        <f t="shared" si="8"/>
        <v>539103</v>
      </c>
      <c r="K162" s="39">
        <f t="shared" si="8"/>
        <v>522361</v>
      </c>
      <c r="L162" s="39">
        <f t="shared" si="8"/>
        <v>507623</v>
      </c>
      <c r="M162" s="39">
        <f t="shared" si="8"/>
        <v>493235</v>
      </c>
      <c r="N162" s="39">
        <f t="shared" si="8"/>
        <v>473772</v>
      </c>
      <c r="O162" s="39">
        <f t="shared" si="8"/>
        <v>459330</v>
      </c>
      <c r="P162" s="39">
        <f t="shared" si="8"/>
        <v>2484774</v>
      </c>
      <c r="Q162" s="39">
        <f t="shared" si="8"/>
        <v>6090436</v>
      </c>
      <c r="V162" s="5"/>
      <c r="Y162" s="5"/>
    </row>
    <row r="163" spans="1:25" s="4" customFormat="1" ht="13.2" x14ac:dyDescent="0.25">
      <c r="A163" s="24"/>
      <c r="B163" s="16"/>
      <c r="C163" s="16"/>
      <c r="D163" s="16"/>
      <c r="E163" s="24"/>
      <c r="F163" s="24"/>
      <c r="G163" s="38"/>
      <c r="H163" s="38"/>
      <c r="I163" s="26"/>
      <c r="J163" s="26"/>
      <c r="K163" s="26"/>
      <c r="L163" s="26"/>
      <c r="M163" s="26"/>
      <c r="N163" s="26"/>
      <c r="O163" s="26"/>
      <c r="P163" s="26"/>
      <c r="Q163" s="155"/>
      <c r="V163" s="5"/>
      <c r="Y163" s="5"/>
    </row>
    <row r="164" spans="1:25" s="4" customFormat="1" ht="39.6" x14ac:dyDescent="0.2">
      <c r="A164" s="24"/>
      <c r="B164" s="33" t="s">
        <v>4</v>
      </c>
      <c r="C164" s="37" t="s">
        <v>1</v>
      </c>
      <c r="D164" s="37"/>
      <c r="E164" s="37" t="s">
        <v>1</v>
      </c>
      <c r="F164" s="37"/>
      <c r="G164" s="23"/>
      <c r="H164" s="23"/>
      <c r="I164" s="36">
        <v>0</v>
      </c>
      <c r="J164" s="36">
        <v>0</v>
      </c>
      <c r="K164" s="36">
        <v>0</v>
      </c>
      <c r="L164" s="36">
        <v>0</v>
      </c>
      <c r="M164" s="36">
        <v>0</v>
      </c>
      <c r="N164" s="36">
        <v>0</v>
      </c>
      <c r="O164" s="36">
        <v>0</v>
      </c>
      <c r="P164" s="36">
        <v>0</v>
      </c>
      <c r="Q164" s="156">
        <v>0</v>
      </c>
      <c r="V164" s="5"/>
      <c r="Y164" s="5"/>
    </row>
    <row r="165" spans="1:25" s="4" customFormat="1" ht="13.2" x14ac:dyDescent="0.2">
      <c r="A165" s="24"/>
      <c r="B165" s="28"/>
      <c r="C165" s="28"/>
      <c r="D165" s="28"/>
      <c r="E165" s="35"/>
      <c r="F165" s="35"/>
      <c r="G165" s="27"/>
      <c r="H165" s="27"/>
      <c r="I165" s="26"/>
      <c r="J165" s="26"/>
      <c r="K165" s="26"/>
      <c r="L165" s="26"/>
      <c r="M165" s="26"/>
      <c r="N165" s="26"/>
      <c r="O165" s="26"/>
      <c r="P165" s="26"/>
      <c r="Q165" s="34"/>
      <c r="V165" s="5"/>
      <c r="Y165" s="5"/>
    </row>
    <row r="166" spans="1:25" s="4" customFormat="1" ht="26.4" x14ac:dyDescent="0.2">
      <c r="A166" s="24"/>
      <c r="B166" s="33" t="s">
        <v>3</v>
      </c>
      <c r="C166" s="32"/>
      <c r="D166" s="32"/>
      <c r="E166" s="31"/>
      <c r="F166" s="31"/>
      <c r="G166" s="30">
        <f t="shared" ref="G166:Q166" si="9">G147+G162</f>
        <v>98766595.590000004</v>
      </c>
      <c r="H166" s="30">
        <f t="shared" si="9"/>
        <v>59190863</v>
      </c>
      <c r="I166" s="29">
        <f t="shared" si="9"/>
        <v>7265020</v>
      </c>
      <c r="J166" s="29">
        <f t="shared" si="9"/>
        <v>7237250</v>
      </c>
      <c r="K166" s="29">
        <f t="shared" si="9"/>
        <v>7166706.2699999996</v>
      </c>
      <c r="L166" s="29">
        <f t="shared" si="9"/>
        <v>6789283</v>
      </c>
      <c r="M166" s="29">
        <f t="shared" si="9"/>
        <v>6355351</v>
      </c>
      <c r="N166" s="29">
        <f t="shared" si="9"/>
        <v>5813199</v>
      </c>
      <c r="O166" s="29">
        <f t="shared" si="9"/>
        <v>5564173</v>
      </c>
      <c r="P166" s="29">
        <f t="shared" si="9"/>
        <v>49765793</v>
      </c>
      <c r="Q166" s="29">
        <f t="shared" si="9"/>
        <v>95956775.269999996</v>
      </c>
      <c r="V166" s="5"/>
      <c r="Y166" s="5"/>
    </row>
    <row r="167" spans="1:25" s="4" customFormat="1" ht="13.2" x14ac:dyDescent="0.2">
      <c r="A167" s="24"/>
      <c r="B167" s="28"/>
      <c r="C167" s="28"/>
      <c r="D167" s="28"/>
      <c r="E167" s="28"/>
      <c r="F167" s="28"/>
      <c r="G167" s="27"/>
      <c r="H167" s="27"/>
      <c r="I167" s="26"/>
      <c r="J167" s="26"/>
      <c r="K167" s="26"/>
      <c r="L167" s="26"/>
      <c r="M167" s="26"/>
      <c r="N167" s="26"/>
      <c r="O167" s="26"/>
      <c r="P167" s="26"/>
      <c r="Q167" s="25"/>
      <c r="V167" s="5"/>
      <c r="Y167" s="5"/>
    </row>
    <row r="168" spans="1:25" s="4" customFormat="1" ht="18.75" customHeight="1" x14ac:dyDescent="0.2">
      <c r="A168" s="24"/>
      <c r="B168" s="160" t="s">
        <v>2</v>
      </c>
      <c r="C168" s="160"/>
      <c r="D168" s="160"/>
      <c r="E168" s="160"/>
      <c r="F168" s="1"/>
      <c r="G168" s="23" t="s">
        <v>1</v>
      </c>
      <c r="H168" s="23" t="s">
        <v>1</v>
      </c>
      <c r="I168" s="22">
        <f t="shared" ref="I168:O168" si="10">ROUND(I166/$Q$170*100,2)</f>
        <v>14.24</v>
      </c>
      <c r="J168" s="22">
        <f t="shared" si="10"/>
        <v>14.19</v>
      </c>
      <c r="K168" s="22">
        <f t="shared" si="10"/>
        <v>14.05</v>
      </c>
      <c r="L168" s="22">
        <f t="shared" si="10"/>
        <v>13.31</v>
      </c>
      <c r="M168" s="22">
        <f t="shared" si="10"/>
        <v>12.46</v>
      </c>
      <c r="N168" s="22">
        <f t="shared" si="10"/>
        <v>11.4</v>
      </c>
      <c r="O168" s="22">
        <f t="shared" si="10"/>
        <v>10.91</v>
      </c>
      <c r="P168" s="21" t="s">
        <v>1</v>
      </c>
      <c r="Q168" s="21" t="s">
        <v>1</v>
      </c>
      <c r="V168" s="5"/>
      <c r="Y168" s="5"/>
    </row>
    <row r="169" spans="1:25" s="4" customFormat="1" ht="13.2" x14ac:dyDescent="0.25">
      <c r="A169" s="16"/>
      <c r="B169" s="20"/>
      <c r="C169" s="19"/>
      <c r="D169" s="19"/>
      <c r="E169" s="19"/>
      <c r="F169" s="19"/>
      <c r="G169" s="18"/>
      <c r="H169" s="18"/>
      <c r="I169" s="17"/>
      <c r="J169" s="17"/>
      <c r="K169" s="17"/>
      <c r="L169" s="17"/>
      <c r="M169" s="17"/>
      <c r="N169" s="17"/>
      <c r="O169" s="17"/>
      <c r="P169" s="17"/>
      <c r="Q169" s="150"/>
      <c r="V169" s="5"/>
      <c r="Y169" s="5"/>
    </row>
    <row r="170" spans="1:25" s="4" customFormat="1" ht="51.6" customHeight="1" x14ac:dyDescent="0.25">
      <c r="A170" s="16"/>
      <c r="B170" s="162" t="s">
        <v>0</v>
      </c>
      <c r="C170" s="162"/>
      <c r="D170" s="162"/>
      <c r="E170" s="162"/>
      <c r="F170" s="151"/>
      <c r="G170" s="152"/>
      <c r="H170" s="15"/>
      <c r="I170" s="153"/>
      <c r="J170" s="153"/>
      <c r="K170" s="153"/>
      <c r="L170" s="153"/>
      <c r="M170" s="153"/>
      <c r="N170" s="153"/>
      <c r="O170" s="153"/>
      <c r="P170" s="154"/>
      <c r="Q170" s="157">
        <v>51001128</v>
      </c>
      <c r="V170" s="5"/>
      <c r="Y170" s="5"/>
    </row>
    <row r="171" spans="1:25" s="4" customFormat="1" x14ac:dyDescent="0.2">
      <c r="A171" s="14"/>
      <c r="B171" s="14"/>
      <c r="C171" s="161"/>
      <c r="D171" s="161"/>
      <c r="E171" s="161"/>
      <c r="F171" s="161"/>
      <c r="G171" s="161"/>
      <c r="H171" s="13"/>
      <c r="I171" s="12"/>
      <c r="J171" s="12"/>
      <c r="K171" s="12"/>
      <c r="L171" s="12"/>
      <c r="M171" s="12"/>
      <c r="N171" s="12"/>
      <c r="O171" s="12"/>
      <c r="P171" s="12"/>
    </row>
    <row r="172" spans="1:25" x14ac:dyDescent="0.2">
      <c r="C172" s="161"/>
      <c r="D172" s="161"/>
      <c r="E172" s="161"/>
      <c r="F172" s="161"/>
      <c r="G172" s="161"/>
    </row>
    <row r="173" spans="1:25" ht="71.400000000000006" customHeight="1" x14ac:dyDescent="0.2">
      <c r="C173" s="161"/>
      <c r="D173" s="161"/>
      <c r="E173" s="161"/>
      <c r="F173" s="161"/>
      <c r="G173" s="161"/>
      <c r="L173" s="11"/>
      <c r="N173" s="10"/>
    </row>
    <row r="174" spans="1:25" s="4" customFormat="1" ht="409.5" customHeight="1" x14ac:dyDescent="0.3">
      <c r="B174" s="5"/>
      <c r="C174" s="5"/>
      <c r="D174" s="5"/>
      <c r="E174" s="5"/>
      <c r="F174" s="5"/>
      <c r="G174" s="6"/>
      <c r="H174" s="6"/>
      <c r="I174" s="9"/>
      <c r="J174" s="8"/>
      <c r="K174" s="8"/>
      <c r="L174" s="8"/>
      <c r="M174" s="8"/>
      <c r="N174" s="8"/>
      <c r="O174" s="8"/>
      <c r="P174" s="8"/>
      <c r="Q174" s="7"/>
      <c r="V174" s="5"/>
      <c r="Y174" s="5"/>
    </row>
  </sheetData>
  <sheetProtection selectLockedCells="1" selectUnlockedCells="1"/>
  <mergeCells count="17">
    <mergeCell ref="O1:Q1"/>
    <mergeCell ref="O2:Q2"/>
    <mergeCell ref="A3:Q3"/>
    <mergeCell ref="A5:A6"/>
    <mergeCell ref="B5:B6"/>
    <mergeCell ref="I5:Q5"/>
    <mergeCell ref="C5:C6"/>
    <mergeCell ref="D5:D6"/>
    <mergeCell ref="E5:E6"/>
    <mergeCell ref="F5:F6"/>
    <mergeCell ref="G5:G6"/>
    <mergeCell ref="H5:H6"/>
    <mergeCell ref="B7:C7"/>
    <mergeCell ref="B149:C149"/>
    <mergeCell ref="B168:E168"/>
    <mergeCell ref="C171:G173"/>
    <mergeCell ref="B170:E170"/>
  </mergeCells>
  <conditionalFormatting sqref="D1:D11 D13:D37 D40:D55 D84:D105 D109:D170">
    <cfRule type="containsText" dxfId="1" priority="12" operator="containsText" text=".06.">
      <formula>NOT(ISERROR(SEARCH(".06.",D1)))</formula>
    </cfRule>
  </conditionalFormatting>
  <conditionalFormatting sqref="D58:D82 D174:D1048576">
    <cfRule type="containsText" dxfId="0" priority="11" operator="containsText" text=".06.">
      <formula>NOT(ISERROR(SEARCH(".06.",D58)))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2024-11-14T12:18:51Z</cp:lastPrinted>
  <dcterms:created xsi:type="dcterms:W3CDTF">2024-11-14T12:14:53Z</dcterms:created>
  <dcterms:modified xsi:type="dcterms:W3CDTF">2024-12-02T09:02:57Z</dcterms:modified>
  <cp:category/>
</cp:coreProperties>
</file>