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105" windowWidth="23250" windowHeight="12450" tabRatio="781"/>
  </bookViews>
  <sheets>
    <sheet name="Pamatbudžets  1.pielikums" sheetId="25" r:id="rId1"/>
    <sheet name="Pamatbudžets  2.pielikums " sheetId="19" r:id="rId2"/>
  </sheets>
  <definedNames>
    <definedName name="_xlnm.Print_Titles" localSheetId="0">'Pamatbudžets  1.pielikums'!$7:$7</definedName>
    <definedName name="_xlnm.Print_Titles" localSheetId="1">'Pamatbudžets  2.pielikums '!#REF!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2" i="25" l="1"/>
  <c r="I41" i="25"/>
  <c r="I39" i="25"/>
  <c r="C39" i="25"/>
  <c r="I37" i="25"/>
  <c r="E36" i="25"/>
  <c r="C36" i="25"/>
  <c r="I36" i="25" s="1"/>
  <c r="E35" i="25"/>
  <c r="C35" i="25"/>
  <c r="I35" i="25" s="1"/>
  <c r="C34" i="25"/>
  <c r="H33" i="25"/>
  <c r="G33" i="25"/>
  <c r="G31" i="25" s="1"/>
  <c r="F33" i="25"/>
  <c r="F31" i="25" s="1"/>
  <c r="D33" i="25"/>
  <c r="D31" i="25" s="1"/>
  <c r="C32" i="25"/>
  <c r="I32" i="25" s="1"/>
  <c r="H31" i="25"/>
  <c r="I30" i="25"/>
  <c r="I29" i="25"/>
  <c r="H28" i="25"/>
  <c r="G28" i="25"/>
  <c r="F28" i="25"/>
  <c r="E28" i="25"/>
  <c r="D28" i="25"/>
  <c r="I28" i="25" s="1"/>
  <c r="C28" i="25"/>
  <c r="C27" i="25"/>
  <c r="I27" i="25"/>
  <c r="H26" i="25"/>
  <c r="G26" i="25"/>
  <c r="F26" i="25"/>
  <c r="E26" i="25"/>
  <c r="D26" i="25"/>
  <c r="I25" i="25"/>
  <c r="C24" i="25"/>
  <c r="I24" i="25"/>
  <c r="C23" i="25"/>
  <c r="I23" i="25" s="1"/>
  <c r="I22" i="25"/>
  <c r="I21" i="25"/>
  <c r="I20" i="25"/>
  <c r="I19" i="25"/>
  <c r="D19" i="25"/>
  <c r="D17" i="25" s="1"/>
  <c r="I18" i="25"/>
  <c r="H17" i="25"/>
  <c r="G17" i="25"/>
  <c r="F17" i="25"/>
  <c r="E17" i="25"/>
  <c r="I16" i="25"/>
  <c r="I15" i="25"/>
  <c r="C14" i="25"/>
  <c r="I14" i="25" s="1"/>
  <c r="C13" i="25"/>
  <c r="I13" i="25" s="1"/>
  <c r="C12" i="25"/>
  <c r="I12" i="25"/>
  <c r="H11" i="25"/>
  <c r="H10" i="25" s="1"/>
  <c r="H8" i="25" s="1"/>
  <c r="G11" i="25"/>
  <c r="G10" i="25" s="1"/>
  <c r="I9" i="25"/>
  <c r="C9" i="25"/>
  <c r="F8" i="25"/>
  <c r="F38" i="25" s="1"/>
  <c r="F40" i="25" s="1"/>
  <c r="F43" i="25" s="1"/>
  <c r="E8" i="25"/>
  <c r="D8" i="25"/>
  <c r="C329" i="19"/>
  <c r="I329" i="19" s="1"/>
  <c r="C321" i="19"/>
  <c r="C319" i="19" s="1"/>
  <c r="C242" i="19"/>
  <c r="I242" i="19" s="1"/>
  <c r="C223" i="19"/>
  <c r="I223" i="19" s="1"/>
  <c r="C309" i="19"/>
  <c r="C245" i="19"/>
  <c r="C244" i="19" s="1"/>
  <c r="I51" i="19"/>
  <c r="C236" i="19"/>
  <c r="C235" i="19"/>
  <c r="C234" i="19"/>
  <c r="I234" i="19" s="1"/>
  <c r="C241" i="19"/>
  <c r="I241" i="19" s="1"/>
  <c r="C240" i="19"/>
  <c r="I240" i="19"/>
  <c r="C239" i="19"/>
  <c r="I239" i="19" s="1"/>
  <c r="C238" i="19"/>
  <c r="I238" i="19"/>
  <c r="C237" i="19"/>
  <c r="I237" i="19" s="1"/>
  <c r="D319" i="19"/>
  <c r="D336" i="19"/>
  <c r="D309" i="19"/>
  <c r="E162" i="19"/>
  <c r="I162" i="19" s="1"/>
  <c r="E163" i="19"/>
  <c r="G79" i="19"/>
  <c r="C308" i="19"/>
  <c r="I308" i="19"/>
  <c r="C303" i="19"/>
  <c r="I303" i="19" s="1"/>
  <c r="C298" i="19"/>
  <c r="I298" i="19" s="1"/>
  <c r="C293" i="19"/>
  <c r="I293" i="19"/>
  <c r="I290" i="19"/>
  <c r="C271" i="19"/>
  <c r="I271" i="19"/>
  <c r="C264" i="19"/>
  <c r="C256" i="19"/>
  <c r="I256" i="19"/>
  <c r="C252" i="19"/>
  <c r="I252" i="19" s="1"/>
  <c r="C248" i="19"/>
  <c r="I248" i="19" s="1"/>
  <c r="C247" i="19"/>
  <c r="C232" i="19"/>
  <c r="I232" i="19"/>
  <c r="C231" i="19"/>
  <c r="I231" i="19" s="1"/>
  <c r="C230" i="19"/>
  <c r="I230" i="19" s="1"/>
  <c r="C229" i="19"/>
  <c r="I229" i="19" s="1"/>
  <c r="C228" i="19"/>
  <c r="I228" i="19" s="1"/>
  <c r="C227" i="19"/>
  <c r="I227" i="19" s="1"/>
  <c r="C226" i="19"/>
  <c r="I226" i="19" s="1"/>
  <c r="C225" i="19"/>
  <c r="I225" i="19" s="1"/>
  <c r="C224" i="19"/>
  <c r="I224" i="19"/>
  <c r="C222" i="19"/>
  <c r="I222" i="19" s="1"/>
  <c r="C221" i="19"/>
  <c r="I221" i="19"/>
  <c r="C220" i="19"/>
  <c r="C219" i="19"/>
  <c r="I219" i="19"/>
  <c r="C218" i="19"/>
  <c r="I218" i="19" s="1"/>
  <c r="C217" i="19"/>
  <c r="I217" i="19" s="1"/>
  <c r="C216" i="19"/>
  <c r="I216" i="19" s="1"/>
  <c r="C215" i="19"/>
  <c r="I215" i="19"/>
  <c r="C213" i="19"/>
  <c r="I213" i="19" s="1"/>
  <c r="C211" i="19"/>
  <c r="I211" i="19" s="1"/>
  <c r="C210" i="19"/>
  <c r="I210" i="19" s="1"/>
  <c r="C209" i="19"/>
  <c r="I209" i="19" s="1"/>
  <c r="C208" i="19"/>
  <c r="I208" i="19" s="1"/>
  <c r="C207" i="19"/>
  <c r="I207" i="19" s="1"/>
  <c r="C206" i="19"/>
  <c r="I206" i="19" s="1"/>
  <c r="C205" i="19"/>
  <c r="I205" i="19"/>
  <c r="C204" i="19"/>
  <c r="I204" i="19" s="1"/>
  <c r="C203" i="19"/>
  <c r="I203" i="19"/>
  <c r="C202" i="19"/>
  <c r="I202" i="19" s="1"/>
  <c r="C201" i="19"/>
  <c r="I201" i="19"/>
  <c r="C200" i="19"/>
  <c r="I200" i="19" s="1"/>
  <c r="C199" i="19"/>
  <c r="I199" i="19" s="1"/>
  <c r="C198" i="19"/>
  <c r="I198" i="19" s="1"/>
  <c r="C190" i="19"/>
  <c r="C183" i="19" s="1"/>
  <c r="I190" i="19"/>
  <c r="C184" i="19"/>
  <c r="I184" i="19" s="1"/>
  <c r="C179" i="19"/>
  <c r="I179" i="19" s="1"/>
  <c r="C178" i="19"/>
  <c r="I178" i="19" s="1"/>
  <c r="C177" i="19"/>
  <c r="I177" i="19" s="1"/>
  <c r="C175" i="19"/>
  <c r="I175" i="19" s="1"/>
  <c r="C174" i="19"/>
  <c r="I174" i="19" s="1"/>
  <c r="C173" i="19"/>
  <c r="I173" i="19" s="1"/>
  <c r="C172" i="19"/>
  <c r="I172" i="19"/>
  <c r="C170" i="19"/>
  <c r="I170" i="19" s="1"/>
  <c r="C164" i="19"/>
  <c r="I164" i="19"/>
  <c r="C156" i="19"/>
  <c r="C152" i="19"/>
  <c r="I152" i="19"/>
  <c r="C153" i="19"/>
  <c r="I153" i="19" s="1"/>
  <c r="C149" i="19"/>
  <c r="I149" i="19" s="1"/>
  <c r="C139" i="19"/>
  <c r="I139" i="19" s="1"/>
  <c r="C115" i="19"/>
  <c r="I115" i="19"/>
  <c r="C123" i="19"/>
  <c r="I123" i="19" s="1"/>
  <c r="C122" i="19"/>
  <c r="I122" i="19" s="1"/>
  <c r="C114" i="19"/>
  <c r="I114" i="19" s="1"/>
  <c r="C112" i="19"/>
  <c r="I112" i="19" s="1"/>
  <c r="C111" i="19"/>
  <c r="I111" i="19" s="1"/>
  <c r="C110" i="19"/>
  <c r="I110" i="19" s="1"/>
  <c r="C109" i="19"/>
  <c r="I109" i="19" s="1"/>
  <c r="C108" i="19"/>
  <c r="I108" i="19"/>
  <c r="C107" i="19"/>
  <c r="I107" i="19" s="1"/>
  <c r="C106" i="19"/>
  <c r="I106" i="19"/>
  <c r="C105" i="19"/>
  <c r="I105" i="19" s="1"/>
  <c r="C104" i="19"/>
  <c r="I104" i="19"/>
  <c r="C102" i="19"/>
  <c r="I102" i="19" s="1"/>
  <c r="C99" i="19"/>
  <c r="I99" i="19" s="1"/>
  <c r="C98" i="19"/>
  <c r="I98" i="19" s="1"/>
  <c r="C97" i="19"/>
  <c r="I97" i="19" s="1"/>
  <c r="C84" i="19"/>
  <c r="I84" i="19" s="1"/>
  <c r="C83" i="19"/>
  <c r="I83" i="19" s="1"/>
  <c r="C81" i="19"/>
  <c r="I81" i="19" s="1"/>
  <c r="C74" i="19"/>
  <c r="I74" i="19" s="1"/>
  <c r="C71" i="19"/>
  <c r="I71" i="19"/>
  <c r="C70" i="19"/>
  <c r="I70" i="19" s="1"/>
  <c r="C69" i="19"/>
  <c r="I69" i="19" s="1"/>
  <c r="C58" i="19"/>
  <c r="C55" i="19" s="1"/>
  <c r="C52" i="19"/>
  <c r="I52" i="19" s="1"/>
  <c r="C48" i="19"/>
  <c r="I48" i="19"/>
  <c r="C47" i="19"/>
  <c r="I47" i="19" s="1"/>
  <c r="C46" i="19"/>
  <c r="I46" i="19" s="1"/>
  <c r="C44" i="19"/>
  <c r="I44" i="19" s="1"/>
  <c r="C43" i="19"/>
  <c r="I43" i="19" s="1"/>
  <c r="C42" i="19"/>
  <c r="I42" i="19" s="1"/>
  <c r="C41" i="19"/>
  <c r="I41" i="19" s="1"/>
  <c r="C34" i="19"/>
  <c r="I34" i="19" s="1"/>
  <c r="C33" i="19"/>
  <c r="I33" i="19"/>
  <c r="I28" i="19"/>
  <c r="C21" i="19"/>
  <c r="I21" i="19"/>
  <c r="C18" i="19"/>
  <c r="I18" i="19" s="1"/>
  <c r="C16" i="19"/>
  <c r="I16" i="19" s="1"/>
  <c r="C13" i="19"/>
  <c r="I13" i="19" s="1"/>
  <c r="C15" i="19"/>
  <c r="C14" i="19"/>
  <c r="C8" i="19"/>
  <c r="I8" i="19" s="1"/>
  <c r="I276" i="19"/>
  <c r="I261" i="19"/>
  <c r="I259" i="19"/>
  <c r="C10" i="19"/>
  <c r="I10" i="19" s="1"/>
  <c r="I268" i="19"/>
  <c r="I269" i="19"/>
  <c r="I270" i="19"/>
  <c r="H75" i="19"/>
  <c r="I318" i="19"/>
  <c r="I335" i="19"/>
  <c r="I333" i="19"/>
  <c r="I332" i="19"/>
  <c r="I330" i="19"/>
  <c r="I328" i="19"/>
  <c r="I325" i="19"/>
  <c r="I324" i="19"/>
  <c r="I317" i="19"/>
  <c r="I263" i="19"/>
  <c r="D297" i="19"/>
  <c r="D296" i="19" s="1"/>
  <c r="I296" i="19" s="1"/>
  <c r="D136" i="19"/>
  <c r="I136" i="19"/>
  <c r="I90" i="19"/>
  <c r="I65" i="19"/>
  <c r="C9" i="19"/>
  <c r="I9" i="19" s="1"/>
  <c r="I262" i="19"/>
  <c r="C302" i="19"/>
  <c r="I302" i="19" s="1"/>
  <c r="C294" i="19"/>
  <c r="I294" i="19" s="1"/>
  <c r="C288" i="19"/>
  <c r="I288" i="19" s="1"/>
  <c r="C282" i="19"/>
  <c r="I282" i="19" s="1"/>
  <c r="I279" i="19"/>
  <c r="C266" i="19"/>
  <c r="I266" i="19" s="1"/>
  <c r="C260" i="19"/>
  <c r="I260" i="19" s="1"/>
  <c r="I258" i="19"/>
  <c r="I257" i="19"/>
  <c r="C255" i="19"/>
  <c r="I255" i="19" s="1"/>
  <c r="I186" i="19"/>
  <c r="C182" i="19"/>
  <c r="C181" i="19" s="1"/>
  <c r="I181" i="19" s="1"/>
  <c r="C167" i="19"/>
  <c r="I167" i="19"/>
  <c r="C146" i="19"/>
  <c r="I146" i="19" s="1"/>
  <c r="C133" i="19"/>
  <c r="C127" i="19"/>
  <c r="I127" i="19" s="1"/>
  <c r="C124" i="19"/>
  <c r="I124" i="19" s="1"/>
  <c r="C113" i="19"/>
  <c r="I113" i="19" s="1"/>
  <c r="C86" i="19"/>
  <c r="I86" i="19" s="1"/>
  <c r="C85" i="19"/>
  <c r="I85" i="19" s="1"/>
  <c r="C82" i="19"/>
  <c r="I82" i="19" s="1"/>
  <c r="C80" i="19"/>
  <c r="I80" i="19"/>
  <c r="C76" i="19"/>
  <c r="C72" i="19"/>
  <c r="I72" i="19"/>
  <c r="C68" i="19"/>
  <c r="I68" i="19" s="1"/>
  <c r="C67" i="19"/>
  <c r="I67" i="19"/>
  <c r="C66" i="19"/>
  <c r="C64" i="19"/>
  <c r="I64" i="19" s="1"/>
  <c r="C32" i="19"/>
  <c r="C29" i="19"/>
  <c r="C24" i="19" s="1"/>
  <c r="I24" i="19" s="1"/>
  <c r="I29" i="19"/>
  <c r="E309" i="19"/>
  <c r="I54" i="19"/>
  <c r="D55" i="19"/>
  <c r="E55" i="19"/>
  <c r="F55" i="19"/>
  <c r="G55" i="19"/>
  <c r="H55" i="19"/>
  <c r="D11" i="19"/>
  <c r="I11" i="19" s="1"/>
  <c r="E11" i="19"/>
  <c r="F11" i="19"/>
  <c r="F7" i="19" s="1"/>
  <c r="G11" i="19"/>
  <c r="G7" i="19"/>
  <c r="H11" i="19"/>
  <c r="C12" i="19"/>
  <c r="C11" i="19"/>
  <c r="D14" i="19"/>
  <c r="E14" i="19"/>
  <c r="F14" i="19"/>
  <c r="G14" i="19"/>
  <c r="H14" i="19"/>
  <c r="H7" i="19" s="1"/>
  <c r="E17" i="19"/>
  <c r="C19" i="19"/>
  <c r="D19" i="19"/>
  <c r="D17" i="19" s="1"/>
  <c r="F19" i="19"/>
  <c r="F17" i="19" s="1"/>
  <c r="G19" i="19"/>
  <c r="G17" i="19" s="1"/>
  <c r="H19" i="19"/>
  <c r="H17" i="19"/>
  <c r="I20" i="19"/>
  <c r="I22" i="19"/>
  <c r="D24" i="19"/>
  <c r="D23" i="19"/>
  <c r="E24" i="19"/>
  <c r="F24" i="19"/>
  <c r="G24" i="19"/>
  <c r="G23" i="19" s="1"/>
  <c r="H24" i="19"/>
  <c r="H23" i="19" s="1"/>
  <c r="C25" i="19"/>
  <c r="I25" i="19" s="1"/>
  <c r="C26" i="19"/>
  <c r="I26" i="19"/>
  <c r="I27" i="19"/>
  <c r="I30" i="19"/>
  <c r="D31" i="19"/>
  <c r="E31" i="19"/>
  <c r="F31" i="19"/>
  <c r="F23" i="19" s="1"/>
  <c r="G31" i="19"/>
  <c r="H31" i="19"/>
  <c r="C35" i="19"/>
  <c r="I35" i="19" s="1"/>
  <c r="C36" i="19"/>
  <c r="I36" i="19" s="1"/>
  <c r="C37" i="19"/>
  <c r="I37" i="19" s="1"/>
  <c r="I38" i="19"/>
  <c r="I39" i="19"/>
  <c r="I40" i="19"/>
  <c r="I45" i="19"/>
  <c r="I49" i="19"/>
  <c r="I50" i="19"/>
  <c r="I53" i="19"/>
  <c r="I56" i="19"/>
  <c r="I57" i="19"/>
  <c r="C60" i="19"/>
  <c r="D60" i="19"/>
  <c r="E60" i="19"/>
  <c r="F60" i="19"/>
  <c r="G60" i="19"/>
  <c r="H60" i="19"/>
  <c r="I61" i="19"/>
  <c r="I62" i="19"/>
  <c r="D63" i="19"/>
  <c r="E63" i="19"/>
  <c r="F63" i="19"/>
  <c r="G63" i="19"/>
  <c r="H63" i="19"/>
  <c r="D73" i="19"/>
  <c r="E73" i="19"/>
  <c r="F73" i="19"/>
  <c r="G73" i="19"/>
  <c r="H73" i="19"/>
  <c r="D75" i="19"/>
  <c r="E75" i="19"/>
  <c r="F75" i="19"/>
  <c r="G75" i="19"/>
  <c r="I78" i="19"/>
  <c r="I87" i="19"/>
  <c r="I88" i="19"/>
  <c r="E89" i="19"/>
  <c r="E77" i="19" s="1"/>
  <c r="F89" i="19"/>
  <c r="F77" i="19"/>
  <c r="G89" i="19"/>
  <c r="G77" i="19" s="1"/>
  <c r="H89" i="19"/>
  <c r="H77" i="19"/>
  <c r="I91" i="19"/>
  <c r="C92" i="19"/>
  <c r="I92" i="19" s="1"/>
  <c r="I93" i="19"/>
  <c r="I94" i="19"/>
  <c r="I95" i="19"/>
  <c r="I96" i="19"/>
  <c r="I100" i="19"/>
  <c r="I101" i="19"/>
  <c r="I103" i="19"/>
  <c r="I116" i="19"/>
  <c r="C117" i="19"/>
  <c r="I117" i="19" s="1"/>
  <c r="I118" i="19"/>
  <c r="I119" i="19"/>
  <c r="I120" i="19"/>
  <c r="I121" i="19"/>
  <c r="D126" i="19"/>
  <c r="D125" i="19" s="1"/>
  <c r="E126" i="19"/>
  <c r="E125" i="19"/>
  <c r="F126" i="19"/>
  <c r="F125" i="19" s="1"/>
  <c r="G126" i="19"/>
  <c r="G125" i="19"/>
  <c r="H126" i="19"/>
  <c r="H125" i="19" s="1"/>
  <c r="I128" i="19"/>
  <c r="I129" i="19"/>
  <c r="I130" i="19"/>
  <c r="E132" i="19"/>
  <c r="F132" i="19"/>
  <c r="G132" i="19"/>
  <c r="H132" i="19"/>
  <c r="C134" i="19"/>
  <c r="I134" i="19" s="1"/>
  <c r="C135" i="19"/>
  <c r="D138" i="19"/>
  <c r="E138" i="19"/>
  <c r="F138" i="19"/>
  <c r="G138" i="19"/>
  <c r="H138" i="19"/>
  <c r="C140" i="19"/>
  <c r="I141" i="19"/>
  <c r="I142" i="19"/>
  <c r="I143" i="19"/>
  <c r="I144" i="19"/>
  <c r="I145" i="19"/>
  <c r="I147" i="19"/>
  <c r="I148" i="19"/>
  <c r="I150" i="19"/>
  <c r="I151" i="19"/>
  <c r="I154" i="19"/>
  <c r="D155" i="19"/>
  <c r="E155" i="19"/>
  <c r="F155" i="19"/>
  <c r="G155" i="19"/>
  <c r="H155" i="19"/>
  <c r="I157" i="19"/>
  <c r="I158" i="19"/>
  <c r="I159" i="19"/>
  <c r="I160" i="19"/>
  <c r="D161" i="19"/>
  <c r="F161" i="19"/>
  <c r="G161" i="19"/>
  <c r="H161" i="19"/>
  <c r="C165" i="19"/>
  <c r="C161" i="19" s="1"/>
  <c r="C166" i="19"/>
  <c r="I166" i="19"/>
  <c r="C168" i="19"/>
  <c r="I168" i="19" s="1"/>
  <c r="C169" i="19"/>
  <c r="I169" i="19"/>
  <c r="C171" i="19"/>
  <c r="I171" i="19" s="1"/>
  <c r="I176" i="19"/>
  <c r="I180" i="19"/>
  <c r="D183" i="19"/>
  <c r="E183" i="19"/>
  <c r="F183" i="19"/>
  <c r="G183" i="19"/>
  <c r="G137" i="19" s="1"/>
  <c r="H183" i="19"/>
  <c r="I185" i="19"/>
  <c r="I187" i="19"/>
  <c r="I188" i="19"/>
  <c r="I189" i="19"/>
  <c r="I191" i="19"/>
  <c r="C192" i="19"/>
  <c r="D192" i="19"/>
  <c r="E192" i="19"/>
  <c r="F192" i="19"/>
  <c r="G192" i="19"/>
  <c r="H192" i="19"/>
  <c r="I193" i="19"/>
  <c r="I194" i="19"/>
  <c r="I195" i="19"/>
  <c r="D197" i="19"/>
  <c r="E197" i="19"/>
  <c r="E196" i="19" s="1"/>
  <c r="F197" i="19"/>
  <c r="G197" i="19"/>
  <c r="H197" i="19"/>
  <c r="D212" i="19"/>
  <c r="E212" i="19"/>
  <c r="F212" i="19"/>
  <c r="G212" i="19"/>
  <c r="H212" i="19"/>
  <c r="D214" i="19"/>
  <c r="E214" i="19"/>
  <c r="F214" i="19"/>
  <c r="G214" i="19"/>
  <c r="H214" i="19"/>
  <c r="D233" i="19"/>
  <c r="E233" i="19"/>
  <c r="F233" i="19"/>
  <c r="G233" i="19"/>
  <c r="H233" i="19"/>
  <c r="D244" i="19"/>
  <c r="E244" i="19"/>
  <c r="E243" i="19" s="1"/>
  <c r="F244" i="19"/>
  <c r="G244" i="19"/>
  <c r="H244" i="19"/>
  <c r="H243" i="19" s="1"/>
  <c r="D246" i="19"/>
  <c r="E246" i="19"/>
  <c r="F246" i="19"/>
  <c r="F243" i="19" s="1"/>
  <c r="G246" i="19"/>
  <c r="H246" i="19"/>
  <c r="I249" i="19"/>
  <c r="I250" i="19"/>
  <c r="I251" i="19"/>
  <c r="D253" i="19"/>
  <c r="E253" i="19"/>
  <c r="F253" i="19"/>
  <c r="G253" i="19"/>
  <c r="H253" i="19"/>
  <c r="I254" i="19"/>
  <c r="I265" i="19"/>
  <c r="I267" i="19"/>
  <c r="I272" i="19"/>
  <c r="I273" i="19"/>
  <c r="I274" i="19"/>
  <c r="I275" i="19"/>
  <c r="I277" i="19"/>
  <c r="I278" i="19"/>
  <c r="I280" i="19"/>
  <c r="I281" i="19"/>
  <c r="I283" i="19"/>
  <c r="I284" i="19"/>
  <c r="I285" i="19"/>
  <c r="I286" i="19"/>
  <c r="I287" i="19"/>
  <c r="I289" i="19"/>
  <c r="I291" i="19"/>
  <c r="I295" i="19"/>
  <c r="E296" i="19"/>
  <c r="F296" i="19"/>
  <c r="F292" i="19"/>
  <c r="G296" i="19"/>
  <c r="H296" i="19"/>
  <c r="I299" i="19"/>
  <c r="I300" i="19"/>
  <c r="I301" i="19"/>
  <c r="I304" i="19"/>
  <c r="D305" i="19"/>
  <c r="E305" i="19"/>
  <c r="E292" i="19" s="1"/>
  <c r="F305" i="19"/>
  <c r="G305" i="19"/>
  <c r="H305" i="19"/>
  <c r="H292" i="19"/>
  <c r="C306" i="19"/>
  <c r="E319" i="19"/>
  <c r="E336" i="19"/>
  <c r="F319" i="19"/>
  <c r="F336" i="19" s="1"/>
  <c r="G319" i="19"/>
  <c r="G336" i="19" s="1"/>
  <c r="I320" i="19"/>
  <c r="H321" i="19"/>
  <c r="H319" i="19" s="1"/>
  <c r="H336" i="19" s="1"/>
  <c r="I323" i="19"/>
  <c r="I326" i="19"/>
  <c r="I327" i="19"/>
  <c r="I331" i="19"/>
  <c r="I334" i="19"/>
  <c r="D89" i="19"/>
  <c r="D77" i="19" s="1"/>
  <c r="I322" i="19"/>
  <c r="I12" i="19"/>
  <c r="C212" i="19"/>
  <c r="G292" i="19"/>
  <c r="D132" i="19"/>
  <c r="I15" i="19"/>
  <c r="E7" i="19"/>
  <c r="I135" i="19"/>
  <c r="I235" i="19"/>
  <c r="I306" i="19"/>
  <c r="C305" i="19"/>
  <c r="I305" i="19" s="1"/>
  <c r="I245" i="19"/>
  <c r="C126" i="19"/>
  <c r="C125" i="19" s="1"/>
  <c r="C296" i="19"/>
  <c r="C26" i="25"/>
  <c r="I26" i="25" s="1"/>
  <c r="E33" i="25" l="1"/>
  <c r="E31" i="25" s="1"/>
  <c r="D38" i="25"/>
  <c r="D40" i="25" s="1"/>
  <c r="D43" i="25" s="1"/>
  <c r="D292" i="19"/>
  <c r="D137" i="19"/>
  <c r="C292" i="19"/>
  <c r="I292" i="19" s="1"/>
  <c r="D243" i="19"/>
  <c r="D196" i="19" s="1"/>
  <c r="C79" i="19"/>
  <c r="I79" i="19" s="1"/>
  <c r="I244" i="19"/>
  <c r="C7" i="19"/>
  <c r="I58" i="19"/>
  <c r="I126" i="19"/>
  <c r="I125" i="19" s="1"/>
  <c r="I321" i="19"/>
  <c r="I19" i="19"/>
  <c r="F196" i="19"/>
  <c r="I165" i="19"/>
  <c r="C11" i="25"/>
  <c r="D131" i="19"/>
  <c r="C17" i="25"/>
  <c r="I17" i="25" s="1"/>
  <c r="I297" i="19"/>
  <c r="I212" i="19"/>
  <c r="F137" i="19"/>
  <c r="I55" i="19"/>
  <c r="C73" i="19"/>
  <c r="I73" i="19" s="1"/>
  <c r="G131" i="19"/>
  <c r="C197" i="19"/>
  <c r="I197" i="19" s="1"/>
  <c r="H59" i="19"/>
  <c r="E59" i="19"/>
  <c r="I182" i="19"/>
  <c r="I140" i="19"/>
  <c r="C138" i="19"/>
  <c r="C233" i="19"/>
  <c r="I233" i="19" s="1"/>
  <c r="I236" i="19"/>
  <c r="C23" i="19"/>
  <c r="H137" i="19"/>
  <c r="H131" i="19" s="1"/>
  <c r="I14" i="19"/>
  <c r="D7" i="19"/>
  <c r="C75" i="19"/>
  <c r="I76" i="19"/>
  <c r="I75" i="19" s="1"/>
  <c r="C132" i="19"/>
  <c r="I133" i="19"/>
  <c r="E161" i="19"/>
  <c r="I163" i="19"/>
  <c r="G8" i="25"/>
  <c r="G38" i="25" s="1"/>
  <c r="G40" i="25" s="1"/>
  <c r="G43" i="25" s="1"/>
  <c r="I161" i="19"/>
  <c r="I156" i="19"/>
  <c r="C155" i="19"/>
  <c r="I155" i="19" s="1"/>
  <c r="I220" i="19"/>
  <c r="C214" i="19"/>
  <c r="I214" i="19" s="1"/>
  <c r="I264" i="19"/>
  <c r="C253" i="19"/>
  <c r="G196" i="19"/>
  <c r="I192" i="19"/>
  <c r="D59" i="19"/>
  <c r="I183" i="19"/>
  <c r="C89" i="19"/>
  <c r="G243" i="19"/>
  <c r="H196" i="19"/>
  <c r="F131" i="19"/>
  <c r="G59" i="19"/>
  <c r="I60" i="19"/>
  <c r="C63" i="19"/>
  <c r="I66" i="19"/>
  <c r="C17" i="19"/>
  <c r="C246" i="19"/>
  <c r="I247" i="19"/>
  <c r="H38" i="25"/>
  <c r="H40" i="25" s="1"/>
  <c r="H43" i="25" s="1"/>
  <c r="I319" i="19"/>
  <c r="I253" i="19"/>
  <c r="E137" i="19"/>
  <c r="E131" i="19" s="1"/>
  <c r="F59" i="19"/>
  <c r="E23" i="19"/>
  <c r="C31" i="19"/>
  <c r="I32" i="19"/>
  <c r="I31" i="19" s="1"/>
  <c r="I309" i="19"/>
  <c r="C336" i="19"/>
  <c r="I336" i="19" s="1"/>
  <c r="E38" i="25"/>
  <c r="E40" i="25" s="1"/>
  <c r="E43" i="25" s="1"/>
  <c r="I34" i="25"/>
  <c r="C33" i="25"/>
  <c r="G307" i="19" l="1"/>
  <c r="I23" i="19"/>
  <c r="E307" i="19"/>
  <c r="C10" i="25"/>
  <c r="I11" i="25"/>
  <c r="F307" i="19"/>
  <c r="I89" i="19"/>
  <c r="C77" i="19"/>
  <c r="I77" i="19" s="1"/>
  <c r="I17" i="19"/>
  <c r="I132" i="19"/>
  <c r="I138" i="19"/>
  <c r="C137" i="19"/>
  <c r="I137" i="19" s="1"/>
  <c r="C31" i="25"/>
  <c r="I33" i="25"/>
  <c r="I63" i="19"/>
  <c r="C59" i="19"/>
  <c r="I59" i="19" s="1"/>
  <c r="C243" i="19"/>
  <c r="I243" i="19" s="1"/>
  <c r="I246" i="19"/>
  <c r="D307" i="19"/>
  <c r="I7" i="19"/>
  <c r="H307" i="19"/>
  <c r="C8" i="25" l="1"/>
  <c r="I10" i="25"/>
  <c r="I8" i="25" s="1"/>
  <c r="C131" i="19"/>
  <c r="I131" i="19" s="1"/>
  <c r="I31" i="25"/>
  <c r="C38" i="25"/>
  <c r="C196" i="19"/>
  <c r="I196" i="19" s="1"/>
  <c r="C307" i="19" l="1"/>
  <c r="I307" i="19" s="1"/>
  <c r="C40" i="25"/>
  <c r="I38" i="25"/>
  <c r="I40" i="25" l="1"/>
  <c r="I43" i="25" s="1"/>
  <c r="C43" i="25"/>
</calcChain>
</file>

<file path=xl/sharedStrings.xml><?xml version="1.0" encoding="utf-8"?>
<sst xmlns="http://schemas.openxmlformats.org/spreadsheetml/2006/main" count="732" uniqueCount="708">
  <si>
    <t>Izglītība</t>
  </si>
  <si>
    <t>04.000</t>
  </si>
  <si>
    <t>05.200</t>
  </si>
  <si>
    <t>06.000</t>
  </si>
  <si>
    <t>07.000</t>
  </si>
  <si>
    <t>Kultūra</t>
  </si>
  <si>
    <t>08.000</t>
  </si>
  <si>
    <t>10.000</t>
  </si>
  <si>
    <t>Sporta centrs</t>
  </si>
  <si>
    <t>Kods</t>
  </si>
  <si>
    <t>4.1.1.0.</t>
  </si>
  <si>
    <t>4.1.2.0.</t>
  </si>
  <si>
    <t>5.4.1.0.</t>
  </si>
  <si>
    <t>Pašvaldību nodevas</t>
  </si>
  <si>
    <t>9.5.0.0.</t>
  </si>
  <si>
    <t>05.000</t>
  </si>
  <si>
    <t>Pabalsts maznodrošinātām ģimenēm</t>
  </si>
  <si>
    <t>Pašvaldības policija</t>
  </si>
  <si>
    <t>Kopā izdevumi:</t>
  </si>
  <si>
    <t>Nodokļu ieņēmumi</t>
  </si>
  <si>
    <t>1.1.1.0.</t>
  </si>
  <si>
    <t>4.1.0.0.</t>
  </si>
  <si>
    <t>Nekustamā īpašuma nodoklis</t>
  </si>
  <si>
    <t>Nekustamā īpašuma nodoklis par zemi</t>
  </si>
  <si>
    <t xml:space="preserve">Nekustamā īpašuma nodoklis par ēkām </t>
  </si>
  <si>
    <t>Azartspēļu nodoklis</t>
  </si>
  <si>
    <t>Nenodokļu ieņēmumi</t>
  </si>
  <si>
    <t>9.4.0.0.</t>
  </si>
  <si>
    <t>Valsts nodevas, kuras ieskaita pašvaldību budžetā</t>
  </si>
  <si>
    <t>Pārējie nenodokļu ieņēmumi</t>
  </si>
  <si>
    <t>18.0.0.0.</t>
  </si>
  <si>
    <t>Valsts budžeta transferti</t>
  </si>
  <si>
    <t>19.0.0.0.</t>
  </si>
  <si>
    <t>Pašvaldību budžetu transferti</t>
  </si>
  <si>
    <t>19.2.0.0.</t>
  </si>
  <si>
    <t>19.3.0.0.</t>
  </si>
  <si>
    <t>21.0.0.0.</t>
  </si>
  <si>
    <t>Budžeta iestāžu ieņēmumi</t>
  </si>
  <si>
    <t>21.3.0.0.</t>
  </si>
  <si>
    <t>21.3.8.0.</t>
  </si>
  <si>
    <t>Ieņēmumi par nomu un īri</t>
  </si>
  <si>
    <t>21.3.9.0.</t>
  </si>
  <si>
    <t>Ieņēmumi par pārējiem budžeta iestāžu maksas pakalpojumiem</t>
  </si>
  <si>
    <t>KOPĀ IEŅĒMUMI</t>
  </si>
  <si>
    <t>Kopā ar kredītresursiem:</t>
  </si>
  <si>
    <t>Kopā ar budžeta atlikumu</t>
  </si>
  <si>
    <t>01.000</t>
  </si>
  <si>
    <t>Vispārējie valdības dienesti</t>
  </si>
  <si>
    <t>01.720</t>
  </si>
  <si>
    <t>Pašvaldību budžetu parāda darījumi</t>
  </si>
  <si>
    <t>01.721</t>
  </si>
  <si>
    <t>01.830</t>
  </si>
  <si>
    <t>Vispārēja rakstura transferti no pašvaldību budžeta pašvaldību budžetam</t>
  </si>
  <si>
    <t>01.890</t>
  </si>
  <si>
    <t>03.000</t>
  </si>
  <si>
    <t>Sabiedriskā kārtība un drošība</t>
  </si>
  <si>
    <t>Ekonomiskā darbība</t>
  </si>
  <si>
    <t>04.111</t>
  </si>
  <si>
    <t>Vispārējas ekonomiskas darbības vadība</t>
  </si>
  <si>
    <t>04.510</t>
  </si>
  <si>
    <t>Autotransports</t>
  </si>
  <si>
    <t>Vides aizsardzība</t>
  </si>
  <si>
    <t>05.100</t>
  </si>
  <si>
    <t>Atkritumu apsaimniekošana</t>
  </si>
  <si>
    <t>Notekūdeņu apsaimniekošana</t>
  </si>
  <si>
    <t>Pašvaldības teritoriju un mājokļu apsaimniekošana</t>
  </si>
  <si>
    <t>06.300</t>
  </si>
  <si>
    <t>Ūdensapgāde</t>
  </si>
  <si>
    <t>Ielu apgaismošana</t>
  </si>
  <si>
    <t>06.600</t>
  </si>
  <si>
    <t>Pārējā citur nekvalificētā pašvaldību teritoriju un mājokļu apsaimniekošanas darbība</t>
  </si>
  <si>
    <t>Veselība</t>
  </si>
  <si>
    <t>07.210</t>
  </si>
  <si>
    <t>Ambulatorās ārstniecības iestādes</t>
  </si>
  <si>
    <t>Atpūta, kultūra un reliģija</t>
  </si>
  <si>
    <t>08.100</t>
  </si>
  <si>
    <t>Atpūtas un sporta  pasākumi</t>
  </si>
  <si>
    <t>08.200</t>
  </si>
  <si>
    <t>08.230</t>
  </si>
  <si>
    <t>08.290</t>
  </si>
  <si>
    <t>Televīzija</t>
  </si>
  <si>
    <t>09.000</t>
  </si>
  <si>
    <t>09.100</t>
  </si>
  <si>
    <t>PII  "Cīrulītis"</t>
  </si>
  <si>
    <t>PII  "Dzīpariņš"</t>
  </si>
  <si>
    <t>PII  "Zelta sietiņš"</t>
  </si>
  <si>
    <t>PII  "Saulīte"</t>
  </si>
  <si>
    <t>PII " Ābelīte"</t>
  </si>
  <si>
    <t>09.211</t>
  </si>
  <si>
    <t>09.510</t>
  </si>
  <si>
    <t>Interešu un profesionālās ievirzes izglītība</t>
  </si>
  <si>
    <t>09.820</t>
  </si>
  <si>
    <t>Sociālā aizsardzība</t>
  </si>
  <si>
    <t>10.600</t>
  </si>
  <si>
    <t>Mājokļa atbalsts</t>
  </si>
  <si>
    <t>10.700</t>
  </si>
  <si>
    <t>Pārējais citur neklasificēts atbalsts sociāli atstumtām personām</t>
  </si>
  <si>
    <t xml:space="preserve">Sociālais dienests </t>
  </si>
  <si>
    <t>Basketbola skola</t>
  </si>
  <si>
    <t>Nemateriālie ieguldījumi</t>
  </si>
  <si>
    <t>13.0.0.0.</t>
  </si>
  <si>
    <t xml:space="preserve">    Muzeji un izstādes</t>
  </si>
  <si>
    <t>PII " Strautiņš"</t>
  </si>
  <si>
    <t xml:space="preserve">Pozīcijas nosaukums             </t>
  </si>
  <si>
    <t>Ieņēmumi no iedzīvotāju ienākuma nodokļa</t>
  </si>
  <si>
    <t>4.0.0.0.</t>
  </si>
  <si>
    <t>Īpašuma nodokļi</t>
  </si>
  <si>
    <t>8.6.0.0.</t>
  </si>
  <si>
    <t>Procentu ieņēmumi par depozītiem, kontu atlikumiem un vērtpapīriem</t>
  </si>
  <si>
    <t>10.1.0.0.</t>
  </si>
  <si>
    <t>Naudas sodi</t>
  </si>
  <si>
    <t>21.3.5.0.</t>
  </si>
  <si>
    <t>Maksa par izglītības pakalpojumiem</t>
  </si>
  <si>
    <t>Būvvalde</t>
  </si>
  <si>
    <t xml:space="preserve">    Bibliotēkas </t>
  </si>
  <si>
    <t>PII "Riekstiņš"</t>
  </si>
  <si>
    <t>PII "Taurenītis"</t>
  </si>
  <si>
    <t xml:space="preserve">Ķeipenes pamatskola </t>
  </si>
  <si>
    <t>Madlienas vidusskola</t>
  </si>
  <si>
    <t>09.219</t>
  </si>
  <si>
    <t>09.600</t>
  </si>
  <si>
    <t>Izglītības papildu pakalpojumi</t>
  </si>
  <si>
    <t>Atbalsts bezdarba gadījumā</t>
  </si>
  <si>
    <t xml:space="preserve">Sabiedriskās organizācijas </t>
  </si>
  <si>
    <t>Pansionāts "Madliena"</t>
  </si>
  <si>
    <t>Preces un pakalpojumi</t>
  </si>
  <si>
    <t>Pakalpojumi</t>
  </si>
  <si>
    <t>Krājumi,materiāli,energoresursi,prece,biroja preces un inventārs, ko neuzskaita  5000. kodā</t>
  </si>
  <si>
    <t>Izdevumi periodikas iegādei</t>
  </si>
  <si>
    <t>Budžeta iestāžu nodokļu maksājumi</t>
  </si>
  <si>
    <t xml:space="preserve">Pārējie procentu maksājumi </t>
  </si>
  <si>
    <t>Pamatlīdzekļi</t>
  </si>
  <si>
    <t xml:space="preserve">Sociālie pabalsti naudā </t>
  </si>
  <si>
    <t>Sociālie pabalsti natūrā</t>
  </si>
  <si>
    <t xml:space="preserve"> IZDEVUMI KOPĀ</t>
  </si>
  <si>
    <t>21.1.0.0.</t>
  </si>
  <si>
    <t xml:space="preserve">Budžeta iestādes ieņēmumi no ārvalstu finanšu palīdzības </t>
  </si>
  <si>
    <t>Kapitālieguldījumu fondu akcijas</t>
  </si>
  <si>
    <t>Suntažu pagasta pārvalde</t>
  </si>
  <si>
    <t>Madlienas pagasta pārvalde</t>
  </si>
  <si>
    <t>Meņģeles pagasta pārvalde</t>
  </si>
  <si>
    <t>Mazozolu pagasta pārvalde</t>
  </si>
  <si>
    <t>Atalgojums</t>
  </si>
  <si>
    <t>Lauberes pagasta pārvalde</t>
  </si>
  <si>
    <t>Atbalsts ģimenēm ar bērniem (Bāriņtiesas)</t>
  </si>
  <si>
    <t>Taurupes pagasta pārvalde</t>
  </si>
  <si>
    <t>Ķeipenes pagasta pārvalde</t>
  </si>
  <si>
    <t>18.6.0.0.</t>
  </si>
  <si>
    <t>Krapes pagasta pārvalde</t>
  </si>
  <si>
    <t>4.1.3.0.</t>
  </si>
  <si>
    <t>Nekustamā īpašuma nodoklis par mājokļiem</t>
  </si>
  <si>
    <t>Pašvaldību saņemtie transferti no valsts budžeta</t>
  </si>
  <si>
    <t>Pašvaldību saņemtie transferti no citām pašvaldībām</t>
  </si>
  <si>
    <t>Ieņēmumi no budžeta iestāžu sniegtajiem maksas pakalpojumiem un citi pašu ieņēmumi</t>
  </si>
  <si>
    <t>01.100</t>
  </si>
  <si>
    <t xml:space="preserve">Izpildvaras un likumdošanas varas  institūcijas </t>
  </si>
  <si>
    <t>Vispārēja rakstura transferti no pašvaldību budžeta valsts budžetam</t>
  </si>
  <si>
    <t xml:space="preserve">Izdevumi neparedzētiem gadījumiem </t>
  </si>
  <si>
    <t>04.11101</t>
  </si>
  <si>
    <t>Uzņēmējdarbības  attīstības veicināšanai</t>
  </si>
  <si>
    <t>04.51004</t>
  </si>
  <si>
    <t>Pārējais autotransports</t>
  </si>
  <si>
    <t>05.1001</t>
  </si>
  <si>
    <t>05.2001</t>
  </si>
  <si>
    <t>05.2002</t>
  </si>
  <si>
    <t>05.300</t>
  </si>
  <si>
    <t>Vides piesārņojuma novēršana un samazināšana</t>
  </si>
  <si>
    <t>05.400</t>
  </si>
  <si>
    <t>Bioloģiskās daudzveidības un ainavas aizsardzība</t>
  </si>
  <si>
    <t>Teritoriju attīstība ( projektēšanai )</t>
  </si>
  <si>
    <t>06.60001</t>
  </si>
  <si>
    <t>06.60002</t>
  </si>
  <si>
    <t>06.60003</t>
  </si>
  <si>
    <t>06.60006</t>
  </si>
  <si>
    <t>06.60007</t>
  </si>
  <si>
    <t>06.60008</t>
  </si>
  <si>
    <t>06.60009</t>
  </si>
  <si>
    <t>08.1001</t>
  </si>
  <si>
    <t>08.1002</t>
  </si>
  <si>
    <t>08.2202</t>
  </si>
  <si>
    <t>Pārējā citur neklasificētā kultūra</t>
  </si>
  <si>
    <t>08.29001</t>
  </si>
  <si>
    <t>08.29002</t>
  </si>
  <si>
    <t xml:space="preserve">Pirmsskolas izglītība </t>
  </si>
  <si>
    <t>09.10002</t>
  </si>
  <si>
    <t>09.10003</t>
  </si>
  <si>
    <t>09.10004</t>
  </si>
  <si>
    <t>09.10005</t>
  </si>
  <si>
    <t>09.10006</t>
  </si>
  <si>
    <t>09.10007</t>
  </si>
  <si>
    <t>09.10008</t>
  </si>
  <si>
    <t>09.10009</t>
  </si>
  <si>
    <t>09.10010</t>
  </si>
  <si>
    <t>Sākumskolas (ISCED-97 1. līmenis)</t>
  </si>
  <si>
    <t>Vispārējās izglītības mācību iestāžu izdevumi (ISCED-97 1.- 3. līmenis)</t>
  </si>
  <si>
    <t>09.21901</t>
  </si>
  <si>
    <t>09.21902</t>
  </si>
  <si>
    <t>09.21903</t>
  </si>
  <si>
    <t>09.21904</t>
  </si>
  <si>
    <t>09.21905</t>
  </si>
  <si>
    <t>09.21906</t>
  </si>
  <si>
    <t>09.21907</t>
  </si>
  <si>
    <t>09.21908</t>
  </si>
  <si>
    <t>09.5101</t>
  </si>
  <si>
    <t>09.5102</t>
  </si>
  <si>
    <t>09.5103</t>
  </si>
  <si>
    <t>09.5106</t>
  </si>
  <si>
    <t>Pārējā citur neklasificētā izglītība (izglītības projektu realizācija)</t>
  </si>
  <si>
    <t>10.70001</t>
  </si>
  <si>
    <t>10.70002</t>
  </si>
  <si>
    <t>10.70005</t>
  </si>
  <si>
    <t>10.70010</t>
  </si>
  <si>
    <t>01.830    7230</t>
  </si>
  <si>
    <t>Pašvaldību  uzturēšanas izdevumu transferti padotības iestādēm</t>
  </si>
  <si>
    <t>Darba devēja valsts sociālās apdrošināšanas obligātās iemaksas, sociālā rakstura pabalsti un kompensācijas</t>
  </si>
  <si>
    <t>Subsīdijas un dotācijas komersantiem, biedrībām un nodibinājumiem</t>
  </si>
  <si>
    <t>Pārējie maksājumi iedzīvotājiem natūrā un kompensācijas</t>
  </si>
  <si>
    <t>Pašvaldību uzturēšanas izdevumu transferti</t>
  </si>
  <si>
    <t>Dabas resursu nodoklis</t>
  </si>
  <si>
    <t>03.200</t>
  </si>
  <si>
    <t>Ugunsdrošības, glābšanas un civilās drošības dienesti</t>
  </si>
  <si>
    <t>Ieņēmumi no pašvaldības īpašuma iznomāšanas, pārdošanas un nodokļu pamatp.kapitaliz.</t>
  </si>
  <si>
    <t>Taurupes pamatskola</t>
  </si>
  <si>
    <t>Pašvaldību saņemtie transferti no valsts budžeta daļēji finansētām atvasinātām publiskām personām un no budžeta nefinansētām iestādēm</t>
  </si>
  <si>
    <t>17.2.0.0.</t>
  </si>
  <si>
    <t>Mājokļu apsaimniekošana</t>
  </si>
  <si>
    <t>Siltumapgāde</t>
  </si>
  <si>
    <t>08.29011</t>
  </si>
  <si>
    <t>F20010000 AS</t>
  </si>
  <si>
    <t>F20010000 AB</t>
  </si>
  <si>
    <t>21.4.9.0</t>
  </si>
  <si>
    <t>Pārējie iepriekš neklasificētie pašu ieņēmumi</t>
  </si>
  <si>
    <t>05.1007</t>
  </si>
  <si>
    <t>08.1004</t>
  </si>
  <si>
    <t>Mācību, darba un dienesta komandējumi, dienesta, darba braucieni</t>
  </si>
  <si>
    <t>Kompensācijas, kuras izmaksā personām, pamatojoties uz Latvijas tiesu nolēmumiem</t>
  </si>
  <si>
    <t>Līdzekļu atlikums uz gada beigām (Kases apgrozāmie līdzekļi)  F22010020</t>
  </si>
  <si>
    <t>09.82032</t>
  </si>
  <si>
    <t>Informatīvi pasākumi uzņēmējiem</t>
  </si>
  <si>
    <t xml:space="preserve">Pašvaldības un tās iestāžu savstarpējie transferti </t>
  </si>
  <si>
    <t>07.4501</t>
  </si>
  <si>
    <t>08.2301</t>
  </si>
  <si>
    <t>10.70003</t>
  </si>
  <si>
    <t>Sociālā dienesta asistentu pakalpojumi</t>
  </si>
  <si>
    <t>01.83011</t>
  </si>
  <si>
    <t>03.2001</t>
  </si>
  <si>
    <t>04.11102</t>
  </si>
  <si>
    <t>04.11103</t>
  </si>
  <si>
    <t>04.4301</t>
  </si>
  <si>
    <t>05.4001</t>
  </si>
  <si>
    <t>06.2001</t>
  </si>
  <si>
    <t>07.2101</t>
  </si>
  <si>
    <t>10.70006</t>
  </si>
  <si>
    <t>Jauniešu garantijas ietvaros projekta "PROTI un DARI!" īstenošana</t>
  </si>
  <si>
    <t>08.2304</t>
  </si>
  <si>
    <t>08.300</t>
  </si>
  <si>
    <t>Apraides un izdevniecības pakalpojumi</t>
  </si>
  <si>
    <t>09.82001</t>
  </si>
  <si>
    <t>Karjeras atbalsts vispārējās un profesionālās izglītības iestādēs</t>
  </si>
  <si>
    <t>04.510010</t>
  </si>
  <si>
    <t>Atbalsts izglītojamo individuālo kompetenču attīstībai</t>
  </si>
  <si>
    <t>09.82039</t>
  </si>
  <si>
    <t>08.2101</t>
  </si>
  <si>
    <t>8.3.0.0.</t>
  </si>
  <si>
    <t>Īeņēmumi no dividendēm</t>
  </si>
  <si>
    <t>03.6002</t>
  </si>
  <si>
    <t>Atskurbtuves pakalpojumiem</t>
  </si>
  <si>
    <t>04.11116</t>
  </si>
  <si>
    <t>Ogres novadnieka karte</t>
  </si>
  <si>
    <t>08.2204</t>
  </si>
  <si>
    <t>08.2303</t>
  </si>
  <si>
    <t>08.3101</t>
  </si>
  <si>
    <t>08.3301</t>
  </si>
  <si>
    <t>09.82002</t>
  </si>
  <si>
    <t>Atbalsts priekšlaicīgas mācību pārtraukšanas samazināšanai (Pumpurs)</t>
  </si>
  <si>
    <t>04.7301</t>
  </si>
  <si>
    <t>07.4502</t>
  </si>
  <si>
    <t>06.60022</t>
  </si>
  <si>
    <t>SIA Ogres namsaimnieks finansējums domes deliģēto funkciju izpildei</t>
  </si>
  <si>
    <t>01.6001</t>
  </si>
  <si>
    <t>Projektu pieteikumu izstrāde, tehniskās dokumentācijas sagatavošana</t>
  </si>
  <si>
    <t>Ielu tīrīšanai, atkritumu savākšanai,teritoriju labiekārtošanai</t>
  </si>
  <si>
    <t>08.220</t>
  </si>
  <si>
    <t xml:space="preserve">    Kultūras centri, nami</t>
  </si>
  <si>
    <t>09.82003</t>
  </si>
  <si>
    <t>Latvijas Skolas Soma</t>
  </si>
  <si>
    <t>09.82010</t>
  </si>
  <si>
    <t>Pārējās izglītības iestāžu pedagogu profesionālās kompetences  pilnveide (Ģimnāzija)</t>
  </si>
  <si>
    <t>Ogres novada pašvaldības domes</t>
  </si>
  <si>
    <t>5.5.3.0.</t>
  </si>
  <si>
    <t>12.0.0.0.</t>
  </si>
  <si>
    <t>Finansējums bērniem, kuri apmeklē privātās pirmsskolas izglītības iestādes</t>
  </si>
  <si>
    <t>09.810</t>
  </si>
  <si>
    <t>Pārējā izglītības vadība (Izglītības pārvalde)</t>
  </si>
  <si>
    <t>10.400</t>
  </si>
  <si>
    <t>10.500</t>
  </si>
  <si>
    <t>Procentu maksājumi iekšzemes kredītiestādēm</t>
  </si>
  <si>
    <t>09.5107</t>
  </si>
  <si>
    <t>Ogres Mūzikas un mākslas skola</t>
  </si>
  <si>
    <t>Reliģisko organizāciju un citu biedrību un nodibinājumu pakalpojumi (Sakrālā mantojuma saglabāšana)</t>
  </si>
  <si>
    <t>Finansējums bērniem, kuri apmeklē privātās izglītības iestādes</t>
  </si>
  <si>
    <t>09.21912</t>
  </si>
  <si>
    <t>Pārējie iepriekš neklasificētie vispārējie valdības dienesti (Vēlēšanas)</t>
  </si>
  <si>
    <t>Starptautiskā sadarbība</t>
  </si>
  <si>
    <t>08.4001</t>
  </si>
  <si>
    <t>03.1101</t>
  </si>
  <si>
    <t>Birzgales muzejs "Rūķi"</t>
  </si>
  <si>
    <t>PII "Urdaviņa"</t>
  </si>
  <si>
    <t>PII "Čiekuriņš"</t>
  </si>
  <si>
    <t>Birzgales mūzikas skola</t>
  </si>
  <si>
    <t>10.900</t>
  </si>
  <si>
    <t>Pārējā citur neklasificētā sociālā aizsardzība</t>
  </si>
  <si>
    <t>Pārējo vispārējas  nozīmes dienestu darbība un pakalpojumi</t>
  </si>
  <si>
    <t>Valdemāra pamatskola</t>
  </si>
  <si>
    <t>Lielvārdes sporta centrs</t>
  </si>
  <si>
    <t>Lielvārdes Mūzikas un mākslas skola</t>
  </si>
  <si>
    <t>Valsts kases aizņēmumi</t>
  </si>
  <si>
    <t>“Tūrisma, sporta un atpūtas komplekss“ ZILIE KALNI”</t>
  </si>
  <si>
    <t>Kultūras mantojuma centrs "Tīnūžu muiža"</t>
  </si>
  <si>
    <t>SIA Ikšķiles māja finansējums domes deliģēto funkciju izpildei</t>
  </si>
  <si>
    <t>Tīnūžu sākumskola</t>
  </si>
  <si>
    <t>Ikšķiles vidusskola</t>
  </si>
  <si>
    <t>Ikšķiles Mūzikas un mākslas skola</t>
  </si>
  <si>
    <t>Finansējums bērniem, kuri apmeklē privātās interešu izglītības iestādes</t>
  </si>
  <si>
    <t>F40 02 00 20</t>
  </si>
  <si>
    <t xml:space="preserve">Aizņēmumu atmaksa        </t>
  </si>
  <si>
    <t>F40 02 00 10</t>
  </si>
  <si>
    <t>09.82061</t>
  </si>
  <si>
    <t>01.8201</t>
  </si>
  <si>
    <t xml:space="preserve">   </t>
  </si>
  <si>
    <t>Pašvaldību budžetu valsts iekšējā parāda darījumi</t>
  </si>
  <si>
    <t xml:space="preserve">Ceļu būvniecībai un remontiem </t>
  </si>
  <si>
    <t>04.510011</t>
  </si>
  <si>
    <t>04.510012</t>
  </si>
  <si>
    <t>Ceļu būvniecībai un remontiem Ķeguma Birzgales pagasts</t>
  </si>
  <si>
    <t>04.510013</t>
  </si>
  <si>
    <t>Ceļu būvniecībai un remontiem Lielvārde</t>
  </si>
  <si>
    <t>04.510014</t>
  </si>
  <si>
    <t xml:space="preserve">Ceļu būvniecībai un remontiem Lielvārdes Lēdmanes pagasts </t>
  </si>
  <si>
    <t>04.510015</t>
  </si>
  <si>
    <t>Ceļu būvniecībai un remontiem Lielvārdes Jumpravas pagasts</t>
  </si>
  <si>
    <t>04.510016</t>
  </si>
  <si>
    <t xml:space="preserve">Ceļu būvniecībai un remontiem Ikšķile </t>
  </si>
  <si>
    <t>04.51047</t>
  </si>
  <si>
    <t>04.51052</t>
  </si>
  <si>
    <t>04.7302</t>
  </si>
  <si>
    <t>04.7303</t>
  </si>
  <si>
    <t>Koncesija atkritumu apsaimniekošana</t>
  </si>
  <si>
    <t xml:space="preserve">Lietus ūdens kanalizācija </t>
  </si>
  <si>
    <t>Notekūdeņu (savākšana un attīrīšana)</t>
  </si>
  <si>
    <t>05.30017</t>
  </si>
  <si>
    <t>Ēkas Skolas ielā 4, Ikšķilē, energoefektivitātes uzlabošana un pārbūve par pašvaldības daudzfunkcionālu pakalpojumu centru</t>
  </si>
  <si>
    <t>Kapu saimniecība</t>
  </si>
  <si>
    <t>Projektu konkurss "Veidojam vidi ap mums Ogres novadā"</t>
  </si>
  <si>
    <t>Īpašumu uzmērīšanai un reģistrēšanai Zemesgrāmatā</t>
  </si>
  <si>
    <t>Pārējie izdevumi</t>
  </si>
  <si>
    <t>Nevalstisko organizāciju projektu atbalstam</t>
  </si>
  <si>
    <t>06.600121</t>
  </si>
  <si>
    <t>Ogres pilsētā un Ogresgala pārvaldē</t>
  </si>
  <si>
    <t>06.600122</t>
  </si>
  <si>
    <t>Lēdmanes pārvaldē</t>
  </si>
  <si>
    <t>06.600123</t>
  </si>
  <si>
    <t>Jumpravas pārvaldē</t>
  </si>
  <si>
    <t>06.600124</t>
  </si>
  <si>
    <t>Lielvārdes pārvaldē</t>
  </si>
  <si>
    <t>06.600125</t>
  </si>
  <si>
    <t>Birzgale pārvaldē</t>
  </si>
  <si>
    <t>06.600126</t>
  </si>
  <si>
    <t>Tomes pārvaldē</t>
  </si>
  <si>
    <t>06.600127</t>
  </si>
  <si>
    <t>Rembates pārvaldē</t>
  </si>
  <si>
    <t>06.600128</t>
  </si>
  <si>
    <t>Ķeguma pārvaldē</t>
  </si>
  <si>
    <t>06.600129</t>
  </si>
  <si>
    <t>06.60024</t>
  </si>
  <si>
    <t>06.60025</t>
  </si>
  <si>
    <t>SAM 9.2.4.2. Pasākumi vietējās sabiedrības slimību profilaksei un veselības veicināšanai</t>
  </si>
  <si>
    <t xml:space="preserve">Veselības veicināšanas pasākumiem </t>
  </si>
  <si>
    <t>Struktūrvienība peldbaseins  "Neptūns"</t>
  </si>
  <si>
    <t>08.210</t>
  </si>
  <si>
    <t>Ogres centrālā bibliotēka</t>
  </si>
  <si>
    <t>08.2103</t>
  </si>
  <si>
    <t>Ikšķiles pilsētas bibliotēka</t>
  </si>
  <si>
    <t>08.2104</t>
  </si>
  <si>
    <t>Tīnūžu bibliotēka</t>
  </si>
  <si>
    <t>08.2105</t>
  </si>
  <si>
    <t>Ķeguma pilsētas bibliotēka (tai skaitā Ķegums, Tome, Rembate)</t>
  </si>
  <si>
    <t>08.2106</t>
  </si>
  <si>
    <t>Birzgales bibliotēka</t>
  </si>
  <si>
    <t>08.2107</t>
  </si>
  <si>
    <t>Jumpravas bibliotēka</t>
  </si>
  <si>
    <t>08.2108</t>
  </si>
  <si>
    <t>Lēdmanes bibliotēka</t>
  </si>
  <si>
    <t>08.2109</t>
  </si>
  <si>
    <t>Lielvārdes pilsētas, Lāčplēša bibliotēka</t>
  </si>
  <si>
    <t>Ogres vēstures un mākslas muzejs</t>
  </si>
  <si>
    <t>Sudrabu Edžus memoriālā istaba</t>
  </si>
  <si>
    <t>08.2205</t>
  </si>
  <si>
    <t>A. Pumpura Lielvārdes muzejs</t>
  </si>
  <si>
    <t>08.2206</t>
  </si>
  <si>
    <t>08.2207</t>
  </si>
  <si>
    <t>Ķeguma novada muzejs</t>
  </si>
  <si>
    <t>Kultūras centri - tautas nami</t>
  </si>
  <si>
    <t>08.2302</t>
  </si>
  <si>
    <t>Finansējums  "Ogres novada kultūras centrs"</t>
  </si>
  <si>
    <t>Ikšķiles tautas nams</t>
  </si>
  <si>
    <t>08.2305</t>
  </si>
  <si>
    <t>Tīnūžu tautas nams</t>
  </si>
  <si>
    <t>08.2306</t>
  </si>
  <si>
    <t>Lielvārdes kultūras centrs (tai skaitā Jumpravas un Lēdmanes)</t>
  </si>
  <si>
    <t>08.2307</t>
  </si>
  <si>
    <t>Ķeguma tautas nams</t>
  </si>
  <si>
    <t>08.2308</t>
  </si>
  <si>
    <t>Birzgales tautas nams</t>
  </si>
  <si>
    <t>08.2309</t>
  </si>
  <si>
    <t>Rembates tautas nams</t>
  </si>
  <si>
    <t>08.2310</t>
  </si>
  <si>
    <t>Tomes tautas nams</t>
  </si>
  <si>
    <t>Pilsētas dekorēšana svētkiem</t>
  </si>
  <si>
    <t>Projektu konkurss RADI Ogres novadam (Kultūras, sporta un izglītības pasākumi, mācības, kursi)</t>
  </si>
  <si>
    <t>08.29027</t>
  </si>
  <si>
    <t>Ķeguma Dienas centrs</t>
  </si>
  <si>
    <t>08.29028</t>
  </si>
  <si>
    <t>Tomes  Dienas  centrs</t>
  </si>
  <si>
    <t>08.29031</t>
  </si>
  <si>
    <t>Ēkas ''Viļņi" pārbūve Ķeipenē</t>
  </si>
  <si>
    <t>08.29032</t>
  </si>
  <si>
    <t>Būvprojekta "Muzikālais teātris" izstrāde</t>
  </si>
  <si>
    <t>09.10012</t>
  </si>
  <si>
    <t>09.10013</t>
  </si>
  <si>
    <t>09.10014</t>
  </si>
  <si>
    <t xml:space="preserve">PII "Gaismiņa"   </t>
  </si>
  <si>
    <t>09.10015</t>
  </si>
  <si>
    <t xml:space="preserve">PII "Birztaliņa"   </t>
  </si>
  <si>
    <t>09.10016</t>
  </si>
  <si>
    <t xml:space="preserve"> VPII "Pūt vējiņi"   </t>
  </si>
  <si>
    <t>09.21102</t>
  </si>
  <si>
    <t xml:space="preserve">Ogresgala pamatskola </t>
  </si>
  <si>
    <t>09.21913</t>
  </si>
  <si>
    <t>09.21914</t>
  </si>
  <si>
    <t xml:space="preserve">Birzgales pamatskola   </t>
  </si>
  <si>
    <t>09.21915</t>
  </si>
  <si>
    <t xml:space="preserve">Lielvārdes pamatskola </t>
  </si>
  <si>
    <t>09.21916</t>
  </si>
  <si>
    <t xml:space="preserve">Lēdmanes pamatskola </t>
  </si>
  <si>
    <t>09.21917</t>
  </si>
  <si>
    <t>09.21918</t>
  </si>
  <si>
    <t>09.21919</t>
  </si>
  <si>
    <t>09.21920</t>
  </si>
  <si>
    <t>09.5108</t>
  </si>
  <si>
    <t>09.5109</t>
  </si>
  <si>
    <t>09.5110</t>
  </si>
  <si>
    <t>09.610</t>
  </si>
  <si>
    <t>Izglītojamo pārvadājumu pakalpojumi</t>
  </si>
  <si>
    <t>09.6101</t>
  </si>
  <si>
    <t>09.620</t>
  </si>
  <si>
    <t>Izglītojamo ēdināšanas pakalpojumi</t>
  </si>
  <si>
    <t>09.6201</t>
  </si>
  <si>
    <t>Ēdināšanas izmaksu kompensācijas PII</t>
  </si>
  <si>
    <t>09.6202</t>
  </si>
  <si>
    <t>09.630</t>
  </si>
  <si>
    <t>Izglītojamo izmitināšanas pakalpojumi</t>
  </si>
  <si>
    <t>09.640</t>
  </si>
  <si>
    <t>Izglītojamo pārējie papildu pakalpojumi</t>
  </si>
  <si>
    <t>Sadarbībā ar Rīgas tehnisko universitāti, BJU interešu izglītības nodarbības un ekskursijas</t>
  </si>
  <si>
    <t>09.82022</t>
  </si>
  <si>
    <t>Jaunas VPII ēkas būvniecība pie Lielvārdes pamatskolas</t>
  </si>
  <si>
    <t>09.82024</t>
  </si>
  <si>
    <t>Ogres novada pašvaldības jaunatnes iniciatīvu projektu konkurss "Jauniešu iespējas"</t>
  </si>
  <si>
    <t>10.920</t>
  </si>
  <si>
    <t>06.60017</t>
  </si>
  <si>
    <t xml:space="preserve">Edgara Kauliņa Lielvārdes vidusskola </t>
  </si>
  <si>
    <t xml:space="preserve"> Sporta pasākumu rīkošanai </t>
  </si>
  <si>
    <t xml:space="preserve">Komandas vai individuālu sacensību dalībnieku atbalstam </t>
  </si>
  <si>
    <t>Kaibalas skolas pārbūve par pirmsskolas izglītības iestādi</t>
  </si>
  <si>
    <t>09.82071</t>
  </si>
  <si>
    <t>09.82073</t>
  </si>
  <si>
    <t>09.82074</t>
  </si>
  <si>
    <t>09.21921</t>
  </si>
  <si>
    <t>Ogres centra pamatskola</t>
  </si>
  <si>
    <t>Ķeguma vidusskola</t>
  </si>
  <si>
    <t>Pašvaldības sociālā stipendija vispārējās vidējās izglītības iestāžu izglītojamajiem</t>
  </si>
  <si>
    <t>Pašvaldības stipendija studējošiem pedagogiem</t>
  </si>
  <si>
    <t>09.82075</t>
  </si>
  <si>
    <t>Erasmus programmas projekts Nr.2022-1-LV01-KA121-SCH-000059464, Mācību mobilitāte skolu sektorā, (ģimnāzija)</t>
  </si>
  <si>
    <t>Pārējie sabiedriskās kārtības un drošības pakalpojumi (Video novērošanai)</t>
  </si>
  <si>
    <t>09.82072</t>
  </si>
  <si>
    <t>ERASMUS projekts mācību mobilitāte skolu sektorā (Madliena)</t>
  </si>
  <si>
    <t>Ukraiņu bērnu ēdināšana</t>
  </si>
  <si>
    <t>06.4002</t>
  </si>
  <si>
    <t>03.6001</t>
  </si>
  <si>
    <t>06.4001</t>
  </si>
  <si>
    <t>F55010000</t>
  </si>
  <si>
    <t xml:space="preserve">Ceļu būvniecībai un remontiem Ķegums </t>
  </si>
  <si>
    <t>04.510017</t>
  </si>
  <si>
    <t>Ceļu būvniecībai un remontiem Ķegums (Rembate)</t>
  </si>
  <si>
    <t>04.510018</t>
  </si>
  <si>
    <t>Ceļu būvniecībai un remontiem Ķegums (Tome)</t>
  </si>
  <si>
    <t>Lielvārdes pilsētas Rembates ielas, Stacijas ielas, Uzvaras ielas, Andreja Pumpura ielas un Meža ielas posmu būvniecībai</t>
  </si>
  <si>
    <t>Strēlnieku prospekta (no Dārza ielas līdz Jāņa Čakstes prospektam), Ogrē būvniecība</t>
  </si>
  <si>
    <t>Ielu apgaismošana - Ikšķile</t>
  </si>
  <si>
    <t>08.1003</t>
  </si>
  <si>
    <t>Klinšu kāpšanas sienas ekspluatācijai</t>
  </si>
  <si>
    <t>09.82077</t>
  </si>
  <si>
    <t>09.82079</t>
  </si>
  <si>
    <t>Proj. Elektrotransporta un uzlādes stacijas iegāde ONP skolēnu mobilitātes veicināšanai"</t>
  </si>
  <si>
    <t>09.82081</t>
  </si>
  <si>
    <t>Nordplus programmas projekts Nr.NPJR-2023/10066, Rural-Urban-Digital /Lauku-pilsētas digitāls, Jumpravas pamatsk.</t>
  </si>
  <si>
    <t>09.82082</t>
  </si>
  <si>
    <t>09.82083</t>
  </si>
  <si>
    <t>Nordplus programmas projekts Nr.NPJR-2023/10171, Throughr Fairytale to Forest /Caur pasaku uz mežu, Jumpravas pamatsk.</t>
  </si>
  <si>
    <t>09.82084</t>
  </si>
  <si>
    <t>Nordplus programmas projekts Nr.NPJR-2023/10094, Green Time-halty Life-Happy I /Laiks dabā-veselīga dzīve-priecīgs es, Jumpravas pamatsk.</t>
  </si>
  <si>
    <t>09.6204</t>
  </si>
  <si>
    <t>Erasmus + programmas projekts Nr.2023-1-LV01-KA121-SCH-000123334 Ģimnāzijas</t>
  </si>
  <si>
    <t>09.82085</t>
  </si>
  <si>
    <t>09.82086</t>
  </si>
  <si>
    <t>09.82088</t>
  </si>
  <si>
    <t>Ogres novada skolu pašpārvalžu stiprināšana, VP2023/3-15</t>
  </si>
  <si>
    <t>04.510019</t>
  </si>
  <si>
    <t>Ceļu būvniecībai un remontiem Suntaži</t>
  </si>
  <si>
    <t>04.510020</t>
  </si>
  <si>
    <t>Ceļu būvniecībai un remontiem Laubere</t>
  </si>
  <si>
    <t>04.510021</t>
  </si>
  <si>
    <t>Ceļu būvniecībai un remontiem Ķeipene</t>
  </si>
  <si>
    <t>04.510022</t>
  </si>
  <si>
    <t>Ceļu būvniecībai un remontiem Madliena</t>
  </si>
  <si>
    <t>04.510023</t>
  </si>
  <si>
    <t>Ceļu būvniecībai un remontiem Krape</t>
  </si>
  <si>
    <t>04.510024</t>
  </si>
  <si>
    <t>Ceļu būvniecībai un remontiem Mazozoli</t>
  </si>
  <si>
    <t>04.510025</t>
  </si>
  <si>
    <t>Ceļu būvniecībai un remontiem Meņģele</t>
  </si>
  <si>
    <t>04.510026</t>
  </si>
  <si>
    <t>Ceļu būvniecībai un remontiem Taurupe</t>
  </si>
  <si>
    <t>05.20021</t>
  </si>
  <si>
    <t>Notekūdeņu (savākšana un attīrīšana) - Laubere</t>
  </si>
  <si>
    <t>05.20022</t>
  </si>
  <si>
    <t>Notekūdeņu (savākšana un attīrīšana) - Ķeipene</t>
  </si>
  <si>
    <t>05.20023</t>
  </si>
  <si>
    <t>Notekūdeņu (savākšana un attīrīšana) - Madliena</t>
  </si>
  <si>
    <t>05.20024</t>
  </si>
  <si>
    <t>Notekūdeņu (savākšana un attīrīšana) - Krape</t>
  </si>
  <si>
    <t>05.20025</t>
  </si>
  <si>
    <t>Notekūdeņu (savākšana un attīrīšana) - Mazozoli</t>
  </si>
  <si>
    <t>05.20026</t>
  </si>
  <si>
    <t>Notekūdeņu (savākšana un attīrīšana) - Meņģele</t>
  </si>
  <si>
    <t>05.20027</t>
  </si>
  <si>
    <t>Notekūdeņu (savākšana un attīrīšana) - Taurupe</t>
  </si>
  <si>
    <t>06.30011</t>
  </si>
  <si>
    <t>Vispārējie ūdens apgādes izdevumi - Laubere</t>
  </si>
  <si>
    <t>06.30012</t>
  </si>
  <si>
    <t>Vispārējie ūdens apgādes izdevumi - Ķeipene</t>
  </si>
  <si>
    <t>06.30013</t>
  </si>
  <si>
    <t>Vispārējie ūdens apgādes izdevumi - Madliena</t>
  </si>
  <si>
    <t>06.30014</t>
  </si>
  <si>
    <t>Vispārējie ūdens apgādes izdevumi - Krape</t>
  </si>
  <si>
    <t>06.30015</t>
  </si>
  <si>
    <t>Vispārējie ūdens apgādes izdevumi - Mazozoli</t>
  </si>
  <si>
    <t>06.30016</t>
  </si>
  <si>
    <t>Vispārējie ūdens apgādes izdevumi - Meņģele</t>
  </si>
  <si>
    <t>06.30017</t>
  </si>
  <si>
    <t>Vispārējie ūdens apgādes izdevumi - Taurupe</t>
  </si>
  <si>
    <t>06.600130</t>
  </si>
  <si>
    <t>06.600131</t>
  </si>
  <si>
    <t>06.600132</t>
  </si>
  <si>
    <t>06.600133</t>
  </si>
  <si>
    <t>06.600134</t>
  </si>
  <si>
    <t>06.600135</t>
  </si>
  <si>
    <t>06.600136</t>
  </si>
  <si>
    <t>06.600137</t>
  </si>
  <si>
    <t>07.2102</t>
  </si>
  <si>
    <t>Ģimenes ārstu prakse Mazozolos</t>
  </si>
  <si>
    <t>08.2110</t>
  </si>
  <si>
    <t>Suntažu bibliotēka</t>
  </si>
  <si>
    <t>08.2111</t>
  </si>
  <si>
    <t>Lauberes bibliotēka</t>
  </si>
  <si>
    <t>08.2112</t>
  </si>
  <si>
    <t>Ķeipenes bibiotēka</t>
  </si>
  <si>
    <t>08.2113</t>
  </si>
  <si>
    <t>Madlienas bibliotēka</t>
  </si>
  <si>
    <t>08.2114</t>
  </si>
  <si>
    <t>Krapes bibliotēka</t>
  </si>
  <si>
    <t>08.2115</t>
  </si>
  <si>
    <t>Mazozolu bibliotēka</t>
  </si>
  <si>
    <t>08.2116</t>
  </si>
  <si>
    <t>Meņģeles bibliotēka</t>
  </si>
  <si>
    <t>08.2117</t>
  </si>
  <si>
    <t>Taurupes bibliotēka</t>
  </si>
  <si>
    <t>08.2311</t>
  </si>
  <si>
    <t>Suntažu kultūras nams</t>
  </si>
  <si>
    <t>08.2312</t>
  </si>
  <si>
    <t>Lauberes kultūras nams</t>
  </si>
  <si>
    <t>08.2313</t>
  </si>
  <si>
    <t>Ķeipenes kultūras nams</t>
  </si>
  <si>
    <t>08.2314</t>
  </si>
  <si>
    <t>Madlienas kultūras nams</t>
  </si>
  <si>
    <t>08.2315</t>
  </si>
  <si>
    <t>Krapes kultūras nams</t>
  </si>
  <si>
    <t>08.2316</t>
  </si>
  <si>
    <t>08.2317</t>
  </si>
  <si>
    <t>Meņģeles kultūras nams</t>
  </si>
  <si>
    <t>08.2318</t>
  </si>
  <si>
    <t>Taurupes kultūras nams</t>
  </si>
  <si>
    <t>09.82087</t>
  </si>
  <si>
    <t>10.70020</t>
  </si>
  <si>
    <t>06.60045</t>
  </si>
  <si>
    <t>Investīciju proj. "Muzikālais teātris Rīgas ielā 15, Ogrē, Ogres novadā. 1. kārta "Neatkarības laukuma un tā pieguļošās teritorijas Ogrē pārbūve""</t>
  </si>
  <si>
    <t>Ģimenes ārstu prakse Lielvārdē</t>
  </si>
  <si>
    <t>01.330</t>
  </si>
  <si>
    <t>09.5111</t>
  </si>
  <si>
    <t xml:space="preserve">Ogres novada pašvaldības 2024.g. budžets </t>
  </si>
  <si>
    <t>Pašvald. aģentūras "Ogres komunikācijas" 2024.g. budžets</t>
  </si>
  <si>
    <t xml:space="preserve">Ogres novada Kultūras centrs 2024.g. budžets   </t>
  </si>
  <si>
    <t>Vispārējā tipa pansionāts "Madliena" budžets</t>
  </si>
  <si>
    <t>Pašvald. aģentūras "Rosme" 2024.g. budžets</t>
  </si>
  <si>
    <t>Ogres novada konsolidētais pašvaldības 2024.g. budžets</t>
  </si>
  <si>
    <t>Budžeta  atl.uz  01. 01. 2024.g.        F22010010</t>
  </si>
  <si>
    <t xml:space="preserve">Civilās aizsardzības pasākumi </t>
  </si>
  <si>
    <t>Ikšķiles pilsētas un Tīnūžu pagasta pārvaldē</t>
  </si>
  <si>
    <t>06.60043</t>
  </si>
  <si>
    <t>Projekts "Siltumnīcefekta gāzu emisiju samazināšana Ogres novada pašvaldības Ķeguma un Lielvārdes teritorijas apgaismojuma infrastruktūrā" EKII - 7/34.</t>
  </si>
  <si>
    <t>06.60044</t>
  </si>
  <si>
    <t>Projekts "Siltumnīcefekta gāzu emisiju samazināšana Ogres novada pašvaldības Ikšķiles teritorijas apgaismojuma infrastruktūrā" EKII - 7/35.</t>
  </si>
  <si>
    <t>06.60046</t>
  </si>
  <si>
    <t xml:space="preserve">Rotaļu laukums Brīvības ielā 15, Ogrē. </t>
  </si>
  <si>
    <t>06.60047</t>
  </si>
  <si>
    <t>Rotaļu laukumu izveidošanai lauku teritorijās</t>
  </si>
  <si>
    <t>06.60048</t>
  </si>
  <si>
    <t>Maldienas velotrase (pump-track)</t>
  </si>
  <si>
    <t>Mazozolu kultūras nams</t>
  </si>
  <si>
    <t>08.2319</t>
  </si>
  <si>
    <t>08.240</t>
  </si>
  <si>
    <t>Teātri, izrādes un koncertdarbība</t>
  </si>
  <si>
    <t>08.2401</t>
  </si>
  <si>
    <t>Ogres teātris</t>
  </si>
  <si>
    <t>Madlienas mūzikas un mākslas skola</t>
  </si>
  <si>
    <t>09.82089</t>
  </si>
  <si>
    <t>09.82090</t>
  </si>
  <si>
    <t>Erasmus projekts Ilgtspējīga vides izglītība, integrējot filozofijas bērniem pieeju STEAM mācību priekšmetos, Nr.2023-1-PL01-KA220-SCH-000157049 (OCP)</t>
  </si>
  <si>
    <t>09.82091</t>
  </si>
  <si>
    <t>10.70021</t>
  </si>
  <si>
    <t>ERAF "Atbalsta pasākumi cilvēkiem ar invaliditāti mājokļu vides pieejamības nodrošināšanai Ogres novadā"</t>
  </si>
  <si>
    <t>Ogres novada pašvaldības 2024. gada pamatbudžeta  izdevumi atbilstoši ekonomiskajām kategorijām</t>
  </si>
  <si>
    <t xml:space="preserve">Jumpravas pamatskola </t>
  </si>
  <si>
    <t>04.700</t>
  </si>
  <si>
    <t>Citas nozares (tūrisms)</t>
  </si>
  <si>
    <t>Projekts "Neformālās izglītības pasākumi, t.sk. latviešu valodas apguve, Ukrainas bērniem un jauniešiem"</t>
  </si>
  <si>
    <t>09.82080</t>
  </si>
  <si>
    <t>Atbalsts bērnu un jauniešu nometņu organizēšanai Ogres novada pašvaldības iestādēs</t>
  </si>
  <si>
    <t>09.82015</t>
  </si>
  <si>
    <t>Nordplus Junior projekts Nr.NPJR-2024/10083 (līdz 2023.gadam Nr.2020-1-LV01-KA229-077484-1) Jumpravas pamatsk.</t>
  </si>
  <si>
    <t>04.51051</t>
  </si>
  <si>
    <t xml:space="preserve">ERAF projekts "Jaunogres aktīvās atpūtas kvartāla izveide" </t>
  </si>
  <si>
    <t>Projekts "Brīvības ceļa ekspozīcija ēkā Brīvības ielā 2, Ogrē būvprojekta izstrāde un pārbūve"</t>
  </si>
  <si>
    <t>09.82006</t>
  </si>
  <si>
    <t>09.82069</t>
  </si>
  <si>
    <t>09.82070</t>
  </si>
  <si>
    <t>09.82004</t>
  </si>
  <si>
    <t>Erasmus+programmas projekts 2024-1-LV01-KA121-SCH-000198470 (ģimnāzija)</t>
  </si>
  <si>
    <t>06.60011</t>
  </si>
  <si>
    <t>08.29003</t>
  </si>
  <si>
    <t>Saules prospekta Ogrē pārbūve</t>
  </si>
  <si>
    <t>Erasmus programmas projekts Nr.2024-1-LV01-KA122-CSH-000230307 Ķeipenes pamatskola</t>
  </si>
  <si>
    <t>Nordplus projekts NPJR-2024/10161-Thinking about our common future</t>
  </si>
  <si>
    <t>Erasmus projekta Nr.2024-1-LV01-KA121-SCH-000209588. (Madliena)</t>
  </si>
  <si>
    <t>ES fonda Plus projekts PROTI un DARI 2.0, Nr.4.2.3.4/1/24/I/001</t>
  </si>
  <si>
    <t>09.82020</t>
  </si>
  <si>
    <t>Ķeipenes kinostacija</t>
  </si>
  <si>
    <t>Jaunogres pamatskola</t>
  </si>
  <si>
    <t>Suntažu pamatskola</t>
  </si>
  <si>
    <t>Ogres Kalna pamatskola</t>
  </si>
  <si>
    <t xml:space="preserve">Ogres valsts ģimnāzija </t>
  </si>
  <si>
    <t>Ogres novada Kultūras un tūrisma pārvalde</t>
  </si>
  <si>
    <t>Tūrisma informācijas centrs</t>
  </si>
  <si>
    <t>09.82009</t>
  </si>
  <si>
    <t>Erasmus + programmas projekts Nr.2024-1-LV02-KA154-YOU-000233866 Izproti un iesaisties (Lēdmanes psk.)</t>
  </si>
  <si>
    <t>09.82014</t>
  </si>
  <si>
    <t>Erasmus programmas projekts Nr.2024-1-LV01-KA122-SCH-000227350, Vai zini, kā nekļūt par kiberhuligānisma upuri, Ikšķiles vidussk.</t>
  </si>
  <si>
    <t>09.82076</t>
  </si>
  <si>
    <t>Erasmus programmas projekts Nr.2024-1-LV01-KA121-SCH-000230475, (Kalna psk.)</t>
  </si>
  <si>
    <t>09.82092</t>
  </si>
  <si>
    <t>04.11105</t>
  </si>
  <si>
    <t>Pašvaldības konkurss "Remigrācijas atbalsta pasākums jaunu darba vietu radīšanai "Esi darba devējs Ogres novadā!""</t>
  </si>
  <si>
    <t>Erasmus plus projekts COMMON (CREATION OF aMaster Musical OF nature), Nr.2024-1-FI01_KA220-SCH-000244269. Lielvārdes MMS</t>
  </si>
  <si>
    <t>Pašvaldību savstarpējie norēķini par izglītojamiem</t>
  </si>
  <si>
    <t>04.51050</t>
  </si>
  <si>
    <t xml:space="preserve">Vēju ielas seguma atjaunošana </t>
  </si>
  <si>
    <t>Pielikums Nr. 2</t>
  </si>
  <si>
    <r>
      <t xml:space="preserve">Budžeta nodaļas vadītāja </t>
    </r>
    <r>
      <rPr>
        <i/>
        <sz val="11"/>
        <rFont val="Times New Roman"/>
        <family val="1"/>
        <charset val="186"/>
      </rPr>
      <t>S. Velberga</t>
    </r>
  </si>
  <si>
    <t>Pielikums Nr. 1</t>
  </si>
  <si>
    <t>31.10.2024. saistošajiem noteikumiem Nr. 30/2024</t>
  </si>
  <si>
    <t>Ogres novada pašvaldības 2024. gada pamatbudžeta ieņēmumi</t>
  </si>
  <si>
    <t>Pašvald. aģentūra "Tūrisma, sporta un atpūtas kompleksa "ZILIE KALNI" attīstības aģentūra" 2024.g. budžets</t>
  </si>
  <si>
    <t>Projektu konkurss ''Papildus aktivitātes Ogres novada pašvaldības iestādēs''</t>
  </si>
  <si>
    <t>Nordplus projekts "If you have a language, you own the WORLD", Nr.NPJR-2023-Autumn/10062 (Jumpravas pamatsk.)</t>
  </si>
  <si>
    <t>Erasmus + programmas projekts Nr.2023-1-LV01-KA121-SCH-000123099, Mācību mobilitātes skolu sektorā Madliena</t>
  </si>
  <si>
    <t>Erasmus + programmas projekts Nr.2023-1-LV01-KA121-SCH-000146268 Ogres centra pamakskola, Iekļaušana un iekļaušanās</t>
  </si>
  <si>
    <t>Erasmus programmas projekts Nr.2023-1-LV01-KA121-SCH 000147014 Personu mobilitāte mācību nolūkos. (1.VSK)</t>
  </si>
  <si>
    <t>NORDPLUS Junior "Teaching and Learning of Primary Students by Moving and Playing" Nr.NPJR-2022/10045, (Madliena)</t>
  </si>
  <si>
    <t>Ēdināšana skolās, tai skatā (1.-4. kl.)</t>
  </si>
  <si>
    <t>Izdevniecība (Novada informatīvie izdevumi)</t>
  </si>
  <si>
    <t>Kultūras aktivitātes/pasākumi</t>
  </si>
  <si>
    <t>SIA Ķeguma Stars - finansējums domes deliģētās funkcijas izpildei</t>
  </si>
  <si>
    <t>SIA Lielvārdes Remte - finansējums domes deliģētās funkcijas izpildei</t>
  </si>
  <si>
    <t>Ogres novada pašvaldības 2024. gada pamatbudžeta  izdevumi atbilstoši funkcionālajām kategorijām</t>
  </si>
  <si>
    <t>Pārējie citur neklasificētie sociālās aizsardzības pasākumi (Ukrainas civiliedzīvotāju atbalstam)</t>
  </si>
  <si>
    <t>Interreg Igaunijas–Latvijas projekts Building Social Trust and inclusion:A Cross-Border Approach to empower individuals with Special Needs Nr.EE-LV00086 (lai sniegtu iespējas personām ar īpašām vajadzībām)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</si>
</sst>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_-;\-* #,##0_-;_-* &quot;-&quot;_-;_-@_-"/>
    <numFmt numFmtId="165" formatCode="_-* #,##0.00_-;\-* #,##0.00_-;_-* &quot;-&quot;??_-;_-@_-"/>
    <numFmt numFmtId="166" formatCode="0.0"/>
    <numFmt numFmtId="167" formatCode="#,##0.0"/>
  </numFmts>
  <fonts count="22" x14ac:knownFonts="1">
    <font>
      <sz val="10"/>
      <name val="Arial"/>
      <charset val="186"/>
    </font>
    <font>
      <sz val="10"/>
      <name val="Times New Roman"/>
      <family val="1"/>
      <charset val="186"/>
    </font>
    <font>
      <sz val="10"/>
      <name val="Arial"/>
      <family val="2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color indexed="8"/>
      <name val="Calibri"/>
      <family val="2"/>
      <charset val="186"/>
    </font>
    <font>
      <sz val="8"/>
      <name val="Times New Roman"/>
      <family val="1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8"/>
      <name val="Arial"/>
      <family val="2"/>
      <charset val="186"/>
    </font>
    <font>
      <sz val="11"/>
      <name val="Times New Roman"/>
      <family val="1"/>
    </font>
    <font>
      <sz val="11"/>
      <color indexed="10"/>
      <name val="Times New Roman"/>
      <family val="1"/>
      <charset val="186"/>
    </font>
    <font>
      <b/>
      <sz val="11"/>
      <color indexed="10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1"/>
      <color rgb="FF0070C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0"/>
      <color rgb="FF0070C0"/>
      <name val="Times New Roman"/>
      <family val="1"/>
      <charset val="186"/>
    </font>
    <font>
      <i/>
      <sz val="11"/>
      <name val="Times New Roman"/>
      <family val="1"/>
      <charset val="186"/>
    </font>
    <font>
      <b/>
      <sz val="16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3">
    <xf numFmtId="0" fontId="0" fillId="0" borderId="0"/>
    <xf numFmtId="165" fontId="14" fillId="0" borderId="0" applyFont="0" applyFill="0" applyBorder="0" applyAlignment="0" applyProtection="0"/>
    <xf numFmtId="0" fontId="2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252">
    <xf numFmtId="0" fontId="0" fillId="0" borderId="0" xfId="0"/>
    <xf numFmtId="3" fontId="1" fillId="0" borderId="1" xfId="0" applyNumberFormat="1" applyFont="1" applyBorder="1"/>
    <xf numFmtId="49" fontId="3" fillId="0" borderId="1" xfId="0" applyNumberFormat="1" applyFont="1" applyBorder="1" applyAlignment="1">
      <alignment horizontal="left"/>
    </xf>
    <xf numFmtId="0" fontId="3" fillId="0" borderId="2" xfId="4" applyFont="1" applyBorder="1" applyAlignment="1">
      <alignment horizontal="left" wrapText="1"/>
    </xf>
    <xf numFmtId="0" fontId="3" fillId="0" borderId="3" xfId="4" applyFont="1" applyBorder="1" applyAlignment="1">
      <alignment horizontal="left" wrapText="1"/>
    </xf>
    <xf numFmtId="3" fontId="3" fillId="0" borderId="1" xfId="0" applyNumberFormat="1" applyFont="1" applyBorder="1" applyAlignment="1">
      <alignment horizontal="left" wrapText="1"/>
    </xf>
    <xf numFmtId="3" fontId="3" fillId="2" borderId="1" xfId="0" applyNumberFormat="1" applyFont="1" applyFill="1" applyBorder="1"/>
    <xf numFmtId="0" fontId="3" fillId="0" borderId="4" xfId="0" applyFont="1" applyBorder="1" applyAlignment="1">
      <alignment horizontal="left" wrapText="1"/>
    </xf>
    <xf numFmtId="0" fontId="3" fillId="0" borderId="0" xfId="3" applyFont="1" applyAlignment="1">
      <alignment wrapText="1"/>
    </xf>
    <xf numFmtId="0" fontId="3" fillId="0" borderId="1" xfId="10" applyFont="1" applyBorder="1" applyAlignment="1">
      <alignment wrapText="1"/>
    </xf>
    <xf numFmtId="49" fontId="4" fillId="0" borderId="5" xfId="10" applyNumberFormat="1" applyFont="1" applyBorder="1" applyAlignment="1">
      <alignment horizontal="right"/>
    </xf>
    <xf numFmtId="49" fontId="3" fillId="0" borderId="5" xfId="10" applyNumberFormat="1" applyFont="1" applyBorder="1" applyAlignment="1">
      <alignment horizontal="right"/>
    </xf>
    <xf numFmtId="49" fontId="3" fillId="0" borderId="6" xfId="10" applyNumberFormat="1" applyFont="1" applyBorder="1" applyAlignment="1">
      <alignment horizontal="right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/>
    <xf numFmtId="49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left" wrapText="1"/>
    </xf>
    <xf numFmtId="3" fontId="3" fillId="0" borderId="1" xfId="0" applyNumberFormat="1" applyFont="1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/>
    <xf numFmtId="3" fontId="3" fillId="0" borderId="1" xfId="0" applyNumberFormat="1" applyFont="1" applyBorder="1" applyAlignment="1">
      <alignment wrapText="1"/>
    </xf>
    <xf numFmtId="3" fontId="3" fillId="0" borderId="7" xfId="0" applyNumberFormat="1" applyFont="1" applyBorder="1"/>
    <xf numFmtId="3" fontId="3" fillId="0" borderId="8" xfId="0" applyNumberFormat="1" applyFont="1" applyBorder="1"/>
    <xf numFmtId="0" fontId="3" fillId="0" borderId="1" xfId="4" applyFont="1" applyBorder="1" applyAlignment="1">
      <alignment horizontal="left" wrapText="1"/>
    </xf>
    <xf numFmtId="3" fontId="3" fillId="0" borderId="0" xfId="0" applyNumberFormat="1" applyFont="1" applyAlignment="1">
      <alignment horizontal="center" wrapText="1"/>
    </xf>
    <xf numFmtId="3" fontId="3" fillId="0" borderId="0" xfId="0" applyNumberFormat="1" applyFont="1"/>
    <xf numFmtId="3" fontId="4" fillId="0" borderId="9" xfId="0" applyNumberFormat="1" applyFont="1" applyBorder="1"/>
    <xf numFmtId="3" fontId="4" fillId="0" borderId="8" xfId="0" applyNumberFormat="1" applyFont="1" applyBorder="1"/>
    <xf numFmtId="3" fontId="4" fillId="0" borderId="1" xfId="0" applyNumberFormat="1" applyFont="1" applyBorder="1"/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3" fontId="3" fillId="0" borderId="11" xfId="0" applyNumberFormat="1" applyFont="1" applyBorder="1" applyAlignment="1">
      <alignment horizontal="center" vertical="center" wrapText="1"/>
    </xf>
    <xf numFmtId="0" fontId="4" fillId="0" borderId="12" xfId="3" applyFont="1" applyBorder="1" applyAlignment="1">
      <alignment horizontal="center" vertical="center" wrapText="1"/>
    </xf>
    <xf numFmtId="3" fontId="4" fillId="0" borderId="10" xfId="0" applyNumberFormat="1" applyFont="1" applyBorder="1" applyAlignment="1">
      <alignment horizontal="right"/>
    </xf>
    <xf numFmtId="3" fontId="4" fillId="0" borderId="11" xfId="0" applyNumberFormat="1" applyFont="1" applyBorder="1" applyAlignment="1">
      <alignment wrapText="1"/>
    </xf>
    <xf numFmtId="3" fontId="4" fillId="0" borderId="11" xfId="0" applyNumberFormat="1" applyFont="1" applyBorder="1"/>
    <xf numFmtId="3" fontId="4" fillId="0" borderId="13" xfId="0" applyNumberFormat="1" applyFont="1" applyBorder="1"/>
    <xf numFmtId="3" fontId="4" fillId="0" borderId="12" xfId="0" applyNumberFormat="1" applyFont="1" applyBorder="1"/>
    <xf numFmtId="3" fontId="3" fillId="0" borderId="6" xfId="0" applyNumberFormat="1" applyFont="1" applyBorder="1" applyAlignment="1">
      <alignment horizontal="left"/>
    </xf>
    <xf numFmtId="3" fontId="3" fillId="0" borderId="3" xfId="0" applyNumberFormat="1" applyFont="1" applyBorder="1" applyAlignment="1">
      <alignment wrapText="1"/>
    </xf>
    <xf numFmtId="3" fontId="3" fillId="0" borderId="3" xfId="0" applyNumberFormat="1" applyFont="1" applyBorder="1"/>
    <xf numFmtId="3" fontId="4" fillId="0" borderId="14" xfId="0" applyNumberFormat="1" applyFont="1" applyBorder="1"/>
    <xf numFmtId="3" fontId="3" fillId="0" borderId="5" xfId="0" applyNumberFormat="1" applyFont="1" applyBorder="1" applyAlignment="1">
      <alignment horizontal="right"/>
    </xf>
    <xf numFmtId="3" fontId="3" fillId="0" borderId="15" xfId="0" applyNumberFormat="1" applyFont="1" applyBorder="1"/>
    <xf numFmtId="3" fontId="3" fillId="0" borderId="5" xfId="0" applyNumberFormat="1" applyFont="1" applyBorder="1" applyAlignment="1">
      <alignment horizontal="left"/>
    </xf>
    <xf numFmtId="3" fontId="3" fillId="0" borderId="16" xfId="0" applyNumberFormat="1" applyFont="1" applyBorder="1"/>
    <xf numFmtId="3" fontId="3" fillId="2" borderId="16" xfId="0" applyNumberFormat="1" applyFont="1" applyFill="1" applyBorder="1"/>
    <xf numFmtId="3" fontId="3" fillId="0" borderId="17" xfId="0" applyNumberFormat="1" applyFont="1" applyBorder="1"/>
    <xf numFmtId="3" fontId="3" fillId="0" borderId="18" xfId="0" applyNumberFormat="1" applyFont="1" applyBorder="1"/>
    <xf numFmtId="0" fontId="3" fillId="0" borderId="19" xfId="0" applyFont="1" applyBorder="1" applyAlignment="1">
      <alignment horizontal="left"/>
    </xf>
    <xf numFmtId="0" fontId="3" fillId="0" borderId="4" xfId="0" applyFont="1" applyBorder="1" applyAlignment="1">
      <alignment wrapText="1"/>
    </xf>
    <xf numFmtId="3" fontId="3" fillId="0" borderId="20" xfId="0" applyNumberFormat="1" applyFont="1" applyBorder="1"/>
    <xf numFmtId="3" fontId="3" fillId="2" borderId="20" xfId="0" applyNumberFormat="1" applyFont="1" applyFill="1" applyBorder="1"/>
    <xf numFmtId="3" fontId="3" fillId="0" borderId="21" xfId="0" applyNumberFormat="1" applyFont="1" applyBorder="1"/>
    <xf numFmtId="3" fontId="1" fillId="0" borderId="4" xfId="0" applyNumberFormat="1" applyFont="1" applyBorder="1"/>
    <xf numFmtId="3" fontId="3" fillId="0" borderId="4" xfId="0" applyNumberFormat="1" applyFont="1" applyBorder="1"/>
    <xf numFmtId="3" fontId="3" fillId="0" borderId="19" xfId="0" applyNumberFormat="1" applyFont="1" applyBorder="1" applyAlignment="1">
      <alignment horizontal="left"/>
    </xf>
    <xf numFmtId="3" fontId="3" fillId="0" borderId="4" xfId="0" applyNumberFormat="1" applyFont="1" applyBorder="1" applyAlignment="1">
      <alignment wrapText="1"/>
    </xf>
    <xf numFmtId="3" fontId="3" fillId="2" borderId="4" xfId="0" applyNumberFormat="1" applyFont="1" applyFill="1" applyBorder="1"/>
    <xf numFmtId="3" fontId="3" fillId="0" borderId="2" xfId="0" applyNumberFormat="1" applyFont="1" applyBorder="1"/>
    <xf numFmtId="3" fontId="4" fillId="0" borderId="22" xfId="0" applyNumberFormat="1" applyFont="1" applyBorder="1"/>
    <xf numFmtId="0" fontId="3" fillId="0" borderId="6" xfId="0" applyFont="1" applyBorder="1" applyAlignment="1">
      <alignment horizontal="left"/>
    </xf>
    <xf numFmtId="0" fontId="4" fillId="0" borderId="8" xfId="0" applyFont="1" applyBorder="1" applyAlignment="1">
      <alignment wrapText="1"/>
    </xf>
    <xf numFmtId="3" fontId="3" fillId="0" borderId="23" xfId="0" applyNumberFormat="1" applyFont="1" applyBorder="1"/>
    <xf numFmtId="3" fontId="4" fillId="0" borderId="24" xfId="0" applyNumberFormat="1" applyFont="1" applyBorder="1" applyAlignment="1">
      <alignment horizontal="left"/>
    </xf>
    <xf numFmtId="3" fontId="4" fillId="0" borderId="0" xfId="0" applyNumberFormat="1" applyFont="1" applyAlignment="1">
      <alignment wrapText="1"/>
    </xf>
    <xf numFmtId="3" fontId="3" fillId="0" borderId="25" xfId="0" applyNumberFormat="1" applyFont="1" applyBorder="1"/>
    <xf numFmtId="3" fontId="3" fillId="0" borderId="26" xfId="0" applyNumberFormat="1" applyFont="1" applyBorder="1"/>
    <xf numFmtId="3" fontId="4" fillId="0" borderId="10" xfId="0" applyNumberFormat="1" applyFont="1" applyBorder="1" applyAlignment="1">
      <alignment horizontal="left"/>
    </xf>
    <xf numFmtId="3" fontId="3" fillId="0" borderId="27" xfId="0" applyNumberFormat="1" applyFont="1" applyBorder="1" applyAlignment="1">
      <alignment horizontal="left"/>
    </xf>
    <xf numFmtId="3" fontId="3" fillId="0" borderId="8" xfId="0" applyNumberFormat="1" applyFont="1" applyBorder="1" applyAlignment="1">
      <alignment wrapText="1"/>
    </xf>
    <xf numFmtId="3" fontId="4" fillId="0" borderId="6" xfId="0" applyNumberFormat="1" applyFont="1" applyBorder="1" applyAlignment="1">
      <alignment horizontal="left"/>
    </xf>
    <xf numFmtId="3" fontId="4" fillId="0" borderId="3" xfId="0" applyNumberFormat="1" applyFont="1" applyBorder="1"/>
    <xf numFmtId="3" fontId="4" fillId="0" borderId="5" xfId="0" applyNumberFormat="1" applyFont="1" applyBorder="1" applyAlignment="1">
      <alignment horizontal="left"/>
    </xf>
    <xf numFmtId="3" fontId="4" fillId="0" borderId="1" xfId="0" applyNumberFormat="1" applyFont="1" applyBorder="1" applyAlignment="1">
      <alignment wrapText="1"/>
    </xf>
    <xf numFmtId="3" fontId="4" fillId="0" borderId="17" xfId="0" applyNumberFormat="1" applyFont="1" applyBorder="1"/>
    <xf numFmtId="3" fontId="4" fillId="0" borderId="16" xfId="0" applyNumberFormat="1" applyFont="1" applyBorder="1"/>
    <xf numFmtId="3" fontId="4" fillId="0" borderId="15" xfId="0" applyNumberFormat="1" applyFont="1" applyBorder="1"/>
    <xf numFmtId="3" fontId="3" fillId="0" borderId="28" xfId="0" applyNumberFormat="1" applyFont="1" applyBorder="1"/>
    <xf numFmtId="3" fontId="1" fillId="0" borderId="16" xfId="0" applyNumberFormat="1" applyFont="1" applyBorder="1"/>
    <xf numFmtId="3" fontId="1" fillId="0" borderId="25" xfId="0" applyNumberFormat="1" applyFont="1" applyBorder="1"/>
    <xf numFmtId="3" fontId="3" fillId="0" borderId="10" xfId="0" applyNumberFormat="1" applyFont="1" applyBorder="1" applyAlignment="1">
      <alignment horizontal="right"/>
    </xf>
    <xf numFmtId="3" fontId="4" fillId="0" borderId="11" xfId="0" applyNumberFormat="1" applyFont="1" applyBorder="1" applyAlignment="1">
      <alignment horizontal="right" wrapText="1"/>
    </xf>
    <xf numFmtId="3" fontId="4" fillId="0" borderId="11" xfId="0" applyNumberFormat="1" applyFont="1" applyBorder="1" applyAlignment="1">
      <alignment horizontal="center"/>
    </xf>
    <xf numFmtId="3" fontId="4" fillId="0" borderId="13" xfId="0" applyNumberFormat="1" applyFont="1" applyBorder="1" applyAlignment="1">
      <alignment horizontal="center"/>
    </xf>
    <xf numFmtId="3" fontId="3" fillId="0" borderId="3" xfId="0" applyNumberFormat="1" applyFont="1" applyBorder="1" applyAlignment="1">
      <alignment horizontal="left" wrapText="1"/>
    </xf>
    <xf numFmtId="3" fontId="4" fillId="0" borderId="1" xfId="0" applyNumberFormat="1" applyFont="1" applyBorder="1" applyAlignment="1">
      <alignment horizontal="left" wrapText="1"/>
    </xf>
    <xf numFmtId="3" fontId="4" fillId="0" borderId="1" xfId="0" applyNumberFormat="1" applyFont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3" fontId="4" fillId="0" borderId="10" xfId="0" applyNumberFormat="1" applyFont="1" applyBorder="1"/>
    <xf numFmtId="3" fontId="4" fillId="0" borderId="6" xfId="0" applyNumberFormat="1" applyFont="1" applyBorder="1" applyAlignment="1">
      <alignment horizontal="right"/>
    </xf>
    <xf numFmtId="3" fontId="4" fillId="0" borderId="3" xfId="0" applyNumberFormat="1" applyFont="1" applyBorder="1" applyAlignment="1">
      <alignment wrapText="1"/>
    </xf>
    <xf numFmtId="3" fontId="4" fillId="0" borderId="7" xfId="0" applyNumberFormat="1" applyFont="1" applyBorder="1"/>
    <xf numFmtId="3" fontId="4" fillId="0" borderId="23" xfId="0" applyNumberFormat="1" applyFont="1" applyBorder="1"/>
    <xf numFmtId="3" fontId="4" fillId="0" borderId="29" xfId="0" applyNumberFormat="1" applyFont="1" applyBorder="1"/>
    <xf numFmtId="49" fontId="4" fillId="0" borderId="6" xfId="0" applyNumberFormat="1" applyFont="1" applyBorder="1" applyAlignment="1">
      <alignment horizontal="right"/>
    </xf>
    <xf numFmtId="3" fontId="4" fillId="0" borderId="5" xfId="0" applyNumberFormat="1" applyFont="1" applyBorder="1" applyAlignment="1">
      <alignment horizontal="right"/>
    </xf>
    <xf numFmtId="3" fontId="4" fillId="0" borderId="30" xfId="0" applyNumberFormat="1" applyFont="1" applyBorder="1"/>
    <xf numFmtId="3" fontId="3" fillId="0" borderId="5" xfId="0" applyNumberFormat="1" applyFont="1" applyBorder="1" applyAlignment="1">
      <alignment horizontal="right" wrapText="1"/>
    </xf>
    <xf numFmtId="3" fontId="3" fillId="2" borderId="15" xfId="0" applyNumberFormat="1" applyFont="1" applyFill="1" applyBorder="1"/>
    <xf numFmtId="3" fontId="4" fillId="0" borderId="19" xfId="0" applyNumberFormat="1" applyFont="1" applyBorder="1" applyAlignment="1">
      <alignment horizontal="right"/>
    </xf>
    <xf numFmtId="3" fontId="4" fillId="0" borderId="4" xfId="0" applyNumberFormat="1" applyFont="1" applyBorder="1" applyAlignment="1">
      <alignment wrapText="1"/>
    </xf>
    <xf numFmtId="3" fontId="4" fillId="0" borderId="2" xfId="0" applyNumberFormat="1" applyFont="1" applyBorder="1"/>
    <xf numFmtId="3" fontId="4" fillId="2" borderId="2" xfId="0" applyNumberFormat="1" applyFont="1" applyFill="1" applyBorder="1"/>
    <xf numFmtId="3" fontId="4" fillId="0" borderId="4" xfId="0" applyNumberFormat="1" applyFont="1" applyBorder="1"/>
    <xf numFmtId="3" fontId="4" fillId="0" borderId="31" xfId="0" applyNumberFormat="1" applyFont="1" applyBorder="1"/>
    <xf numFmtId="3" fontId="4" fillId="0" borderId="32" xfId="0" applyNumberFormat="1" applyFont="1" applyBorder="1"/>
    <xf numFmtId="3" fontId="3" fillId="2" borderId="7" xfId="0" applyNumberFormat="1" applyFont="1" applyFill="1" applyBorder="1"/>
    <xf numFmtId="3" fontId="4" fillId="0" borderId="25" xfId="0" applyNumberFormat="1" applyFont="1" applyBorder="1" applyAlignment="1">
      <alignment wrapText="1"/>
    </xf>
    <xf numFmtId="3" fontId="3" fillId="0" borderId="4" xfId="4" applyNumberFormat="1" applyFont="1" applyBorder="1" applyAlignment="1">
      <alignment horizontal="left" wrapText="1"/>
    </xf>
    <xf numFmtId="3" fontId="4" fillId="0" borderId="25" xfId="10" applyNumberFormat="1" applyFont="1" applyBorder="1" applyAlignment="1">
      <alignment wrapText="1"/>
    </xf>
    <xf numFmtId="3" fontId="4" fillId="0" borderId="26" xfId="0" applyNumberFormat="1" applyFont="1" applyBorder="1"/>
    <xf numFmtId="3" fontId="3" fillId="0" borderId="6" xfId="0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left"/>
    </xf>
    <xf numFmtId="3" fontId="3" fillId="0" borderId="1" xfId="4" applyNumberFormat="1" applyFont="1" applyBorder="1" applyAlignment="1">
      <alignment horizontal="left" wrapText="1"/>
    </xf>
    <xf numFmtId="49" fontId="3" fillId="0" borderId="5" xfId="0" applyNumberFormat="1" applyFont="1" applyBorder="1" applyAlignment="1">
      <alignment horizontal="right"/>
    </xf>
    <xf numFmtId="3" fontId="4" fillId="0" borderId="3" xfId="0" applyNumberFormat="1" applyFont="1" applyBorder="1" applyAlignment="1">
      <alignment horizontal="left" wrapText="1"/>
    </xf>
    <xf numFmtId="3" fontId="4" fillId="0" borderId="11" xfId="0" applyNumberFormat="1" applyFont="1" applyBorder="1" applyAlignment="1">
      <alignment horizontal="left" wrapText="1"/>
    </xf>
    <xf numFmtId="3" fontId="4" fillId="0" borderId="33" xfId="0" applyNumberFormat="1" applyFont="1" applyBorder="1"/>
    <xf numFmtId="3" fontId="3" fillId="0" borderId="19" xfId="0" applyNumberFormat="1" applyFont="1" applyBorder="1" applyAlignment="1">
      <alignment horizontal="right"/>
    </xf>
    <xf numFmtId="3" fontId="3" fillId="0" borderId="3" xfId="4" applyNumberFormat="1" applyFont="1" applyBorder="1" applyAlignment="1">
      <alignment horizontal="left" wrapText="1"/>
    </xf>
    <xf numFmtId="3" fontId="3" fillId="0" borderId="16" xfId="0" applyNumberFormat="1" applyFont="1" applyBorder="1" applyAlignment="1">
      <alignment horizontal="left" wrapText="1"/>
    </xf>
    <xf numFmtId="3" fontId="3" fillId="2" borderId="1" xfId="10" applyNumberFormat="1" applyFont="1" applyFill="1" applyBorder="1" applyAlignment="1">
      <alignment horizontal="left" wrapText="1"/>
    </xf>
    <xf numFmtId="3" fontId="3" fillId="0" borderId="4" xfId="0" applyNumberFormat="1" applyFont="1" applyBorder="1" applyAlignment="1">
      <alignment horizontal="left" wrapText="1"/>
    </xf>
    <xf numFmtId="3" fontId="4" fillId="0" borderId="4" xfId="0" applyNumberFormat="1" applyFont="1" applyBorder="1" applyAlignment="1">
      <alignment horizontal="left" wrapText="1"/>
    </xf>
    <xf numFmtId="3" fontId="4" fillId="2" borderId="15" xfId="0" applyNumberFormat="1" applyFont="1" applyFill="1" applyBorder="1"/>
    <xf numFmtId="3" fontId="4" fillId="0" borderId="25" xfId="0" applyNumberFormat="1" applyFont="1" applyBorder="1"/>
    <xf numFmtId="3" fontId="4" fillId="0" borderId="34" xfId="0" applyNumberFormat="1" applyFont="1" applyBorder="1" applyAlignment="1">
      <alignment horizontal="left"/>
    </xf>
    <xf numFmtId="3" fontId="4" fillId="0" borderId="35" xfId="0" applyNumberFormat="1" applyFont="1" applyBorder="1" applyAlignment="1">
      <alignment horizontal="right"/>
    </xf>
    <xf numFmtId="3" fontId="4" fillId="0" borderId="36" xfId="0" applyNumberFormat="1" applyFont="1" applyBorder="1" applyAlignment="1">
      <alignment wrapText="1"/>
    </xf>
    <xf numFmtId="3" fontId="4" fillId="0" borderId="37" xfId="0" applyNumberFormat="1" applyFont="1" applyBorder="1"/>
    <xf numFmtId="3" fontId="3" fillId="0" borderId="6" xfId="10" applyNumberFormat="1" applyFont="1" applyBorder="1" applyAlignment="1">
      <alignment horizontal="right"/>
    </xf>
    <xf numFmtId="3" fontId="10" fillId="0" borderId="1" xfId="0" applyNumberFormat="1" applyFont="1" applyBorder="1" applyAlignment="1">
      <alignment horizontal="left" wrapText="1"/>
    </xf>
    <xf numFmtId="3" fontId="3" fillId="0" borderId="1" xfId="5" applyNumberFormat="1" applyFont="1" applyBorder="1" applyAlignment="1">
      <alignment horizontal="left" wrapText="1"/>
    </xf>
    <xf numFmtId="3" fontId="3" fillId="0" borderId="10" xfId="0" applyNumberFormat="1" applyFont="1" applyBorder="1"/>
    <xf numFmtId="3" fontId="4" fillId="0" borderId="0" xfId="0" applyNumberFormat="1" applyFont="1"/>
    <xf numFmtId="3" fontId="3" fillId="0" borderId="0" xfId="0" applyNumberFormat="1" applyFont="1" applyAlignment="1">
      <alignment wrapText="1"/>
    </xf>
    <xf numFmtId="3" fontId="3" fillId="0" borderId="0" xfId="3" applyNumberFormat="1" applyFont="1" applyAlignment="1">
      <alignment horizontal="left" wrapText="1"/>
    </xf>
    <xf numFmtId="3" fontId="11" fillId="0" borderId="0" xfId="0" applyNumberFormat="1" applyFont="1" applyAlignment="1">
      <alignment horizontal="right" wrapText="1"/>
    </xf>
    <xf numFmtId="3" fontId="12" fillId="0" borderId="0" xfId="0" applyNumberFormat="1" applyFont="1"/>
    <xf numFmtId="0" fontId="3" fillId="0" borderId="0" xfId="9" applyFont="1" applyAlignment="1">
      <alignment horizontal="left"/>
    </xf>
    <xf numFmtId="0" fontId="4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166" fontId="3" fillId="0" borderId="0" xfId="0" applyNumberFormat="1" applyFont="1"/>
    <xf numFmtId="3" fontId="3" fillId="0" borderId="0" xfId="0" applyNumberFormat="1" applyFont="1" applyAlignment="1">
      <alignment horizontal="left" wrapText="1"/>
    </xf>
    <xf numFmtId="3" fontId="3" fillId="0" borderId="0" xfId="9" applyNumberFormat="1" applyFont="1" applyAlignment="1">
      <alignment horizontal="left"/>
    </xf>
    <xf numFmtId="3" fontId="3" fillId="0" borderId="0" xfId="0" applyNumberFormat="1" applyFont="1" applyAlignment="1">
      <alignment horizontal="right"/>
    </xf>
    <xf numFmtId="3" fontId="3" fillId="0" borderId="0" xfId="0" applyNumberFormat="1" applyFont="1" applyAlignment="1">
      <alignment horizontal="left"/>
    </xf>
    <xf numFmtId="3" fontId="4" fillId="0" borderId="0" xfId="0" applyNumberFormat="1" applyFont="1" applyAlignment="1">
      <alignment horizontal="right"/>
    </xf>
    <xf numFmtId="3" fontId="4" fillId="0" borderId="27" xfId="0" applyNumberFormat="1" applyFont="1" applyBorder="1" applyAlignment="1">
      <alignment horizontal="left"/>
    </xf>
    <xf numFmtId="3" fontId="4" fillId="0" borderId="13" xfId="0" applyNumberFormat="1" applyFont="1" applyBorder="1" applyAlignment="1">
      <alignment horizontal="right"/>
    </xf>
    <xf numFmtId="3" fontId="4" fillId="0" borderId="34" xfId="0" applyNumberFormat="1" applyFont="1" applyBorder="1"/>
    <xf numFmtId="3" fontId="3" fillId="0" borderId="0" xfId="0" applyNumberFormat="1" applyFont="1" applyAlignment="1">
      <alignment horizontal="right" wrapText="1"/>
    </xf>
    <xf numFmtId="0" fontId="3" fillId="0" borderId="0" xfId="0" applyFont="1" applyAlignment="1">
      <alignment wrapText="1"/>
    </xf>
    <xf numFmtId="0" fontId="3" fillId="0" borderId="1" xfId="0" applyFont="1" applyBorder="1"/>
    <xf numFmtId="49" fontId="3" fillId="0" borderId="1" xfId="0" applyNumberFormat="1" applyFont="1" applyBorder="1" applyAlignment="1">
      <alignment horizontal="right" wrapText="1"/>
    </xf>
    <xf numFmtId="3" fontId="1" fillId="0" borderId="15" xfId="0" applyNumberFormat="1" applyFont="1" applyBorder="1"/>
    <xf numFmtId="1" fontId="3" fillId="0" borderId="16" xfId="0" applyNumberFormat="1" applyFont="1" applyBorder="1"/>
    <xf numFmtId="1" fontId="3" fillId="0" borderId="1" xfId="0" applyNumberFormat="1" applyFont="1" applyBorder="1"/>
    <xf numFmtId="0" fontId="13" fillId="0" borderId="1" xfId="10" applyFont="1" applyBorder="1" applyAlignment="1">
      <alignment horizontal="left" wrapText="1"/>
    </xf>
    <xf numFmtId="49" fontId="4" fillId="0" borderId="19" xfId="10" applyNumberFormat="1" applyFont="1" applyBorder="1" applyAlignment="1">
      <alignment horizontal="right"/>
    </xf>
    <xf numFmtId="0" fontId="4" fillId="0" borderId="3" xfId="4" applyFont="1" applyBorder="1" applyAlignment="1">
      <alignment horizontal="left" wrapText="1"/>
    </xf>
    <xf numFmtId="0" fontId="3" fillId="0" borderId="3" xfId="4" applyFont="1" applyBorder="1" applyAlignment="1">
      <alignment wrapText="1"/>
    </xf>
    <xf numFmtId="3" fontId="4" fillId="0" borderId="5" xfId="10" applyNumberFormat="1" applyFont="1" applyBorder="1" applyAlignment="1">
      <alignment horizontal="right"/>
    </xf>
    <xf numFmtId="3" fontId="3" fillId="0" borderId="38" xfId="0" applyNumberFormat="1" applyFont="1" applyBorder="1"/>
    <xf numFmtId="3" fontId="3" fillId="0" borderId="25" xfId="10" applyNumberFormat="1" applyFont="1" applyBorder="1" applyAlignment="1">
      <alignment wrapText="1"/>
    </xf>
    <xf numFmtId="3" fontId="3" fillId="0" borderId="1" xfId="10" applyNumberFormat="1" applyFont="1" applyBorder="1" applyAlignment="1">
      <alignment wrapText="1"/>
    </xf>
    <xf numFmtId="3" fontId="4" fillId="0" borderId="28" xfId="0" applyNumberFormat="1" applyFont="1" applyBorder="1"/>
    <xf numFmtId="0" fontId="3" fillId="0" borderId="39" xfId="8" applyFont="1" applyBorder="1" applyAlignment="1">
      <alignment vertical="center" wrapText="1"/>
    </xf>
    <xf numFmtId="3" fontId="3" fillId="0" borderId="17" xfId="0" applyNumberFormat="1" applyFont="1" applyBorder="1" applyAlignment="1">
      <alignment wrapText="1"/>
    </xf>
    <xf numFmtId="3" fontId="3" fillId="2" borderId="1" xfId="0" applyNumberFormat="1" applyFont="1" applyFill="1" applyBorder="1" applyAlignment="1">
      <alignment horizontal="right"/>
    </xf>
    <xf numFmtId="49" fontId="4" fillId="0" borderId="5" xfId="0" applyNumberFormat="1" applyFont="1" applyBorder="1" applyAlignment="1">
      <alignment horizontal="right"/>
    </xf>
    <xf numFmtId="0" fontId="3" fillId="0" borderId="3" xfId="0" applyFont="1" applyBorder="1" applyAlignment="1">
      <alignment horizontal="left" wrapText="1"/>
    </xf>
    <xf numFmtId="3" fontId="4" fillId="0" borderId="31" xfId="0" applyNumberFormat="1" applyFont="1" applyBorder="1" applyAlignment="1">
      <alignment wrapText="1"/>
    </xf>
    <xf numFmtId="3" fontId="8" fillId="0" borderId="8" xfId="0" applyNumberFormat="1" applyFont="1" applyBorder="1" applyAlignment="1">
      <alignment wrapText="1"/>
    </xf>
    <xf numFmtId="3" fontId="4" fillId="0" borderId="15" xfId="0" applyNumberFormat="1" applyFont="1" applyBorder="1" applyAlignment="1">
      <alignment horizontal="right"/>
    </xf>
    <xf numFmtId="167" fontId="3" fillId="0" borderId="0" xfId="0" applyNumberFormat="1" applyFont="1"/>
    <xf numFmtId="3" fontId="4" fillId="0" borderId="24" xfId="10" applyNumberFormat="1" applyFont="1" applyBorder="1" applyAlignment="1">
      <alignment horizontal="right"/>
    </xf>
    <xf numFmtId="3" fontId="4" fillId="0" borderId="11" xfId="0" applyNumberFormat="1" applyFont="1" applyBorder="1" applyAlignment="1">
      <alignment horizontal="right"/>
    </xf>
    <xf numFmtId="3" fontId="4" fillId="0" borderId="7" xfId="0" applyNumberFormat="1" applyFont="1" applyBorder="1" applyAlignment="1">
      <alignment horizontal="right"/>
    </xf>
    <xf numFmtId="3" fontId="3" fillId="0" borderId="7" xfId="0" applyNumberFormat="1" applyFont="1" applyBorder="1" applyAlignment="1">
      <alignment horizontal="right"/>
    </xf>
    <xf numFmtId="49" fontId="3" fillId="0" borderId="1" xfId="0" applyNumberFormat="1" applyFont="1" applyBorder="1" applyAlignment="1">
      <alignment horizontal="left" wrapText="1"/>
    </xf>
    <xf numFmtId="3" fontId="15" fillId="0" borderId="15" xfId="0" applyNumberFormat="1" applyFont="1" applyBorder="1"/>
    <xf numFmtId="3" fontId="3" fillId="2" borderId="15" xfId="0" applyNumberFormat="1" applyFont="1" applyFill="1" applyBorder="1" applyAlignment="1">
      <alignment horizontal="right"/>
    </xf>
    <xf numFmtId="3" fontId="3" fillId="0" borderId="15" xfId="0" applyNumberFormat="1" applyFont="1" applyBorder="1" applyAlignment="1">
      <alignment horizontal="right"/>
    </xf>
    <xf numFmtId="3" fontId="3" fillId="2" borderId="7" xfId="0" applyNumberFormat="1" applyFont="1" applyFill="1" applyBorder="1" applyAlignment="1">
      <alignment horizontal="right"/>
    </xf>
    <xf numFmtId="3" fontId="4" fillId="2" borderId="15" xfId="0" applyNumberFormat="1" applyFont="1" applyFill="1" applyBorder="1" applyAlignment="1">
      <alignment horizontal="right"/>
    </xf>
    <xf numFmtId="49" fontId="3" fillId="0" borderId="5" xfId="0" applyNumberFormat="1" applyFont="1" applyBorder="1" applyAlignment="1">
      <alignment horizontal="left"/>
    </xf>
    <xf numFmtId="3" fontId="3" fillId="0" borderId="21" xfId="0" applyNumberFormat="1" applyFont="1" applyBorder="1" applyAlignment="1">
      <alignment wrapText="1"/>
    </xf>
    <xf numFmtId="49" fontId="4" fillId="0" borderId="1" xfId="0" applyNumberFormat="1" applyFont="1" applyBorder="1" applyAlignment="1">
      <alignment horizontal="left"/>
    </xf>
    <xf numFmtId="3" fontId="3" fillId="0" borderId="15" xfId="4" applyNumberFormat="1" applyFont="1" applyBorder="1" applyAlignment="1">
      <alignment horizontal="left" wrapText="1"/>
    </xf>
    <xf numFmtId="3" fontId="3" fillId="0" borderId="5" xfId="10" applyNumberFormat="1" applyFont="1" applyBorder="1" applyAlignment="1">
      <alignment horizontal="right"/>
    </xf>
    <xf numFmtId="49" fontId="3" fillId="0" borderId="0" xfId="10" applyNumberFormat="1" applyFont="1" applyAlignment="1">
      <alignment horizontal="right"/>
    </xf>
    <xf numFmtId="0" fontId="16" fillId="0" borderId="0" xfId="0" applyFont="1"/>
    <xf numFmtId="49" fontId="3" fillId="0" borderId="1" xfId="0" applyNumberFormat="1" applyFont="1" applyBorder="1"/>
    <xf numFmtId="3" fontId="1" fillId="0" borderId="8" xfId="0" applyNumberFormat="1" applyFont="1" applyBorder="1"/>
    <xf numFmtId="3" fontId="3" fillId="0" borderId="15" xfId="0" applyNumberFormat="1" applyFont="1" applyBorder="1" applyAlignment="1">
      <alignment wrapText="1"/>
    </xf>
    <xf numFmtId="0" fontId="3" fillId="0" borderId="40" xfId="7" applyFont="1" applyBorder="1" applyAlignment="1">
      <alignment horizontal="center" vertical="center" wrapText="1"/>
    </xf>
    <xf numFmtId="3" fontId="4" fillId="0" borderId="15" xfId="0" applyNumberFormat="1" applyFont="1" applyBorder="1" applyAlignment="1">
      <alignment wrapText="1"/>
    </xf>
    <xf numFmtId="164" fontId="3" fillId="0" borderId="9" xfId="0" applyNumberFormat="1" applyFont="1" applyBorder="1"/>
    <xf numFmtId="164" fontId="3" fillId="0" borderId="15" xfId="0" applyNumberFormat="1" applyFont="1" applyBorder="1"/>
    <xf numFmtId="3" fontId="3" fillId="0" borderId="3" xfId="0" applyNumberFormat="1" applyFont="1" applyBorder="1" applyAlignment="1">
      <alignment horizontal="center" wrapText="1"/>
    </xf>
    <xf numFmtId="4" fontId="3" fillId="0" borderId="3" xfId="0" applyNumberFormat="1" applyFont="1" applyBorder="1"/>
    <xf numFmtId="49" fontId="3" fillId="0" borderId="15" xfId="0" applyNumberFormat="1" applyFont="1" applyBorder="1" applyAlignment="1">
      <alignment horizontal="right"/>
    </xf>
    <xf numFmtId="3" fontId="17" fillId="2" borderId="1" xfId="0" applyNumberFormat="1" applyFont="1" applyFill="1" applyBorder="1"/>
    <xf numFmtId="4" fontId="3" fillId="0" borderId="15" xfId="0" applyNumberFormat="1" applyFont="1" applyBorder="1"/>
    <xf numFmtId="49" fontId="3" fillId="0" borderId="1" xfId="10" applyNumberFormat="1" applyFont="1" applyBorder="1" applyAlignment="1">
      <alignment horizontal="right"/>
    </xf>
    <xf numFmtId="3" fontId="4" fillId="0" borderId="35" xfId="0" applyNumberFormat="1" applyFont="1" applyBorder="1" applyAlignment="1">
      <alignment horizontal="left"/>
    </xf>
    <xf numFmtId="49" fontId="3" fillId="0" borderId="4" xfId="10" applyNumberFormat="1" applyFont="1" applyBorder="1" applyAlignment="1">
      <alignment horizontal="right"/>
    </xf>
    <xf numFmtId="49" fontId="3" fillId="0" borderId="19" xfId="0" applyNumberFormat="1" applyFont="1" applyBorder="1" applyAlignment="1">
      <alignment horizontal="right"/>
    </xf>
    <xf numFmtId="3" fontId="7" fillId="0" borderId="1" xfId="0" applyNumberFormat="1" applyFont="1" applyBorder="1" applyAlignment="1">
      <alignment horizontal="right" wrapText="1"/>
    </xf>
    <xf numFmtId="3" fontId="7" fillId="2" borderId="1" xfId="0" applyNumberFormat="1" applyFont="1" applyFill="1" applyBorder="1"/>
    <xf numFmtId="3" fontId="3" fillId="2" borderId="1" xfId="0" applyNumberFormat="1" applyFont="1" applyFill="1" applyBorder="1" applyAlignment="1">
      <alignment wrapText="1"/>
    </xf>
    <xf numFmtId="3" fontId="4" fillId="0" borderId="0" xfId="0" applyNumberFormat="1" applyFont="1" applyAlignment="1">
      <alignment horizontal="center"/>
    </xf>
    <xf numFmtId="3" fontId="11" fillId="0" borderId="0" xfId="0" applyNumberFormat="1" applyFont="1"/>
    <xf numFmtId="166" fontId="16" fillId="0" borderId="0" xfId="0" applyNumberFormat="1" applyFont="1"/>
    <xf numFmtId="3" fontId="15" fillId="0" borderId="15" xfId="0" applyNumberFormat="1" applyFont="1" applyBorder="1" applyAlignment="1">
      <alignment horizontal="right"/>
    </xf>
    <xf numFmtId="3" fontId="16" fillId="0" borderId="0" xfId="0" applyNumberFormat="1" applyFont="1"/>
    <xf numFmtId="3" fontId="3" fillId="2" borderId="3" xfId="0" applyNumberFormat="1" applyFont="1" applyFill="1" applyBorder="1" applyAlignment="1">
      <alignment horizontal="right" wrapText="1"/>
    </xf>
    <xf numFmtId="49" fontId="3" fillId="0" borderId="5" xfId="10" applyNumberFormat="1" applyFont="1" applyBorder="1" applyAlignment="1">
      <alignment horizontal="center" vertical="center"/>
    </xf>
    <xf numFmtId="3" fontId="17" fillId="0" borderId="1" xfId="0" applyNumberFormat="1" applyFont="1" applyBorder="1"/>
    <xf numFmtId="3" fontId="18" fillId="0" borderId="1" xfId="0" applyNumberFormat="1" applyFont="1" applyBorder="1"/>
    <xf numFmtId="0" fontId="3" fillId="0" borderId="1" xfId="6" applyFont="1" applyBorder="1" applyAlignment="1">
      <alignment horizontal="left" wrapText="1"/>
    </xf>
    <xf numFmtId="0" fontId="3" fillId="0" borderId="4" xfId="6" applyFont="1" applyBorder="1" applyAlignment="1">
      <alignment horizontal="left" wrapText="1"/>
    </xf>
    <xf numFmtId="3" fontId="4" fillId="2" borderId="7" xfId="0" applyNumberFormat="1" applyFont="1" applyFill="1" applyBorder="1"/>
    <xf numFmtId="3" fontId="0" fillId="2" borderId="1" xfId="0" applyNumberFormat="1" applyFill="1" applyBorder="1"/>
    <xf numFmtId="3" fontId="3" fillId="2" borderId="5" xfId="0" applyNumberFormat="1" applyFont="1" applyFill="1" applyBorder="1" applyAlignment="1">
      <alignment horizontal="right"/>
    </xf>
    <xf numFmtId="3" fontId="19" fillId="0" borderId="0" xfId="3" applyNumberFormat="1" applyFont="1" applyAlignment="1">
      <alignment horizontal="right" wrapText="1"/>
    </xf>
    <xf numFmtId="3" fontId="4" fillId="0" borderId="14" xfId="0" applyNumberFormat="1" applyFont="1" applyBorder="1" applyAlignment="1">
      <alignment horizontal="right"/>
    </xf>
    <xf numFmtId="0" fontId="3" fillId="0" borderId="1" xfId="0" applyFont="1" applyBorder="1" applyAlignment="1">
      <alignment horizontal="left" vertical="center" wrapText="1"/>
    </xf>
    <xf numFmtId="49" fontId="3" fillId="0" borderId="15" xfId="0" applyNumberFormat="1" applyFont="1" applyBorder="1"/>
    <xf numFmtId="49" fontId="3" fillId="0" borderId="0" xfId="0" applyNumberFormat="1" applyFont="1"/>
    <xf numFmtId="1" fontId="3" fillId="0" borderId="15" xfId="0" applyNumberFormat="1" applyFont="1" applyBorder="1" applyAlignment="1">
      <alignment horizontal="right"/>
    </xf>
    <xf numFmtId="49" fontId="3" fillId="0" borderId="6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left" wrapText="1"/>
    </xf>
    <xf numFmtId="3" fontId="3" fillId="0" borderId="9" xfId="0" applyNumberFormat="1" applyFont="1" applyBorder="1"/>
    <xf numFmtId="3" fontId="3" fillId="0" borderId="6" xfId="0" applyNumberFormat="1" applyFont="1" applyBorder="1"/>
    <xf numFmtId="3" fontId="4" fillId="0" borderId="5" xfId="0" applyNumberFormat="1" applyFont="1" applyBorder="1"/>
    <xf numFmtId="3" fontId="3" fillId="0" borderId="5" xfId="0" applyNumberFormat="1" applyFont="1" applyBorder="1"/>
    <xf numFmtId="3" fontId="4" fillId="0" borderId="41" xfId="0" applyNumberFormat="1" applyFont="1" applyBorder="1"/>
    <xf numFmtId="3" fontId="3" fillId="0" borderId="31" xfId="0" applyNumberFormat="1" applyFont="1" applyBorder="1" applyAlignment="1">
      <alignment horizontal="left" wrapText="1"/>
    </xf>
    <xf numFmtId="3" fontId="4" fillId="0" borderId="31" xfId="0" applyNumberFormat="1" applyFont="1" applyBorder="1" applyAlignment="1">
      <alignment horizontal="right"/>
    </xf>
    <xf numFmtId="0" fontId="3" fillId="0" borderId="13" xfId="8" applyFont="1" applyBorder="1" applyAlignment="1">
      <alignment vertical="center" wrapText="1"/>
    </xf>
    <xf numFmtId="3" fontId="4" fillId="0" borderId="42" xfId="0" applyNumberFormat="1" applyFont="1" applyBorder="1" applyAlignment="1">
      <alignment horizontal="right"/>
    </xf>
    <xf numFmtId="3" fontId="4" fillId="0" borderId="43" xfId="0" applyNumberFormat="1" applyFont="1" applyBorder="1" applyAlignment="1">
      <alignment horizontal="right"/>
    </xf>
    <xf numFmtId="3" fontId="3" fillId="0" borderId="0" xfId="0" applyNumberFormat="1" applyFont="1" applyAlignment="1">
      <alignment horizontal="right" wrapText="1"/>
    </xf>
    <xf numFmtId="0" fontId="21" fillId="0" borderId="0" xfId="0" applyFont="1" applyAlignment="1">
      <alignment horizontal="center"/>
    </xf>
    <xf numFmtId="0" fontId="3" fillId="0" borderId="0" xfId="0" applyFont="1" applyAlignment="1">
      <alignment horizontal="right" wrapText="1"/>
    </xf>
    <xf numFmtId="3" fontId="21" fillId="0" borderId="44" xfId="0" applyNumberFormat="1" applyFont="1" applyBorder="1" applyAlignment="1">
      <alignment horizontal="center" wrapText="1"/>
    </xf>
  </cellXfs>
  <cellStyles count="13">
    <cellStyle name="Comma 2" xfId="1"/>
    <cellStyle name="Normal" xfId="0" builtinId="0"/>
    <cellStyle name="Normal 2" xfId="2"/>
    <cellStyle name="Normal_2009.g plāns apst 3" xfId="3"/>
    <cellStyle name="Normal_PROJEKTI_2016_PLĀNS_Aija un Inese" xfId="4"/>
    <cellStyle name="Normal_PROJEKTI_2016_PLĀNS_Aija un Inese 2" xfId="5"/>
    <cellStyle name="Normal_PROJEKTI_2016_PLĀNS_Aija un Inese 3" xfId="6"/>
    <cellStyle name="Normal_Sheet1" xfId="7"/>
    <cellStyle name="Normal_Sheet1_Pielikumi oktobra korekcijam 2" xfId="8"/>
    <cellStyle name="Normal_Specbudz.kopsavilkums 2006.g un korekc. 2" xfId="9"/>
    <cellStyle name="Parasts 2" xfId="10"/>
    <cellStyle name="Parasts 2 2" xfId="11"/>
    <cellStyle name="Parasts 2_2016.g. Ieņēmumu un izdevumu plāns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1"/>
  <sheetViews>
    <sheetView tabSelected="1" zoomScaleNormal="100" workbookViewId="0">
      <pane xSplit="2" ySplit="7" topLeftCell="C8" activePane="bottomRight" state="frozen"/>
      <selection pane="topRight" activeCell="D1" sqref="D1"/>
      <selection pane="bottomLeft" activeCell="A8" sqref="A8"/>
      <selection pane="bottomRight" activeCell="J1" sqref="J1"/>
    </sheetView>
  </sheetViews>
  <sheetFormatPr defaultColWidth="9.140625" defaultRowHeight="15" x14ac:dyDescent="0.25"/>
  <cols>
    <col min="1" max="1" width="9.42578125" style="19" customWidth="1"/>
    <col min="2" max="2" width="42.140625" style="138" customWidth="1"/>
    <col min="3" max="3" width="13.42578125" style="19" customWidth="1"/>
    <col min="4" max="4" width="14.42578125" style="19" customWidth="1"/>
    <col min="5" max="7" width="10.85546875" style="19" customWidth="1"/>
    <col min="8" max="8" width="18.5703125" style="19" customWidth="1"/>
    <col min="9" max="9" width="15.28515625" style="143" customWidth="1"/>
    <col min="10" max="10" width="12.5703125" style="19" customWidth="1"/>
    <col min="11" max="11" width="10.7109375" style="19" bestFit="1" customWidth="1"/>
    <col min="12" max="16384" width="9.140625" style="19"/>
  </cols>
  <sheetData>
    <row r="1" spans="1:10" x14ac:dyDescent="0.25">
      <c r="D1" s="142" t="s">
        <v>329</v>
      </c>
      <c r="E1" s="142"/>
      <c r="F1" s="142"/>
      <c r="I1" s="18" t="s">
        <v>690</v>
      </c>
    </row>
    <row r="2" spans="1:10" x14ac:dyDescent="0.25">
      <c r="A2" s="144"/>
      <c r="D2" s="144"/>
      <c r="E2" s="144"/>
      <c r="F2" s="144"/>
      <c r="I2" s="18" t="s">
        <v>288</v>
      </c>
    </row>
    <row r="3" spans="1:10" x14ac:dyDescent="0.25">
      <c r="A3" s="144"/>
      <c r="D3" s="144"/>
      <c r="E3" s="144"/>
      <c r="F3" s="144"/>
      <c r="I3" s="18" t="s">
        <v>691</v>
      </c>
    </row>
    <row r="5" spans="1:10" ht="20.25" x14ac:dyDescent="0.3">
      <c r="A5" s="249" t="s">
        <v>692</v>
      </c>
      <c r="B5" s="249"/>
      <c r="C5" s="249"/>
      <c r="D5" s="249"/>
      <c r="E5" s="249"/>
      <c r="F5" s="249"/>
      <c r="G5" s="249"/>
      <c r="H5" s="249"/>
      <c r="I5" s="249"/>
    </row>
    <row r="6" spans="1:10" ht="15.75" thickBot="1" x14ac:dyDescent="0.3">
      <c r="A6" s="144"/>
      <c r="B6" s="145"/>
      <c r="C6" s="144"/>
    </row>
    <row r="7" spans="1:10" ht="102.75" customHeight="1" thickBot="1" x14ac:dyDescent="0.3">
      <c r="A7" s="29" t="s">
        <v>9</v>
      </c>
      <c r="B7" s="30" t="s">
        <v>103</v>
      </c>
      <c r="C7" s="32" t="s">
        <v>611</v>
      </c>
      <c r="D7" s="200" t="s">
        <v>612</v>
      </c>
      <c r="E7" s="31" t="s">
        <v>613</v>
      </c>
      <c r="F7" s="31" t="s">
        <v>614</v>
      </c>
      <c r="G7" s="31" t="s">
        <v>615</v>
      </c>
      <c r="H7" s="245" t="s">
        <v>693</v>
      </c>
      <c r="I7" s="33" t="s">
        <v>616</v>
      </c>
      <c r="J7" s="8"/>
    </row>
    <row r="8" spans="1:10" ht="15.75" thickBot="1" x14ac:dyDescent="0.3">
      <c r="A8" s="34"/>
      <c r="B8" s="35" t="s">
        <v>19</v>
      </c>
      <c r="C8" s="36">
        <f t="shared" ref="C8:I8" si="0">C9+C10+C15+C16</f>
        <v>67231772</v>
      </c>
      <c r="D8" s="36">
        <f t="shared" si="0"/>
        <v>0</v>
      </c>
      <c r="E8" s="36">
        <f t="shared" si="0"/>
        <v>0</v>
      </c>
      <c r="F8" s="36">
        <f t="shared" si="0"/>
        <v>0</v>
      </c>
      <c r="G8" s="36">
        <f t="shared" si="0"/>
        <v>0</v>
      </c>
      <c r="H8" s="37">
        <f t="shared" si="0"/>
        <v>0</v>
      </c>
      <c r="I8" s="38">
        <f t="shared" si="0"/>
        <v>67231772</v>
      </c>
      <c r="J8" s="146"/>
    </row>
    <row r="9" spans="1:10" ht="15.75" x14ac:dyDescent="0.25">
      <c r="A9" s="39" t="s">
        <v>20</v>
      </c>
      <c r="B9" s="40" t="s">
        <v>104</v>
      </c>
      <c r="C9" s="213">
        <f>62013617+387286+141000</f>
        <v>62541903</v>
      </c>
      <c r="D9" s="14"/>
      <c r="E9" s="14"/>
      <c r="F9" s="44"/>
      <c r="G9" s="14"/>
      <c r="H9" s="21"/>
      <c r="I9" s="42">
        <f>SUM(C9:H9)</f>
        <v>62541903</v>
      </c>
      <c r="J9" s="146"/>
    </row>
    <row r="10" spans="1:10" x14ac:dyDescent="0.25">
      <c r="A10" s="45" t="s">
        <v>105</v>
      </c>
      <c r="B10" s="20" t="s">
        <v>106</v>
      </c>
      <c r="C10" s="14">
        <f>C11</f>
        <v>4419869</v>
      </c>
      <c r="D10" s="14"/>
      <c r="E10" s="14"/>
      <c r="F10" s="44"/>
      <c r="G10" s="14">
        <f>G11</f>
        <v>0</v>
      </c>
      <c r="H10" s="44">
        <f>H11</f>
        <v>0</v>
      </c>
      <c r="I10" s="42">
        <f t="shared" ref="I10:I31" si="1">SUM(C10:H10)</f>
        <v>4419869</v>
      </c>
      <c r="J10" s="146"/>
    </row>
    <row r="11" spans="1:10" x14ac:dyDescent="0.25">
      <c r="A11" s="45" t="s">
        <v>21</v>
      </c>
      <c r="B11" s="20" t="s">
        <v>22</v>
      </c>
      <c r="C11" s="14">
        <f>SUM(C12:C14)</f>
        <v>4419869</v>
      </c>
      <c r="D11" s="14"/>
      <c r="E11" s="14"/>
      <c r="F11" s="44"/>
      <c r="G11" s="14">
        <f>SUM(G12:G14)</f>
        <v>0</v>
      </c>
      <c r="H11" s="44">
        <f>SUM(H12:H14)</f>
        <v>0</v>
      </c>
      <c r="I11" s="42">
        <f t="shared" si="1"/>
        <v>4419869</v>
      </c>
      <c r="J11" s="146"/>
    </row>
    <row r="12" spans="1:10" x14ac:dyDescent="0.25">
      <c r="A12" s="43" t="s">
        <v>10</v>
      </c>
      <c r="B12" s="20" t="s">
        <v>23</v>
      </c>
      <c r="C12" s="47">
        <f>2175045+500000</f>
        <v>2675045</v>
      </c>
      <c r="D12" s="46"/>
      <c r="E12" s="46"/>
      <c r="F12" s="14"/>
      <c r="G12" s="160"/>
      <c r="H12" s="21"/>
      <c r="I12" s="42">
        <f t="shared" si="1"/>
        <v>2675045</v>
      </c>
      <c r="J12" s="146"/>
    </row>
    <row r="13" spans="1:10" x14ac:dyDescent="0.25">
      <c r="A13" s="43" t="s">
        <v>11</v>
      </c>
      <c r="B13" s="20" t="s">
        <v>24</v>
      </c>
      <c r="C13" s="46">
        <f>662732+190000</f>
        <v>852732</v>
      </c>
      <c r="D13" s="46"/>
      <c r="E13" s="46"/>
      <c r="F13" s="14"/>
      <c r="G13" s="160"/>
      <c r="H13" s="21"/>
      <c r="I13" s="42">
        <f t="shared" si="1"/>
        <v>852732</v>
      </c>
      <c r="J13" s="146"/>
    </row>
    <row r="14" spans="1:10" x14ac:dyDescent="0.25">
      <c r="A14" s="43" t="s">
        <v>149</v>
      </c>
      <c r="B14" s="20" t="s">
        <v>150</v>
      </c>
      <c r="C14" s="47">
        <f>42042+565050+285000</f>
        <v>892092</v>
      </c>
      <c r="D14" s="46"/>
      <c r="E14" s="46"/>
      <c r="F14" s="14"/>
      <c r="G14" s="160"/>
      <c r="H14" s="21"/>
      <c r="I14" s="42">
        <f t="shared" si="1"/>
        <v>892092</v>
      </c>
      <c r="J14" s="146"/>
    </row>
    <row r="15" spans="1:10" x14ac:dyDescent="0.25">
      <c r="A15" s="50" t="s">
        <v>12</v>
      </c>
      <c r="B15" s="51" t="s">
        <v>25</v>
      </c>
      <c r="C15" s="53">
        <v>20000</v>
      </c>
      <c r="D15" s="52"/>
      <c r="E15" s="52"/>
      <c r="F15" s="54"/>
      <c r="G15" s="55"/>
      <c r="H15" s="44"/>
      <c r="I15" s="42">
        <f t="shared" si="1"/>
        <v>20000</v>
      </c>
      <c r="J15" s="146"/>
    </row>
    <row r="16" spans="1:10" ht="15.75" thickBot="1" x14ac:dyDescent="0.3">
      <c r="A16" s="57" t="s">
        <v>289</v>
      </c>
      <c r="B16" s="58" t="s">
        <v>218</v>
      </c>
      <c r="C16" s="59">
        <v>250000</v>
      </c>
      <c r="D16" s="56"/>
      <c r="E16" s="56"/>
      <c r="F16" s="60"/>
      <c r="G16" s="56"/>
      <c r="H16" s="68"/>
      <c r="I16" s="61">
        <f t="shared" si="1"/>
        <v>250000</v>
      </c>
      <c r="J16" s="146"/>
    </row>
    <row r="17" spans="1:10" ht="15.75" thickBot="1" x14ac:dyDescent="0.3">
      <c r="A17" s="34"/>
      <c r="B17" s="35" t="s">
        <v>26</v>
      </c>
      <c r="C17" s="36">
        <f t="shared" ref="C17:H17" si="2">SUM(C18:C24)</f>
        <v>360533</v>
      </c>
      <c r="D17" s="36">
        <f t="shared" si="2"/>
        <v>12927</v>
      </c>
      <c r="E17" s="36">
        <f t="shared" si="2"/>
        <v>0</v>
      </c>
      <c r="F17" s="36">
        <f t="shared" si="2"/>
        <v>0</v>
      </c>
      <c r="G17" s="36">
        <f t="shared" si="2"/>
        <v>0</v>
      </c>
      <c r="H17" s="37">
        <f t="shared" si="2"/>
        <v>90000</v>
      </c>
      <c r="I17" s="38">
        <f t="shared" si="1"/>
        <v>463460</v>
      </c>
      <c r="J17" s="146"/>
    </row>
    <row r="18" spans="1:10" x14ac:dyDescent="0.25">
      <c r="A18" s="62" t="s">
        <v>263</v>
      </c>
      <c r="B18" s="63" t="s">
        <v>264</v>
      </c>
      <c r="C18" s="63"/>
      <c r="D18" s="27"/>
      <c r="E18" s="27"/>
      <c r="F18" s="26"/>
      <c r="G18" s="27"/>
      <c r="H18" s="94"/>
      <c r="I18" s="42">
        <f t="shared" si="1"/>
        <v>0</v>
      </c>
      <c r="J18" s="146"/>
    </row>
    <row r="19" spans="1:10" ht="30" x14ac:dyDescent="0.25">
      <c r="A19" s="39" t="s">
        <v>107</v>
      </c>
      <c r="B19" s="40" t="s">
        <v>108</v>
      </c>
      <c r="C19" s="41">
        <v>4000</v>
      </c>
      <c r="D19" s="41">
        <f>2653+9174</f>
        <v>11827</v>
      </c>
      <c r="E19" s="41"/>
      <c r="F19" s="21"/>
      <c r="G19" s="41"/>
      <c r="H19" s="21"/>
      <c r="I19" s="42">
        <f t="shared" si="1"/>
        <v>15827</v>
      </c>
      <c r="J19" s="146"/>
    </row>
    <row r="20" spans="1:10" ht="20.100000000000001" customHeight="1" x14ac:dyDescent="0.25">
      <c r="A20" s="45" t="s">
        <v>27</v>
      </c>
      <c r="B20" s="20" t="s">
        <v>28</v>
      </c>
      <c r="C20" s="14">
        <v>20600</v>
      </c>
      <c r="D20" s="14">
        <v>200</v>
      </c>
      <c r="E20" s="14"/>
      <c r="F20" s="44"/>
      <c r="G20" s="14"/>
      <c r="H20" s="21"/>
      <c r="I20" s="42">
        <f t="shared" si="1"/>
        <v>20800</v>
      </c>
      <c r="J20" s="146"/>
    </row>
    <row r="21" spans="1:10" x14ac:dyDescent="0.25">
      <c r="A21" s="45" t="s">
        <v>14</v>
      </c>
      <c r="B21" s="20" t="s">
        <v>13</v>
      </c>
      <c r="C21" s="14">
        <v>9000</v>
      </c>
      <c r="D21" s="14"/>
      <c r="E21" s="14"/>
      <c r="F21" s="44"/>
      <c r="G21" s="14"/>
      <c r="H21" s="21"/>
      <c r="I21" s="42">
        <f t="shared" si="1"/>
        <v>9000</v>
      </c>
      <c r="J21" s="146"/>
    </row>
    <row r="22" spans="1:10" x14ac:dyDescent="0.25">
      <c r="A22" s="45" t="s">
        <v>109</v>
      </c>
      <c r="B22" s="20" t="s">
        <v>110</v>
      </c>
      <c r="C22" s="14">
        <v>65000</v>
      </c>
      <c r="D22" s="14"/>
      <c r="E22" s="14"/>
      <c r="F22" s="44"/>
      <c r="G22" s="14"/>
      <c r="H22" s="21"/>
      <c r="I22" s="42">
        <f t="shared" si="1"/>
        <v>65000</v>
      </c>
      <c r="J22" s="146"/>
    </row>
    <row r="23" spans="1:10" x14ac:dyDescent="0.25">
      <c r="A23" s="45" t="s">
        <v>290</v>
      </c>
      <c r="B23" s="20" t="s">
        <v>29</v>
      </c>
      <c r="C23" s="14">
        <f>35600+5108+5425</f>
        <v>46133</v>
      </c>
      <c r="D23" s="14"/>
      <c r="E23" s="14"/>
      <c r="F23" s="44"/>
      <c r="G23" s="14"/>
      <c r="H23" s="21"/>
      <c r="I23" s="42">
        <f t="shared" si="1"/>
        <v>46133</v>
      </c>
      <c r="J23" s="146"/>
    </row>
    <row r="24" spans="1:10" ht="27.75" customHeight="1" x14ac:dyDescent="0.25">
      <c r="A24" s="45" t="s">
        <v>100</v>
      </c>
      <c r="B24" s="20" t="s">
        <v>221</v>
      </c>
      <c r="C24" s="6">
        <f>160000+30000+25800</f>
        <v>215800</v>
      </c>
      <c r="D24" s="14">
        <v>900</v>
      </c>
      <c r="E24" s="14"/>
      <c r="F24" s="14"/>
      <c r="G24" s="14"/>
      <c r="H24" s="21">
        <v>90000</v>
      </c>
      <c r="I24" s="42">
        <f t="shared" si="1"/>
        <v>306700</v>
      </c>
      <c r="J24" s="146"/>
    </row>
    <row r="25" spans="1:10" ht="58.5" thickBot="1" x14ac:dyDescent="0.3">
      <c r="A25" s="65" t="s">
        <v>224</v>
      </c>
      <c r="B25" s="176" t="s">
        <v>223</v>
      </c>
      <c r="C25" s="67">
        <v>7711</v>
      </c>
      <c r="D25" s="67"/>
      <c r="E25" s="67"/>
      <c r="F25" s="68"/>
      <c r="G25" s="67"/>
      <c r="H25" s="68"/>
      <c r="I25" s="42">
        <f t="shared" si="1"/>
        <v>7711</v>
      </c>
      <c r="J25" s="146"/>
    </row>
    <row r="26" spans="1:10" ht="15.75" thickBot="1" x14ac:dyDescent="0.3">
      <c r="A26" s="69" t="s">
        <v>30</v>
      </c>
      <c r="B26" s="35" t="s">
        <v>31</v>
      </c>
      <c r="C26" s="36">
        <f t="shared" ref="C26:H26" si="3">SUM(C27:C27)</f>
        <v>34734818</v>
      </c>
      <c r="D26" s="36">
        <f t="shared" si="3"/>
        <v>0</v>
      </c>
      <c r="E26" s="36">
        <f t="shared" si="3"/>
        <v>0</v>
      </c>
      <c r="F26" s="37">
        <f t="shared" si="3"/>
        <v>0</v>
      </c>
      <c r="G26" s="36">
        <f t="shared" si="3"/>
        <v>0</v>
      </c>
      <c r="H26" s="37">
        <f t="shared" si="3"/>
        <v>0</v>
      </c>
      <c r="I26" s="38">
        <f t="shared" si="1"/>
        <v>34734818</v>
      </c>
      <c r="J26" s="146"/>
    </row>
    <row r="27" spans="1:10" ht="16.5" thickBot="1" x14ac:dyDescent="0.3">
      <c r="A27" s="70" t="s">
        <v>147</v>
      </c>
      <c r="B27" s="71" t="s">
        <v>151</v>
      </c>
      <c r="C27" s="214">
        <f>21671927+848312+2030023+888338+52172+83000+37+8613912+537460+9637</f>
        <v>34734818</v>
      </c>
      <c r="D27" s="41"/>
      <c r="E27" s="21"/>
      <c r="F27" s="21"/>
      <c r="G27" s="41"/>
      <c r="H27" s="21"/>
      <c r="I27" s="42">
        <f t="shared" si="1"/>
        <v>34734818</v>
      </c>
      <c r="J27" s="146"/>
    </row>
    <row r="28" spans="1:10" ht="15.75" thickBot="1" x14ac:dyDescent="0.3">
      <c r="A28" s="69" t="s">
        <v>32</v>
      </c>
      <c r="B28" s="35" t="s">
        <v>33</v>
      </c>
      <c r="C28" s="37">
        <f t="shared" ref="C28:H28" si="4">SUM(C29:C30)</f>
        <v>650000</v>
      </c>
      <c r="D28" s="37">
        <f t="shared" si="4"/>
        <v>0</v>
      </c>
      <c r="E28" s="37">
        <f t="shared" si="4"/>
        <v>0</v>
      </c>
      <c r="F28" s="37">
        <f t="shared" si="4"/>
        <v>0</v>
      </c>
      <c r="G28" s="36">
        <f t="shared" si="4"/>
        <v>0</v>
      </c>
      <c r="H28" s="37">
        <f t="shared" si="4"/>
        <v>0</v>
      </c>
      <c r="I28" s="38">
        <f t="shared" si="1"/>
        <v>650000</v>
      </c>
      <c r="J28" s="146"/>
    </row>
    <row r="29" spans="1:10" ht="30" x14ac:dyDescent="0.25">
      <c r="A29" s="45" t="s">
        <v>34</v>
      </c>
      <c r="B29" s="215" t="s">
        <v>152</v>
      </c>
      <c r="C29" s="101">
        <v>650000</v>
      </c>
      <c r="D29" s="44"/>
      <c r="E29" s="44"/>
      <c r="F29" s="44"/>
      <c r="G29" s="14"/>
      <c r="H29" s="21"/>
      <c r="I29" s="42">
        <f t="shared" si="1"/>
        <v>650000</v>
      </c>
      <c r="J29" s="146"/>
    </row>
    <row r="30" spans="1:10" ht="30.75" thickBot="1" x14ac:dyDescent="0.3">
      <c r="A30" s="57" t="s">
        <v>35</v>
      </c>
      <c r="B30" s="20" t="s">
        <v>239</v>
      </c>
      <c r="C30" s="56"/>
      <c r="D30" s="56"/>
      <c r="E30" s="60"/>
      <c r="F30" s="60"/>
      <c r="G30" s="55"/>
      <c r="H30" s="68"/>
      <c r="I30" s="61">
        <f t="shared" si="1"/>
        <v>0</v>
      </c>
      <c r="J30" s="146"/>
    </row>
    <row r="31" spans="1:10" ht="15.75" thickBot="1" x14ac:dyDescent="0.3">
      <c r="A31" s="69" t="s">
        <v>36</v>
      </c>
      <c r="B31" s="35" t="s">
        <v>37</v>
      </c>
      <c r="C31" s="37">
        <f t="shared" ref="C31:H31" si="5">SUM(C32,C33,C37)</f>
        <v>2607275</v>
      </c>
      <c r="D31" s="37">
        <f t="shared" si="5"/>
        <v>3111160</v>
      </c>
      <c r="E31" s="37">
        <f t="shared" si="5"/>
        <v>220077</v>
      </c>
      <c r="F31" s="37">
        <f t="shared" si="5"/>
        <v>838062</v>
      </c>
      <c r="G31" s="37">
        <f t="shared" si="5"/>
        <v>413967</v>
      </c>
      <c r="H31" s="37">
        <f t="shared" si="5"/>
        <v>0</v>
      </c>
      <c r="I31" s="38">
        <f t="shared" si="1"/>
        <v>7190541</v>
      </c>
      <c r="J31" s="146"/>
    </row>
    <row r="32" spans="1:10" ht="31.5" x14ac:dyDescent="0.25">
      <c r="A32" s="72" t="s">
        <v>135</v>
      </c>
      <c r="B32" s="177" t="s">
        <v>136</v>
      </c>
      <c r="C32" s="73">
        <f>32728+32347+95848+11295</f>
        <v>172218</v>
      </c>
      <c r="D32" s="21"/>
      <c r="E32" s="21"/>
      <c r="F32" s="21"/>
      <c r="G32" s="41"/>
      <c r="H32" s="21"/>
      <c r="I32" s="42">
        <f>SUM(C32:G32)</f>
        <v>172218</v>
      </c>
      <c r="J32" s="146"/>
    </row>
    <row r="33" spans="1:10" ht="30" customHeight="1" x14ac:dyDescent="0.25">
      <c r="A33" s="74" t="s">
        <v>38</v>
      </c>
      <c r="B33" s="75" t="s">
        <v>153</v>
      </c>
      <c r="C33" s="28">
        <f t="shared" ref="C33:H33" si="6">SUM(C34:C36)</f>
        <v>2435057</v>
      </c>
      <c r="D33" s="28">
        <f t="shared" si="6"/>
        <v>3110160</v>
      </c>
      <c r="E33" s="28">
        <f t="shared" si="6"/>
        <v>219650</v>
      </c>
      <c r="F33" s="28">
        <f t="shared" si="6"/>
        <v>838062</v>
      </c>
      <c r="G33" s="28">
        <f t="shared" si="6"/>
        <v>411454</v>
      </c>
      <c r="H33" s="76">
        <f t="shared" si="6"/>
        <v>0</v>
      </c>
      <c r="I33" s="42">
        <f t="shared" ref="I33:I41" si="7">SUM(C33:H33)</f>
        <v>7014383</v>
      </c>
      <c r="J33" s="146"/>
    </row>
    <row r="34" spans="1:10" x14ac:dyDescent="0.25">
      <c r="A34" s="43" t="s">
        <v>111</v>
      </c>
      <c r="B34" s="20" t="s">
        <v>112</v>
      </c>
      <c r="C34" s="46">
        <f>638035+4500</f>
        <v>642535</v>
      </c>
      <c r="D34" s="77"/>
      <c r="E34" s="77"/>
      <c r="F34" s="44"/>
      <c r="G34" s="14"/>
      <c r="H34" s="94"/>
      <c r="I34" s="42">
        <f t="shared" si="7"/>
        <v>642535</v>
      </c>
      <c r="J34" s="146"/>
    </row>
    <row r="35" spans="1:10" x14ac:dyDescent="0.25">
      <c r="A35" s="43" t="s">
        <v>39</v>
      </c>
      <c r="B35" s="20" t="s">
        <v>40</v>
      </c>
      <c r="C35" s="14">
        <f>756996+26691+19445</f>
        <v>803132</v>
      </c>
      <c r="D35" s="1">
        <v>40560</v>
      </c>
      <c r="E35" s="14">
        <f>70650+35000</f>
        <v>105650</v>
      </c>
      <c r="F35" s="14">
        <v>700</v>
      </c>
      <c r="G35" s="46">
        <v>13622</v>
      </c>
      <c r="H35" s="21"/>
      <c r="I35" s="42">
        <f t="shared" si="7"/>
        <v>963664</v>
      </c>
      <c r="J35" s="146"/>
    </row>
    <row r="36" spans="1:10" ht="30" x14ac:dyDescent="0.25">
      <c r="A36" s="43" t="s">
        <v>41</v>
      </c>
      <c r="B36" s="20" t="s">
        <v>42</v>
      </c>
      <c r="C36" s="6">
        <f>967300+22090</f>
        <v>989390</v>
      </c>
      <c r="D36" s="1">
        <v>3069600</v>
      </c>
      <c r="E36" s="14">
        <f>180760-66760</f>
        <v>114000</v>
      </c>
      <c r="F36" s="14">
        <v>837362</v>
      </c>
      <c r="G36" s="80">
        <v>397832</v>
      </c>
      <c r="H36" s="21"/>
      <c r="I36" s="42">
        <f t="shared" si="7"/>
        <v>5408184</v>
      </c>
      <c r="J36" s="146"/>
    </row>
    <row r="37" spans="1:10" ht="20.100000000000001" customHeight="1" thickBot="1" x14ac:dyDescent="0.3">
      <c r="A37" s="74" t="s">
        <v>230</v>
      </c>
      <c r="B37" s="75" t="s">
        <v>231</v>
      </c>
      <c r="C37" s="67"/>
      <c r="D37" s="67">
        <v>1000</v>
      </c>
      <c r="E37" s="68">
        <v>427</v>
      </c>
      <c r="F37" s="68"/>
      <c r="G37" s="81">
        <v>2513</v>
      </c>
      <c r="H37" s="25"/>
      <c r="I37" s="42">
        <f t="shared" si="7"/>
        <v>3940</v>
      </c>
      <c r="J37" s="146"/>
    </row>
    <row r="38" spans="1:10" ht="15.75" thickBot="1" x14ac:dyDescent="0.3">
      <c r="A38" s="82"/>
      <c r="B38" s="83" t="s">
        <v>43</v>
      </c>
      <c r="C38" s="84">
        <f t="shared" ref="C38:H38" si="8">SUM(C8+C17+C25+C26+C28+C31)</f>
        <v>105592109</v>
      </c>
      <c r="D38" s="84">
        <f t="shared" si="8"/>
        <v>3124087</v>
      </c>
      <c r="E38" s="84">
        <f t="shared" si="8"/>
        <v>220077</v>
      </c>
      <c r="F38" s="85">
        <f t="shared" si="8"/>
        <v>838062</v>
      </c>
      <c r="G38" s="84">
        <f t="shared" si="8"/>
        <v>413967</v>
      </c>
      <c r="H38" s="85">
        <f t="shared" si="8"/>
        <v>90000</v>
      </c>
      <c r="I38" s="38">
        <f t="shared" si="7"/>
        <v>110278302</v>
      </c>
      <c r="J38" s="146"/>
    </row>
    <row r="39" spans="1:10" x14ac:dyDescent="0.25">
      <c r="A39" s="239" t="s">
        <v>326</v>
      </c>
      <c r="B39" s="86" t="s">
        <v>316</v>
      </c>
      <c r="C39" s="204">
        <f>1395000+252456+997007-173444</f>
        <v>2471019</v>
      </c>
      <c r="D39" s="41"/>
      <c r="E39" s="21"/>
      <c r="F39" s="21"/>
      <c r="G39" s="41"/>
      <c r="H39" s="238"/>
      <c r="I39" s="96">
        <f t="shared" si="7"/>
        <v>2471019</v>
      </c>
      <c r="J39" s="146"/>
    </row>
    <row r="40" spans="1:10" x14ac:dyDescent="0.25">
      <c r="A40" s="240"/>
      <c r="B40" s="87" t="s">
        <v>44</v>
      </c>
      <c r="C40" s="88">
        <f t="shared" ref="C40:H40" si="9">SUM(C38:C39)</f>
        <v>108063128</v>
      </c>
      <c r="D40" s="28">
        <f t="shared" si="9"/>
        <v>3124087</v>
      </c>
      <c r="E40" s="28">
        <f t="shared" si="9"/>
        <v>220077</v>
      </c>
      <c r="F40" s="78">
        <f t="shared" si="9"/>
        <v>838062</v>
      </c>
      <c r="G40" s="28">
        <f t="shared" si="9"/>
        <v>413967</v>
      </c>
      <c r="H40" s="78">
        <f t="shared" si="9"/>
        <v>90000</v>
      </c>
      <c r="I40" s="42">
        <f t="shared" si="7"/>
        <v>112749321</v>
      </c>
      <c r="J40" s="146"/>
    </row>
    <row r="41" spans="1:10" ht="18" customHeight="1" x14ac:dyDescent="0.25">
      <c r="A41" s="241" t="s">
        <v>228</v>
      </c>
      <c r="B41" s="5" t="s">
        <v>617</v>
      </c>
      <c r="C41" s="90">
        <v>20455593</v>
      </c>
      <c r="D41" s="14">
        <v>1204895</v>
      </c>
      <c r="E41" s="14">
        <v>351901</v>
      </c>
      <c r="F41" s="14">
        <v>94957</v>
      </c>
      <c r="G41" s="46">
        <v>141044</v>
      </c>
      <c r="H41" s="21">
        <v>271648</v>
      </c>
      <c r="I41" s="42">
        <f t="shared" si="7"/>
        <v>22520038</v>
      </c>
      <c r="J41" s="146"/>
    </row>
    <row r="42" spans="1:10" x14ac:dyDescent="0.25">
      <c r="A42" s="241" t="s">
        <v>492</v>
      </c>
      <c r="B42" s="25" t="s">
        <v>137</v>
      </c>
      <c r="C42" s="89"/>
      <c r="D42" s="14"/>
      <c r="E42" s="44"/>
      <c r="F42" s="44"/>
      <c r="G42" s="14"/>
      <c r="H42" s="21"/>
      <c r="I42" s="42">
        <f>SUM(C42:G42)</f>
        <v>0</v>
      </c>
      <c r="J42" s="146"/>
    </row>
    <row r="43" spans="1:10" ht="15.75" thickBot="1" x14ac:dyDescent="0.3">
      <c r="A43" s="242"/>
      <c r="B43" s="243" t="s">
        <v>45</v>
      </c>
      <c r="C43" s="244">
        <f t="shared" ref="C43:H43" si="10">SUM(C40:C41)</f>
        <v>128518721</v>
      </c>
      <c r="D43" s="244">
        <f t="shared" si="10"/>
        <v>4328982</v>
      </c>
      <c r="E43" s="244">
        <f t="shared" si="10"/>
        <v>571978</v>
      </c>
      <c r="F43" s="244">
        <f t="shared" si="10"/>
        <v>933019</v>
      </c>
      <c r="G43" s="244">
        <f t="shared" si="10"/>
        <v>555011</v>
      </c>
      <c r="H43" s="246">
        <f t="shared" si="10"/>
        <v>361648</v>
      </c>
      <c r="I43" s="247">
        <f>SUM(I40:I41)</f>
        <v>135269359</v>
      </c>
      <c r="J43" s="146"/>
    </row>
    <row r="44" spans="1:10" x14ac:dyDescent="0.25">
      <c r="A44" s="137"/>
      <c r="B44" s="147"/>
      <c r="C44" s="151"/>
      <c r="D44" s="151"/>
      <c r="E44" s="151"/>
      <c r="F44" s="151"/>
      <c r="G44" s="151"/>
      <c r="H44" s="151"/>
      <c r="I44" s="151"/>
      <c r="J44" s="146"/>
    </row>
    <row r="45" spans="1:10" x14ac:dyDescent="0.25">
      <c r="A45" s="137"/>
      <c r="B45" s="147"/>
      <c r="C45" s="216"/>
      <c r="D45" s="137"/>
      <c r="E45" s="137"/>
      <c r="F45" s="137"/>
      <c r="G45" s="137"/>
      <c r="H45" s="137"/>
      <c r="I45" s="137"/>
    </row>
    <row r="46" spans="1:10" x14ac:dyDescent="0.25">
      <c r="A46" s="137"/>
      <c r="B46" s="147"/>
      <c r="C46" s="217"/>
      <c r="D46" s="217"/>
      <c r="E46" s="217"/>
      <c r="F46" s="217"/>
      <c r="G46" s="217"/>
      <c r="H46" s="217"/>
      <c r="I46" s="217"/>
    </row>
    <row r="47" spans="1:10" x14ac:dyDescent="0.25">
      <c r="A47" s="248" t="s">
        <v>689</v>
      </c>
      <c r="B47" s="248"/>
      <c r="C47" s="248"/>
      <c r="D47" s="248"/>
      <c r="E47" s="248"/>
      <c r="F47" s="248"/>
      <c r="G47" s="248"/>
      <c r="H47" s="248"/>
      <c r="I47" s="248"/>
    </row>
    <row r="48" spans="1:10" x14ac:dyDescent="0.25">
      <c r="A48" s="25"/>
      <c r="C48" s="25"/>
      <c r="D48" s="25"/>
      <c r="E48" s="25"/>
      <c r="F48" s="25"/>
      <c r="G48" s="25"/>
      <c r="H48" s="25"/>
      <c r="I48" s="137"/>
    </row>
    <row r="51" spans="2:2" x14ac:dyDescent="0.25">
      <c r="B51" s="156"/>
    </row>
  </sheetData>
  <mergeCells count="2">
    <mergeCell ref="A47:I47"/>
    <mergeCell ref="A5:I5"/>
  </mergeCells>
  <pageMargins left="0.23622047244094491" right="0.35433070866141736" top="0.78740157480314965" bottom="0.59055118110236227" header="0.51181102362204722" footer="0.51181102362204722"/>
  <pageSetup paperSize="9" scale="9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44"/>
  <sheetViews>
    <sheetView zoomScaleNormal="100" workbookViewId="0">
      <selection activeCell="J1" sqref="J1"/>
    </sheetView>
  </sheetViews>
  <sheetFormatPr defaultColWidth="9.140625" defaultRowHeight="15" x14ac:dyDescent="0.25"/>
  <cols>
    <col min="1" max="1" width="9.42578125" style="19" customWidth="1"/>
    <col min="2" max="2" width="42.140625" style="138" customWidth="1"/>
    <col min="3" max="3" width="13.42578125" style="19" customWidth="1"/>
    <col min="4" max="4" width="14.42578125" style="19" customWidth="1"/>
    <col min="5" max="7" width="10.85546875" style="19" customWidth="1"/>
    <col min="8" max="8" width="18.5703125" style="19" customWidth="1"/>
    <col min="9" max="9" width="15.28515625" style="143" customWidth="1"/>
    <col min="10" max="10" width="12.5703125" style="19" customWidth="1"/>
    <col min="11" max="11" width="10.7109375" style="19" bestFit="1" customWidth="1"/>
    <col min="12" max="16384" width="9.140625" style="19"/>
  </cols>
  <sheetData>
    <row r="1" spans="1:10" x14ac:dyDescent="0.25">
      <c r="A1" s="25"/>
      <c r="C1" s="25"/>
      <c r="D1" s="25"/>
      <c r="E1" s="25"/>
      <c r="F1" s="25"/>
      <c r="G1" s="25"/>
      <c r="I1" s="149" t="s">
        <v>688</v>
      </c>
    </row>
    <row r="2" spans="1:10" x14ac:dyDescent="0.25">
      <c r="A2" s="137"/>
      <c r="B2" s="147"/>
      <c r="C2" s="25"/>
      <c r="D2" s="148"/>
      <c r="E2" s="148"/>
      <c r="F2" s="148"/>
      <c r="G2" s="25"/>
      <c r="I2" s="149" t="s">
        <v>288</v>
      </c>
    </row>
    <row r="3" spans="1:10" x14ac:dyDescent="0.25">
      <c r="A3" s="137"/>
      <c r="B3" s="147"/>
      <c r="C3" s="25"/>
      <c r="D3" s="150"/>
      <c r="E3" s="150"/>
      <c r="F3" s="150"/>
      <c r="G3" s="25"/>
      <c r="I3" s="149" t="s">
        <v>691</v>
      </c>
    </row>
    <row r="4" spans="1:10" x14ac:dyDescent="0.25">
      <c r="A4" s="151"/>
      <c r="B4" s="66"/>
      <c r="C4" s="25"/>
      <c r="D4" s="150"/>
      <c r="E4" s="150"/>
      <c r="F4" s="150"/>
      <c r="G4" s="25"/>
      <c r="H4" s="25"/>
      <c r="I4" s="137"/>
    </row>
    <row r="5" spans="1:10" ht="40.15" customHeight="1" thickBot="1" x14ac:dyDescent="0.35">
      <c r="A5" s="251" t="s">
        <v>705</v>
      </c>
      <c r="B5" s="251"/>
      <c r="C5" s="251"/>
      <c r="D5" s="251"/>
      <c r="E5" s="251"/>
      <c r="F5" s="251"/>
      <c r="G5" s="251"/>
      <c r="H5" s="251"/>
      <c r="I5" s="251"/>
    </row>
    <row r="6" spans="1:10" ht="90.75" thickBot="1" x14ac:dyDescent="0.3">
      <c r="A6" s="29" t="s">
        <v>9</v>
      </c>
      <c r="B6" s="30" t="s">
        <v>103</v>
      </c>
      <c r="C6" s="32" t="s">
        <v>611</v>
      </c>
      <c r="D6" s="200" t="s">
        <v>612</v>
      </c>
      <c r="E6" s="31" t="s">
        <v>613</v>
      </c>
      <c r="F6" s="31" t="s">
        <v>614</v>
      </c>
      <c r="G6" s="31" t="s">
        <v>615</v>
      </c>
      <c r="H6" s="171" t="s">
        <v>693</v>
      </c>
      <c r="I6" s="33" t="s">
        <v>616</v>
      </c>
      <c r="J6" s="8"/>
    </row>
    <row r="7" spans="1:10" ht="15.75" thickBot="1" x14ac:dyDescent="0.3">
      <c r="A7" s="91" t="s">
        <v>46</v>
      </c>
      <c r="B7" s="35" t="s">
        <v>47</v>
      </c>
      <c r="C7" s="37">
        <f t="shared" ref="C7:H7" si="0">C8+C9+C10+C11+C13+C14+C16</f>
        <v>12810325</v>
      </c>
      <c r="D7" s="37">
        <f t="shared" si="0"/>
        <v>0</v>
      </c>
      <c r="E7" s="37">
        <f t="shared" si="0"/>
        <v>0</v>
      </c>
      <c r="F7" s="37">
        <f t="shared" si="0"/>
        <v>0</v>
      </c>
      <c r="G7" s="37">
        <f t="shared" si="0"/>
        <v>0</v>
      </c>
      <c r="H7" s="37">
        <f t="shared" si="0"/>
        <v>0</v>
      </c>
      <c r="I7" s="38">
        <f t="shared" ref="I7:I22" si="1">SUM(C7:H7)</f>
        <v>12810325</v>
      </c>
      <c r="J7" s="146"/>
    </row>
    <row r="8" spans="1:10" ht="20.100000000000001" customHeight="1" x14ac:dyDescent="0.25">
      <c r="A8" s="92" t="s">
        <v>154</v>
      </c>
      <c r="B8" s="93" t="s">
        <v>155</v>
      </c>
      <c r="C8" s="94">
        <f>6865506+39205</f>
        <v>6904711</v>
      </c>
      <c r="D8" s="205"/>
      <c r="E8" s="41"/>
      <c r="F8" s="22"/>
      <c r="G8" s="27"/>
      <c r="H8" s="95"/>
      <c r="I8" s="96">
        <f t="shared" si="1"/>
        <v>6904711</v>
      </c>
      <c r="J8" s="146"/>
    </row>
    <row r="9" spans="1:10" ht="29.25" x14ac:dyDescent="0.25">
      <c r="A9" s="97" t="s">
        <v>609</v>
      </c>
      <c r="B9" s="93" t="s">
        <v>312</v>
      </c>
      <c r="C9" s="94">
        <f>133041</f>
        <v>133041</v>
      </c>
      <c r="D9" s="41"/>
      <c r="E9" s="21"/>
      <c r="F9" s="21"/>
      <c r="G9" s="73"/>
      <c r="H9" s="78"/>
      <c r="I9" s="99">
        <f t="shared" si="1"/>
        <v>133041</v>
      </c>
      <c r="J9" s="146"/>
    </row>
    <row r="10" spans="1:10" ht="29.25" x14ac:dyDescent="0.25">
      <c r="A10" s="97" t="s">
        <v>279</v>
      </c>
      <c r="B10" s="93" t="s">
        <v>302</v>
      </c>
      <c r="C10" s="94">
        <f>18405+146420+37</f>
        <v>164862</v>
      </c>
      <c r="D10" s="41"/>
      <c r="E10" s="21"/>
      <c r="F10" s="21"/>
      <c r="G10" s="73"/>
      <c r="H10" s="78"/>
      <c r="I10" s="99">
        <f t="shared" si="1"/>
        <v>164862</v>
      </c>
      <c r="J10" s="146"/>
    </row>
    <row r="11" spans="1:10" x14ac:dyDescent="0.25">
      <c r="A11" s="98" t="s">
        <v>48</v>
      </c>
      <c r="B11" s="75" t="s">
        <v>49</v>
      </c>
      <c r="C11" s="78">
        <f t="shared" ref="C11:H11" si="2">SUM(C12:C12)</f>
        <v>4563155</v>
      </c>
      <c r="D11" s="78">
        <f t="shared" si="2"/>
        <v>0</v>
      </c>
      <c r="E11" s="78">
        <f t="shared" si="2"/>
        <v>0</v>
      </c>
      <c r="F11" s="78">
        <f t="shared" si="2"/>
        <v>0</v>
      </c>
      <c r="G11" s="28">
        <f t="shared" si="2"/>
        <v>0</v>
      </c>
      <c r="H11" s="78">
        <f t="shared" si="2"/>
        <v>0</v>
      </c>
      <c r="I11" s="99">
        <f t="shared" si="1"/>
        <v>4563155</v>
      </c>
      <c r="J11" s="146"/>
    </row>
    <row r="12" spans="1:10" ht="15" customHeight="1" x14ac:dyDescent="0.25">
      <c r="A12" s="43" t="s">
        <v>50</v>
      </c>
      <c r="B12" s="20" t="s">
        <v>330</v>
      </c>
      <c r="C12" s="44">
        <f>4363155+200000</f>
        <v>4563155</v>
      </c>
      <c r="D12" s="14"/>
      <c r="E12" s="44"/>
      <c r="F12" s="44"/>
      <c r="G12" s="14"/>
      <c r="H12" s="44"/>
      <c r="I12" s="99">
        <f t="shared" si="1"/>
        <v>4563155</v>
      </c>
      <c r="J12" s="146"/>
    </row>
    <row r="13" spans="1:10" ht="29.25" x14ac:dyDescent="0.25">
      <c r="A13" s="174" t="s">
        <v>328</v>
      </c>
      <c r="B13" s="87" t="s">
        <v>156</v>
      </c>
      <c r="C13" s="44">
        <f>60000+170</f>
        <v>60170</v>
      </c>
      <c r="D13" s="14"/>
      <c r="E13" s="44"/>
      <c r="F13" s="44"/>
      <c r="G13" s="14"/>
      <c r="H13" s="44"/>
      <c r="I13" s="99">
        <f t="shared" si="1"/>
        <v>60170</v>
      </c>
      <c r="J13" s="146"/>
    </row>
    <row r="14" spans="1:10" ht="29.25" x14ac:dyDescent="0.25">
      <c r="A14" s="98" t="s">
        <v>51</v>
      </c>
      <c r="B14" s="87" t="s">
        <v>52</v>
      </c>
      <c r="C14" s="78">
        <f t="shared" ref="C14:H14" si="3">SUM(C15:C15)</f>
        <v>890000</v>
      </c>
      <c r="D14" s="78">
        <f t="shared" si="3"/>
        <v>0</v>
      </c>
      <c r="E14" s="78">
        <f t="shared" si="3"/>
        <v>0</v>
      </c>
      <c r="F14" s="78">
        <f t="shared" si="3"/>
        <v>0</v>
      </c>
      <c r="G14" s="78">
        <f t="shared" si="3"/>
        <v>0</v>
      </c>
      <c r="H14" s="78">
        <f t="shared" si="3"/>
        <v>0</v>
      </c>
      <c r="I14" s="99">
        <f t="shared" si="1"/>
        <v>890000</v>
      </c>
      <c r="J14" s="146"/>
    </row>
    <row r="15" spans="1:10" ht="30" x14ac:dyDescent="0.25">
      <c r="A15" s="100" t="s">
        <v>244</v>
      </c>
      <c r="B15" s="20" t="s">
        <v>685</v>
      </c>
      <c r="C15" s="101">
        <f>650000+150000+90000</f>
        <v>890000</v>
      </c>
      <c r="D15" s="14"/>
      <c r="E15" s="44"/>
      <c r="F15" s="44"/>
      <c r="G15" s="14"/>
      <c r="H15" s="44"/>
      <c r="I15" s="99">
        <f t="shared" si="1"/>
        <v>890000</v>
      </c>
      <c r="J15" s="146"/>
    </row>
    <row r="16" spans="1:10" s="143" customFormat="1" ht="15.75" thickBot="1" x14ac:dyDescent="0.3">
      <c r="A16" s="102" t="s">
        <v>53</v>
      </c>
      <c r="B16" s="103" t="s">
        <v>157</v>
      </c>
      <c r="C16" s="105">
        <f>300000-188614-17000</f>
        <v>94386</v>
      </c>
      <c r="D16" s="106"/>
      <c r="E16" s="104"/>
      <c r="F16" s="104"/>
      <c r="G16" s="107"/>
      <c r="H16" s="137"/>
      <c r="I16" s="108">
        <f t="shared" si="1"/>
        <v>94386</v>
      </c>
      <c r="J16" s="146"/>
    </row>
    <row r="17" spans="1:11" ht="15.75" thickBot="1" x14ac:dyDescent="0.3">
      <c r="A17" s="69" t="s">
        <v>54</v>
      </c>
      <c r="B17" s="35" t="s">
        <v>55</v>
      </c>
      <c r="C17" s="37">
        <f t="shared" ref="C17:H17" si="4">SUM(C18:C19,C21:C22)</f>
        <v>2279164</v>
      </c>
      <c r="D17" s="37">
        <f t="shared" si="4"/>
        <v>0</v>
      </c>
      <c r="E17" s="37">
        <f t="shared" si="4"/>
        <v>0</v>
      </c>
      <c r="F17" s="37">
        <f t="shared" si="4"/>
        <v>0</v>
      </c>
      <c r="G17" s="37">
        <f t="shared" si="4"/>
        <v>0</v>
      </c>
      <c r="H17" s="37">
        <f t="shared" si="4"/>
        <v>0</v>
      </c>
      <c r="I17" s="38">
        <f t="shared" si="1"/>
        <v>2279164</v>
      </c>
      <c r="J17" s="146"/>
      <c r="K17" s="179"/>
    </row>
    <row r="18" spans="1:11" x14ac:dyDescent="0.25">
      <c r="A18" s="97" t="s">
        <v>305</v>
      </c>
      <c r="B18" s="93" t="s">
        <v>17</v>
      </c>
      <c r="C18" s="109">
        <f>2145357+1000</f>
        <v>2146357</v>
      </c>
      <c r="D18" s="41"/>
      <c r="E18" s="21"/>
      <c r="F18" s="21"/>
      <c r="G18" s="41"/>
      <c r="H18" s="64"/>
      <c r="I18" s="96">
        <f t="shared" si="1"/>
        <v>2146357</v>
      </c>
      <c r="J18" s="146"/>
    </row>
    <row r="19" spans="1:11" ht="29.25" x14ac:dyDescent="0.25">
      <c r="A19" s="98" t="s">
        <v>219</v>
      </c>
      <c r="B19" s="110" t="s">
        <v>220</v>
      </c>
      <c r="C19" s="78">
        <f t="shared" ref="C19:H19" si="5">SUM(C20:C20)</f>
        <v>74000</v>
      </c>
      <c r="D19" s="78">
        <f t="shared" si="5"/>
        <v>0</v>
      </c>
      <c r="E19" s="78"/>
      <c r="F19" s="78">
        <f t="shared" si="5"/>
        <v>0</v>
      </c>
      <c r="G19" s="78">
        <f t="shared" si="5"/>
        <v>0</v>
      </c>
      <c r="H19" s="78">
        <f t="shared" si="5"/>
        <v>0</v>
      </c>
      <c r="I19" s="99">
        <f t="shared" si="1"/>
        <v>74000</v>
      </c>
      <c r="J19" s="146"/>
    </row>
    <row r="20" spans="1:11" x14ac:dyDescent="0.25">
      <c r="A20" s="43" t="s">
        <v>245</v>
      </c>
      <c r="B20" s="111" t="s">
        <v>618</v>
      </c>
      <c r="C20" s="101">
        <v>74000</v>
      </c>
      <c r="D20" s="14"/>
      <c r="E20" s="44"/>
      <c r="F20" s="44"/>
      <c r="G20" s="14"/>
      <c r="H20" s="44"/>
      <c r="I20" s="99">
        <f t="shared" si="1"/>
        <v>74000</v>
      </c>
      <c r="J20" s="146"/>
    </row>
    <row r="21" spans="1:11" s="143" customFormat="1" ht="29.25" x14ac:dyDescent="0.25">
      <c r="A21" s="166" t="s">
        <v>490</v>
      </c>
      <c r="B21" s="75" t="s">
        <v>485</v>
      </c>
      <c r="C21" s="28">
        <f>30965-1198</f>
        <v>29767</v>
      </c>
      <c r="D21" s="28"/>
      <c r="E21" s="78"/>
      <c r="F21" s="78"/>
      <c r="G21" s="28"/>
      <c r="H21" s="78"/>
      <c r="I21" s="99">
        <f t="shared" si="1"/>
        <v>29767</v>
      </c>
      <c r="J21" s="146"/>
    </row>
    <row r="22" spans="1:11" s="143" customFormat="1" ht="15.75" thickBot="1" x14ac:dyDescent="0.3">
      <c r="A22" s="180" t="s">
        <v>265</v>
      </c>
      <c r="B22" s="112" t="s">
        <v>266</v>
      </c>
      <c r="C22" s="113">
        <v>29040</v>
      </c>
      <c r="D22" s="113"/>
      <c r="E22" s="113"/>
      <c r="F22" s="113"/>
      <c r="G22" s="113"/>
      <c r="H22" s="137"/>
      <c r="I22" s="108">
        <f t="shared" si="1"/>
        <v>29040</v>
      </c>
      <c r="J22" s="146"/>
    </row>
    <row r="23" spans="1:11" ht="15.75" thickBot="1" x14ac:dyDescent="0.3">
      <c r="A23" s="69" t="s">
        <v>1</v>
      </c>
      <c r="B23" s="35" t="s">
        <v>56</v>
      </c>
      <c r="C23" s="181">
        <f>SUM(C24,C30:C31,C55)</f>
        <v>4398909</v>
      </c>
      <c r="D23" s="181">
        <f t="shared" ref="D23:I23" si="6">SUM(D24,D30:D31,D55)</f>
        <v>189175</v>
      </c>
      <c r="E23" s="181">
        <f t="shared" si="6"/>
        <v>0</v>
      </c>
      <c r="F23" s="181">
        <f t="shared" si="6"/>
        <v>0</v>
      </c>
      <c r="G23" s="181">
        <f t="shared" si="6"/>
        <v>0</v>
      </c>
      <c r="H23" s="181">
        <f t="shared" si="6"/>
        <v>672832</v>
      </c>
      <c r="I23" s="181">
        <f t="shared" si="6"/>
        <v>5260916</v>
      </c>
      <c r="J23" s="146"/>
    </row>
    <row r="24" spans="1:11" x14ac:dyDescent="0.25">
      <c r="A24" s="92" t="s">
        <v>57</v>
      </c>
      <c r="B24" s="73" t="s">
        <v>58</v>
      </c>
      <c r="C24" s="94">
        <f t="shared" ref="C24:H24" si="7">SUM(C25:C29)</f>
        <v>176881</v>
      </c>
      <c r="D24" s="94">
        <f t="shared" si="7"/>
        <v>0</v>
      </c>
      <c r="E24" s="94">
        <f t="shared" si="7"/>
        <v>0</v>
      </c>
      <c r="F24" s="94">
        <f t="shared" si="7"/>
        <v>0</v>
      </c>
      <c r="G24" s="73">
        <f t="shared" si="7"/>
        <v>0</v>
      </c>
      <c r="H24" s="94">
        <f t="shared" si="7"/>
        <v>0</v>
      </c>
      <c r="I24" s="96">
        <f t="shared" ref="I24:I30" si="8">SUM(C24:H24)</f>
        <v>176881</v>
      </c>
      <c r="J24" s="146"/>
    </row>
    <row r="25" spans="1:11" x14ac:dyDescent="0.25">
      <c r="A25" s="114" t="s">
        <v>158</v>
      </c>
      <c r="B25" s="41" t="s">
        <v>159</v>
      </c>
      <c r="C25" s="109">
        <f>5458</f>
        <v>5458</v>
      </c>
      <c r="D25" s="41"/>
      <c r="E25" s="21"/>
      <c r="F25" s="21"/>
      <c r="G25" s="41"/>
      <c r="H25" s="44"/>
      <c r="I25" s="99">
        <f t="shared" si="8"/>
        <v>5458</v>
      </c>
      <c r="J25" s="146"/>
    </row>
    <row r="26" spans="1:11" ht="30" x14ac:dyDescent="0.25">
      <c r="A26" s="114" t="s">
        <v>246</v>
      </c>
      <c r="B26" s="5" t="s">
        <v>280</v>
      </c>
      <c r="C26" s="21">
        <f>52000</f>
        <v>52000</v>
      </c>
      <c r="D26" s="41"/>
      <c r="E26" s="21"/>
      <c r="F26" s="21"/>
      <c r="G26" s="41"/>
      <c r="H26" s="44"/>
      <c r="I26" s="99">
        <f t="shared" si="8"/>
        <v>52000</v>
      </c>
      <c r="J26" s="146"/>
    </row>
    <row r="27" spans="1:11" x14ac:dyDescent="0.25">
      <c r="A27" s="114" t="s">
        <v>247</v>
      </c>
      <c r="B27" s="115" t="s">
        <v>238</v>
      </c>
      <c r="C27" s="109">
        <v>2000</v>
      </c>
      <c r="D27" s="41"/>
      <c r="E27" s="21"/>
      <c r="F27" s="21"/>
      <c r="G27" s="41"/>
      <c r="H27" s="44"/>
      <c r="I27" s="99">
        <f t="shared" si="8"/>
        <v>2000</v>
      </c>
      <c r="J27" s="146"/>
    </row>
    <row r="28" spans="1:11" ht="45" x14ac:dyDescent="0.25">
      <c r="A28" s="236" t="s">
        <v>682</v>
      </c>
      <c r="B28" s="237" t="s">
        <v>683</v>
      </c>
      <c r="C28" s="109">
        <v>7423</v>
      </c>
      <c r="D28" s="41"/>
      <c r="E28" s="21"/>
      <c r="F28" s="21"/>
      <c r="G28" s="41"/>
      <c r="H28" s="44"/>
      <c r="I28" s="99">
        <f>SUM(C28:H28)</f>
        <v>7423</v>
      </c>
      <c r="J28" s="146"/>
    </row>
    <row r="29" spans="1:11" x14ac:dyDescent="0.25">
      <c r="A29" s="12" t="s">
        <v>267</v>
      </c>
      <c r="B29" s="3" t="s">
        <v>268</v>
      </c>
      <c r="C29" s="21">
        <f>100000+10000</f>
        <v>110000</v>
      </c>
      <c r="D29" s="41"/>
      <c r="E29" s="21"/>
      <c r="F29" s="21"/>
      <c r="G29" s="41"/>
      <c r="H29" s="44"/>
      <c r="I29" s="99">
        <f t="shared" si="8"/>
        <v>110000</v>
      </c>
      <c r="J29" s="146"/>
    </row>
    <row r="30" spans="1:11" x14ac:dyDescent="0.25">
      <c r="A30" s="92" t="s">
        <v>248</v>
      </c>
      <c r="B30" s="93" t="s">
        <v>113</v>
      </c>
      <c r="C30" s="94">
        <v>670286</v>
      </c>
      <c r="D30" s="14"/>
      <c r="E30" s="44"/>
      <c r="F30" s="44"/>
      <c r="G30" s="14"/>
      <c r="H30" s="44"/>
      <c r="I30" s="99">
        <f t="shared" si="8"/>
        <v>670286</v>
      </c>
      <c r="J30" s="146"/>
    </row>
    <row r="31" spans="1:11" x14ac:dyDescent="0.25">
      <c r="A31" s="98" t="s">
        <v>59</v>
      </c>
      <c r="B31" s="75" t="s">
        <v>60</v>
      </c>
      <c r="C31" s="78">
        <f t="shared" ref="C31:I31" si="9">SUM(C32:C54)</f>
        <v>3270525</v>
      </c>
      <c r="D31" s="78">
        <f t="shared" si="9"/>
        <v>189175</v>
      </c>
      <c r="E31" s="78">
        <f t="shared" si="9"/>
        <v>0</v>
      </c>
      <c r="F31" s="78">
        <f t="shared" si="9"/>
        <v>0</v>
      </c>
      <c r="G31" s="78">
        <f t="shared" si="9"/>
        <v>0</v>
      </c>
      <c r="H31" s="78">
        <f t="shared" si="9"/>
        <v>0</v>
      </c>
      <c r="I31" s="170">
        <f t="shared" si="9"/>
        <v>3459700</v>
      </c>
      <c r="J31" s="146"/>
    </row>
    <row r="32" spans="1:11" x14ac:dyDescent="0.25">
      <c r="A32" s="117" t="s">
        <v>259</v>
      </c>
      <c r="B32" s="20" t="s">
        <v>331</v>
      </c>
      <c r="C32" s="101">
        <f>12100+18000+101006+96828+712845+300000-20000</f>
        <v>1220779</v>
      </c>
      <c r="D32" s="14"/>
      <c r="E32" s="44"/>
      <c r="F32" s="44"/>
      <c r="G32" s="14"/>
      <c r="H32" s="44"/>
      <c r="I32" s="99">
        <f t="shared" ref="I32:I81" si="10">SUM(C32:H32)</f>
        <v>1220779</v>
      </c>
      <c r="J32" s="146"/>
      <c r="K32" s="196"/>
    </row>
    <row r="33" spans="1:10" x14ac:dyDescent="0.25">
      <c r="A33" s="117" t="s">
        <v>332</v>
      </c>
      <c r="B33" s="184" t="s">
        <v>493</v>
      </c>
      <c r="C33" s="6">
        <f>19550+60821+20000+30000</f>
        <v>130371</v>
      </c>
      <c r="D33" s="14"/>
      <c r="E33" s="158"/>
      <c r="F33" s="44"/>
      <c r="G33" s="14"/>
      <c r="H33" s="44"/>
      <c r="I33" s="99">
        <f t="shared" si="10"/>
        <v>130371</v>
      </c>
      <c r="J33" s="146"/>
    </row>
    <row r="34" spans="1:10" ht="30" x14ac:dyDescent="0.25">
      <c r="A34" s="117" t="s">
        <v>333</v>
      </c>
      <c r="B34" s="184" t="s">
        <v>334</v>
      </c>
      <c r="C34" s="6">
        <f>74542+11773</f>
        <v>86315</v>
      </c>
      <c r="D34" s="14"/>
      <c r="E34" s="158"/>
      <c r="F34" s="44"/>
      <c r="G34" s="14"/>
      <c r="H34" s="44"/>
      <c r="I34" s="99">
        <f t="shared" si="10"/>
        <v>86315</v>
      </c>
      <c r="J34" s="146"/>
    </row>
    <row r="35" spans="1:10" x14ac:dyDescent="0.25">
      <c r="A35" s="117" t="s">
        <v>335</v>
      </c>
      <c r="B35" s="2" t="s">
        <v>336</v>
      </c>
      <c r="C35" s="6">
        <f>40000+185977</f>
        <v>225977</v>
      </c>
      <c r="D35" s="14"/>
      <c r="E35" s="15"/>
      <c r="F35" s="44"/>
      <c r="G35" s="14"/>
      <c r="H35" s="44"/>
      <c r="I35" s="99">
        <f t="shared" si="10"/>
        <v>225977</v>
      </c>
      <c r="J35" s="146"/>
    </row>
    <row r="36" spans="1:10" ht="30" x14ac:dyDescent="0.25">
      <c r="A36" s="117" t="s">
        <v>337</v>
      </c>
      <c r="B36" s="184" t="s">
        <v>338</v>
      </c>
      <c r="C36" s="6">
        <f>30000+65480</f>
        <v>95480</v>
      </c>
      <c r="D36" s="14"/>
      <c r="E36" s="158"/>
      <c r="F36" s="44"/>
      <c r="G36" s="14"/>
      <c r="H36" s="44"/>
      <c r="I36" s="99">
        <f t="shared" si="10"/>
        <v>95480</v>
      </c>
      <c r="J36" s="146"/>
    </row>
    <row r="37" spans="1:10" ht="30" x14ac:dyDescent="0.25">
      <c r="A37" s="117" t="s">
        <v>339</v>
      </c>
      <c r="B37" s="184" t="s">
        <v>340</v>
      </c>
      <c r="C37" s="6">
        <f>9000+89946</f>
        <v>98946</v>
      </c>
      <c r="D37" s="14"/>
      <c r="E37" s="158"/>
      <c r="F37" s="44"/>
      <c r="G37" s="14"/>
      <c r="H37" s="44"/>
      <c r="I37" s="99">
        <f t="shared" si="10"/>
        <v>98946</v>
      </c>
      <c r="J37" s="146"/>
    </row>
    <row r="38" spans="1:10" x14ac:dyDescent="0.25">
      <c r="A38" s="117" t="s">
        <v>341</v>
      </c>
      <c r="B38" s="2" t="s">
        <v>342</v>
      </c>
      <c r="C38" s="6">
        <v>208077</v>
      </c>
      <c r="D38" s="14"/>
      <c r="E38" s="15"/>
      <c r="F38" s="44"/>
      <c r="G38" s="14"/>
      <c r="H38" s="44"/>
      <c r="I38" s="99">
        <f t="shared" si="10"/>
        <v>208077</v>
      </c>
      <c r="J38" s="146"/>
    </row>
    <row r="39" spans="1:10" ht="15" customHeight="1" x14ac:dyDescent="0.25">
      <c r="A39" s="117" t="s">
        <v>494</v>
      </c>
      <c r="B39" s="184" t="s">
        <v>495</v>
      </c>
      <c r="C39" s="101">
        <v>43001</v>
      </c>
      <c r="D39" s="14"/>
      <c r="E39" s="206"/>
      <c r="F39" s="44"/>
      <c r="G39" s="14"/>
      <c r="H39" s="44"/>
      <c r="I39" s="99">
        <f t="shared" si="10"/>
        <v>43001</v>
      </c>
      <c r="J39" s="146"/>
    </row>
    <row r="40" spans="1:10" ht="15" customHeight="1" x14ac:dyDescent="0.25">
      <c r="A40" s="117" t="s">
        <v>496</v>
      </c>
      <c r="B40" s="184" t="s">
        <v>497</v>
      </c>
      <c r="C40" s="101">
        <v>66715</v>
      </c>
      <c r="D40" s="14"/>
      <c r="E40" s="206"/>
      <c r="F40" s="44"/>
      <c r="G40" s="14"/>
      <c r="H40" s="44"/>
      <c r="I40" s="99">
        <f t="shared" si="10"/>
        <v>66715</v>
      </c>
      <c r="J40" s="146"/>
    </row>
    <row r="41" spans="1:10" x14ac:dyDescent="0.25">
      <c r="A41" s="117" t="s">
        <v>519</v>
      </c>
      <c r="B41" s="2" t="s">
        <v>520</v>
      </c>
      <c r="C41" s="101">
        <f>111144+3065+18</f>
        <v>114227</v>
      </c>
      <c r="D41" s="14"/>
      <c r="E41" s="206"/>
      <c r="F41" s="44"/>
      <c r="G41" s="14"/>
      <c r="H41" s="44"/>
      <c r="I41" s="99">
        <f t="shared" si="10"/>
        <v>114227</v>
      </c>
      <c r="J41" s="218"/>
    </row>
    <row r="42" spans="1:10" x14ac:dyDescent="0.25">
      <c r="A42" s="117" t="s">
        <v>521</v>
      </c>
      <c r="B42" s="2" t="s">
        <v>522</v>
      </c>
      <c r="C42" s="101">
        <f>47703+1155+4583</f>
        <v>53441</v>
      </c>
      <c r="D42" s="14"/>
      <c r="E42" s="206"/>
      <c r="F42" s="44"/>
      <c r="G42" s="14"/>
      <c r="H42" s="44"/>
      <c r="I42" s="99">
        <f t="shared" si="10"/>
        <v>53441</v>
      </c>
      <c r="J42" s="218"/>
    </row>
    <row r="43" spans="1:10" x14ac:dyDescent="0.25">
      <c r="A43" s="117" t="s">
        <v>523</v>
      </c>
      <c r="B43" s="2" t="s">
        <v>524</v>
      </c>
      <c r="C43" s="101">
        <f>21436+52662+4959</f>
        <v>79057</v>
      </c>
      <c r="D43" s="14"/>
      <c r="E43" s="206"/>
      <c r="F43" s="44"/>
      <c r="G43" s="14"/>
      <c r="H43" s="44"/>
      <c r="I43" s="99">
        <f t="shared" si="10"/>
        <v>79057</v>
      </c>
      <c r="J43" s="146"/>
    </row>
    <row r="44" spans="1:10" x14ac:dyDescent="0.25">
      <c r="A44" s="117" t="s">
        <v>525</v>
      </c>
      <c r="B44" s="2" t="s">
        <v>526</v>
      </c>
      <c r="C44" s="101">
        <f>101051+88493-6797</f>
        <v>182747</v>
      </c>
      <c r="D44" s="14"/>
      <c r="E44" s="206"/>
      <c r="F44" s="44"/>
      <c r="G44" s="14"/>
      <c r="H44" s="44"/>
      <c r="I44" s="99">
        <f t="shared" si="10"/>
        <v>182747</v>
      </c>
      <c r="J44" s="146"/>
    </row>
    <row r="45" spans="1:10" x14ac:dyDescent="0.25">
      <c r="A45" s="117" t="s">
        <v>527</v>
      </c>
      <c r="B45" s="2" t="s">
        <v>528</v>
      </c>
      <c r="C45" s="101">
        <v>59002</v>
      </c>
      <c r="D45" s="14"/>
      <c r="E45" s="206"/>
      <c r="F45" s="44"/>
      <c r="G45" s="14"/>
      <c r="H45" s="44"/>
      <c r="I45" s="99">
        <f t="shared" si="10"/>
        <v>59002</v>
      </c>
      <c r="J45" s="218"/>
    </row>
    <row r="46" spans="1:10" x14ac:dyDescent="0.25">
      <c r="A46" s="117" t="s">
        <v>529</v>
      </c>
      <c r="B46" s="2" t="s">
        <v>530</v>
      </c>
      <c r="C46" s="101">
        <f>64361+9</f>
        <v>64370</v>
      </c>
      <c r="D46" s="14"/>
      <c r="E46" s="206"/>
      <c r="F46" s="44"/>
      <c r="G46" s="14"/>
      <c r="H46" s="44"/>
      <c r="I46" s="99">
        <f t="shared" si="10"/>
        <v>64370</v>
      </c>
      <c r="J46" s="218"/>
    </row>
    <row r="47" spans="1:10" x14ac:dyDescent="0.25">
      <c r="A47" s="117" t="s">
        <v>531</v>
      </c>
      <c r="B47" s="2" t="s">
        <v>532</v>
      </c>
      <c r="C47" s="101">
        <f>38148</f>
        <v>38148</v>
      </c>
      <c r="D47" s="14"/>
      <c r="E47" s="206"/>
      <c r="F47" s="44"/>
      <c r="G47" s="14"/>
      <c r="H47" s="44"/>
      <c r="I47" s="99">
        <f t="shared" si="10"/>
        <v>38148</v>
      </c>
      <c r="J47" s="146"/>
    </row>
    <row r="48" spans="1:10" x14ac:dyDescent="0.25">
      <c r="A48" s="117" t="s">
        <v>533</v>
      </c>
      <c r="B48" s="2" t="s">
        <v>534</v>
      </c>
      <c r="C48" s="101">
        <f>23083+54070-14900</f>
        <v>62253</v>
      </c>
      <c r="D48" s="14"/>
      <c r="E48" s="206"/>
      <c r="F48" s="44"/>
      <c r="G48" s="14"/>
      <c r="H48" s="44"/>
      <c r="I48" s="99">
        <f t="shared" si="10"/>
        <v>62253</v>
      </c>
      <c r="J48" s="146"/>
    </row>
    <row r="49" spans="1:10" x14ac:dyDescent="0.25">
      <c r="A49" s="43" t="s">
        <v>160</v>
      </c>
      <c r="B49" s="86" t="s">
        <v>161</v>
      </c>
      <c r="C49" s="185"/>
      <c r="D49" s="14">
        <v>189175</v>
      </c>
      <c r="E49" s="44"/>
      <c r="F49" s="44"/>
      <c r="G49" s="6"/>
      <c r="H49" s="44"/>
      <c r="I49" s="99">
        <f t="shared" si="10"/>
        <v>189175</v>
      </c>
      <c r="J49" s="146"/>
    </row>
    <row r="50" spans="1:10" ht="45" x14ac:dyDescent="0.25">
      <c r="A50" s="11" t="s">
        <v>343</v>
      </c>
      <c r="B50" s="4" t="s">
        <v>498</v>
      </c>
      <c r="C50" s="14">
        <v>200690</v>
      </c>
      <c r="D50" s="14"/>
      <c r="E50" s="44"/>
      <c r="F50" s="44"/>
      <c r="G50" s="14"/>
      <c r="H50" s="44"/>
      <c r="I50" s="99">
        <f t="shared" si="10"/>
        <v>200690</v>
      </c>
      <c r="J50" s="146"/>
    </row>
    <row r="51" spans="1:10" x14ac:dyDescent="0.25">
      <c r="A51" s="11" t="s">
        <v>686</v>
      </c>
      <c r="B51" s="4" t="s">
        <v>687</v>
      </c>
      <c r="C51" s="44">
        <v>136000</v>
      </c>
      <c r="D51" s="14"/>
      <c r="E51" s="44"/>
      <c r="F51" s="44"/>
      <c r="G51" s="14"/>
      <c r="H51" s="44"/>
      <c r="I51" s="99">
        <f>SUM(C51:H51)</f>
        <v>136000</v>
      </c>
      <c r="J51" s="146"/>
    </row>
    <row r="52" spans="1:10" x14ac:dyDescent="0.25">
      <c r="A52" s="11" t="s">
        <v>652</v>
      </c>
      <c r="B52" s="4" t="s">
        <v>662</v>
      </c>
      <c r="C52" s="44">
        <f>11000+5125</f>
        <v>16125</v>
      </c>
      <c r="D52" s="14"/>
      <c r="E52" s="44"/>
      <c r="F52" s="44"/>
      <c r="G52" s="14"/>
      <c r="H52" s="44"/>
      <c r="I52" s="99">
        <f t="shared" si="10"/>
        <v>16125</v>
      </c>
      <c r="J52" s="146"/>
    </row>
    <row r="53" spans="1:10" ht="30" x14ac:dyDescent="0.25">
      <c r="A53" s="11" t="s">
        <v>344</v>
      </c>
      <c r="B53" s="4" t="s">
        <v>499</v>
      </c>
      <c r="C53" s="44">
        <v>88804</v>
      </c>
      <c r="D53" s="14"/>
      <c r="E53" s="44"/>
      <c r="F53" s="44"/>
      <c r="G53" s="14"/>
      <c r="H53" s="44"/>
      <c r="I53" s="99">
        <f t="shared" si="10"/>
        <v>88804</v>
      </c>
      <c r="J53" s="146"/>
    </row>
    <row r="54" spans="1:10" x14ac:dyDescent="0.25">
      <c r="A54" s="11"/>
      <c r="B54" s="165"/>
      <c r="C54" s="44"/>
      <c r="D54" s="44"/>
      <c r="E54" s="44"/>
      <c r="F54" s="44"/>
      <c r="G54" s="14"/>
      <c r="H54" s="44"/>
      <c r="I54" s="99">
        <f t="shared" si="10"/>
        <v>0</v>
      </c>
      <c r="J54" s="146"/>
    </row>
    <row r="55" spans="1:10" x14ac:dyDescent="0.25">
      <c r="A55" s="174" t="s">
        <v>645</v>
      </c>
      <c r="B55" s="118" t="s">
        <v>646</v>
      </c>
      <c r="C55" s="78">
        <f t="shared" ref="C55:H55" si="11">C56+C57+C58</f>
        <v>281217</v>
      </c>
      <c r="D55" s="78">
        <f t="shared" si="11"/>
        <v>0</v>
      </c>
      <c r="E55" s="78">
        <f t="shared" si="11"/>
        <v>0</v>
      </c>
      <c r="F55" s="78">
        <f t="shared" si="11"/>
        <v>0</v>
      </c>
      <c r="G55" s="78">
        <f t="shared" si="11"/>
        <v>0</v>
      </c>
      <c r="H55" s="78">
        <f t="shared" si="11"/>
        <v>672832</v>
      </c>
      <c r="I55" s="99">
        <f>SUM(C55:H55)</f>
        <v>954049</v>
      </c>
      <c r="J55" s="146"/>
    </row>
    <row r="56" spans="1:10" x14ac:dyDescent="0.25">
      <c r="A56" s="194" t="s">
        <v>275</v>
      </c>
      <c r="B56" s="169" t="s">
        <v>674</v>
      </c>
      <c r="C56" s="44">
        <v>234630</v>
      </c>
      <c r="D56" s="44"/>
      <c r="E56" s="44"/>
      <c r="F56" s="44"/>
      <c r="G56" s="44"/>
      <c r="H56" s="44"/>
      <c r="I56" s="99">
        <f t="shared" si="10"/>
        <v>234630</v>
      </c>
      <c r="J56" s="146"/>
    </row>
    <row r="57" spans="1:10" ht="30" x14ac:dyDescent="0.25">
      <c r="A57" s="11" t="s">
        <v>345</v>
      </c>
      <c r="B57" s="168" t="s">
        <v>317</v>
      </c>
      <c r="C57" s="68"/>
      <c r="D57" s="68"/>
      <c r="E57" s="68"/>
      <c r="F57" s="68"/>
      <c r="G57" s="68"/>
      <c r="H57" s="60">
        <v>672832</v>
      </c>
      <c r="I57" s="99">
        <f t="shared" si="10"/>
        <v>672832</v>
      </c>
      <c r="J57" s="146"/>
    </row>
    <row r="58" spans="1:10" ht="15.75" thickBot="1" x14ac:dyDescent="0.3">
      <c r="A58" s="11" t="s">
        <v>346</v>
      </c>
      <c r="B58" s="169" t="s">
        <v>318</v>
      </c>
      <c r="C58" s="14">
        <f>44062+2525</f>
        <v>46587</v>
      </c>
      <c r="D58" s="14"/>
      <c r="E58" s="14"/>
      <c r="F58" s="14"/>
      <c r="G58" s="14"/>
      <c r="H58" s="60"/>
      <c r="I58" s="99">
        <f t="shared" si="10"/>
        <v>46587</v>
      </c>
      <c r="J58" s="146"/>
    </row>
    <row r="59" spans="1:10" ht="15.75" thickBot="1" x14ac:dyDescent="0.3">
      <c r="A59" s="69" t="s">
        <v>15</v>
      </c>
      <c r="B59" s="119" t="s">
        <v>61</v>
      </c>
      <c r="C59" s="37">
        <f t="shared" ref="C59:H59" si="12">C60+C63+C73+C75</f>
        <v>765152</v>
      </c>
      <c r="D59" s="37">
        <f t="shared" si="12"/>
        <v>601661</v>
      </c>
      <c r="E59" s="37">
        <f t="shared" si="12"/>
        <v>0</v>
      </c>
      <c r="F59" s="37">
        <f t="shared" si="12"/>
        <v>0</v>
      </c>
      <c r="G59" s="37">
        <f t="shared" si="12"/>
        <v>142974</v>
      </c>
      <c r="H59" s="37">
        <f t="shared" si="12"/>
        <v>0</v>
      </c>
      <c r="I59" s="38">
        <f t="shared" si="10"/>
        <v>1509787</v>
      </c>
      <c r="J59" s="146"/>
    </row>
    <row r="60" spans="1:10" x14ac:dyDescent="0.25">
      <c r="A60" s="92" t="s">
        <v>62</v>
      </c>
      <c r="B60" s="118" t="s">
        <v>63</v>
      </c>
      <c r="C60" s="94">
        <f t="shared" ref="C60:H60" si="13">SUM(C61:C62)</f>
        <v>27968</v>
      </c>
      <c r="D60" s="94">
        <f t="shared" si="13"/>
        <v>175084</v>
      </c>
      <c r="E60" s="94">
        <f t="shared" si="13"/>
        <v>0</v>
      </c>
      <c r="F60" s="94">
        <f t="shared" si="13"/>
        <v>0</v>
      </c>
      <c r="G60" s="94">
        <f t="shared" si="13"/>
        <v>75321</v>
      </c>
      <c r="H60" s="94">
        <f t="shared" si="13"/>
        <v>0</v>
      </c>
      <c r="I60" s="96">
        <f t="shared" si="10"/>
        <v>278373</v>
      </c>
      <c r="J60" s="146"/>
    </row>
    <row r="61" spans="1:10" ht="30" x14ac:dyDescent="0.25">
      <c r="A61" s="43" t="s">
        <v>162</v>
      </c>
      <c r="B61" s="20" t="s">
        <v>281</v>
      </c>
      <c r="C61" s="101">
        <v>8608</v>
      </c>
      <c r="D61" s="14">
        <v>175084</v>
      </c>
      <c r="E61" s="14"/>
      <c r="F61" s="14"/>
      <c r="G61" s="44">
        <v>75321</v>
      </c>
      <c r="H61" s="44"/>
      <c r="I61" s="99">
        <f t="shared" si="10"/>
        <v>259013</v>
      </c>
      <c r="J61" s="218"/>
    </row>
    <row r="62" spans="1:10" x14ac:dyDescent="0.25">
      <c r="A62" s="43" t="s">
        <v>232</v>
      </c>
      <c r="B62" s="111" t="s">
        <v>347</v>
      </c>
      <c r="C62" s="44">
        <v>19360</v>
      </c>
      <c r="D62" s="44"/>
      <c r="E62" s="44"/>
      <c r="F62" s="14"/>
      <c r="G62" s="46"/>
      <c r="H62" s="44"/>
      <c r="I62" s="99">
        <f t="shared" si="10"/>
        <v>19360</v>
      </c>
      <c r="J62" s="146"/>
    </row>
    <row r="63" spans="1:10" x14ac:dyDescent="0.25">
      <c r="A63" s="98" t="s">
        <v>2</v>
      </c>
      <c r="B63" s="87" t="s">
        <v>64</v>
      </c>
      <c r="C63" s="178">
        <f t="shared" ref="C63:H63" si="14">SUM(C64:C72)</f>
        <v>497395</v>
      </c>
      <c r="D63" s="178">
        <f t="shared" si="14"/>
        <v>426577</v>
      </c>
      <c r="E63" s="178">
        <f t="shared" si="14"/>
        <v>0</v>
      </c>
      <c r="F63" s="178">
        <f t="shared" si="14"/>
        <v>0</v>
      </c>
      <c r="G63" s="178">
        <f t="shared" si="14"/>
        <v>67653</v>
      </c>
      <c r="H63" s="178">
        <f t="shared" si="14"/>
        <v>0</v>
      </c>
      <c r="I63" s="99">
        <f t="shared" si="10"/>
        <v>991625</v>
      </c>
      <c r="J63" s="146"/>
    </row>
    <row r="64" spans="1:10" x14ac:dyDescent="0.25">
      <c r="A64" s="43" t="s">
        <v>163</v>
      </c>
      <c r="B64" s="5" t="s">
        <v>348</v>
      </c>
      <c r="C64" s="186">
        <f>287792+45224</f>
        <v>333016</v>
      </c>
      <c r="D64" s="14">
        <v>41818</v>
      </c>
      <c r="E64" s="14"/>
      <c r="F64" s="14"/>
      <c r="G64" s="46"/>
      <c r="H64" s="44"/>
      <c r="I64" s="99">
        <f t="shared" si="10"/>
        <v>374834</v>
      </c>
      <c r="J64" s="146"/>
    </row>
    <row r="65" spans="1:11" x14ac:dyDescent="0.25">
      <c r="A65" s="121" t="s">
        <v>164</v>
      </c>
      <c r="B65" s="5" t="s">
        <v>349</v>
      </c>
      <c r="C65" s="187"/>
      <c r="D65" s="14">
        <v>384759</v>
      </c>
      <c r="E65" s="44"/>
      <c r="F65" s="44"/>
      <c r="G65" s="14">
        <v>67653</v>
      </c>
      <c r="H65" s="44"/>
      <c r="I65" s="99">
        <f t="shared" si="10"/>
        <v>452412</v>
      </c>
      <c r="J65" s="146"/>
      <c r="K65" s="196"/>
    </row>
    <row r="66" spans="1:11" ht="15" customHeight="1" x14ac:dyDescent="0.25">
      <c r="A66" s="212" t="s">
        <v>535</v>
      </c>
      <c r="B66" s="5" t="s">
        <v>536</v>
      </c>
      <c r="C66" s="183">
        <f>24233+1300</f>
        <v>25533</v>
      </c>
      <c r="D66" s="21"/>
      <c r="E66" s="21"/>
      <c r="F66" s="21"/>
      <c r="G66" s="21"/>
      <c r="H66" s="21"/>
      <c r="I66" s="99">
        <f t="shared" si="10"/>
        <v>25533</v>
      </c>
      <c r="J66" s="146"/>
    </row>
    <row r="67" spans="1:11" ht="15" customHeight="1" x14ac:dyDescent="0.25">
      <c r="A67" s="212" t="s">
        <v>537</v>
      </c>
      <c r="B67" s="5" t="s">
        <v>538</v>
      </c>
      <c r="C67" s="188">
        <f>14650-3500</f>
        <v>11150</v>
      </c>
      <c r="D67" s="21"/>
      <c r="E67" s="21"/>
      <c r="F67" s="21"/>
      <c r="G67" s="21"/>
      <c r="H67" s="21"/>
      <c r="I67" s="99">
        <f t="shared" si="10"/>
        <v>11150</v>
      </c>
      <c r="J67" s="146"/>
    </row>
    <row r="68" spans="1:11" ht="15" customHeight="1" x14ac:dyDescent="0.25">
      <c r="A68" s="212" t="s">
        <v>539</v>
      </c>
      <c r="B68" s="5" t="s">
        <v>540</v>
      </c>
      <c r="C68" s="188">
        <f>76136-1500</f>
        <v>74636</v>
      </c>
      <c r="D68" s="21"/>
      <c r="E68" s="21"/>
      <c r="F68" s="21"/>
      <c r="G68" s="21"/>
      <c r="H68" s="21"/>
      <c r="I68" s="99">
        <f t="shared" si="10"/>
        <v>74636</v>
      </c>
      <c r="J68" s="146"/>
    </row>
    <row r="69" spans="1:11" x14ac:dyDescent="0.25">
      <c r="A69" s="212" t="s">
        <v>541</v>
      </c>
      <c r="B69" s="5" t="s">
        <v>542</v>
      </c>
      <c r="C69" s="188">
        <f>13614-1000</f>
        <v>12614</v>
      </c>
      <c r="D69" s="21"/>
      <c r="E69" s="21"/>
      <c r="F69" s="21"/>
      <c r="G69" s="21"/>
      <c r="H69" s="21"/>
      <c r="I69" s="99">
        <f t="shared" si="10"/>
        <v>12614</v>
      </c>
      <c r="J69" s="146"/>
    </row>
    <row r="70" spans="1:11" ht="15" customHeight="1" x14ac:dyDescent="0.25">
      <c r="A70" s="212" t="s">
        <v>543</v>
      </c>
      <c r="B70" s="5" t="s">
        <v>544</v>
      </c>
      <c r="C70" s="188">
        <f>10508+359-200</f>
        <v>10667</v>
      </c>
      <c r="D70" s="21"/>
      <c r="E70" s="21"/>
      <c r="F70" s="21"/>
      <c r="G70" s="21"/>
      <c r="H70" s="21"/>
      <c r="I70" s="99">
        <f t="shared" si="10"/>
        <v>10667</v>
      </c>
      <c r="J70" s="146"/>
    </row>
    <row r="71" spans="1:11" ht="15" customHeight="1" x14ac:dyDescent="0.25">
      <c r="A71" s="212" t="s">
        <v>545</v>
      </c>
      <c r="B71" s="5" t="s">
        <v>546</v>
      </c>
      <c r="C71" s="188">
        <f>13506+359-1100</f>
        <v>12765</v>
      </c>
      <c r="D71" s="21"/>
      <c r="E71" s="21"/>
      <c r="F71" s="21"/>
      <c r="G71" s="21"/>
      <c r="H71" s="21"/>
      <c r="I71" s="99">
        <f t="shared" si="10"/>
        <v>12765</v>
      </c>
      <c r="J71" s="146"/>
    </row>
    <row r="72" spans="1:11" ht="15" customHeight="1" x14ac:dyDescent="0.25">
      <c r="A72" s="212" t="s">
        <v>547</v>
      </c>
      <c r="B72" s="5" t="s">
        <v>548</v>
      </c>
      <c r="C72" s="188">
        <f>14719+2295</f>
        <v>17014</v>
      </c>
      <c r="D72" s="21"/>
      <c r="E72" s="21"/>
      <c r="F72" s="21"/>
      <c r="G72" s="21"/>
      <c r="H72" s="21"/>
      <c r="I72" s="99">
        <f>SUM(C72:H72)</f>
        <v>17014</v>
      </c>
      <c r="J72" s="146"/>
    </row>
    <row r="73" spans="1:11" s="143" customFormat="1" ht="29.25" x14ac:dyDescent="0.25">
      <c r="A73" s="98" t="s">
        <v>165</v>
      </c>
      <c r="B73" s="118" t="s">
        <v>166</v>
      </c>
      <c r="C73" s="182">
        <f t="shared" ref="C73:H73" si="15">SUM(C74:C74)</f>
        <v>225347</v>
      </c>
      <c r="D73" s="182">
        <f t="shared" si="15"/>
        <v>0</v>
      </c>
      <c r="E73" s="182">
        <f t="shared" si="15"/>
        <v>0</v>
      </c>
      <c r="F73" s="182">
        <f t="shared" si="15"/>
        <v>0</v>
      </c>
      <c r="G73" s="182">
        <f t="shared" si="15"/>
        <v>0</v>
      </c>
      <c r="H73" s="182">
        <f t="shared" si="15"/>
        <v>0</v>
      </c>
      <c r="I73" s="99">
        <f t="shared" si="10"/>
        <v>225347</v>
      </c>
      <c r="J73" s="146"/>
    </row>
    <row r="74" spans="1:11" s="143" customFormat="1" ht="45" x14ac:dyDescent="0.25">
      <c r="A74" s="11" t="s">
        <v>350</v>
      </c>
      <c r="B74" s="122" t="s">
        <v>351</v>
      </c>
      <c r="C74" s="188">
        <f>223572+1775</f>
        <v>225347</v>
      </c>
      <c r="D74" s="94"/>
      <c r="E74" s="94"/>
      <c r="F74" s="94"/>
      <c r="G74" s="94"/>
      <c r="H74" s="78"/>
      <c r="I74" s="99">
        <f t="shared" si="10"/>
        <v>225347</v>
      </c>
      <c r="J74" s="146"/>
    </row>
    <row r="75" spans="1:11" ht="29.25" x14ac:dyDescent="0.25">
      <c r="A75" s="92" t="s">
        <v>167</v>
      </c>
      <c r="B75" s="118" t="s">
        <v>168</v>
      </c>
      <c r="C75" s="182">
        <f t="shared" ref="C75:I75" si="16">SUM(C76:C76)</f>
        <v>14442</v>
      </c>
      <c r="D75" s="182">
        <f t="shared" si="16"/>
        <v>0</v>
      </c>
      <c r="E75" s="182">
        <f t="shared" si="16"/>
        <v>0</v>
      </c>
      <c r="F75" s="182">
        <f t="shared" si="16"/>
        <v>0</v>
      </c>
      <c r="G75" s="182">
        <f t="shared" si="16"/>
        <v>0</v>
      </c>
      <c r="H75" s="182">
        <f t="shared" si="16"/>
        <v>0</v>
      </c>
      <c r="I75" s="231">
        <f t="shared" si="16"/>
        <v>14442</v>
      </c>
      <c r="J75" s="146"/>
    </row>
    <row r="76" spans="1:11" ht="15" customHeight="1" thickBot="1" x14ac:dyDescent="0.3">
      <c r="A76" s="43" t="s">
        <v>249</v>
      </c>
      <c r="B76" s="86" t="s">
        <v>168</v>
      </c>
      <c r="C76" s="183">
        <f>18844-4402</f>
        <v>14442</v>
      </c>
      <c r="D76" s="182"/>
      <c r="E76" s="182"/>
      <c r="F76" s="182"/>
      <c r="G76" s="182"/>
      <c r="H76" s="182"/>
      <c r="I76" s="99">
        <f t="shared" si="10"/>
        <v>14442</v>
      </c>
      <c r="J76" s="146"/>
    </row>
    <row r="77" spans="1:11" ht="30" thickBot="1" x14ac:dyDescent="0.3">
      <c r="A77" s="69" t="s">
        <v>3</v>
      </c>
      <c r="B77" s="119" t="s">
        <v>65</v>
      </c>
      <c r="C77" s="153">
        <f>SUM(C78:C79,+C87+C88+C89)</f>
        <v>14631643</v>
      </c>
      <c r="D77" s="153">
        <f>SUM(D78:D89)</f>
        <v>3050118</v>
      </c>
      <c r="E77" s="153">
        <f>SUM(E78:E89)</f>
        <v>0</v>
      </c>
      <c r="F77" s="153">
        <f>SUM(F78:F89)</f>
        <v>0</v>
      </c>
      <c r="G77" s="153">
        <f>SUM(G78:G89)</f>
        <v>432336</v>
      </c>
      <c r="H77" s="153">
        <f>SUM(H78:H89)</f>
        <v>0</v>
      </c>
      <c r="I77" s="38">
        <f t="shared" si="10"/>
        <v>18114097</v>
      </c>
      <c r="J77" s="146"/>
    </row>
    <row r="78" spans="1:11" x14ac:dyDescent="0.25">
      <c r="A78" s="98" t="s">
        <v>250</v>
      </c>
      <c r="B78" s="87" t="s">
        <v>169</v>
      </c>
      <c r="C78" s="178">
        <v>142728</v>
      </c>
      <c r="D78" s="14"/>
      <c r="E78" s="44"/>
      <c r="F78" s="44"/>
      <c r="G78" s="14"/>
      <c r="H78" s="44"/>
      <c r="I78" s="99">
        <f t="shared" si="10"/>
        <v>142728</v>
      </c>
      <c r="J78" s="146"/>
    </row>
    <row r="79" spans="1:11" x14ac:dyDescent="0.25">
      <c r="A79" s="98" t="s">
        <v>66</v>
      </c>
      <c r="B79" s="87" t="s">
        <v>67</v>
      </c>
      <c r="C79" s="186">
        <f>SUM(C80:C86)</f>
        <v>198043</v>
      </c>
      <c r="D79" s="14">
        <v>472201</v>
      </c>
      <c r="E79" s="14"/>
      <c r="F79" s="14"/>
      <c r="G79" s="46">
        <f>31225+2513</f>
        <v>33738</v>
      </c>
      <c r="H79" s="44"/>
      <c r="I79" s="99">
        <f t="shared" si="10"/>
        <v>703982</v>
      </c>
      <c r="J79" s="146"/>
    </row>
    <row r="80" spans="1:11" x14ac:dyDescent="0.25">
      <c r="A80" s="117" t="s">
        <v>549</v>
      </c>
      <c r="B80" s="5" t="s">
        <v>550</v>
      </c>
      <c r="C80" s="186">
        <f>27257-1300</f>
        <v>25957</v>
      </c>
      <c r="D80" s="14"/>
      <c r="E80" s="14"/>
      <c r="F80" s="14"/>
      <c r="G80" s="48"/>
      <c r="H80" s="44"/>
      <c r="I80" s="99">
        <f t="shared" si="10"/>
        <v>25957</v>
      </c>
      <c r="J80" s="146"/>
    </row>
    <row r="81" spans="1:11" x14ac:dyDescent="0.25">
      <c r="A81" s="117" t="s">
        <v>551</v>
      </c>
      <c r="B81" s="5" t="s">
        <v>552</v>
      </c>
      <c r="C81" s="186">
        <f>59934-17500</f>
        <v>42434</v>
      </c>
      <c r="D81" s="14"/>
      <c r="E81" s="14"/>
      <c r="F81" s="14"/>
      <c r="G81" s="48"/>
      <c r="H81" s="44"/>
      <c r="I81" s="99">
        <f t="shared" si="10"/>
        <v>42434</v>
      </c>
      <c r="J81" s="218"/>
    </row>
    <row r="82" spans="1:11" x14ac:dyDescent="0.25">
      <c r="A82" s="117" t="s">
        <v>553</v>
      </c>
      <c r="B82" s="5" t="s">
        <v>554</v>
      </c>
      <c r="C82" s="186">
        <f>49492+13500</f>
        <v>62992</v>
      </c>
      <c r="D82" s="14"/>
      <c r="E82" s="14"/>
      <c r="F82" s="14"/>
      <c r="G82" s="48"/>
      <c r="H82" s="44"/>
      <c r="I82" s="99">
        <f t="shared" ref="I82:I124" si="17">SUM(C82:H82)</f>
        <v>62992</v>
      </c>
      <c r="J82" s="146"/>
    </row>
    <row r="83" spans="1:11" x14ac:dyDescent="0.25">
      <c r="A83" s="117" t="s">
        <v>555</v>
      </c>
      <c r="B83" s="5" t="s">
        <v>556</v>
      </c>
      <c r="C83" s="186">
        <f>22443+12256</f>
        <v>34699</v>
      </c>
      <c r="D83" s="14"/>
      <c r="E83" s="14"/>
      <c r="F83" s="14"/>
      <c r="G83" s="48"/>
      <c r="H83" s="44"/>
      <c r="I83" s="99">
        <f t="shared" si="17"/>
        <v>34699</v>
      </c>
      <c r="J83" s="146"/>
    </row>
    <row r="84" spans="1:11" x14ac:dyDescent="0.25">
      <c r="A84" s="117" t="s">
        <v>557</v>
      </c>
      <c r="B84" s="5" t="s">
        <v>558</v>
      </c>
      <c r="C84" s="186">
        <f>9580+191</f>
        <v>9771</v>
      </c>
      <c r="D84" s="14"/>
      <c r="E84" s="14"/>
      <c r="F84" s="14"/>
      <c r="G84" s="48"/>
      <c r="H84" s="44"/>
      <c r="I84" s="99">
        <f t="shared" si="17"/>
        <v>9771</v>
      </c>
      <c r="J84" s="146"/>
    </row>
    <row r="85" spans="1:11" x14ac:dyDescent="0.25">
      <c r="A85" s="117" t="s">
        <v>559</v>
      </c>
      <c r="B85" s="5" t="s">
        <v>560</v>
      </c>
      <c r="C85" s="186">
        <f>12540-500</f>
        <v>12040</v>
      </c>
      <c r="D85" s="14"/>
      <c r="E85" s="14"/>
      <c r="F85" s="14"/>
      <c r="G85" s="48"/>
      <c r="H85" s="44"/>
      <c r="I85" s="99">
        <f t="shared" si="17"/>
        <v>12040</v>
      </c>
      <c r="J85" s="218"/>
    </row>
    <row r="86" spans="1:11" x14ac:dyDescent="0.25">
      <c r="A86" s="117" t="s">
        <v>561</v>
      </c>
      <c r="B86" s="5" t="s">
        <v>562</v>
      </c>
      <c r="C86" s="186">
        <f>10150</f>
        <v>10150</v>
      </c>
      <c r="D86" s="14"/>
      <c r="E86" s="14"/>
      <c r="F86" s="14"/>
      <c r="G86" s="48"/>
      <c r="H86" s="44"/>
      <c r="I86" s="99">
        <f t="shared" si="17"/>
        <v>10150</v>
      </c>
      <c r="J86" s="146"/>
    </row>
    <row r="87" spans="1:11" x14ac:dyDescent="0.25">
      <c r="A87" s="117" t="s">
        <v>491</v>
      </c>
      <c r="B87" s="5" t="s">
        <v>68</v>
      </c>
      <c r="C87" s="186">
        <v>1001948</v>
      </c>
      <c r="D87" s="14"/>
      <c r="E87" s="14"/>
      <c r="F87" s="14"/>
      <c r="G87" s="44"/>
      <c r="H87" s="44"/>
      <c r="I87" s="99">
        <f t="shared" si="17"/>
        <v>1001948</v>
      </c>
      <c r="J87" s="146"/>
    </row>
    <row r="88" spans="1:11" x14ac:dyDescent="0.25">
      <c r="A88" s="117" t="s">
        <v>489</v>
      </c>
      <c r="B88" s="5" t="s">
        <v>500</v>
      </c>
      <c r="C88" s="186">
        <v>220000</v>
      </c>
      <c r="D88" s="44"/>
      <c r="E88" s="44"/>
      <c r="F88" s="44"/>
      <c r="G88" s="44"/>
      <c r="H88" s="44"/>
      <c r="I88" s="99">
        <f t="shared" si="17"/>
        <v>220000</v>
      </c>
      <c r="J88" s="146"/>
    </row>
    <row r="89" spans="1:11" ht="30" customHeight="1" x14ac:dyDescent="0.25">
      <c r="A89" s="98" t="s">
        <v>69</v>
      </c>
      <c r="B89" s="87" t="s">
        <v>70</v>
      </c>
      <c r="C89" s="189">
        <f t="shared" ref="C89:H89" si="18">SUM(C90:C124)</f>
        <v>13068924</v>
      </c>
      <c r="D89" s="178">
        <f t="shared" si="18"/>
        <v>2577917</v>
      </c>
      <c r="E89" s="178">
        <f t="shared" si="18"/>
        <v>0</v>
      </c>
      <c r="F89" s="178">
        <f t="shared" si="18"/>
        <v>0</v>
      </c>
      <c r="G89" s="178">
        <f t="shared" si="18"/>
        <v>398598</v>
      </c>
      <c r="H89" s="178">
        <f t="shared" si="18"/>
        <v>0</v>
      </c>
      <c r="I89" s="99">
        <f t="shared" si="17"/>
        <v>16045439</v>
      </c>
      <c r="J89" s="146"/>
      <c r="K89" s="179"/>
    </row>
    <row r="90" spans="1:11" x14ac:dyDescent="0.25">
      <c r="A90" s="43" t="s">
        <v>170</v>
      </c>
      <c r="B90" s="5" t="s">
        <v>225</v>
      </c>
      <c r="C90" s="219"/>
      <c r="D90" s="14">
        <v>2534365</v>
      </c>
      <c r="E90" s="14"/>
      <c r="F90" s="14"/>
      <c r="G90" s="80">
        <v>138580</v>
      </c>
      <c r="H90" s="44"/>
      <c r="I90" s="99">
        <f t="shared" si="17"/>
        <v>2672945</v>
      </c>
      <c r="J90" s="146"/>
    </row>
    <row r="91" spans="1:11" x14ac:dyDescent="0.25">
      <c r="A91" s="43" t="s">
        <v>171</v>
      </c>
      <c r="B91" s="5" t="s">
        <v>226</v>
      </c>
      <c r="C91" s="219"/>
      <c r="D91" s="14"/>
      <c r="E91" s="14"/>
      <c r="F91" s="14"/>
      <c r="G91" s="80">
        <v>260018</v>
      </c>
      <c r="H91" s="44"/>
      <c r="I91" s="99">
        <f t="shared" si="17"/>
        <v>260018</v>
      </c>
      <c r="J91" s="146"/>
      <c r="K91" s="220"/>
    </row>
    <row r="92" spans="1:11" x14ac:dyDescent="0.25">
      <c r="A92" s="43" t="s">
        <v>172</v>
      </c>
      <c r="B92" s="5" t="s">
        <v>352</v>
      </c>
      <c r="C92" s="187">
        <f>17609</f>
        <v>17609</v>
      </c>
      <c r="D92" s="14">
        <v>43552</v>
      </c>
      <c r="E92" s="44"/>
      <c r="F92" s="44"/>
      <c r="G92" s="44"/>
      <c r="H92" s="44"/>
      <c r="I92" s="99">
        <f t="shared" si="17"/>
        <v>61161</v>
      </c>
      <c r="J92" s="146"/>
    </row>
    <row r="93" spans="1:11" ht="30" x14ac:dyDescent="0.25">
      <c r="A93" s="43" t="s">
        <v>173</v>
      </c>
      <c r="B93" s="5" t="s">
        <v>353</v>
      </c>
      <c r="C93" s="183">
        <v>87300</v>
      </c>
      <c r="D93" s="14"/>
      <c r="E93" s="44"/>
      <c r="F93" s="44"/>
      <c r="G93" s="14"/>
      <c r="H93" s="44"/>
      <c r="I93" s="99">
        <f t="shared" si="17"/>
        <v>87300</v>
      </c>
      <c r="J93" s="146"/>
    </row>
    <row r="94" spans="1:11" ht="30" x14ac:dyDescent="0.25">
      <c r="A94" s="43" t="s">
        <v>174</v>
      </c>
      <c r="B94" s="86" t="s">
        <v>354</v>
      </c>
      <c r="C94" s="188">
        <v>80000</v>
      </c>
      <c r="D94" s="14"/>
      <c r="E94" s="44"/>
      <c r="F94" s="44"/>
      <c r="G94" s="44"/>
      <c r="H94" s="44"/>
      <c r="I94" s="99">
        <f t="shared" si="17"/>
        <v>80000</v>
      </c>
      <c r="J94" s="146"/>
    </row>
    <row r="95" spans="1:11" x14ac:dyDescent="0.25">
      <c r="A95" s="43" t="s">
        <v>175</v>
      </c>
      <c r="B95" s="123" t="s">
        <v>355</v>
      </c>
      <c r="C95" s="186">
        <v>35000</v>
      </c>
      <c r="D95" s="44"/>
      <c r="E95" s="44"/>
      <c r="F95" s="44"/>
      <c r="G95" s="44"/>
      <c r="H95" s="44"/>
      <c r="I95" s="99">
        <f t="shared" si="17"/>
        <v>35000</v>
      </c>
      <c r="J95" s="146"/>
    </row>
    <row r="96" spans="1:11" ht="17.25" customHeight="1" x14ac:dyDescent="0.25">
      <c r="A96" s="43" t="s">
        <v>176</v>
      </c>
      <c r="B96" s="5" t="s">
        <v>356</v>
      </c>
      <c r="C96" s="17">
        <v>6000</v>
      </c>
      <c r="D96" s="14"/>
      <c r="E96" s="44"/>
      <c r="F96" s="44"/>
      <c r="G96" s="14"/>
      <c r="H96" s="44"/>
      <c r="I96" s="99">
        <f t="shared" si="17"/>
        <v>6000</v>
      </c>
      <c r="J96" s="146"/>
    </row>
    <row r="97" spans="1:10" ht="35.25" customHeight="1" x14ac:dyDescent="0.25">
      <c r="A97" s="117" t="s">
        <v>660</v>
      </c>
      <c r="B97" s="232" t="s">
        <v>653</v>
      </c>
      <c r="C97" s="17">
        <f>271007+61912</f>
        <v>332919</v>
      </c>
      <c r="D97" s="14"/>
      <c r="E97" s="44"/>
      <c r="F97" s="44"/>
      <c r="G97" s="14"/>
      <c r="H97" s="44"/>
      <c r="I97" s="99">
        <f t="shared" si="17"/>
        <v>332919</v>
      </c>
      <c r="J97" s="146"/>
    </row>
    <row r="98" spans="1:10" x14ac:dyDescent="0.25">
      <c r="A98" s="117" t="s">
        <v>357</v>
      </c>
      <c r="B98" s="2" t="s">
        <v>358</v>
      </c>
      <c r="C98" s="173">
        <f>552993+9222-3180</f>
        <v>559035</v>
      </c>
      <c r="D98" s="14"/>
      <c r="E98" s="14"/>
      <c r="F98" s="14"/>
      <c r="G98" s="14"/>
      <c r="H98" s="44"/>
      <c r="I98" s="99">
        <f t="shared" si="17"/>
        <v>559035</v>
      </c>
      <c r="J98" s="146"/>
    </row>
    <row r="99" spans="1:10" x14ac:dyDescent="0.25">
      <c r="A99" s="117" t="s">
        <v>359</v>
      </c>
      <c r="B99" s="2" t="s">
        <v>360</v>
      </c>
      <c r="C99" s="173">
        <f>236954+2784+6800</f>
        <v>246538</v>
      </c>
      <c r="D99" s="14"/>
      <c r="E99" s="14"/>
      <c r="F99" s="14"/>
      <c r="G99" s="14"/>
      <c r="H99" s="44"/>
      <c r="I99" s="99">
        <f t="shared" si="17"/>
        <v>246538</v>
      </c>
      <c r="J99" s="146"/>
    </row>
    <row r="100" spans="1:10" x14ac:dyDescent="0.25">
      <c r="A100" s="117" t="s">
        <v>361</v>
      </c>
      <c r="B100" s="2" t="s">
        <v>362</v>
      </c>
      <c r="C100" s="173">
        <v>200923</v>
      </c>
      <c r="D100" s="14"/>
      <c r="E100" s="14"/>
      <c r="F100" s="14"/>
      <c r="G100" s="14"/>
      <c r="H100" s="44"/>
      <c r="I100" s="99">
        <f t="shared" si="17"/>
        <v>200923</v>
      </c>
      <c r="J100" s="146"/>
    </row>
    <row r="101" spans="1:10" x14ac:dyDescent="0.25">
      <c r="A101" s="117" t="s">
        <v>363</v>
      </c>
      <c r="B101" s="2" t="s">
        <v>364</v>
      </c>
      <c r="C101" s="173">
        <v>485210</v>
      </c>
      <c r="D101" s="14"/>
      <c r="E101" s="14"/>
      <c r="F101" s="14"/>
      <c r="G101" s="14"/>
      <c r="H101" s="44"/>
      <c r="I101" s="99">
        <f t="shared" si="17"/>
        <v>485210</v>
      </c>
      <c r="J101" s="146"/>
    </row>
    <row r="102" spans="1:10" x14ac:dyDescent="0.25">
      <c r="A102" s="117" t="s">
        <v>365</v>
      </c>
      <c r="B102" s="2" t="s">
        <v>366</v>
      </c>
      <c r="C102" s="221">
        <f>653398+14300</f>
        <v>667698</v>
      </c>
      <c r="D102" s="14"/>
      <c r="E102" s="14"/>
      <c r="F102" s="14"/>
      <c r="G102" s="14"/>
      <c r="H102" s="44"/>
      <c r="I102" s="99">
        <f t="shared" si="17"/>
        <v>667698</v>
      </c>
      <c r="J102" s="146"/>
    </row>
    <row r="103" spans="1:10" x14ac:dyDescent="0.25">
      <c r="A103" s="117" t="s">
        <v>367</v>
      </c>
      <c r="B103" s="2" t="s">
        <v>368</v>
      </c>
      <c r="C103" s="221">
        <v>139212</v>
      </c>
      <c r="D103" s="14"/>
      <c r="E103" s="14"/>
      <c r="F103" s="14"/>
      <c r="G103" s="14"/>
      <c r="H103" s="44"/>
      <c r="I103" s="99">
        <f t="shared" si="17"/>
        <v>139212</v>
      </c>
      <c r="J103" s="146"/>
    </row>
    <row r="104" spans="1:10" x14ac:dyDescent="0.25">
      <c r="A104" s="117" t="s">
        <v>369</v>
      </c>
      <c r="B104" s="2" t="s">
        <v>370</v>
      </c>
      <c r="C104" s="17">
        <f>143770+30000+8691</f>
        <v>182461</v>
      </c>
      <c r="D104" s="14"/>
      <c r="E104" s="14"/>
      <c r="F104" s="14"/>
      <c r="G104" s="14"/>
      <c r="H104" s="44"/>
      <c r="I104" s="99">
        <f t="shared" si="17"/>
        <v>182461</v>
      </c>
      <c r="J104" s="146"/>
    </row>
    <row r="105" spans="1:10" x14ac:dyDescent="0.25">
      <c r="A105" s="117" t="s">
        <v>371</v>
      </c>
      <c r="B105" s="2" t="s">
        <v>372</v>
      </c>
      <c r="C105" s="173">
        <f>508910+627</f>
        <v>509537</v>
      </c>
      <c r="D105" s="14"/>
      <c r="E105" s="14"/>
      <c r="F105" s="14"/>
      <c r="G105" s="14"/>
      <c r="H105" s="44"/>
      <c r="I105" s="99">
        <f t="shared" si="17"/>
        <v>509537</v>
      </c>
      <c r="J105" s="146"/>
    </row>
    <row r="106" spans="1:10" x14ac:dyDescent="0.25">
      <c r="A106" s="117" t="s">
        <v>373</v>
      </c>
      <c r="B106" s="2" t="s">
        <v>619</v>
      </c>
      <c r="C106" s="173">
        <f>652036+57259+1225</f>
        <v>710520</v>
      </c>
      <c r="D106" s="14"/>
      <c r="E106" s="14"/>
      <c r="F106" s="14"/>
      <c r="G106" s="14"/>
      <c r="H106" s="44"/>
      <c r="I106" s="99">
        <f t="shared" si="17"/>
        <v>710520</v>
      </c>
      <c r="J106" s="146"/>
    </row>
    <row r="107" spans="1:10" x14ac:dyDescent="0.25">
      <c r="A107" s="117" t="s">
        <v>563</v>
      </c>
      <c r="B107" s="2" t="s">
        <v>138</v>
      </c>
      <c r="C107" s="187">
        <f>231787+1090</f>
        <v>232877</v>
      </c>
      <c r="D107" s="44"/>
      <c r="E107" s="44"/>
      <c r="F107" s="44"/>
      <c r="G107" s="14"/>
      <c r="H107" s="44"/>
      <c r="I107" s="99">
        <f t="shared" si="17"/>
        <v>232877</v>
      </c>
      <c r="J107" s="218"/>
    </row>
    <row r="108" spans="1:10" x14ac:dyDescent="0.25">
      <c r="A108" s="117" t="s">
        <v>564</v>
      </c>
      <c r="B108" s="2" t="s">
        <v>143</v>
      </c>
      <c r="C108" s="187">
        <f>271758-1155-6463</f>
        <v>264140</v>
      </c>
      <c r="D108" s="44"/>
      <c r="E108" s="44"/>
      <c r="F108" s="44"/>
      <c r="G108" s="14"/>
      <c r="H108" s="44"/>
      <c r="I108" s="99">
        <f t="shared" si="17"/>
        <v>264140</v>
      </c>
      <c r="J108" s="146"/>
    </row>
    <row r="109" spans="1:10" x14ac:dyDescent="0.25">
      <c r="A109" s="117" t="s">
        <v>565</v>
      </c>
      <c r="B109" s="2" t="s">
        <v>146</v>
      </c>
      <c r="C109" s="187">
        <f>329269+1000-4700+14315</f>
        <v>339884</v>
      </c>
      <c r="D109" s="44"/>
      <c r="E109" s="44"/>
      <c r="F109" s="44"/>
      <c r="G109" s="14"/>
      <c r="H109" s="44"/>
      <c r="I109" s="99">
        <f t="shared" si="17"/>
        <v>339884</v>
      </c>
      <c r="J109" s="218"/>
    </row>
    <row r="110" spans="1:10" x14ac:dyDescent="0.25">
      <c r="A110" s="117" t="s">
        <v>566</v>
      </c>
      <c r="B110" s="2" t="s">
        <v>139</v>
      </c>
      <c r="C110" s="187">
        <f>536935+4131+7960</f>
        <v>549026</v>
      </c>
      <c r="D110" s="44"/>
      <c r="E110" s="44"/>
      <c r="F110" s="44"/>
      <c r="G110" s="14"/>
      <c r="H110" s="44"/>
      <c r="I110" s="99">
        <f t="shared" si="17"/>
        <v>549026</v>
      </c>
      <c r="J110" s="146"/>
    </row>
    <row r="111" spans="1:10" x14ac:dyDescent="0.25">
      <c r="A111" s="117" t="s">
        <v>567</v>
      </c>
      <c r="B111" s="2" t="s">
        <v>148</v>
      </c>
      <c r="C111" s="186">
        <f>239829-10697-11256</f>
        <v>217876</v>
      </c>
      <c r="D111" s="44"/>
      <c r="E111" s="44"/>
      <c r="F111" s="44"/>
      <c r="G111" s="14"/>
      <c r="H111" s="44"/>
      <c r="I111" s="99">
        <f t="shared" si="17"/>
        <v>217876</v>
      </c>
      <c r="J111" s="146"/>
    </row>
    <row r="112" spans="1:10" x14ac:dyDescent="0.25">
      <c r="A112" s="117" t="s">
        <v>568</v>
      </c>
      <c r="B112" s="2" t="s">
        <v>141</v>
      </c>
      <c r="C112" s="186">
        <f>200042+10465</f>
        <v>210507</v>
      </c>
      <c r="D112" s="44"/>
      <c r="E112" s="44"/>
      <c r="F112" s="44"/>
      <c r="G112" s="14"/>
      <c r="H112" s="44"/>
      <c r="I112" s="99">
        <f t="shared" si="17"/>
        <v>210507</v>
      </c>
      <c r="J112" s="146"/>
    </row>
    <row r="113" spans="1:10" x14ac:dyDescent="0.25">
      <c r="A113" s="117" t="s">
        <v>569</v>
      </c>
      <c r="B113" s="2" t="s">
        <v>140</v>
      </c>
      <c r="C113" s="186">
        <f>181364+1300</f>
        <v>182664</v>
      </c>
      <c r="D113" s="44"/>
      <c r="E113" s="44"/>
      <c r="F113" s="44"/>
      <c r="G113" s="14"/>
      <c r="H113" s="44"/>
      <c r="I113" s="99">
        <f t="shared" si="17"/>
        <v>182664</v>
      </c>
      <c r="J113" s="218"/>
    </row>
    <row r="114" spans="1:10" x14ac:dyDescent="0.25">
      <c r="A114" s="117" t="s">
        <v>570</v>
      </c>
      <c r="B114" s="2" t="s">
        <v>145</v>
      </c>
      <c r="C114" s="187">
        <f>211141+14900</f>
        <v>226041</v>
      </c>
      <c r="D114" s="44"/>
      <c r="E114" s="44"/>
      <c r="F114" s="44"/>
      <c r="G114" s="14"/>
      <c r="H114" s="44"/>
      <c r="I114" s="99">
        <f t="shared" si="17"/>
        <v>226041</v>
      </c>
      <c r="J114" s="146"/>
    </row>
    <row r="115" spans="1:10" ht="30" x14ac:dyDescent="0.25">
      <c r="A115" s="11" t="s">
        <v>277</v>
      </c>
      <c r="B115" s="124" t="s">
        <v>278</v>
      </c>
      <c r="C115" s="186">
        <f>1901843+57000</f>
        <v>1958843</v>
      </c>
      <c r="D115" s="44"/>
      <c r="E115" s="44"/>
      <c r="F115" s="44"/>
      <c r="G115" s="14"/>
      <c r="H115" s="44"/>
      <c r="I115" s="99">
        <f t="shared" si="17"/>
        <v>1958843</v>
      </c>
      <c r="J115" s="146"/>
    </row>
    <row r="116" spans="1:10" ht="30" x14ac:dyDescent="0.25">
      <c r="A116" s="11" t="s">
        <v>470</v>
      </c>
      <c r="B116" s="162" t="s">
        <v>319</v>
      </c>
      <c r="C116" s="173">
        <v>1124886</v>
      </c>
      <c r="D116" s="44"/>
      <c r="E116" s="44"/>
      <c r="F116" s="44"/>
      <c r="G116" s="14"/>
      <c r="H116" s="44"/>
      <c r="I116" s="99">
        <f t="shared" si="17"/>
        <v>1124886</v>
      </c>
      <c r="J116" s="195"/>
    </row>
    <row r="117" spans="1:10" ht="30" x14ac:dyDescent="0.25">
      <c r="A117" s="11" t="s">
        <v>374</v>
      </c>
      <c r="B117" s="13" t="s">
        <v>704</v>
      </c>
      <c r="C117" s="173">
        <f>401435-15435</f>
        <v>386000</v>
      </c>
      <c r="D117" s="44"/>
      <c r="E117" s="44"/>
      <c r="F117" s="44"/>
      <c r="G117" s="14"/>
      <c r="H117" s="44"/>
      <c r="I117" s="99">
        <f t="shared" si="17"/>
        <v>386000</v>
      </c>
      <c r="J117" s="146"/>
    </row>
    <row r="118" spans="1:10" ht="30" x14ac:dyDescent="0.25">
      <c r="A118" s="11" t="s">
        <v>375</v>
      </c>
      <c r="B118" s="13" t="s">
        <v>703</v>
      </c>
      <c r="C118" s="173">
        <v>414266</v>
      </c>
      <c r="D118" s="44"/>
      <c r="E118" s="44"/>
      <c r="F118" s="44"/>
      <c r="G118" s="14"/>
      <c r="H118" s="44"/>
      <c r="I118" s="99">
        <f t="shared" si="17"/>
        <v>414266</v>
      </c>
      <c r="J118" s="146"/>
    </row>
    <row r="119" spans="1:10" ht="60" x14ac:dyDescent="0.25">
      <c r="A119" s="11" t="s">
        <v>620</v>
      </c>
      <c r="B119" s="162" t="s">
        <v>621</v>
      </c>
      <c r="C119" s="17">
        <v>237105</v>
      </c>
      <c r="D119" s="14"/>
      <c r="E119" s="14"/>
      <c r="F119" s="14"/>
      <c r="G119" s="14"/>
      <c r="H119" s="44"/>
      <c r="I119" s="99">
        <f>SUM(C119:H119)</f>
        <v>237105</v>
      </c>
      <c r="J119" s="146"/>
    </row>
    <row r="120" spans="1:10" ht="60" x14ac:dyDescent="0.25">
      <c r="A120" s="11" t="s">
        <v>622</v>
      </c>
      <c r="B120" s="162" t="s">
        <v>623</v>
      </c>
      <c r="C120" s="17">
        <v>604414</v>
      </c>
      <c r="D120" s="14"/>
      <c r="E120" s="14"/>
      <c r="F120" s="14"/>
      <c r="G120" s="14"/>
      <c r="H120" s="44"/>
      <c r="I120" s="99">
        <f>SUM(C120:H120)</f>
        <v>604414</v>
      </c>
      <c r="J120" s="146"/>
    </row>
    <row r="121" spans="1:10" ht="45" customHeight="1" x14ac:dyDescent="0.25">
      <c r="A121" s="222" t="s">
        <v>606</v>
      </c>
      <c r="B121" s="13" t="s">
        <v>607</v>
      </c>
      <c r="C121" s="17">
        <v>1697734</v>
      </c>
      <c r="D121" s="14"/>
      <c r="E121" s="14"/>
      <c r="F121" s="14"/>
      <c r="G121" s="14"/>
      <c r="H121" s="44"/>
      <c r="I121" s="99">
        <f>SUM(C121:H121)</f>
        <v>1697734</v>
      </c>
      <c r="J121" s="146"/>
    </row>
    <row r="122" spans="1:10" x14ac:dyDescent="0.25">
      <c r="A122" s="222" t="s">
        <v>624</v>
      </c>
      <c r="B122" s="162" t="s">
        <v>625</v>
      </c>
      <c r="C122" s="17">
        <f>150000-150000</f>
        <v>0</v>
      </c>
      <c r="D122" s="14"/>
      <c r="E122" s="14"/>
      <c r="F122" s="14"/>
      <c r="G122" s="14"/>
      <c r="H122" s="44"/>
      <c r="I122" s="99">
        <f>SUM(C122:H122)</f>
        <v>0</v>
      </c>
      <c r="J122" s="146"/>
    </row>
    <row r="123" spans="1:10" x14ac:dyDescent="0.25">
      <c r="A123" s="222" t="s">
        <v>626</v>
      </c>
      <c r="B123" s="162" t="s">
        <v>627</v>
      </c>
      <c r="C123" s="17">
        <f>100000+1029</f>
        <v>101029</v>
      </c>
      <c r="D123" s="14"/>
      <c r="E123" s="14"/>
      <c r="F123" s="14"/>
      <c r="G123" s="14"/>
      <c r="H123" s="44"/>
      <c r="I123" s="99">
        <f>SUM(C123:H123)</f>
        <v>101029</v>
      </c>
      <c r="J123" s="146"/>
    </row>
    <row r="124" spans="1:10" ht="15.75" thickBot="1" x14ac:dyDescent="0.3">
      <c r="A124" s="222" t="s">
        <v>628</v>
      </c>
      <c r="B124" s="13" t="s">
        <v>629</v>
      </c>
      <c r="C124" s="17">
        <f>50000+11670</f>
        <v>61670</v>
      </c>
      <c r="D124" s="14"/>
      <c r="E124" s="14"/>
      <c r="F124" s="14"/>
      <c r="G124" s="14"/>
      <c r="H124" s="44"/>
      <c r="I124" s="99">
        <f t="shared" si="17"/>
        <v>61670</v>
      </c>
      <c r="J124" s="146"/>
    </row>
    <row r="125" spans="1:10" ht="15.75" thickBot="1" x14ac:dyDescent="0.3">
      <c r="A125" s="69" t="s">
        <v>4</v>
      </c>
      <c r="B125" s="35" t="s">
        <v>71</v>
      </c>
      <c r="C125" s="37">
        <f t="shared" ref="C125:I125" si="19">SUM(C126,C129:C130)</f>
        <v>148152</v>
      </c>
      <c r="D125" s="37">
        <f t="shared" si="19"/>
        <v>0</v>
      </c>
      <c r="E125" s="37">
        <f t="shared" si="19"/>
        <v>0</v>
      </c>
      <c r="F125" s="37">
        <f t="shared" si="19"/>
        <v>0</v>
      </c>
      <c r="G125" s="37">
        <f t="shared" si="19"/>
        <v>0</v>
      </c>
      <c r="H125" s="37">
        <f t="shared" si="19"/>
        <v>0</v>
      </c>
      <c r="I125" s="38">
        <f t="shared" si="19"/>
        <v>148152</v>
      </c>
      <c r="J125" s="146"/>
    </row>
    <row r="126" spans="1:10" s="143" customFormat="1" x14ac:dyDescent="0.25">
      <c r="A126" s="92" t="s">
        <v>72</v>
      </c>
      <c r="B126" s="93" t="s">
        <v>73</v>
      </c>
      <c r="C126" s="182">
        <f t="shared" ref="C126:H126" si="20">SUM(C127:C128)</f>
        <v>76781</v>
      </c>
      <c r="D126" s="182">
        <f t="shared" si="20"/>
        <v>0</v>
      </c>
      <c r="E126" s="182">
        <f t="shared" si="20"/>
        <v>0</v>
      </c>
      <c r="F126" s="182">
        <f t="shared" si="20"/>
        <v>0</v>
      </c>
      <c r="G126" s="182">
        <f>SUM(G127:G128)</f>
        <v>0</v>
      </c>
      <c r="H126" s="182">
        <f t="shared" si="20"/>
        <v>0</v>
      </c>
      <c r="I126" s="42">
        <f t="shared" ref="I126:I186" si="21">SUM(C126:H126)</f>
        <v>76781</v>
      </c>
      <c r="J126" s="146"/>
    </row>
    <row r="127" spans="1:10" s="143" customFormat="1" x14ac:dyDescent="0.25">
      <c r="A127" s="43" t="s">
        <v>251</v>
      </c>
      <c r="B127" s="20" t="s">
        <v>608</v>
      </c>
      <c r="C127" s="183">
        <f>19833+18691</f>
        <v>38524</v>
      </c>
      <c r="D127" s="94"/>
      <c r="E127" s="94"/>
      <c r="F127" s="94"/>
      <c r="G127" s="73"/>
      <c r="H127" s="44"/>
      <c r="I127" s="99">
        <f t="shared" si="21"/>
        <v>38524</v>
      </c>
      <c r="J127" s="146"/>
    </row>
    <row r="128" spans="1:10" s="143" customFormat="1" x14ac:dyDescent="0.25">
      <c r="A128" s="43" t="s">
        <v>571</v>
      </c>
      <c r="B128" s="20" t="s">
        <v>572</v>
      </c>
      <c r="C128" s="183">
        <v>38257</v>
      </c>
      <c r="D128" s="94"/>
      <c r="E128" s="94"/>
      <c r="F128" s="94"/>
      <c r="G128" s="73"/>
      <c r="H128" s="44"/>
      <c r="I128" s="99">
        <f t="shared" si="21"/>
        <v>38257</v>
      </c>
      <c r="J128" s="146"/>
    </row>
    <row r="129" spans="1:11" s="143" customFormat="1" ht="28.5" customHeight="1" x14ac:dyDescent="0.25">
      <c r="A129" s="11" t="s">
        <v>240</v>
      </c>
      <c r="B129" s="9" t="s">
        <v>376</v>
      </c>
      <c r="C129" s="183">
        <v>21861</v>
      </c>
      <c r="D129" s="94"/>
      <c r="E129" s="94"/>
      <c r="F129" s="94"/>
      <c r="G129" s="73"/>
      <c r="H129" s="44"/>
      <c r="I129" s="99">
        <f t="shared" si="21"/>
        <v>21861</v>
      </c>
      <c r="J129" s="146"/>
    </row>
    <row r="130" spans="1:11" ht="15.75" thickBot="1" x14ac:dyDescent="0.3">
      <c r="A130" s="11" t="s">
        <v>276</v>
      </c>
      <c r="B130" s="9" t="s">
        <v>377</v>
      </c>
      <c r="C130" s="187">
        <v>49510</v>
      </c>
      <c r="D130" s="14"/>
      <c r="E130" s="44"/>
      <c r="F130" s="44"/>
      <c r="G130" s="14"/>
      <c r="H130" s="44"/>
      <c r="I130" s="99">
        <f t="shared" si="21"/>
        <v>49510</v>
      </c>
      <c r="J130" s="146"/>
    </row>
    <row r="131" spans="1:11" ht="15.75" thickBot="1" x14ac:dyDescent="0.3">
      <c r="A131" s="69" t="s">
        <v>6</v>
      </c>
      <c r="B131" s="35" t="s">
        <v>74</v>
      </c>
      <c r="C131" s="37">
        <f t="shared" ref="C131:H131" si="22">C132+C137+C192+C195</f>
        <v>8983918</v>
      </c>
      <c r="D131" s="37">
        <f t="shared" si="22"/>
        <v>406264</v>
      </c>
      <c r="E131" s="37">
        <f t="shared" si="22"/>
        <v>2044083</v>
      </c>
      <c r="F131" s="37">
        <f t="shared" si="22"/>
        <v>0</v>
      </c>
      <c r="G131" s="37">
        <f t="shared" si="22"/>
        <v>0</v>
      </c>
      <c r="H131" s="37">
        <f t="shared" si="22"/>
        <v>0</v>
      </c>
      <c r="I131" s="38">
        <f t="shared" si="21"/>
        <v>11434265</v>
      </c>
      <c r="J131" s="146"/>
    </row>
    <row r="132" spans="1:11" x14ac:dyDescent="0.25">
      <c r="A132" s="92" t="s">
        <v>75</v>
      </c>
      <c r="B132" s="93" t="s">
        <v>76</v>
      </c>
      <c r="C132" s="94">
        <f t="shared" ref="C132:H132" si="23">SUM(C133:C136)</f>
        <v>1087852</v>
      </c>
      <c r="D132" s="94">
        <f t="shared" si="23"/>
        <v>406264</v>
      </c>
      <c r="E132" s="94">
        <f t="shared" si="23"/>
        <v>0</v>
      </c>
      <c r="F132" s="94">
        <f t="shared" si="23"/>
        <v>0</v>
      </c>
      <c r="G132" s="94">
        <f t="shared" si="23"/>
        <v>0</v>
      </c>
      <c r="H132" s="94">
        <f t="shared" si="23"/>
        <v>0</v>
      </c>
      <c r="I132" s="96">
        <f t="shared" si="21"/>
        <v>1494116</v>
      </c>
      <c r="J132" s="146"/>
    </row>
    <row r="133" spans="1:11" x14ac:dyDescent="0.25">
      <c r="A133" s="43" t="s">
        <v>177</v>
      </c>
      <c r="B133" s="20" t="s">
        <v>472</v>
      </c>
      <c r="C133" s="101">
        <f>161868+18000-2965</f>
        <v>176903</v>
      </c>
      <c r="D133" s="14"/>
      <c r="E133" s="44"/>
      <c r="F133" s="44"/>
      <c r="G133" s="14"/>
      <c r="H133" s="44"/>
      <c r="I133" s="99">
        <f t="shared" si="21"/>
        <v>176903</v>
      </c>
      <c r="J133" s="146"/>
    </row>
    <row r="134" spans="1:11" ht="30" x14ac:dyDescent="0.25">
      <c r="A134" s="43" t="s">
        <v>178</v>
      </c>
      <c r="B134" s="20" t="s">
        <v>473</v>
      </c>
      <c r="C134" s="101">
        <f>815327</f>
        <v>815327</v>
      </c>
      <c r="D134" s="14"/>
      <c r="E134" s="44"/>
      <c r="F134" s="44"/>
      <c r="G134" s="14"/>
      <c r="H134" s="44"/>
      <c r="I134" s="99">
        <f t="shared" si="21"/>
        <v>815327</v>
      </c>
      <c r="J134" s="146"/>
    </row>
    <row r="135" spans="1:11" x14ac:dyDescent="0.25">
      <c r="A135" s="43" t="s">
        <v>501</v>
      </c>
      <c r="B135" s="20" t="s">
        <v>502</v>
      </c>
      <c r="C135" s="101">
        <f>95622</f>
        <v>95622</v>
      </c>
      <c r="D135" s="44"/>
      <c r="E135" s="44"/>
      <c r="F135" s="44"/>
      <c r="G135" s="14"/>
      <c r="H135" s="44"/>
      <c r="I135" s="99">
        <f t="shared" si="21"/>
        <v>95622</v>
      </c>
      <c r="J135" s="146"/>
    </row>
    <row r="136" spans="1:11" x14ac:dyDescent="0.25">
      <c r="A136" s="43" t="s">
        <v>233</v>
      </c>
      <c r="B136" s="20" t="s">
        <v>378</v>
      </c>
      <c r="C136" s="44"/>
      <c r="D136" s="44">
        <f>413255-6991</f>
        <v>406264</v>
      </c>
      <c r="E136" s="44"/>
      <c r="F136" s="44"/>
      <c r="G136" s="14"/>
      <c r="H136" s="44"/>
      <c r="I136" s="99">
        <f t="shared" si="21"/>
        <v>406264</v>
      </c>
      <c r="J136" s="146"/>
    </row>
    <row r="137" spans="1:11" x14ac:dyDescent="0.25">
      <c r="A137" s="98" t="s">
        <v>77</v>
      </c>
      <c r="B137" s="87" t="s">
        <v>5</v>
      </c>
      <c r="C137" s="78">
        <f t="shared" ref="C137:H137" si="24">SUM(C138+C155+C161++C181+C183)</f>
        <v>7655171</v>
      </c>
      <c r="D137" s="78">
        <f t="shared" si="24"/>
        <v>0</v>
      </c>
      <c r="E137" s="78">
        <f t="shared" si="24"/>
        <v>2044083</v>
      </c>
      <c r="F137" s="78">
        <f t="shared" si="24"/>
        <v>0</v>
      </c>
      <c r="G137" s="78">
        <f t="shared" si="24"/>
        <v>0</v>
      </c>
      <c r="H137" s="78">
        <f t="shared" si="24"/>
        <v>0</v>
      </c>
      <c r="I137" s="99">
        <f>SUM(C137:H137)</f>
        <v>9699254</v>
      </c>
      <c r="J137" s="146"/>
    </row>
    <row r="138" spans="1:11" x14ac:dyDescent="0.25">
      <c r="A138" s="190" t="s">
        <v>379</v>
      </c>
      <c r="B138" s="20" t="s">
        <v>114</v>
      </c>
      <c r="C138" s="44">
        <f t="shared" ref="C138:H138" si="25">SUM(C139:C154)</f>
        <v>1608555</v>
      </c>
      <c r="D138" s="44">
        <f t="shared" si="25"/>
        <v>0</v>
      </c>
      <c r="E138" s="44">
        <f t="shared" si="25"/>
        <v>0</v>
      </c>
      <c r="F138" s="44">
        <f t="shared" si="25"/>
        <v>0</v>
      </c>
      <c r="G138" s="44">
        <f t="shared" si="25"/>
        <v>0</v>
      </c>
      <c r="H138" s="44">
        <f t="shared" si="25"/>
        <v>0</v>
      </c>
      <c r="I138" s="99">
        <f t="shared" si="21"/>
        <v>1608555</v>
      </c>
      <c r="J138" s="146"/>
      <c r="K138" s="179"/>
    </row>
    <row r="139" spans="1:11" x14ac:dyDescent="0.25">
      <c r="A139" s="117" t="s">
        <v>262</v>
      </c>
      <c r="B139" s="2" t="s">
        <v>380</v>
      </c>
      <c r="C139" s="44">
        <f>760352+1250+1620</f>
        <v>763222</v>
      </c>
      <c r="D139" s="44"/>
      <c r="E139" s="44"/>
      <c r="F139" s="44"/>
      <c r="G139" s="44"/>
      <c r="H139" s="44"/>
      <c r="I139" s="99">
        <f t="shared" si="21"/>
        <v>763222</v>
      </c>
      <c r="J139" s="146"/>
    </row>
    <row r="140" spans="1:11" x14ac:dyDescent="0.25">
      <c r="A140" s="117" t="s">
        <v>381</v>
      </c>
      <c r="B140" s="20" t="s">
        <v>382</v>
      </c>
      <c r="C140" s="44">
        <f>139904+24609</f>
        <v>164513</v>
      </c>
      <c r="D140" s="44"/>
      <c r="E140" s="44"/>
      <c r="F140" s="44"/>
      <c r="G140" s="44"/>
      <c r="H140" s="44"/>
      <c r="I140" s="99">
        <f t="shared" si="21"/>
        <v>164513</v>
      </c>
      <c r="J140" s="146"/>
    </row>
    <row r="141" spans="1:11" x14ac:dyDescent="0.25">
      <c r="A141" s="117" t="s">
        <v>383</v>
      </c>
      <c r="B141" s="20" t="s">
        <v>384</v>
      </c>
      <c r="C141" s="44">
        <v>30927</v>
      </c>
      <c r="D141" s="44"/>
      <c r="E141" s="44"/>
      <c r="F141" s="44"/>
      <c r="G141" s="44"/>
      <c r="H141" s="44"/>
      <c r="I141" s="99">
        <f t="shared" si="21"/>
        <v>30927</v>
      </c>
      <c r="J141" s="146"/>
    </row>
    <row r="142" spans="1:11" ht="30" x14ac:dyDescent="0.25">
      <c r="A142" s="117" t="s">
        <v>385</v>
      </c>
      <c r="B142" s="20" t="s">
        <v>386</v>
      </c>
      <c r="C142" s="101">
        <v>160718</v>
      </c>
      <c r="D142" s="44"/>
      <c r="E142" s="44"/>
      <c r="F142" s="44"/>
      <c r="G142" s="44"/>
      <c r="H142" s="44"/>
      <c r="I142" s="99">
        <f t="shared" si="21"/>
        <v>160718</v>
      </c>
      <c r="J142" s="146"/>
    </row>
    <row r="143" spans="1:11" x14ac:dyDescent="0.25">
      <c r="A143" s="117" t="s">
        <v>387</v>
      </c>
      <c r="B143" s="20" t="s">
        <v>388</v>
      </c>
      <c r="C143" s="101">
        <v>31126</v>
      </c>
      <c r="D143" s="44"/>
      <c r="E143" s="44"/>
      <c r="F143" s="44"/>
      <c r="G143" s="44"/>
      <c r="H143" s="44"/>
      <c r="I143" s="99">
        <f t="shared" si="21"/>
        <v>31126</v>
      </c>
      <c r="J143" s="146"/>
    </row>
    <row r="144" spans="1:11" x14ac:dyDescent="0.25">
      <c r="A144" s="117" t="s">
        <v>389</v>
      </c>
      <c r="B144" s="20" t="s">
        <v>390</v>
      </c>
      <c r="C144" s="44">
        <v>25064</v>
      </c>
      <c r="D144" s="44"/>
      <c r="E144" s="44"/>
      <c r="F144" s="44"/>
      <c r="G144" s="44"/>
      <c r="H144" s="44"/>
      <c r="I144" s="99">
        <f t="shared" si="21"/>
        <v>25064</v>
      </c>
      <c r="J144" s="146"/>
    </row>
    <row r="145" spans="1:10" x14ac:dyDescent="0.25">
      <c r="A145" s="117" t="s">
        <v>391</v>
      </c>
      <c r="B145" s="20" t="s">
        <v>392</v>
      </c>
      <c r="C145" s="44">
        <v>39680</v>
      </c>
      <c r="D145" s="44"/>
      <c r="E145" s="44"/>
      <c r="F145" s="44"/>
      <c r="G145" s="44"/>
      <c r="H145" s="44"/>
      <c r="I145" s="99">
        <f t="shared" si="21"/>
        <v>39680</v>
      </c>
      <c r="J145" s="146"/>
    </row>
    <row r="146" spans="1:10" x14ac:dyDescent="0.25">
      <c r="A146" s="117" t="s">
        <v>393</v>
      </c>
      <c r="B146" s="20" t="s">
        <v>394</v>
      </c>
      <c r="C146" s="44">
        <f>151694+1020</f>
        <v>152714</v>
      </c>
      <c r="D146" s="44"/>
      <c r="E146" s="44"/>
      <c r="F146" s="44"/>
      <c r="G146" s="44"/>
      <c r="H146" s="44"/>
      <c r="I146" s="99">
        <f t="shared" si="21"/>
        <v>152714</v>
      </c>
      <c r="J146" s="146"/>
    </row>
    <row r="147" spans="1:10" x14ac:dyDescent="0.25">
      <c r="A147" s="117" t="s">
        <v>573</v>
      </c>
      <c r="B147" s="20" t="s">
        <v>574</v>
      </c>
      <c r="C147" s="44">
        <v>44539</v>
      </c>
      <c r="D147" s="44"/>
      <c r="E147" s="44"/>
      <c r="F147" s="44"/>
      <c r="G147" s="44"/>
      <c r="H147" s="44"/>
      <c r="I147" s="99">
        <f t="shared" si="21"/>
        <v>44539</v>
      </c>
      <c r="J147" s="146"/>
    </row>
    <row r="148" spans="1:10" x14ac:dyDescent="0.25">
      <c r="A148" s="117" t="s">
        <v>575</v>
      </c>
      <c r="B148" s="20" t="s">
        <v>576</v>
      </c>
      <c r="C148" s="44">
        <v>42630</v>
      </c>
      <c r="D148" s="44"/>
      <c r="E148" s="44"/>
      <c r="F148" s="44"/>
      <c r="G148" s="44"/>
      <c r="H148" s="44"/>
      <c r="I148" s="99">
        <f t="shared" si="21"/>
        <v>42630</v>
      </c>
      <c r="J148" s="146"/>
    </row>
    <row r="149" spans="1:10" x14ac:dyDescent="0.25">
      <c r="A149" s="117" t="s">
        <v>577</v>
      </c>
      <c r="B149" s="20" t="s">
        <v>578</v>
      </c>
      <c r="C149" s="44">
        <f>22008+3500</f>
        <v>25508</v>
      </c>
      <c r="D149" s="44"/>
      <c r="E149" s="44"/>
      <c r="F149" s="44"/>
      <c r="G149" s="44"/>
      <c r="H149" s="44"/>
      <c r="I149" s="99">
        <f t="shared" si="21"/>
        <v>25508</v>
      </c>
      <c r="J149" s="146"/>
    </row>
    <row r="150" spans="1:10" x14ac:dyDescent="0.25">
      <c r="A150" s="117" t="s">
        <v>579</v>
      </c>
      <c r="B150" s="20" t="s">
        <v>580</v>
      </c>
      <c r="C150" s="44">
        <v>42052</v>
      </c>
      <c r="D150" s="44"/>
      <c r="E150" s="44"/>
      <c r="F150" s="44"/>
      <c r="G150" s="44"/>
      <c r="H150" s="44"/>
      <c r="I150" s="99">
        <f t="shared" si="21"/>
        <v>42052</v>
      </c>
      <c r="J150" s="146"/>
    </row>
    <row r="151" spans="1:10" x14ac:dyDescent="0.25">
      <c r="A151" s="117" t="s">
        <v>581</v>
      </c>
      <c r="B151" s="20" t="s">
        <v>582</v>
      </c>
      <c r="C151" s="44">
        <v>19609</v>
      </c>
      <c r="D151" s="44"/>
      <c r="E151" s="44"/>
      <c r="F151" s="44"/>
      <c r="G151" s="44"/>
      <c r="H151" s="44"/>
      <c r="I151" s="99">
        <f t="shared" si="21"/>
        <v>19609</v>
      </c>
      <c r="J151" s="146"/>
    </row>
    <row r="152" spans="1:10" x14ac:dyDescent="0.25">
      <c r="A152" s="117" t="s">
        <v>583</v>
      </c>
      <c r="B152" s="20" t="s">
        <v>584</v>
      </c>
      <c r="C152" s="44">
        <f>20351-800</f>
        <v>19551</v>
      </c>
      <c r="D152" s="44"/>
      <c r="E152" s="44"/>
      <c r="F152" s="44"/>
      <c r="G152" s="44"/>
      <c r="H152" s="44"/>
      <c r="I152" s="99">
        <f t="shared" si="21"/>
        <v>19551</v>
      </c>
      <c r="J152" s="146"/>
    </row>
    <row r="153" spans="1:10" x14ac:dyDescent="0.25">
      <c r="A153" s="117" t="s">
        <v>585</v>
      </c>
      <c r="B153" s="20" t="s">
        <v>586</v>
      </c>
      <c r="C153" s="44">
        <f>26112-800-800</f>
        <v>24512</v>
      </c>
      <c r="D153" s="44"/>
      <c r="E153" s="44"/>
      <c r="F153" s="44"/>
      <c r="G153" s="44"/>
      <c r="H153" s="44"/>
      <c r="I153" s="99">
        <f t="shared" si="21"/>
        <v>24512</v>
      </c>
      <c r="J153" s="146"/>
    </row>
    <row r="154" spans="1:10" x14ac:dyDescent="0.25">
      <c r="A154" s="117" t="s">
        <v>587</v>
      </c>
      <c r="B154" s="20" t="s">
        <v>588</v>
      </c>
      <c r="C154" s="44">
        <v>22190</v>
      </c>
      <c r="D154" s="44"/>
      <c r="E154" s="44"/>
      <c r="F154" s="44"/>
      <c r="G154" s="44"/>
      <c r="H154" s="44"/>
      <c r="I154" s="99">
        <f t="shared" si="21"/>
        <v>22190</v>
      </c>
      <c r="J154" s="146"/>
    </row>
    <row r="155" spans="1:10" x14ac:dyDescent="0.25">
      <c r="A155" s="45" t="s">
        <v>282</v>
      </c>
      <c r="B155" s="20" t="s">
        <v>101</v>
      </c>
      <c r="C155" s="78">
        <f t="shared" ref="C155:H155" si="26">SUM(C156:C160)</f>
        <v>587874</v>
      </c>
      <c r="D155" s="44">
        <f t="shared" si="26"/>
        <v>0</v>
      </c>
      <c r="E155" s="44">
        <f t="shared" si="26"/>
        <v>0</v>
      </c>
      <c r="F155" s="44">
        <f t="shared" si="26"/>
        <v>0</v>
      </c>
      <c r="G155" s="44">
        <f t="shared" si="26"/>
        <v>0</v>
      </c>
      <c r="H155" s="44">
        <f t="shared" si="26"/>
        <v>0</v>
      </c>
      <c r="I155" s="99">
        <f t="shared" si="21"/>
        <v>587874</v>
      </c>
      <c r="J155" s="146"/>
    </row>
    <row r="156" spans="1:10" x14ac:dyDescent="0.25">
      <c r="A156" s="43" t="s">
        <v>179</v>
      </c>
      <c r="B156" s="20" t="s">
        <v>395</v>
      </c>
      <c r="C156" s="44">
        <f>357102+22978</f>
        <v>380080</v>
      </c>
      <c r="D156" s="14"/>
      <c r="E156" s="44"/>
      <c r="F156" s="44"/>
      <c r="G156" s="14"/>
      <c r="H156" s="44"/>
      <c r="I156" s="99">
        <f t="shared" si="21"/>
        <v>380080</v>
      </c>
      <c r="J156" s="146"/>
    </row>
    <row r="157" spans="1:10" x14ac:dyDescent="0.25">
      <c r="A157" s="43" t="s">
        <v>269</v>
      </c>
      <c r="B157" s="5" t="s">
        <v>396</v>
      </c>
      <c r="C157" s="44">
        <v>16631</v>
      </c>
      <c r="D157" s="44"/>
      <c r="E157" s="44"/>
      <c r="F157" s="44"/>
      <c r="G157" s="44"/>
      <c r="H157" s="44"/>
      <c r="I157" s="99">
        <f t="shared" si="21"/>
        <v>16631</v>
      </c>
      <c r="J157" s="146"/>
    </row>
    <row r="158" spans="1:10" x14ac:dyDescent="0.25">
      <c r="A158" s="43" t="s">
        <v>397</v>
      </c>
      <c r="B158" s="5" t="s">
        <v>398</v>
      </c>
      <c r="C158" s="101">
        <v>133470</v>
      </c>
      <c r="D158" s="44"/>
      <c r="E158" s="44"/>
      <c r="F158" s="44"/>
      <c r="G158" s="44"/>
      <c r="H158" s="44"/>
      <c r="I158" s="99">
        <f t="shared" si="21"/>
        <v>133470</v>
      </c>
      <c r="J158" s="146"/>
    </row>
    <row r="159" spans="1:10" x14ac:dyDescent="0.25">
      <c r="A159" s="117" t="s">
        <v>399</v>
      </c>
      <c r="B159" s="5" t="s">
        <v>306</v>
      </c>
      <c r="C159" s="101">
        <v>24273</v>
      </c>
      <c r="D159" s="44"/>
      <c r="E159" s="44"/>
      <c r="F159" s="44"/>
      <c r="G159" s="44"/>
      <c r="H159" s="44"/>
      <c r="I159" s="99">
        <f t="shared" si="21"/>
        <v>24273</v>
      </c>
      <c r="J159" s="146"/>
    </row>
    <row r="160" spans="1:10" x14ac:dyDescent="0.25">
      <c r="A160" s="117" t="s">
        <v>400</v>
      </c>
      <c r="B160" s="2" t="s">
        <v>401</v>
      </c>
      <c r="C160" s="101">
        <v>33420</v>
      </c>
      <c r="D160" s="44"/>
      <c r="E160" s="44"/>
      <c r="F160" s="44"/>
      <c r="G160" s="44"/>
      <c r="H160" s="44"/>
      <c r="I160" s="99">
        <f t="shared" si="21"/>
        <v>33420</v>
      </c>
      <c r="J160" s="146"/>
    </row>
    <row r="161" spans="1:11" x14ac:dyDescent="0.25">
      <c r="A161" s="45" t="s">
        <v>78</v>
      </c>
      <c r="B161" s="20" t="s">
        <v>283</v>
      </c>
      <c r="C161" s="78">
        <f>SUM(C162:C180)</f>
        <v>3391329</v>
      </c>
      <c r="D161" s="78">
        <f>SUM(D162:D179)</f>
        <v>0</v>
      </c>
      <c r="E161" s="78">
        <f>SUM(E162:E179)</f>
        <v>2044083</v>
      </c>
      <c r="F161" s="78">
        <f>SUM(F162:F179)</f>
        <v>0</v>
      </c>
      <c r="G161" s="78">
        <f>SUM(G162:G179)</f>
        <v>0</v>
      </c>
      <c r="H161" s="78">
        <f>SUM(H162:H179)</f>
        <v>0</v>
      </c>
      <c r="I161" s="99">
        <f t="shared" si="21"/>
        <v>5435412</v>
      </c>
      <c r="J161" s="146"/>
      <c r="K161" s="179"/>
    </row>
    <row r="162" spans="1:11" x14ac:dyDescent="0.25">
      <c r="A162" s="43" t="s">
        <v>241</v>
      </c>
      <c r="B162" s="20" t="s">
        <v>402</v>
      </c>
      <c r="C162" s="44"/>
      <c r="D162" s="14"/>
      <c r="E162" s="44">
        <f>601837+1474-31333</f>
        <v>571978</v>
      </c>
      <c r="F162" s="44"/>
      <c r="G162" s="161"/>
      <c r="H162" s="44"/>
      <c r="I162" s="99">
        <f t="shared" si="21"/>
        <v>571978</v>
      </c>
      <c r="J162" s="146"/>
    </row>
    <row r="163" spans="1:11" x14ac:dyDescent="0.25">
      <c r="A163" s="43" t="s">
        <v>403</v>
      </c>
      <c r="B163" s="20" t="s">
        <v>404</v>
      </c>
      <c r="C163" s="199"/>
      <c r="D163" s="14"/>
      <c r="E163" s="44">
        <f>1532026-34000-26761+840</f>
        <v>1472105</v>
      </c>
      <c r="F163" s="44"/>
      <c r="G163" s="14"/>
      <c r="H163" s="44"/>
      <c r="I163" s="99">
        <f t="shared" si="21"/>
        <v>1472105</v>
      </c>
      <c r="J163" s="146"/>
    </row>
    <row r="164" spans="1:11" x14ac:dyDescent="0.25">
      <c r="A164" s="43" t="s">
        <v>270</v>
      </c>
      <c r="B164" s="20" t="s">
        <v>668</v>
      </c>
      <c r="C164" s="44">
        <f>22901-1300</f>
        <v>21601</v>
      </c>
      <c r="D164" s="14"/>
      <c r="E164" s="44"/>
      <c r="F164" s="44"/>
      <c r="G164" s="1"/>
      <c r="H164" s="44"/>
      <c r="I164" s="99">
        <f t="shared" si="21"/>
        <v>21601</v>
      </c>
      <c r="J164" s="146"/>
    </row>
    <row r="165" spans="1:11" x14ac:dyDescent="0.25">
      <c r="A165" s="117" t="s">
        <v>254</v>
      </c>
      <c r="B165" s="20" t="s">
        <v>405</v>
      </c>
      <c r="C165" s="101">
        <f>410150+3224</f>
        <v>413374</v>
      </c>
      <c r="D165" s="14"/>
      <c r="E165" s="44"/>
      <c r="F165" s="44"/>
      <c r="G165" s="161"/>
      <c r="H165" s="44"/>
      <c r="I165" s="99">
        <f t="shared" si="21"/>
        <v>413374</v>
      </c>
      <c r="J165" s="146"/>
    </row>
    <row r="166" spans="1:11" x14ac:dyDescent="0.25">
      <c r="A166" s="117" t="s">
        <v>406</v>
      </c>
      <c r="B166" s="20" t="s">
        <v>407</v>
      </c>
      <c r="C166" s="44">
        <f>225860+2821</f>
        <v>228681</v>
      </c>
      <c r="D166" s="14"/>
      <c r="E166" s="44"/>
      <c r="F166" s="44"/>
      <c r="G166" s="161"/>
      <c r="H166" s="44"/>
      <c r="I166" s="99">
        <f t="shared" si="21"/>
        <v>228681</v>
      </c>
      <c r="J166" s="146"/>
    </row>
    <row r="167" spans="1:11" x14ac:dyDescent="0.25">
      <c r="A167" s="117" t="s">
        <v>408</v>
      </c>
      <c r="B167" s="2" t="s">
        <v>409</v>
      </c>
      <c r="C167" s="6">
        <f>82086+208995+628290+11687+855</f>
        <v>931913</v>
      </c>
      <c r="D167" s="14"/>
      <c r="E167" s="44"/>
      <c r="F167" s="44"/>
      <c r="G167" s="161"/>
      <c r="H167" s="44"/>
      <c r="I167" s="99">
        <f t="shared" si="21"/>
        <v>931913</v>
      </c>
      <c r="J167" s="146"/>
    </row>
    <row r="168" spans="1:11" x14ac:dyDescent="0.25">
      <c r="A168" s="117" t="s">
        <v>410</v>
      </c>
      <c r="B168" s="2" t="s">
        <v>411</v>
      </c>
      <c r="C168" s="6">
        <f>280065+2418</f>
        <v>282483</v>
      </c>
      <c r="D168" s="14"/>
      <c r="E168" s="44"/>
      <c r="F168" s="44"/>
      <c r="G168" s="161"/>
      <c r="H168" s="44"/>
      <c r="I168" s="99">
        <f t="shared" si="21"/>
        <v>282483</v>
      </c>
      <c r="J168" s="146"/>
    </row>
    <row r="169" spans="1:11" x14ac:dyDescent="0.25">
      <c r="A169" s="117" t="s">
        <v>412</v>
      </c>
      <c r="B169" s="2" t="s">
        <v>413</v>
      </c>
      <c r="C169" s="6">
        <f>163305+1612</f>
        <v>164917</v>
      </c>
      <c r="D169" s="14"/>
      <c r="E169" s="44"/>
      <c r="F169" s="44"/>
      <c r="G169" s="161"/>
      <c r="H169" s="44"/>
      <c r="I169" s="99">
        <f t="shared" si="21"/>
        <v>164917</v>
      </c>
      <c r="J169" s="146"/>
    </row>
    <row r="170" spans="1:11" x14ac:dyDescent="0.25">
      <c r="A170" s="117" t="s">
        <v>414</v>
      </c>
      <c r="B170" s="2" t="s">
        <v>415</v>
      </c>
      <c r="C170" s="6">
        <f>58325-8651</f>
        <v>49674</v>
      </c>
      <c r="D170" s="14"/>
      <c r="E170" s="44"/>
      <c r="F170" s="44"/>
      <c r="G170" s="161"/>
      <c r="H170" s="44"/>
      <c r="I170" s="99">
        <f t="shared" si="21"/>
        <v>49674</v>
      </c>
      <c r="J170" s="146"/>
    </row>
    <row r="171" spans="1:11" x14ac:dyDescent="0.25">
      <c r="A171" s="117" t="s">
        <v>416</v>
      </c>
      <c r="B171" s="2" t="s">
        <v>417</v>
      </c>
      <c r="C171" s="207">
        <f>105850+806</f>
        <v>106656</v>
      </c>
      <c r="D171" s="14"/>
      <c r="E171" s="44"/>
      <c r="F171" s="44"/>
      <c r="G171" s="161"/>
      <c r="H171" s="44"/>
      <c r="I171" s="99">
        <f t="shared" si="21"/>
        <v>106656</v>
      </c>
      <c r="J171" s="146"/>
    </row>
    <row r="172" spans="1:11" x14ac:dyDescent="0.25">
      <c r="A172" s="117" t="s">
        <v>589</v>
      </c>
      <c r="B172" s="2" t="s">
        <v>590</v>
      </c>
      <c r="C172" s="223">
        <f>231112+4030-3000</f>
        <v>232142</v>
      </c>
      <c r="D172" s="14"/>
      <c r="E172" s="44"/>
      <c r="F172" s="44"/>
      <c r="G172" s="161"/>
      <c r="H172" s="44"/>
      <c r="I172" s="99">
        <f t="shared" si="21"/>
        <v>232142</v>
      </c>
      <c r="J172" s="146"/>
    </row>
    <row r="173" spans="1:11" x14ac:dyDescent="0.25">
      <c r="A173" s="117" t="s">
        <v>591</v>
      </c>
      <c r="B173" s="2" t="s">
        <v>592</v>
      </c>
      <c r="C173" s="223">
        <f>111475+403+2680</f>
        <v>114558</v>
      </c>
      <c r="D173" s="14"/>
      <c r="E173" s="44"/>
      <c r="F173" s="44"/>
      <c r="G173" s="161"/>
      <c r="H173" s="44"/>
      <c r="I173" s="99">
        <f t="shared" si="21"/>
        <v>114558</v>
      </c>
      <c r="J173" s="146"/>
    </row>
    <row r="174" spans="1:11" x14ac:dyDescent="0.25">
      <c r="A174" s="117" t="s">
        <v>593</v>
      </c>
      <c r="B174" s="2" t="s">
        <v>594</v>
      </c>
      <c r="C174" s="223">
        <f>158303+2418+8200+1300</f>
        <v>170221</v>
      </c>
      <c r="D174" s="14"/>
      <c r="E174" s="44"/>
      <c r="F174" s="44"/>
      <c r="G174" s="161"/>
      <c r="H174" s="44"/>
      <c r="I174" s="99">
        <f t="shared" si="21"/>
        <v>170221</v>
      </c>
      <c r="J174" s="146"/>
    </row>
    <row r="175" spans="1:11" x14ac:dyDescent="0.25">
      <c r="A175" s="117" t="s">
        <v>595</v>
      </c>
      <c r="B175" s="2" t="s">
        <v>596</v>
      </c>
      <c r="C175" s="223">
        <f>200305+4030+200</f>
        <v>204535</v>
      </c>
      <c r="D175" s="14"/>
      <c r="E175" s="44"/>
      <c r="F175" s="44"/>
      <c r="G175" s="161"/>
      <c r="H175" s="44"/>
      <c r="I175" s="99">
        <f t="shared" si="21"/>
        <v>204535</v>
      </c>
      <c r="J175" s="146"/>
    </row>
    <row r="176" spans="1:11" x14ac:dyDescent="0.25">
      <c r="A176" s="117" t="s">
        <v>597</v>
      </c>
      <c r="B176" s="2" t="s">
        <v>598</v>
      </c>
      <c r="C176" s="223">
        <v>19897</v>
      </c>
      <c r="D176" s="14"/>
      <c r="E176" s="44"/>
      <c r="F176" s="44"/>
      <c r="G176" s="161"/>
      <c r="H176" s="44"/>
      <c r="I176" s="99">
        <f t="shared" si="21"/>
        <v>19897</v>
      </c>
      <c r="J176" s="146"/>
    </row>
    <row r="177" spans="1:10" x14ac:dyDescent="0.25">
      <c r="A177" s="117" t="s">
        <v>599</v>
      </c>
      <c r="B177" s="2" t="s">
        <v>630</v>
      </c>
      <c r="C177" s="223">
        <f>28894+806-1200</f>
        <v>28500</v>
      </c>
      <c r="D177" s="14"/>
      <c r="E177" s="44"/>
      <c r="F177" s="44"/>
      <c r="G177" s="161"/>
      <c r="H177" s="44"/>
      <c r="I177" s="99">
        <f t="shared" si="21"/>
        <v>28500</v>
      </c>
      <c r="J177" s="146"/>
    </row>
    <row r="178" spans="1:10" x14ac:dyDescent="0.25">
      <c r="A178" s="117" t="s">
        <v>600</v>
      </c>
      <c r="B178" s="2" t="s">
        <v>601</v>
      </c>
      <c r="C178" s="223">
        <f>60439+806+585</f>
        <v>61830</v>
      </c>
      <c r="D178" s="14"/>
      <c r="E178" s="44"/>
      <c r="F178" s="44"/>
      <c r="G178" s="161"/>
      <c r="H178" s="44"/>
      <c r="I178" s="99">
        <f t="shared" si="21"/>
        <v>61830</v>
      </c>
      <c r="J178" s="146"/>
    </row>
    <row r="179" spans="1:10" x14ac:dyDescent="0.25">
      <c r="A179" s="117" t="s">
        <v>602</v>
      </c>
      <c r="B179" s="2" t="s">
        <v>603</v>
      </c>
      <c r="C179" s="223">
        <f>82709+806+30000+122813</f>
        <v>236328</v>
      </c>
      <c r="D179" s="14"/>
      <c r="E179" s="44"/>
      <c r="F179" s="44"/>
      <c r="G179" s="161"/>
      <c r="H179" s="44"/>
      <c r="I179" s="99">
        <f>SUM(C179:H179)</f>
        <v>236328</v>
      </c>
      <c r="J179" s="218"/>
    </row>
    <row r="180" spans="1:10" x14ac:dyDescent="0.25">
      <c r="A180" s="117" t="s">
        <v>631</v>
      </c>
      <c r="B180" s="2" t="s">
        <v>673</v>
      </c>
      <c r="C180" s="223">
        <v>124019</v>
      </c>
      <c r="D180" s="14"/>
      <c r="E180" s="44"/>
      <c r="F180" s="44"/>
      <c r="G180" s="161"/>
      <c r="H180" s="44"/>
      <c r="I180" s="99">
        <f>SUM(C180:H180)</f>
        <v>124019</v>
      </c>
      <c r="J180" s="146"/>
    </row>
    <row r="181" spans="1:10" x14ac:dyDescent="0.25">
      <c r="A181" s="174" t="s">
        <v>632</v>
      </c>
      <c r="B181" s="192" t="s">
        <v>633</v>
      </c>
      <c r="C181" s="224">
        <f>SUM(C182)</f>
        <v>138739</v>
      </c>
      <c r="D181" s="14"/>
      <c r="E181" s="44"/>
      <c r="F181" s="44"/>
      <c r="G181" s="161"/>
      <c r="H181" s="44"/>
      <c r="I181" s="99">
        <f>SUM(C181:H181)</f>
        <v>138739</v>
      </c>
      <c r="J181" s="146"/>
    </row>
    <row r="182" spans="1:10" x14ac:dyDescent="0.25">
      <c r="A182" s="117" t="s">
        <v>634</v>
      </c>
      <c r="B182" s="2" t="s">
        <v>635</v>
      </c>
      <c r="C182" s="207">
        <f>118884+19855</f>
        <v>138739</v>
      </c>
      <c r="D182" s="14"/>
      <c r="E182" s="44"/>
      <c r="F182" s="44"/>
      <c r="G182" s="161"/>
      <c r="H182" s="44"/>
      <c r="I182" s="99">
        <f>SUM(C182:H182)</f>
        <v>138739</v>
      </c>
      <c r="J182" s="146"/>
    </row>
    <row r="183" spans="1:10" s="143" customFormat="1" x14ac:dyDescent="0.25">
      <c r="A183" s="98" t="s">
        <v>79</v>
      </c>
      <c r="B183" s="75" t="s">
        <v>180</v>
      </c>
      <c r="C183" s="28">
        <f t="shared" ref="C183:H183" si="27">SUM(C184:C191)</f>
        <v>1928674</v>
      </c>
      <c r="D183" s="28">
        <f t="shared" si="27"/>
        <v>0</v>
      </c>
      <c r="E183" s="28">
        <f t="shared" si="27"/>
        <v>0</v>
      </c>
      <c r="F183" s="28">
        <f t="shared" si="27"/>
        <v>0</v>
      </c>
      <c r="G183" s="28">
        <f t="shared" si="27"/>
        <v>0</v>
      </c>
      <c r="H183" s="28">
        <f t="shared" si="27"/>
        <v>0</v>
      </c>
      <c r="I183" s="99">
        <f>SUM(C183:H183)</f>
        <v>1928674</v>
      </c>
      <c r="J183" s="146"/>
    </row>
    <row r="184" spans="1:10" x14ac:dyDescent="0.25">
      <c r="A184" s="43" t="s">
        <v>181</v>
      </c>
      <c r="B184" s="5" t="s">
        <v>702</v>
      </c>
      <c r="C184" s="101">
        <f>243688+2000-5500-10000+22000</f>
        <v>252188</v>
      </c>
      <c r="D184" s="14"/>
      <c r="E184" s="44"/>
      <c r="F184" s="44"/>
      <c r="G184" s="14"/>
      <c r="H184" s="44"/>
      <c r="I184" s="99">
        <f t="shared" si="21"/>
        <v>252188</v>
      </c>
      <c r="J184" s="146"/>
    </row>
    <row r="185" spans="1:10" x14ac:dyDescent="0.25">
      <c r="A185" s="43" t="s">
        <v>182</v>
      </c>
      <c r="B185" s="5" t="s">
        <v>418</v>
      </c>
      <c r="C185" s="101">
        <v>362773</v>
      </c>
      <c r="D185" s="14"/>
      <c r="E185" s="44"/>
      <c r="F185" s="44"/>
      <c r="G185" s="14"/>
      <c r="H185" s="44"/>
      <c r="I185" s="99">
        <f t="shared" si="21"/>
        <v>362773</v>
      </c>
      <c r="J185" s="146"/>
    </row>
    <row r="186" spans="1:10" ht="30" x14ac:dyDescent="0.25">
      <c r="A186" s="43" t="s">
        <v>661</v>
      </c>
      <c r="B186" s="125" t="s">
        <v>654</v>
      </c>
      <c r="C186" s="101">
        <v>854118</v>
      </c>
      <c r="D186" s="14"/>
      <c r="E186" s="44"/>
      <c r="F186" s="44"/>
      <c r="G186" s="14"/>
      <c r="H186" s="44"/>
      <c r="I186" s="99">
        <f t="shared" si="21"/>
        <v>854118</v>
      </c>
      <c r="J186" s="146"/>
    </row>
    <row r="187" spans="1:10" ht="45" x14ac:dyDescent="0.25">
      <c r="A187" s="43" t="s">
        <v>227</v>
      </c>
      <c r="B187" s="125" t="s">
        <v>419</v>
      </c>
      <c r="C187" s="44">
        <v>61000</v>
      </c>
      <c r="D187" s="14"/>
      <c r="E187" s="44"/>
      <c r="F187" s="44"/>
      <c r="G187" s="14"/>
      <c r="H187" s="44"/>
      <c r="I187" s="99">
        <f t="shared" ref="I187:I246" si="28">SUM(C187:H187)</f>
        <v>61000</v>
      </c>
      <c r="J187" s="146"/>
    </row>
    <row r="188" spans="1:10" x14ac:dyDescent="0.25">
      <c r="A188" s="11" t="s">
        <v>420</v>
      </c>
      <c r="B188" s="172" t="s">
        <v>421</v>
      </c>
      <c r="C188" s="6">
        <v>82646</v>
      </c>
      <c r="D188" s="44"/>
      <c r="E188" s="44"/>
      <c r="F188" s="44"/>
      <c r="G188" s="44"/>
      <c r="H188" s="44"/>
      <c r="I188" s="99">
        <f t="shared" si="28"/>
        <v>82646</v>
      </c>
      <c r="J188" s="146"/>
    </row>
    <row r="189" spans="1:10" x14ac:dyDescent="0.25">
      <c r="A189" s="11" t="s">
        <v>422</v>
      </c>
      <c r="B189" s="172" t="s">
        <v>423</v>
      </c>
      <c r="C189" s="6">
        <v>27857</v>
      </c>
      <c r="D189" s="44"/>
      <c r="E189" s="44"/>
      <c r="F189" s="44"/>
      <c r="G189" s="44"/>
      <c r="H189" s="44"/>
      <c r="I189" s="99">
        <f t="shared" si="28"/>
        <v>27857</v>
      </c>
      <c r="J189" s="146"/>
    </row>
    <row r="190" spans="1:10" x14ac:dyDescent="0.25">
      <c r="A190" s="11" t="s">
        <v>424</v>
      </c>
      <c r="B190" s="191" t="s">
        <v>425</v>
      </c>
      <c r="C190" s="44">
        <f>13872+24002+44878</f>
        <v>82752</v>
      </c>
      <c r="D190" s="44"/>
      <c r="E190" s="44"/>
      <c r="F190" s="44"/>
      <c r="G190" s="44"/>
      <c r="H190" s="44"/>
      <c r="I190" s="99">
        <f t="shared" si="28"/>
        <v>82752</v>
      </c>
      <c r="J190" s="146"/>
    </row>
    <row r="191" spans="1:10" x14ac:dyDescent="0.25">
      <c r="A191" s="11" t="s">
        <v>426</v>
      </c>
      <c r="B191" s="191" t="s">
        <v>427</v>
      </c>
      <c r="C191" s="44">
        <v>205340</v>
      </c>
      <c r="D191" s="44"/>
      <c r="E191" s="44"/>
      <c r="F191" s="44"/>
      <c r="G191" s="44"/>
      <c r="H191" s="44"/>
      <c r="I191" s="99">
        <f t="shared" si="28"/>
        <v>205340</v>
      </c>
      <c r="J191" s="146"/>
    </row>
    <row r="192" spans="1:10" x14ac:dyDescent="0.25">
      <c r="A192" s="74" t="s">
        <v>255</v>
      </c>
      <c r="B192" s="126" t="s">
        <v>256</v>
      </c>
      <c r="C192" s="78">
        <f t="shared" ref="C192:H192" si="29">SUM(C193:C194)</f>
        <v>222895</v>
      </c>
      <c r="D192" s="44">
        <f t="shared" si="29"/>
        <v>0</v>
      </c>
      <c r="E192" s="44">
        <f t="shared" si="29"/>
        <v>0</v>
      </c>
      <c r="F192" s="44">
        <f t="shared" si="29"/>
        <v>0</v>
      </c>
      <c r="G192" s="44">
        <f t="shared" si="29"/>
        <v>0</v>
      </c>
      <c r="H192" s="44">
        <f t="shared" si="29"/>
        <v>0</v>
      </c>
      <c r="I192" s="99">
        <f t="shared" si="28"/>
        <v>222895</v>
      </c>
      <c r="J192" s="146"/>
    </row>
    <row r="193" spans="1:10" x14ac:dyDescent="0.25">
      <c r="A193" s="10" t="s">
        <v>271</v>
      </c>
      <c r="B193" s="75" t="s">
        <v>80</v>
      </c>
      <c r="C193" s="101">
        <v>31000</v>
      </c>
      <c r="D193" s="28"/>
      <c r="E193" s="78"/>
      <c r="F193" s="78"/>
      <c r="G193" s="14"/>
      <c r="H193" s="44"/>
      <c r="I193" s="99">
        <f t="shared" si="28"/>
        <v>31000</v>
      </c>
      <c r="J193" s="146"/>
    </row>
    <row r="194" spans="1:10" ht="20.100000000000001" customHeight="1" x14ac:dyDescent="0.25">
      <c r="A194" s="10" t="s">
        <v>272</v>
      </c>
      <c r="B194" s="75" t="s">
        <v>701</v>
      </c>
      <c r="C194" s="44">
        <v>191895</v>
      </c>
      <c r="D194" s="28"/>
      <c r="E194" s="78"/>
      <c r="F194" s="78"/>
      <c r="G194" s="14"/>
      <c r="H194" s="44"/>
      <c r="I194" s="99">
        <f t="shared" si="28"/>
        <v>191895</v>
      </c>
      <c r="J194" s="146"/>
    </row>
    <row r="195" spans="1:10" ht="44.25" thickBot="1" x14ac:dyDescent="0.3">
      <c r="A195" s="163" t="s">
        <v>304</v>
      </c>
      <c r="B195" s="201" t="s">
        <v>299</v>
      </c>
      <c r="C195" s="78">
        <v>18000</v>
      </c>
      <c r="D195" s="28"/>
      <c r="E195" s="78"/>
      <c r="F195" s="78"/>
      <c r="G195" s="14"/>
      <c r="H195" s="44"/>
      <c r="I195" s="99">
        <f t="shared" si="28"/>
        <v>18000</v>
      </c>
      <c r="J195" s="146"/>
    </row>
    <row r="196" spans="1:10" ht="15.75" thickBot="1" x14ac:dyDescent="0.3">
      <c r="A196" s="129" t="s">
        <v>81</v>
      </c>
      <c r="B196" s="119" t="s">
        <v>0</v>
      </c>
      <c r="C196" s="36">
        <f t="shared" ref="C196:H196" si="30">C197+C212+C214+C233+C243+C252+C253</f>
        <v>60849964</v>
      </c>
      <c r="D196" s="36">
        <f t="shared" si="30"/>
        <v>0</v>
      </c>
      <c r="E196" s="36">
        <f t="shared" si="30"/>
        <v>0</v>
      </c>
      <c r="F196" s="36">
        <f t="shared" si="30"/>
        <v>0</v>
      </c>
      <c r="G196" s="36">
        <f t="shared" si="30"/>
        <v>0</v>
      </c>
      <c r="H196" s="37">
        <f t="shared" si="30"/>
        <v>0</v>
      </c>
      <c r="I196" s="38">
        <f t="shared" si="28"/>
        <v>60849964</v>
      </c>
      <c r="J196" s="146"/>
    </row>
    <row r="197" spans="1:10" x14ac:dyDescent="0.25">
      <c r="A197" s="92" t="s">
        <v>82</v>
      </c>
      <c r="B197" s="93" t="s">
        <v>183</v>
      </c>
      <c r="C197" s="94">
        <f t="shared" ref="C197:H197" si="31">SUM(C198:C211)</f>
        <v>15092754</v>
      </c>
      <c r="D197" s="94">
        <f t="shared" si="31"/>
        <v>0</v>
      </c>
      <c r="E197" s="94">
        <f t="shared" si="31"/>
        <v>0</v>
      </c>
      <c r="F197" s="94">
        <f t="shared" si="31"/>
        <v>0</v>
      </c>
      <c r="G197" s="94">
        <f t="shared" si="31"/>
        <v>0</v>
      </c>
      <c r="H197" s="94">
        <f t="shared" si="31"/>
        <v>0</v>
      </c>
      <c r="I197" s="42">
        <f t="shared" si="28"/>
        <v>15092754</v>
      </c>
      <c r="J197" s="146"/>
    </row>
    <row r="198" spans="1:10" x14ac:dyDescent="0.25">
      <c r="A198" s="43" t="s">
        <v>184</v>
      </c>
      <c r="B198" s="20" t="s">
        <v>83</v>
      </c>
      <c r="C198" s="44">
        <f>1253288+29482+182800+4887+17838+1540+58194</f>
        <v>1548029</v>
      </c>
      <c r="D198" s="44"/>
      <c r="E198" s="44"/>
      <c r="F198" s="44"/>
      <c r="G198" s="14"/>
      <c r="H198" s="44"/>
      <c r="I198" s="99">
        <f t="shared" si="28"/>
        <v>1548029</v>
      </c>
      <c r="J198" s="146"/>
    </row>
    <row r="199" spans="1:10" x14ac:dyDescent="0.25">
      <c r="A199" s="43" t="s">
        <v>185</v>
      </c>
      <c r="B199" s="20" t="s">
        <v>84</v>
      </c>
      <c r="C199" s="44">
        <f>857545+20547+137424+3480+13284+51289</f>
        <v>1083569</v>
      </c>
      <c r="D199" s="44"/>
      <c r="E199" s="44"/>
      <c r="F199" s="44"/>
      <c r="G199" s="14"/>
      <c r="H199" s="44"/>
      <c r="I199" s="99">
        <f t="shared" si="28"/>
        <v>1083569</v>
      </c>
      <c r="J199" s="146"/>
    </row>
    <row r="200" spans="1:10" x14ac:dyDescent="0.25">
      <c r="A200" s="43" t="s">
        <v>186</v>
      </c>
      <c r="B200" s="20" t="s">
        <v>85</v>
      </c>
      <c r="C200" s="44">
        <f>860860+21034+152160+3235+18224+2013+2816+51452</f>
        <v>1111794</v>
      </c>
      <c r="D200" s="44"/>
      <c r="E200" s="44"/>
      <c r="F200" s="44"/>
      <c r="G200" s="14"/>
      <c r="H200" s="44"/>
      <c r="I200" s="99">
        <f t="shared" si="28"/>
        <v>1111794</v>
      </c>
      <c r="J200" s="146"/>
    </row>
    <row r="201" spans="1:10" x14ac:dyDescent="0.25">
      <c r="A201" s="43" t="s">
        <v>187</v>
      </c>
      <c r="B201" s="20" t="s">
        <v>86</v>
      </c>
      <c r="C201" s="44">
        <f>1059025+25353+143687+2389+3853+17102+52953</f>
        <v>1304362</v>
      </c>
      <c r="D201" s="44"/>
      <c r="E201" s="44"/>
      <c r="F201" s="44"/>
      <c r="G201" s="14"/>
      <c r="H201" s="44"/>
      <c r="I201" s="99">
        <f t="shared" si="28"/>
        <v>1304362</v>
      </c>
      <c r="J201" s="146"/>
    </row>
    <row r="202" spans="1:10" x14ac:dyDescent="0.25">
      <c r="A202" s="43" t="s">
        <v>188</v>
      </c>
      <c r="B202" s="20" t="s">
        <v>87</v>
      </c>
      <c r="C202" s="101">
        <f>558099+12785+66415+1582+6677+2100+22202</f>
        <v>669860</v>
      </c>
      <c r="D202" s="44"/>
      <c r="E202" s="44"/>
      <c r="F202" s="44"/>
      <c r="G202" s="14"/>
      <c r="H202" s="44"/>
      <c r="I202" s="99">
        <f t="shared" si="28"/>
        <v>669860</v>
      </c>
      <c r="J202" s="146"/>
    </row>
    <row r="203" spans="1:10" x14ac:dyDescent="0.25">
      <c r="A203" s="43" t="s">
        <v>189</v>
      </c>
      <c r="B203" s="20" t="s">
        <v>102</v>
      </c>
      <c r="C203" s="44">
        <f>1192501+28196+171584+4535+18030+4195+3220+69936</f>
        <v>1492197</v>
      </c>
      <c r="D203" s="44"/>
      <c r="E203" s="44"/>
      <c r="F203" s="44"/>
      <c r="G203" s="14"/>
      <c r="H203" s="44"/>
      <c r="I203" s="99">
        <f t="shared" si="28"/>
        <v>1492197</v>
      </c>
      <c r="J203" s="146"/>
    </row>
    <row r="204" spans="1:10" x14ac:dyDescent="0.25">
      <c r="A204" s="43" t="s">
        <v>190</v>
      </c>
      <c r="B204" s="20" t="s">
        <v>115</v>
      </c>
      <c r="C204" s="101">
        <f>644293+15684+56552+1512+6654+840+26623</f>
        <v>752158</v>
      </c>
      <c r="D204" s="44"/>
      <c r="E204" s="44"/>
      <c r="F204" s="44"/>
      <c r="G204" s="14"/>
      <c r="H204" s="44"/>
      <c r="I204" s="99">
        <f t="shared" si="28"/>
        <v>752158</v>
      </c>
      <c r="J204" s="146"/>
    </row>
    <row r="205" spans="1:10" x14ac:dyDescent="0.25">
      <c r="A205" s="43" t="s">
        <v>191</v>
      </c>
      <c r="B205" s="20" t="s">
        <v>116</v>
      </c>
      <c r="C205" s="101">
        <f>574894+57720+1230+6101+21245</f>
        <v>661190</v>
      </c>
      <c r="D205" s="44"/>
      <c r="E205" s="44"/>
      <c r="F205" s="44"/>
      <c r="G205" s="14"/>
      <c r="H205" s="44"/>
      <c r="I205" s="99">
        <f t="shared" si="28"/>
        <v>661190</v>
      </c>
      <c r="J205" s="146"/>
    </row>
    <row r="206" spans="1:10" ht="30" x14ac:dyDescent="0.25">
      <c r="A206" s="43" t="s">
        <v>192</v>
      </c>
      <c r="B206" s="20" t="s">
        <v>291</v>
      </c>
      <c r="C206" s="44">
        <f>800000+20000</f>
        <v>820000</v>
      </c>
      <c r="D206" s="44"/>
      <c r="E206" s="44"/>
      <c r="F206" s="44"/>
      <c r="G206" s="14"/>
      <c r="H206" s="44"/>
      <c r="I206" s="99">
        <f t="shared" si="28"/>
        <v>820000</v>
      </c>
      <c r="J206" s="146"/>
    </row>
    <row r="207" spans="1:10" x14ac:dyDescent="0.25">
      <c r="A207" s="117" t="s">
        <v>428</v>
      </c>
      <c r="B207" s="20" t="s">
        <v>307</v>
      </c>
      <c r="C207" s="101">
        <f>1158429+82522+236000+6012+25297+3303+82663</f>
        <v>1594226</v>
      </c>
      <c r="D207" s="44"/>
      <c r="E207" s="44"/>
      <c r="F207" s="44"/>
      <c r="G207" s="14"/>
      <c r="H207" s="44"/>
      <c r="I207" s="99">
        <f t="shared" si="28"/>
        <v>1594226</v>
      </c>
      <c r="J207" s="146"/>
    </row>
    <row r="208" spans="1:10" x14ac:dyDescent="0.25">
      <c r="A208" s="117" t="s">
        <v>429</v>
      </c>
      <c r="B208" s="20" t="s">
        <v>308</v>
      </c>
      <c r="C208" s="101">
        <f>855366+19506+95072+2355+11513+4580+3211+49583</f>
        <v>1041186</v>
      </c>
      <c r="D208" s="44"/>
      <c r="E208" s="44"/>
      <c r="F208" s="44"/>
      <c r="G208" s="14"/>
      <c r="H208" s="44"/>
      <c r="I208" s="99">
        <f t="shared" si="28"/>
        <v>1041186</v>
      </c>
      <c r="J208" s="146"/>
    </row>
    <row r="209" spans="1:10" x14ac:dyDescent="0.25">
      <c r="A209" s="117" t="s">
        <v>430</v>
      </c>
      <c r="B209" s="20" t="s">
        <v>431</v>
      </c>
      <c r="C209" s="101">
        <f>992191+147016+3551+15555+2547+48330</f>
        <v>1209190</v>
      </c>
      <c r="D209" s="44"/>
      <c r="E209" s="44"/>
      <c r="F209" s="44"/>
      <c r="G209" s="14"/>
      <c r="H209" s="44"/>
      <c r="I209" s="99">
        <f t="shared" si="28"/>
        <v>1209190</v>
      </c>
      <c r="J209" s="146"/>
    </row>
    <row r="210" spans="1:10" x14ac:dyDescent="0.25">
      <c r="A210" s="117" t="s">
        <v>432</v>
      </c>
      <c r="B210" s="20" t="s">
        <v>433</v>
      </c>
      <c r="C210" s="101">
        <f>387157+39456+1055+4703+767+12822</f>
        <v>445960</v>
      </c>
      <c r="D210" s="44"/>
      <c r="E210" s="44"/>
      <c r="F210" s="44"/>
      <c r="G210" s="14"/>
      <c r="H210" s="44"/>
      <c r="I210" s="99">
        <f t="shared" si="28"/>
        <v>445960</v>
      </c>
      <c r="J210" s="146"/>
    </row>
    <row r="211" spans="1:10" x14ac:dyDescent="0.25">
      <c r="A211" s="117" t="s">
        <v>434</v>
      </c>
      <c r="B211" s="20" t="s">
        <v>435</v>
      </c>
      <c r="C211" s="44">
        <f>1057253+197614+4851+19569+8867+3073+67806</f>
        <v>1359033</v>
      </c>
      <c r="D211" s="44"/>
      <c r="E211" s="44"/>
      <c r="F211" s="44"/>
      <c r="G211" s="14"/>
      <c r="H211" s="44"/>
      <c r="I211" s="99">
        <f t="shared" si="28"/>
        <v>1359033</v>
      </c>
      <c r="J211" s="146"/>
    </row>
    <row r="212" spans="1:10" x14ac:dyDescent="0.25">
      <c r="A212" s="98" t="s">
        <v>88</v>
      </c>
      <c r="B212" s="75" t="s">
        <v>193</v>
      </c>
      <c r="C212" s="78">
        <f t="shared" ref="C212:H212" si="32">SUM(C213:C213)</f>
        <v>1373573</v>
      </c>
      <c r="D212" s="78">
        <f t="shared" si="32"/>
        <v>0</v>
      </c>
      <c r="E212" s="78">
        <f t="shared" si="32"/>
        <v>0</v>
      </c>
      <c r="F212" s="78">
        <f t="shared" si="32"/>
        <v>0</v>
      </c>
      <c r="G212" s="78">
        <f t="shared" si="32"/>
        <v>0</v>
      </c>
      <c r="H212" s="78">
        <f t="shared" si="32"/>
        <v>0</v>
      </c>
      <c r="I212" s="99">
        <f t="shared" si="28"/>
        <v>1373573</v>
      </c>
      <c r="J212" s="146"/>
    </row>
    <row r="213" spans="1:10" x14ac:dyDescent="0.25">
      <c r="A213" s="117" t="s">
        <v>436</v>
      </c>
      <c r="B213" s="2" t="s">
        <v>320</v>
      </c>
      <c r="C213" s="44">
        <f>771435+15623+371564+6187+58598+4163+146003</f>
        <v>1373573</v>
      </c>
      <c r="D213" s="44"/>
      <c r="E213" s="44"/>
      <c r="F213" s="44"/>
      <c r="G213" s="161"/>
      <c r="H213" s="44"/>
      <c r="I213" s="99">
        <f t="shared" si="28"/>
        <v>1373573</v>
      </c>
      <c r="J213" s="146"/>
    </row>
    <row r="214" spans="1:10" ht="29.25" x14ac:dyDescent="0.25">
      <c r="A214" s="98" t="s">
        <v>119</v>
      </c>
      <c r="B214" s="75" t="s">
        <v>194</v>
      </c>
      <c r="C214" s="78">
        <f t="shared" ref="C214:H214" si="33">SUM(C215:C232)</f>
        <v>29681675</v>
      </c>
      <c r="D214" s="78">
        <f t="shared" si="33"/>
        <v>0</v>
      </c>
      <c r="E214" s="78">
        <f t="shared" si="33"/>
        <v>0</v>
      </c>
      <c r="F214" s="78">
        <f t="shared" si="33"/>
        <v>0</v>
      </c>
      <c r="G214" s="78">
        <f t="shared" si="33"/>
        <v>0</v>
      </c>
      <c r="H214" s="78">
        <f t="shared" si="33"/>
        <v>0</v>
      </c>
      <c r="I214" s="99">
        <f t="shared" si="28"/>
        <v>29681675</v>
      </c>
      <c r="J214" s="146"/>
    </row>
    <row r="215" spans="1:10" x14ac:dyDescent="0.25">
      <c r="A215" s="43" t="s">
        <v>195</v>
      </c>
      <c r="B215" s="20" t="s">
        <v>671</v>
      </c>
      <c r="C215" s="44">
        <f>938855+14436+1745079+42861+210396+600+632045</f>
        <v>3584272</v>
      </c>
      <c r="D215" s="14"/>
      <c r="E215" s="44"/>
      <c r="F215" s="44"/>
      <c r="G215" s="14"/>
      <c r="H215" s="44"/>
      <c r="I215" s="99">
        <f t="shared" si="28"/>
        <v>3584272</v>
      </c>
      <c r="J215" s="146"/>
    </row>
    <row r="216" spans="1:10" x14ac:dyDescent="0.25">
      <c r="A216" s="43" t="s">
        <v>196</v>
      </c>
      <c r="B216" s="20" t="s">
        <v>672</v>
      </c>
      <c r="C216" s="101">
        <f>1090684+6172+1213329-37500+158063+1260+482152</f>
        <v>2914160</v>
      </c>
      <c r="D216" s="14"/>
      <c r="E216" s="44"/>
      <c r="F216" s="44"/>
      <c r="G216" s="14"/>
      <c r="H216" s="44"/>
      <c r="I216" s="99">
        <f t="shared" si="28"/>
        <v>2914160</v>
      </c>
      <c r="J216" s="146"/>
    </row>
    <row r="217" spans="1:10" x14ac:dyDescent="0.25">
      <c r="A217" s="43" t="s">
        <v>197</v>
      </c>
      <c r="B217" s="20" t="s">
        <v>669</v>
      </c>
      <c r="C217" s="44">
        <f>586190+8739+762906+19112+90360+278936</f>
        <v>1746243</v>
      </c>
      <c r="D217" s="14"/>
      <c r="E217" s="44"/>
      <c r="F217" s="44"/>
      <c r="G217" s="14"/>
      <c r="H217" s="44"/>
      <c r="I217" s="99">
        <f t="shared" si="28"/>
        <v>1746243</v>
      </c>
      <c r="J217" s="146"/>
    </row>
    <row r="218" spans="1:10" x14ac:dyDescent="0.25">
      <c r="A218" s="43" t="s">
        <v>198</v>
      </c>
      <c r="B218" s="20" t="s">
        <v>437</v>
      </c>
      <c r="C218" s="44">
        <f>279012+4258+327593+5594+39572-116+119092</f>
        <v>775005</v>
      </c>
      <c r="D218" s="14"/>
      <c r="E218" s="44"/>
      <c r="F218" s="44"/>
      <c r="G218" s="14"/>
      <c r="H218" s="44"/>
      <c r="I218" s="99">
        <f t="shared" si="28"/>
        <v>775005</v>
      </c>
      <c r="J218" s="146"/>
    </row>
    <row r="219" spans="1:10" x14ac:dyDescent="0.25">
      <c r="A219" s="43" t="s">
        <v>199</v>
      </c>
      <c r="B219" s="20" t="s">
        <v>117</v>
      </c>
      <c r="C219" s="44">
        <f>631519+2461+24344+2038+82472</f>
        <v>742834</v>
      </c>
      <c r="D219" s="14"/>
      <c r="E219" s="44"/>
      <c r="F219" s="44"/>
      <c r="G219" s="14"/>
      <c r="H219" s="44"/>
      <c r="I219" s="99">
        <f t="shared" si="28"/>
        <v>742834</v>
      </c>
      <c r="J219" s="146"/>
    </row>
    <row r="220" spans="1:10" x14ac:dyDescent="0.25">
      <c r="A220" s="43" t="s">
        <v>200</v>
      </c>
      <c r="B220" s="20" t="s">
        <v>118</v>
      </c>
      <c r="C220" s="44">
        <f>390102+135580+403709+6734+58315+6109+150731</f>
        <v>1151280</v>
      </c>
      <c r="D220" s="14"/>
      <c r="E220" s="44"/>
      <c r="F220" s="44"/>
      <c r="G220" s="14"/>
      <c r="H220" s="44"/>
      <c r="I220" s="99">
        <f t="shared" si="28"/>
        <v>1151280</v>
      </c>
      <c r="J220" s="146"/>
    </row>
    <row r="221" spans="1:10" x14ac:dyDescent="0.25">
      <c r="A221" s="43" t="s">
        <v>201</v>
      </c>
      <c r="B221" s="20" t="s">
        <v>222</v>
      </c>
      <c r="C221" s="44">
        <f>465844+278769+3937+35852+104182</f>
        <v>888584</v>
      </c>
      <c r="D221" s="14"/>
      <c r="E221" s="44"/>
      <c r="F221" s="44"/>
      <c r="G221" s="14"/>
      <c r="H221" s="44"/>
      <c r="I221" s="99">
        <f t="shared" si="28"/>
        <v>888584</v>
      </c>
      <c r="J221" s="146"/>
    </row>
    <row r="222" spans="1:10" x14ac:dyDescent="0.25">
      <c r="A222" s="43" t="s">
        <v>202</v>
      </c>
      <c r="B222" s="20" t="s">
        <v>670</v>
      </c>
      <c r="C222" s="44">
        <f>971871+488096+9035+58837+15500+174886</f>
        <v>1718225</v>
      </c>
      <c r="D222" s="14"/>
      <c r="E222" s="44"/>
      <c r="F222" s="44"/>
      <c r="G222" s="14"/>
      <c r="H222" s="44"/>
      <c r="I222" s="99">
        <f t="shared" si="28"/>
        <v>1718225</v>
      </c>
      <c r="J222" s="146"/>
    </row>
    <row r="223" spans="1:10" ht="30" x14ac:dyDescent="0.25">
      <c r="A223" s="117" t="s">
        <v>301</v>
      </c>
      <c r="B223" s="20" t="s">
        <v>300</v>
      </c>
      <c r="C223" s="101">
        <f>155000+9813+4139+1380</f>
        <v>170332</v>
      </c>
      <c r="D223" s="44"/>
      <c r="E223" s="44"/>
      <c r="F223" s="44"/>
      <c r="G223" s="159"/>
      <c r="H223" s="44"/>
      <c r="I223" s="99">
        <f t="shared" si="28"/>
        <v>170332</v>
      </c>
      <c r="J223" s="146"/>
    </row>
    <row r="224" spans="1:10" x14ac:dyDescent="0.25">
      <c r="A224" s="117" t="s">
        <v>438</v>
      </c>
      <c r="B224" s="20" t="s">
        <v>480</v>
      </c>
      <c r="C224" s="44">
        <f>577948+696294+14273+90539+1000+248699</f>
        <v>1628753</v>
      </c>
      <c r="D224" s="44"/>
      <c r="E224" s="44"/>
      <c r="F224" s="44"/>
      <c r="G224" s="161"/>
      <c r="H224" s="44"/>
      <c r="I224" s="99">
        <f t="shared" si="28"/>
        <v>1628753</v>
      </c>
      <c r="J224" s="146"/>
    </row>
    <row r="225" spans="1:10" x14ac:dyDescent="0.25">
      <c r="A225" s="117" t="s">
        <v>439</v>
      </c>
      <c r="B225" s="20" t="s">
        <v>440</v>
      </c>
      <c r="C225" s="44">
        <f>329151+250883+3621+31942-2273+100720</f>
        <v>714044</v>
      </c>
      <c r="D225" s="44"/>
      <c r="E225" s="44"/>
      <c r="F225" s="44"/>
      <c r="G225" s="161"/>
      <c r="H225" s="44"/>
      <c r="I225" s="99">
        <f t="shared" si="28"/>
        <v>714044</v>
      </c>
      <c r="J225" s="146"/>
    </row>
    <row r="226" spans="1:10" x14ac:dyDescent="0.25">
      <c r="A226" s="117" t="s">
        <v>441</v>
      </c>
      <c r="B226" s="20" t="s">
        <v>442</v>
      </c>
      <c r="C226" s="101">
        <f>705749+25060+564823+15435+56395+12796+67464+216010</f>
        <v>1663732</v>
      </c>
      <c r="D226" s="44"/>
      <c r="E226" s="44"/>
      <c r="F226" s="44"/>
      <c r="G226" s="161"/>
      <c r="H226" s="44"/>
      <c r="I226" s="99">
        <f t="shared" si="28"/>
        <v>1663732</v>
      </c>
      <c r="J226" s="146"/>
    </row>
    <row r="227" spans="1:10" x14ac:dyDescent="0.25">
      <c r="A227" s="117" t="s">
        <v>443</v>
      </c>
      <c r="B227" s="20" t="s">
        <v>444</v>
      </c>
      <c r="C227" s="101">
        <f>532513+287199+3657+40375+108223</f>
        <v>971967</v>
      </c>
      <c r="D227" s="44"/>
      <c r="E227" s="44"/>
      <c r="F227" s="44"/>
      <c r="G227" s="161"/>
      <c r="H227" s="44"/>
      <c r="I227" s="99">
        <f t="shared" si="28"/>
        <v>971967</v>
      </c>
      <c r="J227" s="146"/>
    </row>
    <row r="228" spans="1:10" x14ac:dyDescent="0.25">
      <c r="A228" s="117" t="s">
        <v>445</v>
      </c>
      <c r="B228" s="20" t="s">
        <v>644</v>
      </c>
      <c r="C228" s="101">
        <f>766822+309754+5379+34433+611+111909</f>
        <v>1228908</v>
      </c>
      <c r="D228" s="44"/>
      <c r="E228" s="44"/>
      <c r="F228" s="44"/>
      <c r="G228" s="161"/>
      <c r="H228" s="44"/>
      <c r="I228" s="99">
        <f t="shared" si="28"/>
        <v>1228908</v>
      </c>
      <c r="J228" s="146"/>
    </row>
    <row r="229" spans="1:10" x14ac:dyDescent="0.25">
      <c r="A229" s="117" t="s">
        <v>446</v>
      </c>
      <c r="B229" s="20" t="s">
        <v>313</v>
      </c>
      <c r="C229" s="101">
        <f>7706+11118+2000+420984+4190+178248+1735+61977+226218</f>
        <v>914176</v>
      </c>
      <c r="D229" s="44"/>
      <c r="E229" s="44"/>
      <c r="F229" s="44"/>
      <c r="G229" s="161"/>
      <c r="H229" s="44"/>
      <c r="I229" s="99">
        <f t="shared" si="28"/>
        <v>914176</v>
      </c>
      <c r="J229" s="146"/>
    </row>
    <row r="230" spans="1:10" x14ac:dyDescent="0.25">
      <c r="A230" s="117" t="s">
        <v>447</v>
      </c>
      <c r="B230" s="20" t="s">
        <v>471</v>
      </c>
      <c r="C230" s="101">
        <f>487644+844682+17765+95299+3220+315686</f>
        <v>1764296</v>
      </c>
      <c r="D230" s="44"/>
      <c r="E230" s="44"/>
      <c r="F230" s="44"/>
      <c r="G230" s="161"/>
      <c r="H230" s="44"/>
      <c r="I230" s="99">
        <f t="shared" si="28"/>
        <v>1764296</v>
      </c>
      <c r="J230" s="146"/>
    </row>
    <row r="231" spans="1:10" x14ac:dyDescent="0.25">
      <c r="A231" s="117" t="s">
        <v>448</v>
      </c>
      <c r="B231" s="20" t="s">
        <v>321</v>
      </c>
      <c r="C231" s="44">
        <f>967189+13046+1744072+42433+236333+700218</f>
        <v>3703291</v>
      </c>
      <c r="D231" s="44"/>
      <c r="E231" s="44"/>
      <c r="F231" s="44"/>
      <c r="G231" s="1"/>
      <c r="H231" s="44"/>
      <c r="I231" s="99">
        <f t="shared" si="28"/>
        <v>3703291</v>
      </c>
      <c r="J231" s="146"/>
    </row>
    <row r="232" spans="1:10" x14ac:dyDescent="0.25">
      <c r="A232" s="117" t="s">
        <v>478</v>
      </c>
      <c r="B232" s="20" t="s">
        <v>479</v>
      </c>
      <c r="C232" s="101">
        <f>854607+1591051+38943+196992+694980+25000</f>
        <v>3401573</v>
      </c>
      <c r="D232" s="44"/>
      <c r="E232" s="44"/>
      <c r="F232" s="44"/>
      <c r="G232" s="159"/>
      <c r="H232" s="44"/>
      <c r="I232" s="99">
        <f t="shared" si="28"/>
        <v>3401573</v>
      </c>
      <c r="J232" s="146"/>
    </row>
    <row r="233" spans="1:10" ht="15" customHeight="1" x14ac:dyDescent="0.25">
      <c r="A233" s="98" t="s">
        <v>89</v>
      </c>
      <c r="B233" s="75" t="s">
        <v>90</v>
      </c>
      <c r="C233" s="78">
        <f t="shared" ref="C233:H233" si="34">SUM(C234:C242)</f>
        <v>6975651</v>
      </c>
      <c r="D233" s="78">
        <f t="shared" si="34"/>
        <v>0</v>
      </c>
      <c r="E233" s="78">
        <f t="shared" si="34"/>
        <v>0</v>
      </c>
      <c r="F233" s="78">
        <f t="shared" si="34"/>
        <v>0</v>
      </c>
      <c r="G233" s="78">
        <f t="shared" si="34"/>
        <v>0</v>
      </c>
      <c r="H233" s="78">
        <f t="shared" si="34"/>
        <v>0</v>
      </c>
      <c r="I233" s="99">
        <f t="shared" si="28"/>
        <v>6975651</v>
      </c>
      <c r="J233" s="146"/>
    </row>
    <row r="234" spans="1:10" x14ac:dyDescent="0.25">
      <c r="A234" s="43" t="s">
        <v>203</v>
      </c>
      <c r="B234" s="20" t="s">
        <v>8</v>
      </c>
      <c r="C234" s="44">
        <f>1506754+483396+34000+10965+45453+6523+17272+3774</f>
        <v>2108137</v>
      </c>
      <c r="D234" s="14"/>
      <c r="E234" s="44"/>
      <c r="F234" s="44"/>
      <c r="G234" s="14"/>
      <c r="H234" s="44"/>
      <c r="I234" s="99">
        <f t="shared" si="28"/>
        <v>2108137</v>
      </c>
      <c r="J234" s="146"/>
    </row>
    <row r="235" spans="1:10" x14ac:dyDescent="0.25">
      <c r="A235" s="43" t="s">
        <v>204</v>
      </c>
      <c r="B235" s="20" t="s">
        <v>98</v>
      </c>
      <c r="C235" s="44">
        <f>354969+6560+250143+20815-91-16934+2460</f>
        <v>617922</v>
      </c>
      <c r="D235" s="14"/>
      <c r="E235" s="44"/>
      <c r="F235" s="44"/>
      <c r="G235" s="14"/>
      <c r="H235" s="44"/>
      <c r="I235" s="99">
        <f t="shared" si="28"/>
        <v>617922</v>
      </c>
      <c r="J235" s="146"/>
    </row>
    <row r="236" spans="1:10" x14ac:dyDescent="0.25">
      <c r="A236" s="43" t="s">
        <v>205</v>
      </c>
      <c r="B236" s="20" t="s">
        <v>314</v>
      </c>
      <c r="C236" s="6">
        <f>473917+120447+12141+6600+1005+994</f>
        <v>615104</v>
      </c>
      <c r="D236" s="14"/>
      <c r="E236" s="44"/>
      <c r="F236" s="44"/>
      <c r="G236" s="14"/>
      <c r="H236" s="44"/>
      <c r="I236" s="99">
        <f t="shared" si="28"/>
        <v>615104</v>
      </c>
      <c r="J236" s="146"/>
    </row>
    <row r="237" spans="1:10" x14ac:dyDescent="0.25">
      <c r="A237" s="43" t="s">
        <v>206</v>
      </c>
      <c r="B237" s="20" t="s">
        <v>636</v>
      </c>
      <c r="C237" s="14">
        <f>210353+64853+6403+24320</f>
        <v>305929</v>
      </c>
      <c r="D237" s="14"/>
      <c r="E237" s="44"/>
      <c r="F237" s="44"/>
      <c r="G237" s="14"/>
      <c r="H237" s="44"/>
      <c r="I237" s="99">
        <f t="shared" si="28"/>
        <v>305929</v>
      </c>
      <c r="J237" s="146"/>
    </row>
    <row r="238" spans="1:10" x14ac:dyDescent="0.25">
      <c r="A238" s="43" t="s">
        <v>297</v>
      </c>
      <c r="B238" s="20" t="s">
        <v>298</v>
      </c>
      <c r="C238" s="14">
        <f>865129+17306+565117+5700+70319+8815+202964</f>
        <v>1735350</v>
      </c>
      <c r="D238" s="14"/>
      <c r="E238" s="44"/>
      <c r="F238" s="44"/>
      <c r="G238" s="14"/>
      <c r="H238" s="44"/>
      <c r="I238" s="99">
        <f t="shared" si="28"/>
        <v>1735350</v>
      </c>
      <c r="J238" s="146"/>
    </row>
    <row r="239" spans="1:10" x14ac:dyDescent="0.25">
      <c r="A239" s="43" t="s">
        <v>449</v>
      </c>
      <c r="B239" s="20" t="s">
        <v>309</v>
      </c>
      <c r="C239" s="14">
        <f>126608+95490+15293+35809</f>
        <v>273200</v>
      </c>
      <c r="D239" s="14"/>
      <c r="E239" s="44"/>
      <c r="F239" s="44"/>
      <c r="G239" s="14"/>
      <c r="H239" s="44"/>
      <c r="I239" s="99">
        <f t="shared" si="28"/>
        <v>273200</v>
      </c>
      <c r="J239" s="146"/>
    </row>
    <row r="240" spans="1:10" x14ac:dyDescent="0.25">
      <c r="A240" s="43" t="s">
        <v>450</v>
      </c>
      <c r="B240" s="20" t="s">
        <v>315</v>
      </c>
      <c r="C240" s="14">
        <f>327720+198148+22918+4462+69280</f>
        <v>622528</v>
      </c>
      <c r="D240" s="14"/>
      <c r="E240" s="44"/>
      <c r="F240" s="44"/>
      <c r="G240" s="14"/>
      <c r="H240" s="44"/>
      <c r="I240" s="99">
        <f t="shared" si="28"/>
        <v>622528</v>
      </c>
      <c r="J240" s="146"/>
    </row>
    <row r="241" spans="1:10" x14ac:dyDescent="0.25">
      <c r="A241" s="43" t="s">
        <v>451</v>
      </c>
      <c r="B241" s="20" t="s">
        <v>322</v>
      </c>
      <c r="C241" s="14">
        <f>345334+7506+188591+19944+70722</f>
        <v>632097</v>
      </c>
      <c r="D241" s="14"/>
      <c r="E241" s="44"/>
      <c r="F241" s="44"/>
      <c r="G241" s="14"/>
      <c r="H241" s="44"/>
      <c r="I241" s="99">
        <f t="shared" si="28"/>
        <v>632097</v>
      </c>
      <c r="J241" s="146"/>
    </row>
    <row r="242" spans="1:10" ht="30" x14ac:dyDescent="0.25">
      <c r="A242" s="117" t="s">
        <v>610</v>
      </c>
      <c r="B242" s="20" t="s">
        <v>323</v>
      </c>
      <c r="C242" s="14">
        <f>56000+7038+2346</f>
        <v>65384</v>
      </c>
      <c r="D242" s="14"/>
      <c r="E242" s="44"/>
      <c r="F242" s="44"/>
      <c r="G242" s="14"/>
      <c r="H242" s="44"/>
      <c r="I242" s="99">
        <f t="shared" si="28"/>
        <v>65384</v>
      </c>
      <c r="J242" s="146"/>
    </row>
    <row r="243" spans="1:10" x14ac:dyDescent="0.25">
      <c r="A243" s="98" t="s">
        <v>120</v>
      </c>
      <c r="B243" s="75" t="s">
        <v>121</v>
      </c>
      <c r="C243" s="28">
        <f t="shared" ref="C243:H243" si="35">SUM(C244+C246+C250+C251)</f>
        <v>3100175</v>
      </c>
      <c r="D243" s="28">
        <f t="shared" si="35"/>
        <v>0</v>
      </c>
      <c r="E243" s="28">
        <f t="shared" si="35"/>
        <v>0</v>
      </c>
      <c r="F243" s="28">
        <f t="shared" si="35"/>
        <v>0</v>
      </c>
      <c r="G243" s="28">
        <f t="shared" si="35"/>
        <v>0</v>
      </c>
      <c r="H243" s="78">
        <f t="shared" si="35"/>
        <v>0</v>
      </c>
      <c r="I243" s="99">
        <f t="shared" si="28"/>
        <v>3100175</v>
      </c>
      <c r="J243" s="146"/>
    </row>
    <row r="244" spans="1:10" x14ac:dyDescent="0.25">
      <c r="A244" s="174" t="s">
        <v>452</v>
      </c>
      <c r="B244" s="192" t="s">
        <v>453</v>
      </c>
      <c r="C244" s="127">
        <f t="shared" ref="C244:H244" si="36">C245</f>
        <v>654606</v>
      </c>
      <c r="D244" s="127">
        <f t="shared" si="36"/>
        <v>0</v>
      </c>
      <c r="E244" s="127">
        <f t="shared" si="36"/>
        <v>0</v>
      </c>
      <c r="F244" s="78">
        <f t="shared" si="36"/>
        <v>0</v>
      </c>
      <c r="G244" s="78">
        <f t="shared" si="36"/>
        <v>0</v>
      </c>
      <c r="H244" s="78">
        <f t="shared" si="36"/>
        <v>0</v>
      </c>
      <c r="I244" s="99">
        <f t="shared" si="28"/>
        <v>654606</v>
      </c>
      <c r="J244" s="146"/>
    </row>
    <row r="245" spans="1:10" x14ac:dyDescent="0.25">
      <c r="A245" s="117" t="s">
        <v>454</v>
      </c>
      <c r="B245" s="2" t="s">
        <v>453</v>
      </c>
      <c r="C245" s="101">
        <f>390000+233423-3065+9741+5267+2085+4855+5400+1900+5000</f>
        <v>654606</v>
      </c>
      <c r="D245" s="101"/>
      <c r="E245" s="101"/>
      <c r="F245" s="101"/>
      <c r="G245" s="6"/>
      <c r="H245" s="44"/>
      <c r="I245" s="99">
        <f t="shared" si="28"/>
        <v>654606</v>
      </c>
      <c r="J245" s="146"/>
    </row>
    <row r="246" spans="1:10" x14ac:dyDescent="0.25">
      <c r="A246" s="174" t="s">
        <v>455</v>
      </c>
      <c r="B246" s="192" t="s">
        <v>456</v>
      </c>
      <c r="C246" s="78">
        <f t="shared" ref="C246:H246" si="37">SUM(C247+C248+C249)</f>
        <v>2441729</v>
      </c>
      <c r="D246" s="78">
        <f t="shared" si="37"/>
        <v>0</v>
      </c>
      <c r="E246" s="78">
        <f t="shared" si="37"/>
        <v>0</v>
      </c>
      <c r="F246" s="78">
        <f t="shared" si="37"/>
        <v>0</v>
      </c>
      <c r="G246" s="78">
        <f t="shared" si="37"/>
        <v>0</v>
      </c>
      <c r="H246" s="78">
        <f t="shared" si="37"/>
        <v>0</v>
      </c>
      <c r="I246" s="99">
        <f t="shared" si="28"/>
        <v>2441729</v>
      </c>
      <c r="J246" s="146"/>
    </row>
    <row r="247" spans="1:10" x14ac:dyDescent="0.25">
      <c r="A247" s="117" t="s">
        <v>457</v>
      </c>
      <c r="B247" s="2" t="s">
        <v>458</v>
      </c>
      <c r="C247" s="44">
        <f>500000+25000</f>
        <v>525000</v>
      </c>
      <c r="D247" s="44"/>
      <c r="E247" s="44"/>
      <c r="F247" s="44"/>
      <c r="G247" s="14"/>
      <c r="H247" s="44"/>
      <c r="I247" s="99">
        <f t="shared" ref="I247:I252" si="38">SUM(C247:H247)</f>
        <v>525000</v>
      </c>
      <c r="J247" s="146"/>
    </row>
    <row r="248" spans="1:10" x14ac:dyDescent="0.25">
      <c r="A248" s="117" t="s">
        <v>459</v>
      </c>
      <c r="B248" s="2" t="s">
        <v>700</v>
      </c>
      <c r="C248" s="44">
        <f>791628+791629+322068+9000+4095+12500-20000</f>
        <v>1910920</v>
      </c>
      <c r="D248" s="208"/>
      <c r="E248" s="44"/>
      <c r="F248" s="44"/>
      <c r="G248" s="14"/>
      <c r="H248" s="44"/>
      <c r="I248" s="99">
        <f t="shared" si="38"/>
        <v>1910920</v>
      </c>
      <c r="J248" s="146"/>
    </row>
    <row r="249" spans="1:10" x14ac:dyDescent="0.25">
      <c r="A249" s="117" t="s">
        <v>513</v>
      </c>
      <c r="B249" s="2" t="s">
        <v>488</v>
      </c>
      <c r="C249" s="101">
        <v>5809</v>
      </c>
      <c r="D249" s="208"/>
      <c r="E249" s="44"/>
      <c r="F249" s="44"/>
      <c r="G249" s="14"/>
      <c r="H249" s="44"/>
      <c r="I249" s="99">
        <f t="shared" si="38"/>
        <v>5809</v>
      </c>
      <c r="J249" s="146"/>
    </row>
    <row r="250" spans="1:10" x14ac:dyDescent="0.25">
      <c r="A250" s="117" t="s">
        <v>460</v>
      </c>
      <c r="B250" s="2" t="s">
        <v>461</v>
      </c>
      <c r="C250" s="44">
        <v>3840</v>
      </c>
      <c r="D250" s="44"/>
      <c r="E250" s="44"/>
      <c r="F250" s="44"/>
      <c r="G250" s="14"/>
      <c r="H250" s="44"/>
      <c r="I250" s="99">
        <f t="shared" si="38"/>
        <v>3840</v>
      </c>
      <c r="J250" s="146"/>
    </row>
    <row r="251" spans="1:10" x14ac:dyDescent="0.25">
      <c r="A251" s="117" t="s">
        <v>462</v>
      </c>
      <c r="B251" s="2" t="s">
        <v>463</v>
      </c>
      <c r="C251" s="185"/>
      <c r="D251" s="44"/>
      <c r="E251" s="44"/>
      <c r="F251" s="44"/>
      <c r="G251" s="14"/>
      <c r="H251" s="44"/>
      <c r="I251" s="99">
        <f t="shared" si="38"/>
        <v>0</v>
      </c>
      <c r="J251" s="146"/>
    </row>
    <row r="252" spans="1:10" ht="20.100000000000001" customHeight="1" x14ac:dyDescent="0.25">
      <c r="A252" s="98" t="s">
        <v>292</v>
      </c>
      <c r="B252" s="75" t="s">
        <v>293</v>
      </c>
      <c r="C252" s="127">
        <f>851211+30627+5041+5842-430+11484</f>
        <v>903775</v>
      </c>
      <c r="D252" s="78"/>
      <c r="E252" s="78"/>
      <c r="F252" s="78"/>
      <c r="G252" s="28"/>
      <c r="H252" s="78"/>
      <c r="I252" s="99">
        <f t="shared" si="38"/>
        <v>903775</v>
      </c>
      <c r="J252" s="146"/>
    </row>
    <row r="253" spans="1:10" ht="30" thickBot="1" x14ac:dyDescent="0.3">
      <c r="A253" s="130" t="s">
        <v>91</v>
      </c>
      <c r="B253" s="131" t="s">
        <v>207</v>
      </c>
      <c r="C253" s="132">
        <f t="shared" ref="C253:I253" si="39">SUM(C254:C291)</f>
        <v>3722361</v>
      </c>
      <c r="D253" s="132">
        <f t="shared" si="39"/>
        <v>0</v>
      </c>
      <c r="E253" s="132">
        <f t="shared" si="39"/>
        <v>0</v>
      </c>
      <c r="F253" s="132">
        <f t="shared" si="39"/>
        <v>0</v>
      </c>
      <c r="G253" s="132">
        <f t="shared" si="39"/>
        <v>0</v>
      </c>
      <c r="H253" s="132">
        <f t="shared" si="39"/>
        <v>0</v>
      </c>
      <c r="I253" s="108">
        <f t="shared" si="39"/>
        <v>3722361</v>
      </c>
      <c r="J253" s="146"/>
    </row>
    <row r="254" spans="1:10" ht="31.15" customHeight="1" x14ac:dyDescent="0.25">
      <c r="A254" s="114" t="s">
        <v>257</v>
      </c>
      <c r="B254" s="5" t="s">
        <v>258</v>
      </c>
      <c r="C254" s="68">
        <v>4822</v>
      </c>
      <c r="D254" s="113"/>
      <c r="E254" s="113"/>
      <c r="F254" s="113"/>
      <c r="G254" s="128"/>
      <c r="H254" s="94"/>
      <c r="I254" s="96">
        <f t="shared" ref="I254:I302" si="40">SUM(C254:H254)</f>
        <v>4822</v>
      </c>
      <c r="J254" s="146"/>
    </row>
    <row r="255" spans="1:10" ht="31.15" customHeight="1" x14ac:dyDescent="0.25">
      <c r="A255" s="133" t="s">
        <v>273</v>
      </c>
      <c r="B255" s="116" t="s">
        <v>274</v>
      </c>
      <c r="C255" s="14">
        <f>2439+27</f>
        <v>2466</v>
      </c>
      <c r="D255" s="28"/>
      <c r="E255" s="28"/>
      <c r="F255" s="28"/>
      <c r="G255" s="28"/>
      <c r="H255" s="78"/>
      <c r="I255" s="99">
        <f t="shared" si="40"/>
        <v>2466</v>
      </c>
      <c r="J255" s="146"/>
    </row>
    <row r="256" spans="1:10" x14ac:dyDescent="0.25">
      <c r="A256" s="133" t="s">
        <v>284</v>
      </c>
      <c r="B256" s="116" t="s">
        <v>285</v>
      </c>
      <c r="C256" s="14">
        <f>99302+42277</f>
        <v>141579</v>
      </c>
      <c r="D256" s="28"/>
      <c r="E256" s="28"/>
      <c r="F256" s="28"/>
      <c r="G256" s="28"/>
      <c r="H256" s="78"/>
      <c r="I256" s="99">
        <f t="shared" si="40"/>
        <v>141579</v>
      </c>
      <c r="J256" s="146"/>
    </row>
    <row r="257" spans="1:10" ht="30" x14ac:dyDescent="0.25">
      <c r="A257" s="133" t="s">
        <v>658</v>
      </c>
      <c r="B257" s="23" t="s">
        <v>659</v>
      </c>
      <c r="C257" s="44">
        <v>59540</v>
      </c>
      <c r="D257" s="28"/>
      <c r="E257" s="78"/>
      <c r="F257" s="78"/>
      <c r="G257" s="28"/>
      <c r="H257" s="78"/>
      <c r="I257" s="99">
        <f t="shared" si="40"/>
        <v>59540</v>
      </c>
      <c r="J257" s="146"/>
    </row>
    <row r="258" spans="1:10" ht="45" x14ac:dyDescent="0.25">
      <c r="A258" s="12" t="s">
        <v>655</v>
      </c>
      <c r="B258" s="23" t="s">
        <v>663</v>
      </c>
      <c r="C258" s="44">
        <v>42074</v>
      </c>
      <c r="D258" s="28"/>
      <c r="E258" s="78"/>
      <c r="F258" s="78"/>
      <c r="G258" s="28"/>
      <c r="H258" s="78"/>
      <c r="I258" s="99">
        <f t="shared" si="40"/>
        <v>42074</v>
      </c>
      <c r="J258" s="146"/>
    </row>
    <row r="259" spans="1:10" ht="45" x14ac:dyDescent="0.25">
      <c r="A259" s="133" t="s">
        <v>675</v>
      </c>
      <c r="B259" s="23" t="s">
        <v>676</v>
      </c>
      <c r="C259" s="44">
        <v>2400</v>
      </c>
      <c r="D259" s="28"/>
      <c r="E259" s="78"/>
      <c r="F259" s="78"/>
      <c r="G259" s="28"/>
      <c r="H259" s="78"/>
      <c r="I259" s="99">
        <f t="shared" si="40"/>
        <v>2400</v>
      </c>
      <c r="J259" s="146"/>
    </row>
    <row r="260" spans="1:10" ht="30" x14ac:dyDescent="0.25">
      <c r="A260" s="133" t="s">
        <v>286</v>
      </c>
      <c r="B260" s="116" t="s">
        <v>464</v>
      </c>
      <c r="C260" s="44">
        <f>33892-5068</f>
        <v>28824</v>
      </c>
      <c r="D260" s="14"/>
      <c r="E260" s="44"/>
      <c r="F260" s="44"/>
      <c r="G260" s="14"/>
      <c r="H260" s="44"/>
      <c r="I260" s="99">
        <f t="shared" si="40"/>
        <v>28824</v>
      </c>
      <c r="J260" s="146"/>
    </row>
    <row r="261" spans="1:10" ht="60" x14ac:dyDescent="0.25">
      <c r="A261" s="12" t="s">
        <v>677</v>
      </c>
      <c r="B261" s="116" t="s">
        <v>678</v>
      </c>
      <c r="C261" s="44">
        <v>13031</v>
      </c>
      <c r="D261" s="14"/>
      <c r="E261" s="44"/>
      <c r="F261" s="44"/>
      <c r="G261" s="14"/>
      <c r="H261" s="44"/>
      <c r="I261" s="99">
        <f t="shared" si="40"/>
        <v>13031</v>
      </c>
      <c r="J261" s="146"/>
    </row>
    <row r="262" spans="1:10" s="234" customFormat="1" ht="45" x14ac:dyDescent="0.25">
      <c r="A262" s="12" t="s">
        <v>650</v>
      </c>
      <c r="B262" s="156" t="s">
        <v>651</v>
      </c>
      <c r="C262" s="235">
        <v>74340</v>
      </c>
      <c r="D262" s="197"/>
      <c r="E262" s="233"/>
      <c r="F262" s="233"/>
      <c r="G262" s="197"/>
      <c r="H262" s="233"/>
      <c r="I262" s="99">
        <f>SUM(C262:H262)</f>
        <v>74340</v>
      </c>
    </row>
    <row r="263" spans="1:10" s="234" customFormat="1" ht="30" x14ac:dyDescent="0.25">
      <c r="A263" s="12" t="s">
        <v>667</v>
      </c>
      <c r="B263" s="7" t="s">
        <v>666</v>
      </c>
      <c r="C263" s="235">
        <v>83000</v>
      </c>
      <c r="D263" s="197"/>
      <c r="E263" s="233"/>
      <c r="F263" s="233"/>
      <c r="G263" s="197"/>
      <c r="H263" s="233"/>
      <c r="I263" s="99">
        <f>SUM(C263:H263)</f>
        <v>83000</v>
      </c>
    </row>
    <row r="264" spans="1:10" ht="30" x14ac:dyDescent="0.25">
      <c r="A264" s="133" t="s">
        <v>465</v>
      </c>
      <c r="B264" s="193" t="s">
        <v>466</v>
      </c>
      <c r="C264" s="44">
        <f>1422259+1775+4754</f>
        <v>1428788</v>
      </c>
      <c r="D264" s="14"/>
      <c r="E264" s="44"/>
      <c r="F264" s="44"/>
      <c r="G264" s="14"/>
      <c r="H264" s="44"/>
      <c r="I264" s="99">
        <f t="shared" si="40"/>
        <v>1428788</v>
      </c>
      <c r="J264" s="146"/>
    </row>
    <row r="265" spans="1:10" ht="30" x14ac:dyDescent="0.25">
      <c r="A265" s="12" t="s">
        <v>467</v>
      </c>
      <c r="B265" s="193" t="s">
        <v>468</v>
      </c>
      <c r="C265" s="44">
        <v>5000</v>
      </c>
      <c r="D265" s="14"/>
      <c r="E265" s="44"/>
      <c r="F265" s="44"/>
      <c r="G265" s="14"/>
      <c r="H265" s="44"/>
      <c r="I265" s="99">
        <f t="shared" si="40"/>
        <v>5000</v>
      </c>
      <c r="J265" s="146"/>
    </row>
    <row r="266" spans="1:10" ht="28.5" customHeight="1" x14ac:dyDescent="0.25">
      <c r="A266" s="114" t="s">
        <v>237</v>
      </c>
      <c r="B266" s="134" t="s">
        <v>287</v>
      </c>
      <c r="C266" s="44">
        <f>153+4610</f>
        <v>4763</v>
      </c>
      <c r="D266" s="14"/>
      <c r="E266" s="44"/>
      <c r="F266" s="44"/>
      <c r="G266" s="14"/>
      <c r="H266" s="44"/>
      <c r="I266" s="99">
        <f t="shared" si="40"/>
        <v>4763</v>
      </c>
      <c r="J266" s="146"/>
    </row>
    <row r="267" spans="1:10" ht="30" x14ac:dyDescent="0.25">
      <c r="A267" s="43" t="s">
        <v>261</v>
      </c>
      <c r="B267" s="135" t="s">
        <v>260</v>
      </c>
      <c r="C267" s="44">
        <v>76012</v>
      </c>
      <c r="D267" s="44"/>
      <c r="E267" s="44"/>
      <c r="F267" s="44"/>
      <c r="G267" s="14"/>
      <c r="H267" s="44"/>
      <c r="I267" s="99">
        <f t="shared" si="40"/>
        <v>76012</v>
      </c>
      <c r="J267" s="146"/>
    </row>
    <row r="268" spans="1:10" ht="45" x14ac:dyDescent="0.25">
      <c r="A268" s="117" t="s">
        <v>327</v>
      </c>
      <c r="B268" s="7" t="s">
        <v>649</v>
      </c>
      <c r="C268" s="44">
        <v>11376</v>
      </c>
      <c r="D268" s="44"/>
      <c r="E268" s="44"/>
      <c r="F268" s="44"/>
      <c r="G268" s="14"/>
      <c r="H268" s="44"/>
      <c r="I268" s="99">
        <f t="shared" si="40"/>
        <v>11376</v>
      </c>
      <c r="J268" s="146"/>
    </row>
    <row r="269" spans="1:10" ht="30" x14ac:dyDescent="0.25">
      <c r="A269" s="117" t="s">
        <v>656</v>
      </c>
      <c r="B269" s="7" t="s">
        <v>664</v>
      </c>
      <c r="C269" s="44">
        <v>17540</v>
      </c>
      <c r="D269" s="44"/>
      <c r="E269" s="44"/>
      <c r="F269" s="44"/>
      <c r="G269" s="14"/>
      <c r="H269" s="44"/>
      <c r="I269" s="99">
        <f t="shared" si="40"/>
        <v>17540</v>
      </c>
      <c r="J269" s="146"/>
    </row>
    <row r="270" spans="1:10" ht="30" x14ac:dyDescent="0.25">
      <c r="A270" s="117" t="s">
        <v>657</v>
      </c>
      <c r="B270" s="7" t="s">
        <v>665</v>
      </c>
      <c r="C270" s="44">
        <v>44450</v>
      </c>
      <c r="D270" s="44"/>
      <c r="E270" s="44"/>
      <c r="F270" s="44"/>
      <c r="G270" s="14"/>
      <c r="H270" s="44"/>
      <c r="I270" s="99">
        <f t="shared" si="40"/>
        <v>44450</v>
      </c>
      <c r="J270" s="146"/>
    </row>
    <row r="271" spans="1:10" ht="30" x14ac:dyDescent="0.25">
      <c r="A271" s="11" t="s">
        <v>475</v>
      </c>
      <c r="B271" s="23" t="s">
        <v>474</v>
      </c>
      <c r="C271" s="6">
        <f>304782+50496+116155</f>
        <v>471433</v>
      </c>
      <c r="D271" s="14"/>
      <c r="E271" s="14"/>
      <c r="F271" s="14"/>
      <c r="G271" s="14"/>
      <c r="H271" s="44"/>
      <c r="I271" s="42">
        <f t="shared" si="40"/>
        <v>471433</v>
      </c>
      <c r="J271" s="146"/>
    </row>
    <row r="272" spans="1:10" ht="30" x14ac:dyDescent="0.25">
      <c r="A272" s="11" t="s">
        <v>486</v>
      </c>
      <c r="B272" s="23" t="s">
        <v>487</v>
      </c>
      <c r="C272" s="14">
        <v>5373</v>
      </c>
      <c r="D272" s="14"/>
      <c r="E272" s="14"/>
      <c r="F272" s="14"/>
      <c r="G272" s="14"/>
      <c r="H272" s="44"/>
      <c r="I272" s="42">
        <f t="shared" si="40"/>
        <v>5373</v>
      </c>
      <c r="J272" s="146"/>
    </row>
    <row r="273" spans="1:10" ht="30" x14ac:dyDescent="0.25">
      <c r="A273" s="11" t="s">
        <v>476</v>
      </c>
      <c r="B273" s="23" t="s">
        <v>481</v>
      </c>
      <c r="C273" s="14">
        <v>10800</v>
      </c>
      <c r="D273" s="14"/>
      <c r="E273" s="14"/>
      <c r="F273" s="14"/>
      <c r="G273" s="14"/>
      <c r="H273" s="44"/>
      <c r="I273" s="42">
        <f t="shared" si="40"/>
        <v>10800</v>
      </c>
      <c r="J273" s="146"/>
    </row>
    <row r="274" spans="1:10" x14ac:dyDescent="0.25">
      <c r="A274" s="11" t="s">
        <v>477</v>
      </c>
      <c r="B274" s="23" t="s">
        <v>482</v>
      </c>
      <c r="C274" s="14">
        <v>18000</v>
      </c>
      <c r="D274" s="14"/>
      <c r="E274" s="14"/>
      <c r="F274" s="14"/>
      <c r="G274" s="14"/>
      <c r="H274" s="44"/>
      <c r="I274" s="42">
        <f t="shared" si="40"/>
        <v>18000</v>
      </c>
      <c r="J274" s="146"/>
    </row>
    <row r="275" spans="1:10" ht="45" x14ac:dyDescent="0.25">
      <c r="A275" s="11" t="s">
        <v>483</v>
      </c>
      <c r="B275" s="23" t="s">
        <v>484</v>
      </c>
      <c r="C275" s="14">
        <v>44454</v>
      </c>
      <c r="D275" s="14"/>
      <c r="E275" s="14"/>
      <c r="F275" s="14"/>
      <c r="G275" s="14"/>
      <c r="H275" s="44"/>
      <c r="I275" s="42">
        <f t="shared" si="40"/>
        <v>44454</v>
      </c>
      <c r="J275" s="146"/>
    </row>
    <row r="276" spans="1:10" ht="30" x14ac:dyDescent="0.25">
      <c r="A276" s="11" t="s">
        <v>679</v>
      </c>
      <c r="B276" s="23" t="s">
        <v>680</v>
      </c>
      <c r="C276" s="14">
        <v>40191</v>
      </c>
      <c r="D276" s="14"/>
      <c r="E276" s="14"/>
      <c r="F276" s="14"/>
      <c r="G276" s="14"/>
      <c r="H276" s="44"/>
      <c r="I276" s="42">
        <f t="shared" si="40"/>
        <v>40191</v>
      </c>
      <c r="J276" s="146"/>
    </row>
    <row r="277" spans="1:10" ht="45" x14ac:dyDescent="0.25">
      <c r="A277" s="209" t="s">
        <v>503</v>
      </c>
      <c r="B277" s="23" t="s">
        <v>699</v>
      </c>
      <c r="C277" s="14">
        <v>2803</v>
      </c>
      <c r="D277" s="14"/>
      <c r="E277" s="14"/>
      <c r="F277" s="14"/>
      <c r="G277" s="14"/>
      <c r="H277" s="44"/>
      <c r="I277" s="42">
        <f t="shared" si="40"/>
        <v>2803</v>
      </c>
      <c r="J277" s="146"/>
    </row>
    <row r="278" spans="1:10" ht="30" x14ac:dyDescent="0.25">
      <c r="A278" s="11" t="s">
        <v>504</v>
      </c>
      <c r="B278" s="225" t="s">
        <v>505</v>
      </c>
      <c r="C278" s="14">
        <v>758650</v>
      </c>
      <c r="D278" s="44"/>
      <c r="E278" s="44"/>
      <c r="F278" s="44"/>
      <c r="G278" s="44"/>
      <c r="H278" s="79"/>
      <c r="I278" s="42">
        <f t="shared" si="40"/>
        <v>758650</v>
      </c>
      <c r="J278" s="146"/>
    </row>
    <row r="279" spans="1:10" ht="45" x14ac:dyDescent="0.25">
      <c r="A279" s="11" t="s">
        <v>648</v>
      </c>
      <c r="B279" s="23" t="s">
        <v>647</v>
      </c>
      <c r="C279" s="68">
        <v>9801</v>
      </c>
      <c r="D279" s="68"/>
      <c r="E279" s="68"/>
      <c r="F279" s="68"/>
      <c r="G279" s="68"/>
      <c r="H279" s="68"/>
      <c r="I279" s="42">
        <f t="shared" si="40"/>
        <v>9801</v>
      </c>
      <c r="J279" s="146"/>
    </row>
    <row r="280" spans="1:10" ht="45" x14ac:dyDescent="0.25">
      <c r="A280" s="209" t="s">
        <v>506</v>
      </c>
      <c r="B280" s="225" t="s">
        <v>698</v>
      </c>
      <c r="C280" s="14">
        <v>54810</v>
      </c>
      <c r="D280" s="14"/>
      <c r="E280" s="14"/>
      <c r="F280" s="14"/>
      <c r="G280" s="14"/>
      <c r="H280" s="44"/>
      <c r="I280" s="42">
        <f t="shared" si="40"/>
        <v>54810</v>
      </c>
      <c r="J280" s="146"/>
    </row>
    <row r="281" spans="1:10" ht="45" x14ac:dyDescent="0.25">
      <c r="A281" s="209" t="s">
        <v>508</v>
      </c>
      <c r="B281" s="225" t="s">
        <v>507</v>
      </c>
      <c r="C281" s="14">
        <v>11990</v>
      </c>
      <c r="D281" s="14"/>
      <c r="E281" s="14"/>
      <c r="F281" s="14"/>
      <c r="G281" s="14"/>
      <c r="H281" s="44"/>
      <c r="I281" s="42">
        <f t="shared" si="40"/>
        <v>11990</v>
      </c>
      <c r="J281" s="146"/>
    </row>
    <row r="282" spans="1:10" ht="45" x14ac:dyDescent="0.25">
      <c r="A282" s="209" t="s">
        <v>509</v>
      </c>
      <c r="B282" s="225" t="s">
        <v>510</v>
      </c>
      <c r="C282" s="14">
        <f>10379+354</f>
        <v>10733</v>
      </c>
      <c r="D282" s="14"/>
      <c r="E282" s="14"/>
      <c r="F282" s="14"/>
      <c r="G282" s="14"/>
      <c r="H282" s="44"/>
      <c r="I282" s="42">
        <f t="shared" si="40"/>
        <v>10733</v>
      </c>
      <c r="J282" s="146"/>
    </row>
    <row r="283" spans="1:10" ht="60" x14ac:dyDescent="0.25">
      <c r="A283" s="211" t="s">
        <v>511</v>
      </c>
      <c r="B283" s="226" t="s">
        <v>512</v>
      </c>
      <c r="C283" s="14">
        <v>13678</v>
      </c>
      <c r="D283" s="14"/>
      <c r="E283" s="14"/>
      <c r="F283" s="14"/>
      <c r="G283" s="14"/>
      <c r="H283" s="44"/>
      <c r="I283" s="42">
        <f t="shared" si="40"/>
        <v>13678</v>
      </c>
      <c r="J283" s="146"/>
    </row>
    <row r="284" spans="1:10" ht="30" x14ac:dyDescent="0.25">
      <c r="A284" s="211" t="s">
        <v>515</v>
      </c>
      <c r="B284" s="226" t="s">
        <v>514</v>
      </c>
      <c r="C284" s="14">
        <v>58110</v>
      </c>
      <c r="D284" s="14"/>
      <c r="E284" s="14"/>
      <c r="F284" s="14"/>
      <c r="G284" s="14"/>
      <c r="H284" s="44"/>
      <c r="I284" s="42">
        <f t="shared" si="40"/>
        <v>58110</v>
      </c>
      <c r="J284" s="146"/>
    </row>
    <row r="285" spans="1:10" ht="45" x14ac:dyDescent="0.25">
      <c r="A285" s="211" t="s">
        <v>516</v>
      </c>
      <c r="B285" s="225" t="s">
        <v>697</v>
      </c>
      <c r="C285" s="14">
        <v>44845</v>
      </c>
      <c r="D285" s="14"/>
      <c r="E285" s="14"/>
      <c r="F285" s="14"/>
      <c r="G285" s="14"/>
      <c r="H285" s="44"/>
      <c r="I285" s="42">
        <f t="shared" si="40"/>
        <v>44845</v>
      </c>
      <c r="J285" s="146"/>
    </row>
    <row r="286" spans="1:10" ht="45" x14ac:dyDescent="0.25">
      <c r="A286" s="211" t="s">
        <v>604</v>
      </c>
      <c r="B286" s="225" t="s">
        <v>696</v>
      </c>
      <c r="C286" s="14">
        <v>68220</v>
      </c>
      <c r="D286" s="14"/>
      <c r="E286" s="14"/>
      <c r="F286" s="14"/>
      <c r="G286" s="14"/>
      <c r="H286" s="44"/>
      <c r="I286" s="42">
        <f t="shared" si="40"/>
        <v>68220</v>
      </c>
      <c r="J286" s="146"/>
    </row>
    <row r="287" spans="1:10" ht="30" x14ac:dyDescent="0.25">
      <c r="A287" s="209" t="s">
        <v>517</v>
      </c>
      <c r="B287" s="225" t="s">
        <v>518</v>
      </c>
      <c r="C287" s="44">
        <v>157</v>
      </c>
      <c r="D287" s="44"/>
      <c r="E287" s="44"/>
      <c r="F287" s="44"/>
      <c r="G287" s="44"/>
      <c r="H287" s="44"/>
      <c r="I287" s="42">
        <f t="shared" si="40"/>
        <v>157</v>
      </c>
      <c r="J287" s="146"/>
    </row>
    <row r="288" spans="1:10" ht="45" x14ac:dyDescent="0.25">
      <c r="A288" s="209" t="s">
        <v>637</v>
      </c>
      <c r="B288" s="225" t="s">
        <v>695</v>
      </c>
      <c r="C288" s="44">
        <f>500+3968</f>
        <v>4468</v>
      </c>
      <c r="D288" s="44"/>
      <c r="E288" s="44"/>
      <c r="F288" s="44"/>
      <c r="G288" s="44"/>
      <c r="H288" s="44"/>
      <c r="I288" s="42">
        <f>SUM(C288:H288)</f>
        <v>4468</v>
      </c>
      <c r="J288" s="146"/>
    </row>
    <row r="289" spans="1:11" ht="60" x14ac:dyDescent="0.25">
      <c r="A289" s="209" t="s">
        <v>638</v>
      </c>
      <c r="B289" s="225" t="s">
        <v>639</v>
      </c>
      <c r="C289" s="14">
        <v>13320</v>
      </c>
      <c r="D289" s="14"/>
      <c r="E289" s="14"/>
      <c r="F289" s="14"/>
      <c r="G289" s="14"/>
      <c r="H289" s="44"/>
      <c r="I289" s="42">
        <f>SUM(C289:H289)</f>
        <v>13320</v>
      </c>
      <c r="J289" s="146"/>
    </row>
    <row r="290" spans="1:11" ht="30" x14ac:dyDescent="0.25">
      <c r="A290" s="209" t="s">
        <v>640</v>
      </c>
      <c r="B290" s="225" t="s">
        <v>694</v>
      </c>
      <c r="C290" s="14">
        <v>20000</v>
      </c>
      <c r="D290" s="14"/>
      <c r="E290" s="14"/>
      <c r="F290" s="14"/>
      <c r="G290" s="14"/>
      <c r="H290" s="44"/>
      <c r="I290" s="42">
        <f>SUM(C290:H290)</f>
        <v>20000</v>
      </c>
      <c r="J290" s="146"/>
    </row>
    <row r="291" spans="1:11" ht="60" x14ac:dyDescent="0.25">
      <c r="A291" s="209" t="s">
        <v>681</v>
      </c>
      <c r="B291" s="225" t="s">
        <v>684</v>
      </c>
      <c r="C291" s="14">
        <v>20520</v>
      </c>
      <c r="D291" s="14"/>
      <c r="E291" s="14"/>
      <c r="F291" s="14"/>
      <c r="G291" s="14"/>
      <c r="H291" s="44"/>
      <c r="I291" s="99">
        <f t="shared" si="40"/>
        <v>20520</v>
      </c>
      <c r="J291" s="146"/>
    </row>
    <row r="292" spans="1:11" ht="15.75" thickBot="1" x14ac:dyDescent="0.3">
      <c r="A292" s="210" t="s">
        <v>7</v>
      </c>
      <c r="B292" s="131" t="s">
        <v>92</v>
      </c>
      <c r="C292" s="132">
        <f t="shared" ref="C292:H292" si="41">SUM(C293+C294+C295+C296+C305)</f>
        <v>9405619</v>
      </c>
      <c r="D292" s="132">
        <f t="shared" si="41"/>
        <v>43961</v>
      </c>
      <c r="E292" s="132">
        <f t="shared" si="41"/>
        <v>0</v>
      </c>
      <c r="F292" s="132">
        <f t="shared" si="41"/>
        <v>941767</v>
      </c>
      <c r="G292" s="132">
        <f t="shared" si="41"/>
        <v>0</v>
      </c>
      <c r="H292" s="132">
        <f t="shared" si="41"/>
        <v>0</v>
      </c>
      <c r="I292" s="108">
        <f t="shared" si="40"/>
        <v>10391347</v>
      </c>
      <c r="J292" s="146"/>
    </row>
    <row r="293" spans="1:11" ht="16.5" customHeight="1" x14ac:dyDescent="0.25">
      <c r="A293" s="92" t="s">
        <v>294</v>
      </c>
      <c r="B293" s="93" t="s">
        <v>144</v>
      </c>
      <c r="C293" s="94">
        <f>536942+945</f>
        <v>537887</v>
      </c>
      <c r="D293" s="73"/>
      <c r="E293" s="94"/>
      <c r="F293" s="94"/>
      <c r="G293" s="73"/>
      <c r="H293" s="78"/>
      <c r="I293" s="99">
        <f t="shared" si="40"/>
        <v>537887</v>
      </c>
      <c r="J293" s="146"/>
    </row>
    <row r="294" spans="1:11" x14ac:dyDescent="0.25">
      <c r="A294" s="92" t="s">
        <v>295</v>
      </c>
      <c r="B294" s="93" t="s">
        <v>122</v>
      </c>
      <c r="C294" s="227">
        <f>283+28200-11500</f>
        <v>16983</v>
      </c>
      <c r="D294" s="94"/>
      <c r="E294" s="94"/>
      <c r="F294" s="94"/>
      <c r="G294" s="73"/>
      <c r="H294" s="78"/>
      <c r="I294" s="99">
        <f t="shared" si="40"/>
        <v>16983</v>
      </c>
      <c r="J294" s="146"/>
    </row>
    <row r="295" spans="1:11" x14ac:dyDescent="0.25">
      <c r="A295" s="92" t="s">
        <v>93</v>
      </c>
      <c r="B295" s="93" t="s">
        <v>94</v>
      </c>
      <c r="C295" s="94"/>
      <c r="D295" s="41"/>
      <c r="E295" s="21"/>
      <c r="F295" s="21"/>
      <c r="G295" s="41"/>
      <c r="H295" s="44"/>
      <c r="I295" s="99">
        <f t="shared" si="40"/>
        <v>0</v>
      </c>
      <c r="J295" s="146"/>
    </row>
    <row r="296" spans="1:11" ht="29.25" x14ac:dyDescent="0.25">
      <c r="A296" s="98" t="s">
        <v>95</v>
      </c>
      <c r="B296" s="75" t="s">
        <v>96</v>
      </c>
      <c r="C296" s="28">
        <f t="shared" ref="C296:H296" si="42">SUM(C297:C304)</f>
        <v>8453370</v>
      </c>
      <c r="D296" s="28">
        <f t="shared" si="42"/>
        <v>43961</v>
      </c>
      <c r="E296" s="28">
        <f t="shared" si="42"/>
        <v>0</v>
      </c>
      <c r="F296" s="28">
        <f t="shared" si="42"/>
        <v>941767</v>
      </c>
      <c r="G296" s="28">
        <f t="shared" si="42"/>
        <v>0</v>
      </c>
      <c r="H296" s="28">
        <f t="shared" si="42"/>
        <v>0</v>
      </c>
      <c r="I296" s="99">
        <f>SUM(C296:H296)</f>
        <v>9439098</v>
      </c>
      <c r="J296" s="146"/>
    </row>
    <row r="297" spans="1:11" x14ac:dyDescent="0.25">
      <c r="A297" s="43" t="s">
        <v>208</v>
      </c>
      <c r="B297" s="20" t="s">
        <v>97</v>
      </c>
      <c r="C297" s="101">
        <v>2929734</v>
      </c>
      <c r="D297" s="14">
        <f>53961-10000</f>
        <v>43961</v>
      </c>
      <c r="E297" s="44"/>
      <c r="F297" s="44"/>
      <c r="G297" s="157"/>
      <c r="H297" s="44"/>
      <c r="I297" s="99">
        <f t="shared" si="40"/>
        <v>2973695</v>
      </c>
      <c r="J297" s="146"/>
      <c r="K297" s="25"/>
    </row>
    <row r="298" spans="1:11" x14ac:dyDescent="0.25">
      <c r="A298" s="43" t="s">
        <v>209</v>
      </c>
      <c r="B298" s="20" t="s">
        <v>16</v>
      </c>
      <c r="C298" s="228">
        <f>3737829-2170+101042</f>
        <v>3836701</v>
      </c>
      <c r="D298" s="14"/>
      <c r="E298" s="44"/>
      <c r="F298" s="44"/>
      <c r="G298" s="157"/>
      <c r="H298" s="44"/>
      <c r="I298" s="99">
        <f t="shared" si="40"/>
        <v>3836701</v>
      </c>
      <c r="J298" s="146"/>
      <c r="K298" s="25"/>
    </row>
    <row r="299" spans="1:11" x14ac:dyDescent="0.25">
      <c r="A299" s="43" t="s">
        <v>242</v>
      </c>
      <c r="B299" s="20" t="s">
        <v>243</v>
      </c>
      <c r="C299" s="44">
        <v>1389601</v>
      </c>
      <c r="D299" s="14"/>
      <c r="E299" s="44"/>
      <c r="F299" s="44"/>
      <c r="G299" s="14"/>
      <c r="H299" s="44"/>
      <c r="I299" s="99">
        <f t="shared" si="40"/>
        <v>1389601</v>
      </c>
      <c r="J299" s="146"/>
    </row>
    <row r="300" spans="1:11" x14ac:dyDescent="0.25">
      <c r="A300" s="229" t="s">
        <v>210</v>
      </c>
      <c r="B300" s="215" t="s">
        <v>124</v>
      </c>
      <c r="C300" s="44"/>
      <c r="D300" s="14"/>
      <c r="E300" s="44"/>
      <c r="F300" s="44">
        <v>941767</v>
      </c>
      <c r="G300" s="14"/>
      <c r="H300" s="44"/>
      <c r="I300" s="99">
        <f t="shared" si="40"/>
        <v>941767</v>
      </c>
      <c r="J300" s="146"/>
    </row>
    <row r="301" spans="1:11" ht="30" x14ac:dyDescent="0.25">
      <c r="A301" s="43" t="s">
        <v>252</v>
      </c>
      <c r="B301" s="5" t="s">
        <v>253</v>
      </c>
      <c r="C301" s="14">
        <v>21610</v>
      </c>
      <c r="D301" s="14"/>
      <c r="E301" s="44"/>
      <c r="F301" s="44"/>
      <c r="G301" s="14"/>
      <c r="H301" s="44"/>
      <c r="I301" s="99">
        <f t="shared" si="40"/>
        <v>21610</v>
      </c>
      <c r="J301" s="146"/>
    </row>
    <row r="302" spans="1:11" x14ac:dyDescent="0.25">
      <c r="A302" s="43" t="s">
        <v>211</v>
      </c>
      <c r="B302" s="20" t="s">
        <v>123</v>
      </c>
      <c r="C302" s="101">
        <f>82160+3600+2170</f>
        <v>87930</v>
      </c>
      <c r="D302" s="14"/>
      <c r="E302" s="44"/>
      <c r="F302" s="44"/>
      <c r="G302" s="14"/>
      <c r="H302" s="44"/>
      <c r="I302" s="99">
        <f t="shared" si="40"/>
        <v>87930</v>
      </c>
      <c r="J302" s="146"/>
    </row>
    <row r="303" spans="1:11" ht="75" x14ac:dyDescent="0.25">
      <c r="A303" s="12" t="s">
        <v>605</v>
      </c>
      <c r="B303" s="16" t="s">
        <v>707</v>
      </c>
      <c r="C303" s="44">
        <f>48340+6604</f>
        <v>54944</v>
      </c>
      <c r="D303" s="44"/>
      <c r="E303" s="44"/>
      <c r="F303" s="44"/>
      <c r="G303" s="44"/>
      <c r="H303" s="44"/>
      <c r="I303" s="99">
        <f t="shared" ref="I303:I309" si="43">SUM(C303:H303)</f>
        <v>54944</v>
      </c>
      <c r="J303" s="146"/>
    </row>
    <row r="304" spans="1:11" ht="45" x14ac:dyDescent="0.25">
      <c r="A304" s="12" t="s">
        <v>641</v>
      </c>
      <c r="B304" s="175" t="s">
        <v>642</v>
      </c>
      <c r="C304" s="44">
        <v>132850</v>
      </c>
      <c r="D304" s="44"/>
      <c r="E304" s="44"/>
      <c r="F304" s="44"/>
      <c r="G304" s="44"/>
      <c r="H304" s="44"/>
      <c r="I304" s="99">
        <f t="shared" si="43"/>
        <v>132850</v>
      </c>
      <c r="J304" s="146"/>
    </row>
    <row r="305" spans="1:11" ht="20.100000000000001" customHeight="1" x14ac:dyDescent="0.25">
      <c r="A305" s="10" t="s">
        <v>310</v>
      </c>
      <c r="B305" s="164" t="s">
        <v>311</v>
      </c>
      <c r="C305" s="78">
        <f t="shared" ref="C305:H305" si="44">SUM(C306:C306)</f>
        <v>397379</v>
      </c>
      <c r="D305" s="44">
        <f t="shared" si="44"/>
        <v>0</v>
      </c>
      <c r="E305" s="44">
        <f t="shared" si="44"/>
        <v>0</v>
      </c>
      <c r="F305" s="44">
        <f t="shared" si="44"/>
        <v>0</v>
      </c>
      <c r="G305" s="44">
        <f t="shared" si="44"/>
        <v>0</v>
      </c>
      <c r="H305" s="44">
        <f t="shared" si="44"/>
        <v>0</v>
      </c>
      <c r="I305" s="99">
        <f t="shared" si="43"/>
        <v>397379</v>
      </c>
      <c r="J305" s="146"/>
    </row>
    <row r="306" spans="1:11" ht="35.1" customHeight="1" thickBot="1" x14ac:dyDescent="0.3">
      <c r="A306" s="11" t="s">
        <v>469</v>
      </c>
      <c r="B306" s="116" t="s">
        <v>706</v>
      </c>
      <c r="C306" s="101">
        <f>64779+332600</f>
        <v>397379</v>
      </c>
      <c r="D306" s="44"/>
      <c r="E306" s="44"/>
      <c r="F306" s="44"/>
      <c r="G306" s="44"/>
      <c r="H306" s="79"/>
      <c r="I306" s="99">
        <f t="shared" si="43"/>
        <v>397379</v>
      </c>
      <c r="J306" s="146"/>
    </row>
    <row r="307" spans="1:11" ht="15.75" thickBot="1" x14ac:dyDescent="0.3">
      <c r="A307" s="136"/>
      <c r="B307" s="35" t="s">
        <v>18</v>
      </c>
      <c r="C307" s="37">
        <f t="shared" ref="C307:H307" si="45">C7+C17+C23+C59+C77+C125+C131+C196+C292</f>
        <v>114272846</v>
      </c>
      <c r="D307" s="37">
        <f t="shared" si="45"/>
        <v>4291179</v>
      </c>
      <c r="E307" s="37">
        <f t="shared" si="45"/>
        <v>2044083</v>
      </c>
      <c r="F307" s="36">
        <f t="shared" si="45"/>
        <v>941767</v>
      </c>
      <c r="G307" s="36">
        <f t="shared" si="45"/>
        <v>575310</v>
      </c>
      <c r="H307" s="36">
        <f t="shared" si="45"/>
        <v>672832</v>
      </c>
      <c r="I307" s="38">
        <f t="shared" si="43"/>
        <v>122798017</v>
      </c>
      <c r="J307" s="146"/>
    </row>
    <row r="308" spans="1:11" x14ac:dyDescent="0.25">
      <c r="A308" s="137" t="s">
        <v>324</v>
      </c>
      <c r="B308" s="66" t="s">
        <v>325</v>
      </c>
      <c r="C308" s="137">
        <f>7117370+220422+654301</f>
        <v>7992093</v>
      </c>
      <c r="D308" s="137"/>
      <c r="E308" s="137"/>
      <c r="F308" s="137"/>
      <c r="G308" s="137"/>
      <c r="H308" s="137"/>
      <c r="I308" s="137">
        <f t="shared" si="43"/>
        <v>7992093</v>
      </c>
      <c r="J308" s="146"/>
      <c r="K308" s="179"/>
    </row>
    <row r="309" spans="1:11" ht="30" x14ac:dyDescent="0.25">
      <c r="A309" s="25" t="s">
        <v>229</v>
      </c>
      <c r="B309" s="138" t="s">
        <v>236</v>
      </c>
      <c r="C309" s="25">
        <f>3299055-1995721+1900403+134365+2409-3726</f>
        <v>3336785</v>
      </c>
      <c r="D309" s="25">
        <f>1161395-198063</f>
        <v>963332</v>
      </c>
      <c r="E309" s="25">
        <f>1474-1474</f>
        <v>0</v>
      </c>
      <c r="F309" s="25"/>
      <c r="G309" s="25">
        <v>70316</v>
      </c>
      <c r="H309" s="25">
        <v>108816</v>
      </c>
      <c r="I309" s="137">
        <f t="shared" si="43"/>
        <v>4479249</v>
      </c>
      <c r="J309" s="25"/>
    </row>
    <row r="310" spans="1:11" ht="30" x14ac:dyDescent="0.25">
      <c r="A310" s="24" t="s">
        <v>212</v>
      </c>
      <c r="B310" s="139" t="s">
        <v>213</v>
      </c>
      <c r="C310" s="137">
        <v>2916997</v>
      </c>
      <c r="D310" s="137">
        <v>-925529</v>
      </c>
      <c r="E310" s="137">
        <v>-1472105</v>
      </c>
      <c r="F310" s="137">
        <v>-8748</v>
      </c>
      <c r="G310" s="137">
        <v>-90615</v>
      </c>
      <c r="H310" s="137">
        <v>-420000</v>
      </c>
      <c r="I310" s="137">
        <v>0</v>
      </c>
    </row>
    <row r="311" spans="1:11" x14ac:dyDescent="0.25">
      <c r="A311" s="25"/>
      <c r="B311" s="140"/>
      <c r="C311" s="137"/>
      <c r="D311" s="137"/>
      <c r="E311" s="137"/>
      <c r="F311" s="137"/>
      <c r="G311" s="137"/>
      <c r="H311" s="137"/>
      <c r="I311" s="137"/>
    </row>
    <row r="312" spans="1:11" x14ac:dyDescent="0.25">
      <c r="A312" s="248" t="s">
        <v>689</v>
      </c>
      <c r="B312" s="248"/>
      <c r="C312" s="248"/>
      <c r="D312" s="248"/>
      <c r="E312" s="248"/>
      <c r="F312" s="248"/>
      <c r="G312" s="248"/>
      <c r="H312" s="248"/>
      <c r="I312" s="248"/>
    </row>
    <row r="313" spans="1:11" x14ac:dyDescent="0.25">
      <c r="A313" s="25"/>
      <c r="C313" s="25"/>
      <c r="D313" s="25"/>
      <c r="E313" s="25"/>
      <c r="F313" s="25"/>
      <c r="G313" s="25"/>
      <c r="H313" s="25"/>
      <c r="I313" s="141"/>
    </row>
    <row r="314" spans="1:11" x14ac:dyDescent="0.25">
      <c r="A314" s="25"/>
      <c r="B314" s="230"/>
      <c r="C314" s="25"/>
      <c r="D314" s="25"/>
      <c r="E314" s="25"/>
      <c r="F314" s="25"/>
      <c r="G314" s="25"/>
      <c r="H314" s="25"/>
      <c r="I314" s="137"/>
    </row>
    <row r="315" spans="1:11" ht="42.75" customHeight="1" thickBot="1" x14ac:dyDescent="0.35">
      <c r="A315" s="251" t="s">
        <v>643</v>
      </c>
      <c r="B315" s="251"/>
      <c r="C315" s="251"/>
      <c r="D315" s="251"/>
      <c r="E315" s="251"/>
      <c r="F315" s="251"/>
      <c r="G315" s="251"/>
      <c r="H315" s="251"/>
      <c r="I315" s="251"/>
    </row>
    <row r="316" spans="1:11" ht="90.75" thickBot="1" x14ac:dyDescent="0.3">
      <c r="A316" s="29" t="s">
        <v>9</v>
      </c>
      <c r="B316" s="30" t="s">
        <v>103</v>
      </c>
      <c r="C316" s="32" t="s">
        <v>611</v>
      </c>
      <c r="D316" s="200" t="s">
        <v>612</v>
      </c>
      <c r="E316" s="31" t="s">
        <v>613</v>
      </c>
      <c r="F316" s="31" t="s">
        <v>614</v>
      </c>
      <c r="G316" s="31" t="s">
        <v>615</v>
      </c>
      <c r="H316" s="171" t="s">
        <v>693</v>
      </c>
      <c r="I316" s="33" t="s">
        <v>616</v>
      </c>
      <c r="J316" s="8"/>
    </row>
    <row r="317" spans="1:11" x14ac:dyDescent="0.25">
      <c r="A317" s="152">
        <v>1100</v>
      </c>
      <c r="B317" s="71" t="s">
        <v>142</v>
      </c>
      <c r="C317" s="22">
        <v>50136382</v>
      </c>
      <c r="D317" s="22">
        <v>1289625</v>
      </c>
      <c r="E317" s="22">
        <v>957018</v>
      </c>
      <c r="F317" s="202">
        <v>527556</v>
      </c>
      <c r="G317" s="198">
        <v>89415</v>
      </c>
      <c r="H317" s="167">
        <v>246145</v>
      </c>
      <c r="I317" s="120">
        <f t="shared" ref="I317:I336" si="46">SUM(C317:H317)</f>
        <v>53246141</v>
      </c>
    </row>
    <row r="318" spans="1:11" ht="45" x14ac:dyDescent="0.25">
      <c r="A318" s="74">
        <v>1200</v>
      </c>
      <c r="B318" s="20" t="s">
        <v>214</v>
      </c>
      <c r="C318" s="14">
        <v>14906437</v>
      </c>
      <c r="D318" s="14">
        <v>338914</v>
      </c>
      <c r="E318" s="14">
        <v>275639</v>
      </c>
      <c r="F318" s="203">
        <v>148131</v>
      </c>
      <c r="G318" s="1">
        <v>27536</v>
      </c>
      <c r="H318" s="49">
        <v>75576</v>
      </c>
      <c r="I318" s="99">
        <f t="shared" si="46"/>
        <v>15772233</v>
      </c>
    </row>
    <row r="319" spans="1:11" x14ac:dyDescent="0.25">
      <c r="A319" s="74">
        <v>2000</v>
      </c>
      <c r="B319" s="20" t="s">
        <v>125</v>
      </c>
      <c r="C319" s="14">
        <f t="shared" ref="C319:H319" si="47">SUM(C320:C324)</f>
        <v>22967637</v>
      </c>
      <c r="D319" s="14">
        <f t="shared" si="47"/>
        <v>1938313</v>
      </c>
      <c r="E319" s="14">
        <f t="shared" si="47"/>
        <v>648314</v>
      </c>
      <c r="F319" s="14">
        <f t="shared" si="47"/>
        <v>266080</v>
      </c>
      <c r="G319" s="14">
        <f t="shared" si="47"/>
        <v>413759</v>
      </c>
      <c r="H319" s="14">
        <f t="shared" si="47"/>
        <v>244634</v>
      </c>
      <c r="I319" s="99">
        <f>SUM(C319:H319)</f>
        <v>26478737</v>
      </c>
    </row>
    <row r="320" spans="1:11" ht="30" x14ac:dyDescent="0.25">
      <c r="A320" s="74">
        <v>2100</v>
      </c>
      <c r="B320" s="20" t="s">
        <v>234</v>
      </c>
      <c r="C320" s="14">
        <v>497220</v>
      </c>
      <c r="D320" s="14">
        <v>3000</v>
      </c>
      <c r="E320" s="14"/>
      <c r="F320" s="14"/>
      <c r="G320" s="46"/>
      <c r="H320" s="49">
        <v>800</v>
      </c>
      <c r="I320" s="99">
        <f t="shared" si="46"/>
        <v>501020</v>
      </c>
    </row>
    <row r="321" spans="1:9" x14ac:dyDescent="0.25">
      <c r="A321" s="74">
        <v>2200</v>
      </c>
      <c r="B321" s="20" t="s">
        <v>126</v>
      </c>
      <c r="C321" s="14">
        <f>16541353+5000-23000</f>
        <v>16523353</v>
      </c>
      <c r="D321" s="14">
        <v>1289167</v>
      </c>
      <c r="E321" s="14">
        <v>493204</v>
      </c>
      <c r="F321" s="14">
        <v>92266</v>
      </c>
      <c r="G321" s="46">
        <v>389393</v>
      </c>
      <c r="H321" s="49">
        <f>189292-1</f>
        <v>189291</v>
      </c>
      <c r="I321" s="99">
        <f t="shared" si="46"/>
        <v>18976674</v>
      </c>
    </row>
    <row r="322" spans="1:9" ht="30" x14ac:dyDescent="0.25">
      <c r="A322" s="74">
        <v>2300</v>
      </c>
      <c r="B322" s="20" t="s">
        <v>127</v>
      </c>
      <c r="C322" s="14">
        <v>5681611</v>
      </c>
      <c r="D322" s="14">
        <v>244605</v>
      </c>
      <c r="E322" s="14">
        <v>142410</v>
      </c>
      <c r="F322" s="14">
        <v>173814</v>
      </c>
      <c r="G322" s="46">
        <v>12851</v>
      </c>
      <c r="H322" s="49">
        <v>54293</v>
      </c>
      <c r="I322" s="99">
        <f t="shared" si="46"/>
        <v>6309584</v>
      </c>
    </row>
    <row r="323" spans="1:9" x14ac:dyDescent="0.25">
      <c r="A323" s="74">
        <v>2400</v>
      </c>
      <c r="B323" s="20" t="s">
        <v>128</v>
      </c>
      <c r="C323" s="14">
        <v>31077</v>
      </c>
      <c r="D323" s="14"/>
      <c r="E323" s="14"/>
      <c r="F323" s="14"/>
      <c r="G323" s="46"/>
      <c r="H323" s="49"/>
      <c r="I323" s="99">
        <f t="shared" si="46"/>
        <v>31077</v>
      </c>
    </row>
    <row r="324" spans="1:9" x14ac:dyDescent="0.25">
      <c r="A324" s="74">
        <v>2500</v>
      </c>
      <c r="B324" s="20" t="s">
        <v>129</v>
      </c>
      <c r="C324" s="14">
        <v>234376</v>
      </c>
      <c r="D324" s="14">
        <v>401541</v>
      </c>
      <c r="E324" s="14">
        <v>12700</v>
      </c>
      <c r="F324" s="14"/>
      <c r="G324" s="46">
        <v>11515</v>
      </c>
      <c r="H324" s="49">
        <v>250</v>
      </c>
      <c r="I324" s="99">
        <f t="shared" si="46"/>
        <v>660382</v>
      </c>
    </row>
    <row r="325" spans="1:9" ht="30" x14ac:dyDescent="0.25">
      <c r="A325" s="74">
        <v>3200</v>
      </c>
      <c r="B325" s="20" t="s">
        <v>215</v>
      </c>
      <c r="C325" s="14">
        <v>5806698</v>
      </c>
      <c r="D325" s="14"/>
      <c r="E325" s="14"/>
      <c r="F325" s="14"/>
      <c r="G325" s="46"/>
      <c r="H325" s="49"/>
      <c r="I325" s="99">
        <f t="shared" si="46"/>
        <v>5806698</v>
      </c>
    </row>
    <row r="326" spans="1:9" x14ac:dyDescent="0.25">
      <c r="A326" s="74">
        <v>4200</v>
      </c>
      <c r="B326" s="20" t="s">
        <v>296</v>
      </c>
      <c r="C326" s="14"/>
      <c r="D326" s="14"/>
      <c r="E326" s="14"/>
      <c r="F326" s="14"/>
      <c r="G326" s="46"/>
      <c r="H326" s="49"/>
      <c r="I326" s="99">
        <f t="shared" si="46"/>
        <v>0</v>
      </c>
    </row>
    <row r="327" spans="1:9" x14ac:dyDescent="0.25">
      <c r="A327" s="74">
        <v>4300</v>
      </c>
      <c r="B327" s="20" t="s">
        <v>130</v>
      </c>
      <c r="C327" s="14">
        <v>4458330</v>
      </c>
      <c r="D327" s="14"/>
      <c r="E327" s="14"/>
      <c r="F327" s="14"/>
      <c r="G327" s="46"/>
      <c r="H327" s="49"/>
      <c r="I327" s="99">
        <f t="shared" si="46"/>
        <v>4458330</v>
      </c>
    </row>
    <row r="328" spans="1:9" x14ac:dyDescent="0.25">
      <c r="A328" s="74">
        <v>5100</v>
      </c>
      <c r="B328" s="20" t="s">
        <v>99</v>
      </c>
      <c r="C328" s="14">
        <v>147836</v>
      </c>
      <c r="D328" s="14">
        <v>5000</v>
      </c>
      <c r="E328" s="14">
        <v>4784</v>
      </c>
      <c r="F328" s="14"/>
      <c r="G328" s="46"/>
      <c r="H328" s="49"/>
      <c r="I328" s="99">
        <f t="shared" si="46"/>
        <v>157620</v>
      </c>
    </row>
    <row r="329" spans="1:9" x14ac:dyDescent="0.25">
      <c r="A329" s="74">
        <v>5200</v>
      </c>
      <c r="B329" s="20" t="s">
        <v>131</v>
      </c>
      <c r="C329" s="14">
        <f>10112710+136000+23000</f>
        <v>10271710</v>
      </c>
      <c r="D329" s="14">
        <v>719327</v>
      </c>
      <c r="E329" s="14">
        <v>158328</v>
      </c>
      <c r="F329" s="14"/>
      <c r="G329" s="46">
        <v>44600</v>
      </c>
      <c r="H329" s="49">
        <v>106477</v>
      </c>
      <c r="I329" s="99">
        <f t="shared" si="46"/>
        <v>11300442</v>
      </c>
    </row>
    <row r="330" spans="1:9" x14ac:dyDescent="0.25">
      <c r="A330" s="74">
        <v>6200</v>
      </c>
      <c r="B330" s="20" t="s">
        <v>132</v>
      </c>
      <c r="C330" s="14">
        <v>1302516</v>
      </c>
      <c r="D330" s="14"/>
      <c r="E330" s="14"/>
      <c r="F330" s="14"/>
      <c r="G330" s="46"/>
      <c r="H330" s="49"/>
      <c r="I330" s="99">
        <f t="shared" si="46"/>
        <v>1302516</v>
      </c>
    </row>
    <row r="331" spans="1:9" x14ac:dyDescent="0.25">
      <c r="A331" s="74">
        <v>6300</v>
      </c>
      <c r="B331" s="20" t="s">
        <v>133</v>
      </c>
      <c r="C331" s="14">
        <v>1020042</v>
      </c>
      <c r="D331" s="14"/>
      <c r="E331" s="14"/>
      <c r="F331" s="14"/>
      <c r="G331" s="46"/>
      <c r="H331" s="49"/>
      <c r="I331" s="99">
        <f t="shared" si="46"/>
        <v>1020042</v>
      </c>
    </row>
    <row r="332" spans="1:9" ht="30" x14ac:dyDescent="0.25">
      <c r="A332" s="74">
        <v>6400</v>
      </c>
      <c r="B332" s="20" t="s">
        <v>216</v>
      </c>
      <c r="C332" s="14">
        <v>2224154</v>
      </c>
      <c r="D332" s="14"/>
      <c r="E332" s="14"/>
      <c r="F332" s="14"/>
      <c r="G332" s="46"/>
      <c r="H332" s="49"/>
      <c r="I332" s="99">
        <f t="shared" si="46"/>
        <v>2224154</v>
      </c>
    </row>
    <row r="333" spans="1:9" ht="30" x14ac:dyDescent="0.25">
      <c r="A333" s="74">
        <v>6500</v>
      </c>
      <c r="B333" s="20" t="s">
        <v>235</v>
      </c>
      <c r="C333" s="14">
        <v>3475</v>
      </c>
      <c r="D333" s="14"/>
      <c r="E333" s="14"/>
      <c r="F333" s="14"/>
      <c r="G333" s="46"/>
      <c r="H333" s="49"/>
      <c r="I333" s="99">
        <f t="shared" si="46"/>
        <v>3475</v>
      </c>
    </row>
    <row r="334" spans="1:9" x14ac:dyDescent="0.25">
      <c r="A334" s="74">
        <v>7200</v>
      </c>
      <c r="B334" s="20" t="s">
        <v>217</v>
      </c>
      <c r="C334" s="14">
        <v>950170</v>
      </c>
      <c r="D334" s="14"/>
      <c r="E334" s="14"/>
      <c r="F334" s="14"/>
      <c r="G334" s="46"/>
      <c r="H334" s="49"/>
      <c r="I334" s="99">
        <f t="shared" si="46"/>
        <v>950170</v>
      </c>
    </row>
    <row r="335" spans="1:9" ht="15.75" thickBot="1" x14ac:dyDescent="0.3">
      <c r="A335" s="74">
        <v>7700</v>
      </c>
      <c r="B335" s="20" t="s">
        <v>303</v>
      </c>
      <c r="C335" s="14">
        <v>77459</v>
      </c>
      <c r="D335" s="14"/>
      <c r="E335" s="14"/>
      <c r="F335" s="14"/>
      <c r="G335" s="46"/>
      <c r="H335" s="48"/>
      <c r="I335" s="99">
        <f t="shared" si="46"/>
        <v>77459</v>
      </c>
    </row>
    <row r="336" spans="1:9" ht="15.75" thickBot="1" x14ac:dyDescent="0.3">
      <c r="A336" s="136"/>
      <c r="B336" s="153" t="s">
        <v>134</v>
      </c>
      <c r="C336" s="154">
        <f t="shared" ref="C336:H336" si="48">SUM(C317:C319,C325:C335)</f>
        <v>114272846</v>
      </c>
      <c r="D336" s="154">
        <f t="shared" si="48"/>
        <v>4291179</v>
      </c>
      <c r="E336" s="154">
        <f t="shared" si="48"/>
        <v>2044083</v>
      </c>
      <c r="F336" s="154">
        <f t="shared" si="48"/>
        <v>941767</v>
      </c>
      <c r="G336" s="154">
        <f t="shared" si="48"/>
        <v>575310</v>
      </c>
      <c r="H336" s="154">
        <f t="shared" si="48"/>
        <v>672832</v>
      </c>
      <c r="I336" s="38">
        <f t="shared" si="46"/>
        <v>122798017</v>
      </c>
    </row>
    <row r="337" spans="1:9" x14ac:dyDescent="0.25">
      <c r="B337" s="155"/>
      <c r="D337" s="25"/>
      <c r="E337" s="25"/>
      <c r="F337" s="25"/>
    </row>
    <row r="338" spans="1:9" x14ac:dyDescent="0.25">
      <c r="B338" s="155"/>
      <c r="D338" s="25"/>
      <c r="E338" s="25"/>
      <c r="F338" s="25"/>
      <c r="I338" s="137"/>
    </row>
    <row r="339" spans="1:9" x14ac:dyDescent="0.25">
      <c r="A339" s="250" t="s">
        <v>689</v>
      </c>
      <c r="B339" s="250"/>
      <c r="C339" s="250"/>
      <c r="D339" s="250"/>
      <c r="E339" s="250"/>
      <c r="F339" s="250"/>
      <c r="G339" s="250"/>
      <c r="H339" s="250"/>
      <c r="I339" s="250"/>
    </row>
    <row r="344" spans="1:9" x14ac:dyDescent="0.25">
      <c r="B344" s="156"/>
    </row>
  </sheetData>
  <mergeCells count="4">
    <mergeCell ref="A339:I339"/>
    <mergeCell ref="A315:I315"/>
    <mergeCell ref="A312:I312"/>
    <mergeCell ref="A5:I5"/>
  </mergeCells>
  <phoneticPr fontId="9" type="noConversion"/>
  <pageMargins left="0.23622047244094491" right="0.35433070866141736" top="0.78740157480314965" bottom="0.59055118110236227" header="0.51181102362204722" footer="0.51181102362204722"/>
  <pageSetup paperSize="9" scale="9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Pamatbudžets  1.pielikums</vt:lpstr>
      <vt:lpstr>Pamatbudžets  2.pielikums </vt:lpstr>
      <vt:lpstr>'Pamatbudžets  1.pielikums'!Print_Titles</vt:lpstr>
    </vt:vector>
  </TitlesOfParts>
  <Company>Ogres novada dome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Silvija Velberga</dc:creator>
  <cp:lastModifiedBy>Uldis Ervalds</cp:lastModifiedBy>
  <cp:lastPrinted>2024-10-31T06:56:50Z</cp:lastPrinted>
  <dcterms:created xsi:type="dcterms:W3CDTF">2006-04-20T10:34:24Z</dcterms:created>
  <dcterms:modified xsi:type="dcterms:W3CDTF">2024-11-07T07:25:49Z</dcterms:modified>
</cp:coreProperties>
</file>