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35BC1242-78BA-4D2E-B378-CC3D49D09202}" xr6:coauthVersionLast="47" xr6:coauthVersionMax="47" xr10:uidLastSave="{00000000-0000-0000-0000-000000000000}"/>
  <bookViews>
    <workbookView xWindow="-108" yWindow="-108" windowWidth="23256" windowHeight="12456" activeTab="3" xr2:uid="{00000000-000D-0000-FFFF-FFFF00000000}"/>
  </bookViews>
  <sheets>
    <sheet name="1.pielikums" sheetId="4" r:id="rId1"/>
    <sheet name="2.pielikums" sheetId="3" r:id="rId2"/>
    <sheet name="3.pielikums" sheetId="2" r:id="rId3"/>
    <sheet name="4.pielikums" sheetId="1" r:id="rId4"/>
  </sheets>
  <definedNames>
    <definedName name="_xlnm._FilterDatabase" localSheetId="3" hidden="1">'4.pielikums'!$A$15:$P$373</definedName>
    <definedName name="_xlnm.Print_Area" localSheetId="3">'4.pielikums'!$A$1:$P$377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373" i="1" l="1"/>
  <c r="J373" i="1"/>
  <c r="B372" i="1"/>
  <c r="F371" i="1"/>
  <c r="B371" i="1" s="1"/>
  <c r="F370" i="1"/>
  <c r="B370" i="1" s="1"/>
  <c r="F369" i="1"/>
  <c r="B369" i="1" s="1"/>
  <c r="F368" i="1"/>
  <c r="C368" i="1"/>
  <c r="B368" i="1" s="1"/>
  <c r="H318" i="2" s="1"/>
  <c r="F367" i="1"/>
  <c r="C367" i="1"/>
  <c r="B367" i="1" s="1"/>
  <c r="F366" i="1"/>
  <c r="C366" i="1"/>
  <c r="B366" i="1" s="1"/>
  <c r="F365" i="1"/>
  <c r="C365" i="1"/>
  <c r="B365" i="1" s="1"/>
  <c r="F364" i="1"/>
  <c r="B364" i="1" s="1"/>
  <c r="C364" i="1"/>
  <c r="F363" i="1"/>
  <c r="C363" i="1"/>
  <c r="B363" i="1"/>
  <c r="F362" i="1"/>
  <c r="C362" i="1"/>
  <c r="B362" i="1"/>
  <c r="B361" i="1"/>
  <c r="F360" i="1"/>
  <c r="C360" i="1"/>
  <c r="B360" i="1" s="1"/>
  <c r="F359" i="1"/>
  <c r="C359" i="1"/>
  <c r="B359" i="1" s="1"/>
  <c r="F358" i="1"/>
  <c r="C358" i="1"/>
  <c r="B358" i="1" s="1"/>
  <c r="C357" i="1"/>
  <c r="B357" i="1" s="1"/>
  <c r="F356" i="1"/>
  <c r="C356" i="1"/>
  <c r="B356" i="1" s="1"/>
  <c r="H243" i="2" s="1"/>
  <c r="D243" i="2" s="1"/>
  <c r="F355" i="1"/>
  <c r="C355" i="1"/>
  <c r="B355" i="1" s="1"/>
  <c r="F354" i="1"/>
  <c r="C354" i="1"/>
  <c r="B354" i="1"/>
  <c r="F353" i="1"/>
  <c r="C353" i="1"/>
  <c r="B353" i="1"/>
  <c r="F352" i="1"/>
  <c r="C352" i="1"/>
  <c r="B352" i="1" s="1"/>
  <c r="G351" i="1"/>
  <c r="F351" i="1"/>
  <c r="B351" i="1" s="1"/>
  <c r="B350" i="1"/>
  <c r="N349" i="1"/>
  <c r="B349" i="1"/>
  <c r="B348" i="1"/>
  <c r="H347" i="1"/>
  <c r="F347" i="1"/>
  <c r="B347" i="1" s="1"/>
  <c r="B346" i="1"/>
  <c r="F345" i="1"/>
  <c r="B345" i="1" s="1"/>
  <c r="F344" i="1"/>
  <c r="B344" i="1" s="1"/>
  <c r="F343" i="1"/>
  <c r="B343" i="1" s="1"/>
  <c r="N342" i="1"/>
  <c r="F342" i="1"/>
  <c r="B342" i="1" s="1"/>
  <c r="H235" i="2" s="1"/>
  <c r="D235" i="2" s="1"/>
  <c r="N341" i="1"/>
  <c r="F341" i="1"/>
  <c r="B341" i="1" s="1"/>
  <c r="H340" i="1"/>
  <c r="F340" i="1" s="1"/>
  <c r="C340" i="1"/>
  <c r="B340" i="1"/>
  <c r="F339" i="1"/>
  <c r="B339" i="1" s="1"/>
  <c r="F338" i="1"/>
  <c r="B338" i="1" s="1"/>
  <c r="B337" i="1"/>
  <c r="H342" i="2" s="1"/>
  <c r="D342" i="2" s="1"/>
  <c r="F336" i="1"/>
  <c r="B336" i="1" s="1"/>
  <c r="F335" i="1"/>
  <c r="B335" i="1" s="1"/>
  <c r="F334" i="1"/>
  <c r="B334" i="1"/>
  <c r="F333" i="1"/>
  <c r="C333" i="1"/>
  <c r="B333" i="1" s="1"/>
  <c r="H341" i="2" s="1"/>
  <c r="F332" i="1"/>
  <c r="C332" i="1"/>
  <c r="B332" i="1" s="1"/>
  <c r="H340" i="2" s="1"/>
  <c r="D340" i="2" s="1"/>
  <c r="F331" i="1"/>
  <c r="C331" i="1"/>
  <c r="B331" i="1" s="1"/>
  <c r="F330" i="1"/>
  <c r="B330" i="1" s="1"/>
  <c r="F329" i="1"/>
  <c r="C329" i="1"/>
  <c r="B329" i="1" s="1"/>
  <c r="H337" i="2" s="1"/>
  <c r="F328" i="1"/>
  <c r="C328" i="1"/>
  <c r="B328" i="1" s="1"/>
  <c r="H336" i="2" s="1"/>
  <c r="D336" i="2" s="1"/>
  <c r="F327" i="1"/>
  <c r="C327" i="1"/>
  <c r="F326" i="1"/>
  <c r="C326" i="1"/>
  <c r="O325" i="1"/>
  <c r="K325" i="1"/>
  <c r="H325" i="1"/>
  <c r="F325" i="1" s="1"/>
  <c r="D325" i="1"/>
  <c r="C325" i="1"/>
  <c r="B325" i="1" s="1"/>
  <c r="H333" i="2" s="1"/>
  <c r="D333" i="2" s="1"/>
  <c r="F324" i="1"/>
  <c r="B324" i="1"/>
  <c r="I323" i="1"/>
  <c r="H323" i="1"/>
  <c r="G323" i="1"/>
  <c r="F323" i="1" s="1"/>
  <c r="D323" i="1"/>
  <c r="C323" i="1" s="1"/>
  <c r="B323" i="1" s="1"/>
  <c r="I322" i="1"/>
  <c r="F322" i="1" s="1"/>
  <c r="C322" i="1"/>
  <c r="B322" i="1" s="1"/>
  <c r="H331" i="2" s="1"/>
  <c r="D331" i="2" s="1"/>
  <c r="B321" i="1"/>
  <c r="N320" i="1"/>
  <c r="F320" i="1"/>
  <c r="C320" i="1"/>
  <c r="B320" i="1"/>
  <c r="F319" i="1"/>
  <c r="C319" i="1"/>
  <c r="B319" i="1" s="1"/>
  <c r="F318" i="1"/>
  <c r="B318" i="1"/>
  <c r="F317" i="1"/>
  <c r="B317" i="1" s="1"/>
  <c r="O316" i="1"/>
  <c r="O373" i="1" s="1"/>
  <c r="F316" i="1"/>
  <c r="B316" i="1"/>
  <c r="H326" i="2" s="1"/>
  <c r="F315" i="1"/>
  <c r="C315" i="1"/>
  <c r="B315" i="1"/>
  <c r="H325" i="2" s="1"/>
  <c r="F314" i="1"/>
  <c r="C314" i="1"/>
  <c r="B314" i="1"/>
  <c r="N313" i="1"/>
  <c r="F313" i="1"/>
  <c r="B313" i="1" s="1"/>
  <c r="F312" i="1"/>
  <c r="B312" i="1"/>
  <c r="F311" i="1"/>
  <c r="B311" i="1" s="1"/>
  <c r="H310" i="2" s="1"/>
  <c r="D310" i="2" s="1"/>
  <c r="F310" i="1"/>
  <c r="B310" i="1" s="1"/>
  <c r="F309" i="1"/>
  <c r="B309" i="1" s="1"/>
  <c r="F308" i="1"/>
  <c r="B308" i="1"/>
  <c r="F307" i="1"/>
  <c r="C307" i="1"/>
  <c r="B307" i="1"/>
  <c r="F306" i="1"/>
  <c r="C306" i="1"/>
  <c r="B306" i="1" s="1"/>
  <c r="F305" i="1"/>
  <c r="C305" i="1"/>
  <c r="B305" i="1" s="1"/>
  <c r="F304" i="1"/>
  <c r="B304" i="1"/>
  <c r="F303" i="1"/>
  <c r="B303" i="1"/>
  <c r="F302" i="1"/>
  <c r="D302" i="1"/>
  <c r="C302" i="1"/>
  <c r="B302" i="1" s="1"/>
  <c r="I301" i="1"/>
  <c r="H301" i="1"/>
  <c r="F301" i="1" s="1"/>
  <c r="E301" i="1"/>
  <c r="D301" i="1"/>
  <c r="C301" i="1" s="1"/>
  <c r="B301" i="1"/>
  <c r="H300" i="2" s="1"/>
  <c r="D300" i="2" s="1"/>
  <c r="F300" i="1"/>
  <c r="C300" i="1"/>
  <c r="B300" i="1"/>
  <c r="F299" i="1"/>
  <c r="D299" i="1"/>
  <c r="C299" i="1" s="1"/>
  <c r="B299" i="1" s="1"/>
  <c r="H298" i="1"/>
  <c r="F298" i="1" s="1"/>
  <c r="C298" i="1"/>
  <c r="B298" i="1"/>
  <c r="F297" i="1"/>
  <c r="C297" i="1"/>
  <c r="B297" i="1" s="1"/>
  <c r="I296" i="1"/>
  <c r="H296" i="1"/>
  <c r="G296" i="1"/>
  <c r="D296" i="1"/>
  <c r="C296" i="1" s="1"/>
  <c r="F295" i="1"/>
  <c r="C295" i="1"/>
  <c r="B295" i="1"/>
  <c r="F294" i="1"/>
  <c r="C294" i="1"/>
  <c r="B294" i="1"/>
  <c r="F293" i="1"/>
  <c r="E293" i="1"/>
  <c r="C293" i="1" s="1"/>
  <c r="B293" i="1" s="1"/>
  <c r="N292" i="1"/>
  <c r="I292" i="1"/>
  <c r="H292" i="1"/>
  <c r="F292" i="1"/>
  <c r="D292" i="1"/>
  <c r="C292" i="1"/>
  <c r="F291" i="1"/>
  <c r="C291" i="1"/>
  <c r="B291" i="1" s="1"/>
  <c r="F290" i="1"/>
  <c r="C290" i="1"/>
  <c r="B290" i="1" s="1"/>
  <c r="H289" i="2" s="1"/>
  <c r="D289" i="2" s="1"/>
  <c r="H289" i="1"/>
  <c r="F289" i="1" s="1"/>
  <c r="B289" i="1" s="1"/>
  <c r="F288" i="1"/>
  <c r="C288" i="1"/>
  <c r="B288" i="1" s="1"/>
  <c r="F287" i="1"/>
  <c r="C287" i="1"/>
  <c r="B287" i="1"/>
  <c r="C286" i="1"/>
  <c r="B286" i="1" s="1"/>
  <c r="F285" i="1"/>
  <c r="E285" i="1"/>
  <c r="D285" i="1"/>
  <c r="C285" i="1"/>
  <c r="F284" i="1"/>
  <c r="C284" i="1"/>
  <c r="B284" i="1" s="1"/>
  <c r="F283" i="1"/>
  <c r="E283" i="1"/>
  <c r="E282" i="1" s="1"/>
  <c r="D283" i="1"/>
  <c r="C283" i="1"/>
  <c r="N282" i="1"/>
  <c r="I282" i="1"/>
  <c r="H282" i="1"/>
  <c r="G282" i="1"/>
  <c r="F282" i="1" s="1"/>
  <c r="D282" i="1"/>
  <c r="B281" i="1"/>
  <c r="P280" i="1"/>
  <c r="F280" i="1"/>
  <c r="C280" i="1"/>
  <c r="B280" i="1" s="1"/>
  <c r="B279" i="1"/>
  <c r="P278" i="1"/>
  <c r="F278" i="1"/>
  <c r="C278" i="1"/>
  <c r="B278" i="1" s="1"/>
  <c r="E277" i="1"/>
  <c r="E276" i="1" s="1"/>
  <c r="D277" i="1"/>
  <c r="P276" i="1"/>
  <c r="I276" i="1"/>
  <c r="H276" i="1"/>
  <c r="F276" i="1" s="1"/>
  <c r="D276" i="1"/>
  <c r="E275" i="1"/>
  <c r="D275" i="1"/>
  <c r="C275" i="1" s="1"/>
  <c r="B275" i="1" s="1"/>
  <c r="P274" i="1"/>
  <c r="I274" i="1"/>
  <c r="H274" i="1"/>
  <c r="F274" i="1"/>
  <c r="E274" i="1"/>
  <c r="D274" i="1"/>
  <c r="C274" i="1" s="1"/>
  <c r="B274" i="1" s="1"/>
  <c r="F273" i="1"/>
  <c r="E273" i="1"/>
  <c r="D273" i="1"/>
  <c r="C273" i="1"/>
  <c r="B273" i="1" s="1"/>
  <c r="N272" i="1"/>
  <c r="I272" i="1"/>
  <c r="F272" i="1" s="1"/>
  <c r="E272" i="1"/>
  <c r="D272" i="1"/>
  <c r="C272" i="1" s="1"/>
  <c r="B272" i="1" s="1"/>
  <c r="H275" i="2" s="1"/>
  <c r="I271" i="1"/>
  <c r="F271" i="1"/>
  <c r="E271" i="1"/>
  <c r="D271" i="1"/>
  <c r="C271" i="1"/>
  <c r="B271" i="1" s="1"/>
  <c r="N270" i="1"/>
  <c r="I270" i="1"/>
  <c r="F270" i="1" s="1"/>
  <c r="B270" i="1" s="1"/>
  <c r="E270" i="1"/>
  <c r="D270" i="1"/>
  <c r="C270" i="1" s="1"/>
  <c r="F269" i="1"/>
  <c r="E269" i="1"/>
  <c r="D269" i="1"/>
  <c r="I268" i="1"/>
  <c r="F268" i="1" s="1"/>
  <c r="H268" i="1"/>
  <c r="E268" i="1"/>
  <c r="F267" i="1"/>
  <c r="C267" i="1"/>
  <c r="B267" i="1" s="1"/>
  <c r="K266" i="1"/>
  <c r="F266" i="1" s="1"/>
  <c r="I266" i="1"/>
  <c r="H266" i="1"/>
  <c r="E266" i="1"/>
  <c r="D266" i="1"/>
  <c r="C266" i="1"/>
  <c r="F265" i="1"/>
  <c r="E265" i="1"/>
  <c r="D265" i="1"/>
  <c r="C265" i="1"/>
  <c r="N264" i="1"/>
  <c r="I264" i="1"/>
  <c r="F264" i="1" s="1"/>
  <c r="E264" i="1"/>
  <c r="D264" i="1"/>
  <c r="C264" i="1" s="1"/>
  <c r="B264" i="1"/>
  <c r="I263" i="1"/>
  <c r="F263" i="1"/>
  <c r="E263" i="1"/>
  <c r="D263" i="1"/>
  <c r="C263" i="1"/>
  <c r="N262" i="1"/>
  <c r="K262" i="1"/>
  <c r="I262" i="1"/>
  <c r="H262" i="1"/>
  <c r="G262" i="1"/>
  <c r="F262" i="1" s="1"/>
  <c r="B262" i="1" s="1"/>
  <c r="E262" i="1"/>
  <c r="D262" i="1"/>
  <c r="C262" i="1" s="1"/>
  <c r="E261" i="1"/>
  <c r="D261" i="1"/>
  <c r="D260" i="1" s="1"/>
  <c r="C260" i="1" s="1"/>
  <c r="C261" i="1"/>
  <c r="B261" i="1" s="1"/>
  <c r="I260" i="1"/>
  <c r="H260" i="1"/>
  <c r="E260" i="1"/>
  <c r="I259" i="1"/>
  <c r="F259" i="1"/>
  <c r="C259" i="1"/>
  <c r="B259" i="1" s="1"/>
  <c r="I258" i="1"/>
  <c r="F258" i="1" s="1"/>
  <c r="H258" i="1"/>
  <c r="C258" i="1"/>
  <c r="I257" i="1"/>
  <c r="F257" i="1" s="1"/>
  <c r="C257" i="1"/>
  <c r="B257" i="1"/>
  <c r="N256" i="1"/>
  <c r="I256" i="1"/>
  <c r="F256" i="1" s="1"/>
  <c r="E256" i="1"/>
  <c r="D256" i="1"/>
  <c r="C256" i="1" s="1"/>
  <c r="F255" i="1"/>
  <c r="E255" i="1"/>
  <c r="D255" i="1"/>
  <c r="C255" i="1"/>
  <c r="B255" i="1" s="1"/>
  <c r="F254" i="1"/>
  <c r="E254" i="1"/>
  <c r="D254" i="1"/>
  <c r="C254" i="1"/>
  <c r="I253" i="1"/>
  <c r="I252" i="1" s="1"/>
  <c r="H253" i="1"/>
  <c r="E253" i="1"/>
  <c r="E252" i="1" s="1"/>
  <c r="D253" i="1"/>
  <c r="C253" i="1" s="1"/>
  <c r="N252" i="1"/>
  <c r="K252" i="1"/>
  <c r="G252" i="1"/>
  <c r="D252" i="1"/>
  <c r="E251" i="1"/>
  <c r="E250" i="1" s="1"/>
  <c r="D251" i="1"/>
  <c r="C251" i="1"/>
  <c r="B251" i="1" s="1"/>
  <c r="I250" i="1"/>
  <c r="F250" i="1"/>
  <c r="D250" i="1"/>
  <c r="C250" i="1" s="1"/>
  <c r="B250" i="1" s="1"/>
  <c r="F249" i="1"/>
  <c r="E249" i="1"/>
  <c r="E248" i="1" s="1"/>
  <c r="D249" i="1"/>
  <c r="C249" i="1"/>
  <c r="B249" i="1" s="1"/>
  <c r="I248" i="1"/>
  <c r="F248" i="1"/>
  <c r="D248" i="1"/>
  <c r="F247" i="1"/>
  <c r="E247" i="1"/>
  <c r="D247" i="1"/>
  <c r="C247" i="1"/>
  <c r="B247" i="1" s="1"/>
  <c r="F246" i="1"/>
  <c r="E246" i="1"/>
  <c r="D246" i="1"/>
  <c r="C246" i="1"/>
  <c r="I245" i="1"/>
  <c r="H245" i="1"/>
  <c r="F245" i="1" s="1"/>
  <c r="E245" i="1"/>
  <c r="D245" i="1"/>
  <c r="N244" i="1"/>
  <c r="I244" i="1"/>
  <c r="F244" i="1"/>
  <c r="E244" i="1"/>
  <c r="D244" i="1"/>
  <c r="N243" i="1"/>
  <c r="K243" i="1"/>
  <c r="I243" i="1"/>
  <c r="G243" i="1"/>
  <c r="E243" i="1"/>
  <c r="F242" i="1"/>
  <c r="B242" i="1"/>
  <c r="I241" i="1"/>
  <c r="F241" i="1" s="1"/>
  <c r="E241" i="1"/>
  <c r="D241" i="1"/>
  <c r="I240" i="1"/>
  <c r="F240" i="1"/>
  <c r="E240" i="1"/>
  <c r="D240" i="1"/>
  <c r="C240" i="1"/>
  <c r="B240" i="1" s="1"/>
  <c r="N239" i="1"/>
  <c r="I239" i="1"/>
  <c r="F239" i="1" s="1"/>
  <c r="H239" i="1"/>
  <c r="E239" i="1"/>
  <c r="D239" i="1"/>
  <c r="C239" i="1"/>
  <c r="E238" i="1"/>
  <c r="D238" i="1"/>
  <c r="I237" i="1"/>
  <c r="F237" i="1" s="1"/>
  <c r="E237" i="1"/>
  <c r="E236" i="1"/>
  <c r="D236" i="1"/>
  <c r="D235" i="1" s="1"/>
  <c r="C235" i="1" s="1"/>
  <c r="B235" i="1" s="1"/>
  <c r="C236" i="1"/>
  <c r="B236" i="1" s="1"/>
  <c r="I235" i="1"/>
  <c r="F235" i="1" s="1"/>
  <c r="E235" i="1"/>
  <c r="E234" i="1"/>
  <c r="E233" i="1" s="1"/>
  <c r="D234" i="1"/>
  <c r="C234" i="1"/>
  <c r="B234" i="1" s="1"/>
  <c r="I233" i="1"/>
  <c r="F233" i="1"/>
  <c r="D233" i="1"/>
  <c r="C233" i="1" s="1"/>
  <c r="F232" i="1"/>
  <c r="E232" i="1"/>
  <c r="D232" i="1"/>
  <c r="C232" i="1"/>
  <c r="B232" i="1" s="1"/>
  <c r="N231" i="1"/>
  <c r="I231" i="1"/>
  <c r="F231" i="1" s="1"/>
  <c r="H231" i="1"/>
  <c r="E231" i="1"/>
  <c r="D231" i="1"/>
  <c r="C231" i="1"/>
  <c r="H230" i="1"/>
  <c r="F230" i="1"/>
  <c r="D230" i="1"/>
  <c r="C230" i="1"/>
  <c r="B230" i="1" s="1"/>
  <c r="H233" i="2" s="1"/>
  <c r="D233" i="2" s="1"/>
  <c r="H229" i="1"/>
  <c r="F229" i="1"/>
  <c r="E229" i="1"/>
  <c r="D229" i="1"/>
  <c r="C229" i="1"/>
  <c r="B229" i="1" s="1"/>
  <c r="F228" i="1"/>
  <c r="C228" i="1"/>
  <c r="F227" i="1"/>
  <c r="B227" i="1" s="1"/>
  <c r="H234" i="2" s="1"/>
  <c r="F226" i="1"/>
  <c r="C226" i="1"/>
  <c r="B226" i="1" s="1"/>
  <c r="F225" i="1"/>
  <c r="C225" i="1"/>
  <c r="F224" i="1"/>
  <c r="C224" i="1"/>
  <c r="B224" i="1"/>
  <c r="F223" i="1"/>
  <c r="B223" i="1" s="1"/>
  <c r="H228" i="2" s="1"/>
  <c r="D228" i="2" s="1"/>
  <c r="C223" i="1"/>
  <c r="F222" i="1"/>
  <c r="B222" i="1" s="1"/>
  <c r="I221" i="1"/>
  <c r="F221" i="1" s="1"/>
  <c r="C221" i="1"/>
  <c r="B221" i="1"/>
  <c r="I220" i="1"/>
  <c r="H220" i="1"/>
  <c r="F220" i="1" s="1"/>
  <c r="B220" i="1" s="1"/>
  <c r="C220" i="1"/>
  <c r="F219" i="1"/>
  <c r="C219" i="1"/>
  <c r="B219" i="1"/>
  <c r="F218" i="1"/>
  <c r="C218" i="1"/>
  <c r="B218" i="1" s="1"/>
  <c r="H224" i="2" s="1"/>
  <c r="F217" i="1"/>
  <c r="C217" i="1"/>
  <c r="B217" i="1" s="1"/>
  <c r="F216" i="1"/>
  <c r="C216" i="1"/>
  <c r="B216" i="1" s="1"/>
  <c r="F215" i="1"/>
  <c r="E215" i="1"/>
  <c r="C215" i="1" s="1"/>
  <c r="D215" i="1"/>
  <c r="H214" i="1"/>
  <c r="F214" i="1"/>
  <c r="C214" i="1"/>
  <c r="B214" i="1"/>
  <c r="F213" i="1"/>
  <c r="B213" i="1" s="1"/>
  <c r="C213" i="1"/>
  <c r="F212" i="1"/>
  <c r="E212" i="1"/>
  <c r="D212" i="1"/>
  <c r="C212" i="1" s="1"/>
  <c r="B212" i="1" s="1"/>
  <c r="F211" i="1"/>
  <c r="C211" i="1"/>
  <c r="B211" i="1"/>
  <c r="F210" i="1"/>
  <c r="C210" i="1"/>
  <c r="B210" i="1"/>
  <c r="F209" i="1"/>
  <c r="C209" i="1"/>
  <c r="B209" i="1"/>
  <c r="F208" i="1"/>
  <c r="C208" i="1"/>
  <c r="B208" i="1" s="1"/>
  <c r="H214" i="2" s="1"/>
  <c r="D214" i="2" s="1"/>
  <c r="F207" i="1"/>
  <c r="B207" i="1" s="1"/>
  <c r="I206" i="1"/>
  <c r="H206" i="1"/>
  <c r="G206" i="1"/>
  <c r="C206" i="1"/>
  <c r="I205" i="1"/>
  <c r="F205" i="1"/>
  <c r="B205" i="1" s="1"/>
  <c r="H212" i="2" s="1"/>
  <c r="C205" i="1"/>
  <c r="I204" i="1"/>
  <c r="F204" i="1" s="1"/>
  <c r="H204" i="1"/>
  <c r="D204" i="1"/>
  <c r="C204" i="1"/>
  <c r="B204" i="1"/>
  <c r="H211" i="2" s="1"/>
  <c r="I203" i="1"/>
  <c r="F203" i="1"/>
  <c r="C203" i="1"/>
  <c r="B203" i="1" s="1"/>
  <c r="F202" i="1"/>
  <c r="C202" i="1"/>
  <c r="B202" i="1"/>
  <c r="I201" i="1"/>
  <c r="H201" i="1"/>
  <c r="F201" i="1"/>
  <c r="C201" i="1"/>
  <c r="F200" i="1"/>
  <c r="B200" i="1" s="1"/>
  <c r="C200" i="1"/>
  <c r="F199" i="1"/>
  <c r="E199" i="1"/>
  <c r="D199" i="1"/>
  <c r="C199" i="1"/>
  <c r="B199" i="1" s="1"/>
  <c r="H205" i="2" s="1"/>
  <c r="H198" i="1"/>
  <c r="F198" i="1" s="1"/>
  <c r="C198" i="1"/>
  <c r="B198" i="1"/>
  <c r="C197" i="1"/>
  <c r="B197" i="1"/>
  <c r="F196" i="1"/>
  <c r="E196" i="1"/>
  <c r="D196" i="1"/>
  <c r="C196" i="1" s="1"/>
  <c r="B196" i="1" s="1"/>
  <c r="N195" i="1"/>
  <c r="I195" i="1"/>
  <c r="F195" i="1"/>
  <c r="C195" i="1"/>
  <c r="B195" i="1" s="1"/>
  <c r="F194" i="1"/>
  <c r="C194" i="1"/>
  <c r="B194" i="1"/>
  <c r="I193" i="1"/>
  <c r="H193" i="1"/>
  <c r="G193" i="1"/>
  <c r="F193" i="1" s="1"/>
  <c r="D193" i="1"/>
  <c r="C193" i="1"/>
  <c r="H192" i="1"/>
  <c r="G192" i="1"/>
  <c r="F192" i="1" s="1"/>
  <c r="B192" i="1" s="1"/>
  <c r="C192" i="1"/>
  <c r="F191" i="1"/>
  <c r="C191" i="1"/>
  <c r="B191" i="1" s="1"/>
  <c r="F190" i="1"/>
  <c r="D190" i="1"/>
  <c r="C190" i="1" s="1"/>
  <c r="B190" i="1" s="1"/>
  <c r="H191" i="2" s="1"/>
  <c r="I189" i="1"/>
  <c r="F189" i="1" s="1"/>
  <c r="E189" i="1"/>
  <c r="D189" i="1"/>
  <c r="C189" i="1"/>
  <c r="B189" i="1" s="1"/>
  <c r="F188" i="1"/>
  <c r="E188" i="1"/>
  <c r="D188" i="1"/>
  <c r="F187" i="1"/>
  <c r="D187" i="1"/>
  <c r="C187" i="1"/>
  <c r="B187" i="1" s="1"/>
  <c r="F186" i="1"/>
  <c r="D186" i="1"/>
  <c r="C186" i="1" s="1"/>
  <c r="B186" i="1"/>
  <c r="H187" i="2" s="1"/>
  <c r="D187" i="2" s="1"/>
  <c r="F185" i="1"/>
  <c r="D185" i="1"/>
  <c r="C185" i="1" s="1"/>
  <c r="B185" i="1" s="1"/>
  <c r="F184" i="1"/>
  <c r="D184" i="1"/>
  <c r="C184" i="1" s="1"/>
  <c r="B184" i="1" s="1"/>
  <c r="F183" i="1"/>
  <c r="D183" i="1"/>
  <c r="C183" i="1" s="1"/>
  <c r="B183" i="1" s="1"/>
  <c r="F182" i="1"/>
  <c r="B182" i="1" s="1"/>
  <c r="H183" i="2" s="1"/>
  <c r="D182" i="1"/>
  <c r="C182" i="1" s="1"/>
  <c r="F181" i="1"/>
  <c r="B181" i="1"/>
  <c r="F180" i="1"/>
  <c r="C180" i="1"/>
  <c r="B180" i="1"/>
  <c r="H175" i="2" s="1"/>
  <c r="F179" i="1"/>
  <c r="B179" i="1" s="1"/>
  <c r="F178" i="1"/>
  <c r="D178" i="1"/>
  <c r="C178" i="1"/>
  <c r="B178" i="1" s="1"/>
  <c r="F177" i="1"/>
  <c r="B177" i="1"/>
  <c r="H172" i="2" s="1"/>
  <c r="F176" i="1"/>
  <c r="B176" i="1"/>
  <c r="F175" i="1"/>
  <c r="B175" i="1" s="1"/>
  <c r="F174" i="1"/>
  <c r="B174" i="1"/>
  <c r="F173" i="1"/>
  <c r="B173" i="1"/>
  <c r="I172" i="1"/>
  <c r="H172" i="1"/>
  <c r="F172" i="1"/>
  <c r="B172" i="1" s="1"/>
  <c r="F171" i="1"/>
  <c r="B171" i="1"/>
  <c r="F170" i="1"/>
  <c r="B170" i="1"/>
  <c r="K169" i="1"/>
  <c r="I169" i="1"/>
  <c r="H169" i="1"/>
  <c r="F168" i="1"/>
  <c r="B168" i="1" s="1"/>
  <c r="K167" i="1"/>
  <c r="I167" i="1"/>
  <c r="H167" i="1"/>
  <c r="F167" i="1"/>
  <c r="B167" i="1" s="1"/>
  <c r="F166" i="1"/>
  <c r="B166" i="1" s="1"/>
  <c r="F165" i="1"/>
  <c r="B165" i="1"/>
  <c r="F164" i="1"/>
  <c r="B164" i="1"/>
  <c r="K163" i="1"/>
  <c r="I163" i="1"/>
  <c r="F163" i="1"/>
  <c r="B163" i="1" s="1"/>
  <c r="H160" i="2" s="1"/>
  <c r="D160" i="2" s="1"/>
  <c r="F162" i="1"/>
  <c r="B162" i="1"/>
  <c r="F161" i="1"/>
  <c r="B161" i="1"/>
  <c r="I160" i="1"/>
  <c r="H160" i="1"/>
  <c r="F160" i="1"/>
  <c r="B160" i="1" s="1"/>
  <c r="H158" i="2" s="1"/>
  <c r="D158" i="2" s="1"/>
  <c r="K159" i="1"/>
  <c r="H159" i="1"/>
  <c r="F159" i="1"/>
  <c r="B159" i="1"/>
  <c r="F158" i="1"/>
  <c r="B158" i="1" s="1"/>
  <c r="F157" i="1"/>
  <c r="B157" i="1"/>
  <c r="F156" i="1"/>
  <c r="B156" i="1"/>
  <c r="I155" i="1"/>
  <c r="F155" i="1"/>
  <c r="D155" i="1"/>
  <c r="C155" i="1" s="1"/>
  <c r="B155" i="1" s="1"/>
  <c r="F154" i="1"/>
  <c r="D154" i="1"/>
  <c r="C154" i="1"/>
  <c r="B154" i="1" s="1"/>
  <c r="H153" i="2" s="1"/>
  <c r="D153" i="2" s="1"/>
  <c r="F153" i="1"/>
  <c r="D153" i="1"/>
  <c r="C153" i="1" s="1"/>
  <c r="B153" i="1"/>
  <c r="F152" i="1"/>
  <c r="D152" i="1"/>
  <c r="C152" i="1"/>
  <c r="B152" i="1"/>
  <c r="F151" i="1"/>
  <c r="B151" i="1" s="1"/>
  <c r="D151" i="1"/>
  <c r="C151" i="1" s="1"/>
  <c r="F150" i="1"/>
  <c r="B150" i="1" s="1"/>
  <c r="I149" i="1"/>
  <c r="H149" i="1"/>
  <c r="F149" i="1"/>
  <c r="D149" i="1"/>
  <c r="C149" i="1" s="1"/>
  <c r="B149" i="1"/>
  <c r="F148" i="1"/>
  <c r="E148" i="1"/>
  <c r="D148" i="1"/>
  <c r="C148" i="1" s="1"/>
  <c r="B148" i="1" s="1"/>
  <c r="I147" i="1"/>
  <c r="F147" i="1" s="1"/>
  <c r="H147" i="1"/>
  <c r="C147" i="1"/>
  <c r="F146" i="1"/>
  <c r="C146" i="1"/>
  <c r="B146" i="1" s="1"/>
  <c r="F145" i="1"/>
  <c r="C145" i="1"/>
  <c r="B145" i="1"/>
  <c r="H145" i="2" s="1"/>
  <c r="D145" i="2" s="1"/>
  <c r="F144" i="1"/>
  <c r="B144" i="1" s="1"/>
  <c r="H144" i="2" s="1"/>
  <c r="C144" i="1"/>
  <c r="F143" i="1"/>
  <c r="C143" i="1"/>
  <c r="B143" i="1"/>
  <c r="F142" i="1"/>
  <c r="C142" i="1"/>
  <c r="B142" i="1"/>
  <c r="H142" i="2" s="1"/>
  <c r="D142" i="2" s="1"/>
  <c r="F141" i="1"/>
  <c r="C141" i="1"/>
  <c r="B141" i="1"/>
  <c r="I140" i="1"/>
  <c r="F140" i="1"/>
  <c r="C140" i="1"/>
  <c r="B140" i="1"/>
  <c r="F139" i="1"/>
  <c r="B139" i="1" s="1"/>
  <c r="H140" i="2" s="1"/>
  <c r="D140" i="2" s="1"/>
  <c r="F138" i="1"/>
  <c r="B138" i="1"/>
  <c r="F137" i="1"/>
  <c r="B137" i="1" s="1"/>
  <c r="F136" i="1"/>
  <c r="B136" i="1"/>
  <c r="F135" i="1"/>
  <c r="B135" i="1" s="1"/>
  <c r="H136" i="2" s="1"/>
  <c r="K134" i="1"/>
  <c r="F134" i="1" s="1"/>
  <c r="I134" i="1"/>
  <c r="G134" i="1"/>
  <c r="E134" i="1"/>
  <c r="D134" i="1"/>
  <c r="C134" i="1"/>
  <c r="B134" i="1" s="1"/>
  <c r="H119" i="2" s="1"/>
  <c r="F133" i="1"/>
  <c r="C133" i="1"/>
  <c r="B133" i="1" s="1"/>
  <c r="F132" i="1"/>
  <c r="B132" i="1" s="1"/>
  <c r="F131" i="1"/>
  <c r="C131" i="1"/>
  <c r="F130" i="1"/>
  <c r="C130" i="1"/>
  <c r="B130" i="1"/>
  <c r="F129" i="1"/>
  <c r="B129" i="1" s="1"/>
  <c r="C129" i="1"/>
  <c r="F128" i="1"/>
  <c r="B128" i="1" s="1"/>
  <c r="I127" i="1"/>
  <c r="H127" i="1"/>
  <c r="F127" i="1"/>
  <c r="C127" i="1"/>
  <c r="F126" i="1"/>
  <c r="B126" i="1" s="1"/>
  <c r="D126" i="1"/>
  <c r="C126" i="1" s="1"/>
  <c r="F125" i="1"/>
  <c r="C125" i="1"/>
  <c r="B125" i="1"/>
  <c r="F124" i="1"/>
  <c r="B124" i="1"/>
  <c r="I123" i="1"/>
  <c r="F123" i="1" s="1"/>
  <c r="H123" i="1"/>
  <c r="C123" i="1"/>
  <c r="B123" i="1" s="1"/>
  <c r="F122" i="1"/>
  <c r="C122" i="1"/>
  <c r="B122" i="1"/>
  <c r="H126" i="2" s="1"/>
  <c r="D126" i="2" s="1"/>
  <c r="F121" i="1"/>
  <c r="B121" i="1" s="1"/>
  <c r="C121" i="1"/>
  <c r="F120" i="1"/>
  <c r="B120" i="1" s="1"/>
  <c r="I119" i="1"/>
  <c r="H119" i="1"/>
  <c r="F119" i="1"/>
  <c r="C119" i="1"/>
  <c r="F118" i="1"/>
  <c r="C118" i="1"/>
  <c r="B118" i="1"/>
  <c r="H117" i="1"/>
  <c r="F117" i="1" s="1"/>
  <c r="B117" i="1"/>
  <c r="K116" i="1"/>
  <c r="I116" i="1"/>
  <c r="H116" i="1"/>
  <c r="F116" i="1" s="1"/>
  <c r="E116" i="1"/>
  <c r="D116" i="1"/>
  <c r="C116" i="1" s="1"/>
  <c r="B116" i="1" s="1"/>
  <c r="H122" i="2" s="1"/>
  <c r="F115" i="1"/>
  <c r="E115" i="1"/>
  <c r="D115" i="1"/>
  <c r="C115" i="1" s="1"/>
  <c r="B115" i="1" s="1"/>
  <c r="H121" i="2" s="1"/>
  <c r="F114" i="1"/>
  <c r="E114" i="1"/>
  <c r="D114" i="1"/>
  <c r="C114" i="1"/>
  <c r="B114" i="1" s="1"/>
  <c r="H113" i="1"/>
  <c r="F113" i="1" s="1"/>
  <c r="B113" i="1" s="1"/>
  <c r="F112" i="1"/>
  <c r="B112" i="1" s="1"/>
  <c r="F111" i="1"/>
  <c r="B111" i="1"/>
  <c r="F110" i="1"/>
  <c r="B110" i="1"/>
  <c r="F109" i="1"/>
  <c r="B109" i="1" s="1"/>
  <c r="F108" i="1"/>
  <c r="B108" i="1" s="1"/>
  <c r="F107" i="1"/>
  <c r="B107" i="1"/>
  <c r="F106" i="1"/>
  <c r="B106" i="1"/>
  <c r="F105" i="1"/>
  <c r="B105" i="1"/>
  <c r="H104" i="1"/>
  <c r="F104" i="1" s="1"/>
  <c r="B104" i="1"/>
  <c r="F103" i="1"/>
  <c r="B103" i="1" s="1"/>
  <c r="M102" i="1"/>
  <c r="M373" i="1" s="1"/>
  <c r="I102" i="1"/>
  <c r="H102" i="1"/>
  <c r="F102" i="1"/>
  <c r="B102" i="1" s="1"/>
  <c r="F101" i="1"/>
  <c r="B101" i="1" s="1"/>
  <c r="H101" i="2" s="1"/>
  <c r="F100" i="1"/>
  <c r="B100" i="1"/>
  <c r="F99" i="1"/>
  <c r="B99" i="1"/>
  <c r="F98" i="1"/>
  <c r="B98" i="1" s="1"/>
  <c r="I97" i="1"/>
  <c r="H97" i="1"/>
  <c r="F97" i="1" s="1"/>
  <c r="B97" i="1" s="1"/>
  <c r="H98" i="2" s="1"/>
  <c r="F96" i="1"/>
  <c r="B96" i="1" s="1"/>
  <c r="F95" i="1"/>
  <c r="B95" i="1" s="1"/>
  <c r="F94" i="1"/>
  <c r="B94" i="1" s="1"/>
  <c r="K93" i="1"/>
  <c r="I93" i="1"/>
  <c r="F93" i="1"/>
  <c r="B93" i="1" s="1"/>
  <c r="F92" i="1"/>
  <c r="B92" i="1" s="1"/>
  <c r="F91" i="1"/>
  <c r="B91" i="1"/>
  <c r="I90" i="1"/>
  <c r="H90" i="1"/>
  <c r="F90" i="1"/>
  <c r="B90" i="1" s="1"/>
  <c r="H93" i="2" s="1"/>
  <c r="D93" i="2" s="1"/>
  <c r="F89" i="1"/>
  <c r="B89" i="1" s="1"/>
  <c r="F88" i="1"/>
  <c r="B88" i="1"/>
  <c r="H87" i="1"/>
  <c r="F87" i="1"/>
  <c r="B87" i="1"/>
  <c r="F86" i="1"/>
  <c r="B86" i="1" s="1"/>
  <c r="H87" i="2" s="1"/>
  <c r="D87" i="2" s="1"/>
  <c r="F85" i="1"/>
  <c r="C85" i="1"/>
  <c r="B85" i="1"/>
  <c r="F84" i="1"/>
  <c r="C84" i="1"/>
  <c r="B84" i="1"/>
  <c r="F83" i="1"/>
  <c r="B83" i="1" s="1"/>
  <c r="H80" i="2" s="1"/>
  <c r="D80" i="2" s="1"/>
  <c r="F82" i="1"/>
  <c r="C82" i="1"/>
  <c r="B82" i="1"/>
  <c r="F81" i="1"/>
  <c r="C81" i="1"/>
  <c r="B81" i="1"/>
  <c r="F80" i="1"/>
  <c r="C80" i="1"/>
  <c r="F79" i="1"/>
  <c r="C79" i="1"/>
  <c r="F78" i="1"/>
  <c r="B78" i="1"/>
  <c r="F77" i="1"/>
  <c r="B77" i="1"/>
  <c r="F76" i="1"/>
  <c r="B76" i="1"/>
  <c r="F75" i="1"/>
  <c r="B75" i="1" s="1"/>
  <c r="C75" i="1"/>
  <c r="N74" i="1"/>
  <c r="I74" i="1"/>
  <c r="H74" i="1"/>
  <c r="F74" i="1" s="1"/>
  <c r="B74" i="1"/>
  <c r="I73" i="1"/>
  <c r="F73" i="1" s="1"/>
  <c r="B73" i="1" s="1"/>
  <c r="H70" i="2" s="1"/>
  <c r="H73" i="1"/>
  <c r="N72" i="1"/>
  <c r="I72" i="1"/>
  <c r="H72" i="1"/>
  <c r="F72" i="1"/>
  <c r="B72" i="1"/>
  <c r="F71" i="1"/>
  <c r="B71" i="1"/>
  <c r="F70" i="1"/>
  <c r="B70" i="1"/>
  <c r="I69" i="1"/>
  <c r="H69" i="1"/>
  <c r="F69" i="1"/>
  <c r="B69" i="1"/>
  <c r="F68" i="1"/>
  <c r="B68" i="1"/>
  <c r="F67" i="1"/>
  <c r="B67" i="1"/>
  <c r="N66" i="1"/>
  <c r="H66" i="1"/>
  <c r="F66" i="1"/>
  <c r="B66" i="1"/>
  <c r="F65" i="1"/>
  <c r="B65" i="1"/>
  <c r="F64" i="1"/>
  <c r="B64" i="1"/>
  <c r="F63" i="1"/>
  <c r="B63" i="1" s="1"/>
  <c r="H62" i="1"/>
  <c r="F62" i="1"/>
  <c r="B62" i="1" s="1"/>
  <c r="F61" i="1"/>
  <c r="B61" i="1" s="1"/>
  <c r="H84" i="2" s="1"/>
  <c r="D84" i="2" s="1"/>
  <c r="F60" i="1"/>
  <c r="C60" i="1"/>
  <c r="B60" i="1" s="1"/>
  <c r="P59" i="1"/>
  <c r="P373" i="1" s="1"/>
  <c r="F59" i="1"/>
  <c r="F58" i="1"/>
  <c r="B58" i="1"/>
  <c r="H57" i="1"/>
  <c r="F57" i="1" s="1"/>
  <c r="B57" i="1" s="1"/>
  <c r="H56" i="2" s="1"/>
  <c r="C57" i="1"/>
  <c r="I56" i="1"/>
  <c r="F56" i="1" s="1"/>
  <c r="B56" i="1" s="1"/>
  <c r="H54" i="2" s="1"/>
  <c r="D54" i="2" s="1"/>
  <c r="C56" i="1"/>
  <c r="F55" i="1"/>
  <c r="C55" i="1"/>
  <c r="B55" i="1" s="1"/>
  <c r="F54" i="1"/>
  <c r="E54" i="1"/>
  <c r="D54" i="1"/>
  <c r="C54" i="1"/>
  <c r="B54" i="1" s="1"/>
  <c r="F53" i="1"/>
  <c r="B53" i="1"/>
  <c r="H52" i="1"/>
  <c r="F52" i="1"/>
  <c r="B52" i="1" s="1"/>
  <c r="H51" i="1"/>
  <c r="F51" i="1"/>
  <c r="B51" i="1" s="1"/>
  <c r="F50" i="1"/>
  <c r="C50" i="1"/>
  <c r="B50" i="1" s="1"/>
  <c r="H44" i="2" s="1"/>
  <c r="F49" i="1"/>
  <c r="C49" i="1"/>
  <c r="F48" i="1"/>
  <c r="C48" i="1"/>
  <c r="B48" i="1"/>
  <c r="F47" i="1"/>
  <c r="C47" i="1"/>
  <c r="B47" i="1"/>
  <c r="F46" i="1"/>
  <c r="B46" i="1" s="1"/>
  <c r="H40" i="2" s="1"/>
  <c r="D40" i="2" s="1"/>
  <c r="C46" i="1"/>
  <c r="B45" i="1"/>
  <c r="N44" i="1"/>
  <c r="F44" i="1"/>
  <c r="C44" i="1"/>
  <c r="B44" i="1"/>
  <c r="F43" i="1"/>
  <c r="B43" i="1" s="1"/>
  <c r="C43" i="1"/>
  <c r="F42" i="1"/>
  <c r="C42" i="1"/>
  <c r="B42" i="1" s="1"/>
  <c r="F41" i="1"/>
  <c r="C41" i="1"/>
  <c r="B41" i="1"/>
  <c r="F40" i="1"/>
  <c r="B40" i="1"/>
  <c r="I39" i="1"/>
  <c r="H39" i="1"/>
  <c r="F39" i="1" s="1"/>
  <c r="C39" i="1"/>
  <c r="B39" i="1"/>
  <c r="F38" i="1"/>
  <c r="B38" i="1" s="1"/>
  <c r="C38" i="1"/>
  <c r="F37" i="1"/>
  <c r="C37" i="1"/>
  <c r="B37" i="1" s="1"/>
  <c r="H33" i="2" s="1"/>
  <c r="F36" i="1"/>
  <c r="B36" i="1"/>
  <c r="K35" i="1"/>
  <c r="I35" i="1"/>
  <c r="H35" i="1"/>
  <c r="C35" i="1"/>
  <c r="I34" i="1"/>
  <c r="H34" i="1"/>
  <c r="F34" i="1"/>
  <c r="B34" i="1" s="1"/>
  <c r="C34" i="1"/>
  <c r="F33" i="1"/>
  <c r="C33" i="1"/>
  <c r="B33" i="1" s="1"/>
  <c r="F32" i="1"/>
  <c r="B32" i="1"/>
  <c r="H31" i="1"/>
  <c r="F31" i="1" s="1"/>
  <c r="B31" i="1" s="1"/>
  <c r="G31" i="1"/>
  <c r="G373" i="1" s="1"/>
  <c r="C31" i="1"/>
  <c r="F30" i="1"/>
  <c r="C30" i="1"/>
  <c r="B30" i="1"/>
  <c r="F29" i="1"/>
  <c r="B29" i="1" s="1"/>
  <c r="I28" i="1"/>
  <c r="F28" i="1" s="1"/>
  <c r="H28" i="1"/>
  <c r="C28" i="1"/>
  <c r="F27" i="1"/>
  <c r="C27" i="1"/>
  <c r="B27" i="1" s="1"/>
  <c r="F26" i="1"/>
  <c r="C26" i="1"/>
  <c r="B26" i="1" s="1"/>
  <c r="H25" i="2" s="1"/>
  <c r="F25" i="1"/>
  <c r="C25" i="1"/>
  <c r="B25" i="1"/>
  <c r="F24" i="1"/>
  <c r="B24" i="1" s="1"/>
  <c r="N23" i="1"/>
  <c r="I23" i="1"/>
  <c r="H23" i="1"/>
  <c r="F23" i="1" s="1"/>
  <c r="B23" i="1" s="1"/>
  <c r="C23" i="1"/>
  <c r="F22" i="1"/>
  <c r="B22" i="1" s="1"/>
  <c r="C22" i="1"/>
  <c r="F21" i="1"/>
  <c r="C21" i="1"/>
  <c r="B21" i="1" s="1"/>
  <c r="H22" i="2" s="1"/>
  <c r="D22" i="2" s="1"/>
  <c r="F20" i="1"/>
  <c r="C20" i="1"/>
  <c r="B20" i="1"/>
  <c r="F19" i="1"/>
  <c r="C19" i="1"/>
  <c r="B19" i="1"/>
  <c r="H20" i="2" s="1"/>
  <c r="H18" i="1"/>
  <c r="F18" i="1" s="1"/>
  <c r="C18" i="1"/>
  <c r="D341" i="2"/>
  <c r="H339" i="2"/>
  <c r="D339" i="2" s="1"/>
  <c r="H338" i="2"/>
  <c r="D338" i="2" s="1"/>
  <c r="E337" i="2"/>
  <c r="D337" i="2"/>
  <c r="H332" i="2"/>
  <c r="D332" i="2"/>
  <c r="H330" i="2"/>
  <c r="D330" i="2" s="1"/>
  <c r="H329" i="2"/>
  <c r="D329" i="2" s="1"/>
  <c r="H328" i="2"/>
  <c r="D328" i="2" s="1"/>
  <c r="E328" i="2"/>
  <c r="H327" i="2"/>
  <c r="D327" i="2"/>
  <c r="D326" i="2"/>
  <c r="G324" i="2"/>
  <c r="F324" i="2"/>
  <c r="E324" i="2"/>
  <c r="E322" i="2" s="1"/>
  <c r="C324" i="2"/>
  <c r="C322" i="2" s="1"/>
  <c r="H323" i="2"/>
  <c r="D323" i="2"/>
  <c r="G322" i="2"/>
  <c r="F322" i="2"/>
  <c r="H321" i="2"/>
  <c r="H320" i="2"/>
  <c r="H319" i="2"/>
  <c r="H317" i="2"/>
  <c r="H316" i="2"/>
  <c r="H315" i="2"/>
  <c r="H314" i="2"/>
  <c r="H313" i="2"/>
  <c r="D313" i="2"/>
  <c r="H312" i="2"/>
  <c r="D312" i="2" s="1"/>
  <c r="H311" i="2"/>
  <c r="D311" i="2"/>
  <c r="H309" i="2"/>
  <c r="D309" i="2"/>
  <c r="H308" i="2"/>
  <c r="D308" i="2" s="1"/>
  <c r="H307" i="2"/>
  <c r="D307" i="2"/>
  <c r="H306" i="2"/>
  <c r="D306" i="2" s="1"/>
  <c r="H305" i="2"/>
  <c r="D305" i="2" s="1"/>
  <c r="H304" i="2"/>
  <c r="D304" i="2" s="1"/>
  <c r="H303" i="2"/>
  <c r="D303" i="2" s="1"/>
  <c r="H302" i="2"/>
  <c r="D302" i="2"/>
  <c r="H301" i="2"/>
  <c r="D301" i="2"/>
  <c r="H299" i="2"/>
  <c r="D299" i="2"/>
  <c r="H298" i="2"/>
  <c r="D298" i="2"/>
  <c r="H297" i="2"/>
  <c r="D297" i="2"/>
  <c r="H296" i="2"/>
  <c r="D296" i="2" s="1"/>
  <c r="H294" i="2"/>
  <c r="D294" i="2" s="1"/>
  <c r="H293" i="2"/>
  <c r="D293" i="2"/>
  <c r="H292" i="2"/>
  <c r="D292" i="2" s="1"/>
  <c r="H290" i="2"/>
  <c r="D290" i="2"/>
  <c r="H288" i="2"/>
  <c r="D288" i="2" s="1"/>
  <c r="H287" i="2"/>
  <c r="E287" i="2"/>
  <c r="E286" i="2" s="1"/>
  <c r="G286" i="2"/>
  <c r="F286" i="2"/>
  <c r="C286" i="2"/>
  <c r="H285" i="2"/>
  <c r="H284" i="2" s="1"/>
  <c r="D285" i="2"/>
  <c r="D284" i="2" s="1"/>
  <c r="G284" i="2"/>
  <c r="F284" i="2"/>
  <c r="E284" i="2"/>
  <c r="C284" i="2"/>
  <c r="F283" i="2"/>
  <c r="H282" i="2"/>
  <c r="D282" i="2"/>
  <c r="F281" i="2"/>
  <c r="H280" i="2"/>
  <c r="F280" i="2"/>
  <c r="F276" i="2" s="1"/>
  <c r="E280" i="2"/>
  <c r="E276" i="2" s="1"/>
  <c r="H279" i="2"/>
  <c r="F279" i="2"/>
  <c r="D279" i="2" s="1"/>
  <c r="F278" i="2"/>
  <c r="H277" i="2"/>
  <c r="F277" i="2"/>
  <c r="G276" i="2"/>
  <c r="C276" i="2"/>
  <c r="F275" i="2"/>
  <c r="E275" i="2"/>
  <c r="D275" i="2"/>
  <c r="H274" i="2"/>
  <c r="F274" i="2"/>
  <c r="E274" i="2"/>
  <c r="D274" i="2"/>
  <c r="F273" i="2"/>
  <c r="E273" i="2"/>
  <c r="H271" i="2"/>
  <c r="D271" i="2" s="1"/>
  <c r="F271" i="2"/>
  <c r="H270" i="2"/>
  <c r="D270" i="2" s="1"/>
  <c r="F270" i="2"/>
  <c r="F268" i="2" s="1"/>
  <c r="F269" i="2"/>
  <c r="G268" i="2"/>
  <c r="E268" i="2"/>
  <c r="C268" i="2"/>
  <c r="F267" i="2"/>
  <c r="E267" i="2"/>
  <c r="F266" i="2"/>
  <c r="H265" i="2"/>
  <c r="E265" i="2"/>
  <c r="D265" i="2"/>
  <c r="F263" i="2"/>
  <c r="E263" i="2"/>
  <c r="H262" i="2"/>
  <c r="F262" i="2"/>
  <c r="E262" i="2"/>
  <c r="F261" i="2"/>
  <c r="H260" i="2"/>
  <c r="D260" i="2" s="1"/>
  <c r="F259" i="2"/>
  <c r="F258" i="2"/>
  <c r="E258" i="2"/>
  <c r="G257" i="2"/>
  <c r="G248" i="2" s="1"/>
  <c r="C257" i="2"/>
  <c r="F255" i="2"/>
  <c r="E255" i="2"/>
  <c r="F254" i="2"/>
  <c r="F253" i="2"/>
  <c r="E253" i="2"/>
  <c r="H252" i="2"/>
  <c r="F252" i="2"/>
  <c r="E252" i="2"/>
  <c r="F251" i="2"/>
  <c r="E251" i="2"/>
  <c r="E249" i="2" s="1"/>
  <c r="F250" i="2"/>
  <c r="E250" i="2"/>
  <c r="G249" i="2"/>
  <c r="C249" i="2"/>
  <c r="C248" i="2" s="1"/>
  <c r="H247" i="2"/>
  <c r="D247" i="2"/>
  <c r="H246" i="2"/>
  <c r="D246" i="2"/>
  <c r="H245" i="2"/>
  <c r="D245" i="2"/>
  <c r="H244" i="2"/>
  <c r="D244" i="2"/>
  <c r="H242" i="2"/>
  <c r="D242" i="2"/>
  <c r="H241" i="2"/>
  <c r="D241" i="2"/>
  <c r="H240" i="2"/>
  <c r="D240" i="2"/>
  <c r="H239" i="2"/>
  <c r="D239" i="2"/>
  <c r="H238" i="2"/>
  <c r="D238" i="2"/>
  <c r="H237" i="2"/>
  <c r="D237" i="2"/>
  <c r="H236" i="2"/>
  <c r="D236" i="2"/>
  <c r="D234" i="2"/>
  <c r="H232" i="2"/>
  <c r="D232" i="2" s="1"/>
  <c r="G230" i="2"/>
  <c r="F230" i="2"/>
  <c r="E230" i="2"/>
  <c r="C230" i="2"/>
  <c r="H227" i="2"/>
  <c r="D227" i="2"/>
  <c r="H226" i="2"/>
  <c r="D226" i="2" s="1"/>
  <c r="H225" i="2"/>
  <c r="D225" i="2" s="1"/>
  <c r="E224" i="2"/>
  <c r="D224" i="2" s="1"/>
  <c r="H223" i="2"/>
  <c r="D223" i="2" s="1"/>
  <c r="H222" i="2"/>
  <c r="D222" i="2" s="1"/>
  <c r="H220" i="2"/>
  <c r="E220" i="2"/>
  <c r="D220" i="2" s="1"/>
  <c r="H219" i="2"/>
  <c r="D219" i="2" s="1"/>
  <c r="H218" i="2"/>
  <c r="D218" i="2" s="1"/>
  <c r="E218" i="2"/>
  <c r="H217" i="2"/>
  <c r="D217" i="2" s="1"/>
  <c r="H216" i="2"/>
  <c r="D216" i="2" s="1"/>
  <c r="E216" i="2"/>
  <c r="H215" i="2"/>
  <c r="D215" i="2" s="1"/>
  <c r="E213" i="2"/>
  <c r="E212" i="2"/>
  <c r="D212" i="2"/>
  <c r="D211" i="2"/>
  <c r="H210" i="2"/>
  <c r="D210" i="2"/>
  <c r="G209" i="2"/>
  <c r="F209" i="2"/>
  <c r="C209" i="2"/>
  <c r="H208" i="2"/>
  <c r="D208" i="2" s="1"/>
  <c r="H206" i="2"/>
  <c r="D206" i="2" s="1"/>
  <c r="D205" i="2"/>
  <c r="H204" i="2"/>
  <c r="G203" i="2"/>
  <c r="F203" i="2"/>
  <c r="E203" i="2"/>
  <c r="C203" i="2"/>
  <c r="H202" i="2"/>
  <c r="H201" i="2" s="1"/>
  <c r="D202" i="2"/>
  <c r="D201" i="2" s="1"/>
  <c r="G201" i="2"/>
  <c r="F201" i="2"/>
  <c r="E201" i="2"/>
  <c r="C201" i="2"/>
  <c r="H199" i="2"/>
  <c r="D199" i="2"/>
  <c r="H198" i="2"/>
  <c r="D198" i="2" s="1"/>
  <c r="H197" i="2"/>
  <c r="E197" i="2"/>
  <c r="E194" i="2" s="1"/>
  <c r="H195" i="2"/>
  <c r="D195" i="2"/>
  <c r="G194" i="2"/>
  <c r="G193" i="2" s="1"/>
  <c r="F194" i="2"/>
  <c r="C194" i="2"/>
  <c r="F193" i="2"/>
  <c r="H192" i="2"/>
  <c r="D192" i="2"/>
  <c r="D191" i="2"/>
  <c r="H190" i="2"/>
  <c r="D190" i="2"/>
  <c r="H188" i="2"/>
  <c r="D188" i="2" s="1"/>
  <c r="H186" i="2"/>
  <c r="D186" i="2" s="1"/>
  <c r="H185" i="2"/>
  <c r="D185" i="2" s="1"/>
  <c r="H184" i="2"/>
  <c r="D184" i="2" s="1"/>
  <c r="D183" i="2"/>
  <c r="G182" i="2"/>
  <c r="F182" i="2"/>
  <c r="E182" i="2"/>
  <c r="C182" i="2"/>
  <c r="H181" i="2"/>
  <c r="H180" i="2"/>
  <c r="D180" i="2" s="1"/>
  <c r="H179" i="2"/>
  <c r="D179" i="2" s="1"/>
  <c r="H178" i="2"/>
  <c r="F178" i="2"/>
  <c r="H177" i="2"/>
  <c r="D177" i="2"/>
  <c r="H176" i="2"/>
  <c r="G176" i="2"/>
  <c r="D176" i="2" s="1"/>
  <c r="E175" i="2"/>
  <c r="D175" i="2"/>
  <c r="H174" i="2"/>
  <c r="D174" i="2" s="1"/>
  <c r="H173" i="2"/>
  <c r="E173" i="2"/>
  <c r="D173" i="2"/>
  <c r="D172" i="2"/>
  <c r="H171" i="2"/>
  <c r="D171" i="2" s="1"/>
  <c r="H170" i="2"/>
  <c r="D170" i="2" s="1"/>
  <c r="H169" i="2"/>
  <c r="D169" i="2" s="1"/>
  <c r="H168" i="2"/>
  <c r="D168" i="2"/>
  <c r="H167" i="2"/>
  <c r="D167" i="2" s="1"/>
  <c r="H166" i="2"/>
  <c r="D166" i="2" s="1"/>
  <c r="H165" i="2"/>
  <c r="D165" i="2" s="1"/>
  <c r="H163" i="2"/>
  <c r="D163" i="2"/>
  <c r="H162" i="2"/>
  <c r="D162" i="2" s="1"/>
  <c r="H161" i="2"/>
  <c r="D161" i="2"/>
  <c r="H159" i="2"/>
  <c r="D159" i="2" s="1"/>
  <c r="H157" i="2"/>
  <c r="D157" i="2" s="1"/>
  <c r="H156" i="2"/>
  <c r="D156" i="2"/>
  <c r="H155" i="2"/>
  <c r="D155" i="2" s="1"/>
  <c r="H154" i="2"/>
  <c r="E154" i="2"/>
  <c r="H152" i="2"/>
  <c r="D152" i="2" s="1"/>
  <c r="H151" i="2"/>
  <c r="D151" i="2" s="1"/>
  <c r="H150" i="2"/>
  <c r="D150" i="2" s="1"/>
  <c r="H149" i="2"/>
  <c r="D149" i="2" s="1"/>
  <c r="H148" i="2"/>
  <c r="D148" i="2"/>
  <c r="E147" i="2"/>
  <c r="H146" i="2"/>
  <c r="D146" i="2"/>
  <c r="D144" i="2"/>
  <c r="H143" i="2"/>
  <c r="D143" i="2"/>
  <c r="H141" i="2"/>
  <c r="D141" i="2"/>
  <c r="H139" i="2"/>
  <c r="E139" i="2"/>
  <c r="D139" i="2" s="1"/>
  <c r="H138" i="2"/>
  <c r="D138" i="2" s="1"/>
  <c r="H137" i="2"/>
  <c r="D137" i="2" s="1"/>
  <c r="D136" i="2"/>
  <c r="H135" i="2"/>
  <c r="D135" i="2"/>
  <c r="H134" i="2"/>
  <c r="D134" i="2" s="1"/>
  <c r="H132" i="2"/>
  <c r="D132" i="2" s="1"/>
  <c r="H131" i="2"/>
  <c r="D131" i="2" s="1"/>
  <c r="H129" i="2"/>
  <c r="D129" i="2"/>
  <c r="H128" i="2"/>
  <c r="D128" i="2" s="1"/>
  <c r="H127" i="2"/>
  <c r="D127" i="2"/>
  <c r="H125" i="2"/>
  <c r="D125" i="2" s="1"/>
  <c r="E124" i="2"/>
  <c r="H123" i="2"/>
  <c r="D123" i="2"/>
  <c r="E122" i="2"/>
  <c r="D122" i="2"/>
  <c r="E121" i="2"/>
  <c r="D121" i="2" s="1"/>
  <c r="H120" i="2"/>
  <c r="D120" i="2" s="1"/>
  <c r="E119" i="2"/>
  <c r="D119" i="2" s="1"/>
  <c r="H118" i="2"/>
  <c r="D118" i="2" s="1"/>
  <c r="H117" i="2"/>
  <c r="D117" i="2" s="1"/>
  <c r="H116" i="2"/>
  <c r="D116" i="2" s="1"/>
  <c r="G115" i="2"/>
  <c r="C115" i="2"/>
  <c r="H114" i="2"/>
  <c r="G113" i="2"/>
  <c r="F113" i="2"/>
  <c r="E113" i="2"/>
  <c r="C113" i="2"/>
  <c r="C112" i="2" s="1"/>
  <c r="H111" i="2"/>
  <c r="D111" i="2"/>
  <c r="H110" i="2"/>
  <c r="D110" i="2" s="1"/>
  <c r="H109" i="2"/>
  <c r="E109" i="2"/>
  <c r="D109" i="2" s="1"/>
  <c r="H108" i="2"/>
  <c r="D108" i="2" s="1"/>
  <c r="H107" i="2"/>
  <c r="D107" i="2"/>
  <c r="H106" i="2"/>
  <c r="E106" i="2"/>
  <c r="D106" i="2"/>
  <c r="H105" i="2"/>
  <c r="D105" i="2"/>
  <c r="H104" i="2"/>
  <c r="D104" i="2"/>
  <c r="H103" i="2"/>
  <c r="D103" i="2" s="1"/>
  <c r="H102" i="2"/>
  <c r="D102" i="2"/>
  <c r="D101" i="2"/>
  <c r="H100" i="2"/>
  <c r="D100" i="2"/>
  <c r="H99" i="2"/>
  <c r="D99" i="2" s="1"/>
  <c r="D98" i="2"/>
  <c r="H97" i="2"/>
  <c r="D97" i="2"/>
  <c r="H96" i="2"/>
  <c r="D96" i="2"/>
  <c r="H95" i="2"/>
  <c r="D95" i="2" s="1"/>
  <c r="H94" i="2"/>
  <c r="D94" i="2"/>
  <c r="H92" i="2"/>
  <c r="D92" i="2"/>
  <c r="H91" i="2"/>
  <c r="H90" i="2"/>
  <c r="D90" i="2"/>
  <c r="G89" i="2"/>
  <c r="F89" i="2"/>
  <c r="C89" i="2"/>
  <c r="H88" i="2"/>
  <c r="H86" i="2"/>
  <c r="D86" i="2" s="1"/>
  <c r="H85" i="2"/>
  <c r="D85" i="2"/>
  <c r="H83" i="2"/>
  <c r="D83" i="2" s="1"/>
  <c r="H81" i="2"/>
  <c r="D81" i="2" s="1"/>
  <c r="C80" i="2"/>
  <c r="C55" i="2" s="1"/>
  <c r="H79" i="2"/>
  <c r="D79" i="2"/>
  <c r="H78" i="2"/>
  <c r="D78" i="2"/>
  <c r="H75" i="2"/>
  <c r="D75" i="2"/>
  <c r="H74" i="2"/>
  <c r="D74" i="2"/>
  <c r="H73" i="2"/>
  <c r="D73" i="2" s="1"/>
  <c r="H72" i="2"/>
  <c r="D72" i="2"/>
  <c r="H71" i="2"/>
  <c r="D71" i="2"/>
  <c r="D70" i="2"/>
  <c r="H69" i="2"/>
  <c r="D69" i="2" s="1"/>
  <c r="H68" i="2"/>
  <c r="D68" i="2"/>
  <c r="H67" i="2"/>
  <c r="D67" i="2"/>
  <c r="H66" i="2"/>
  <c r="D66" i="2"/>
  <c r="H65" i="2"/>
  <c r="D65" i="2" s="1"/>
  <c r="H64" i="2"/>
  <c r="D64" i="2"/>
  <c r="H63" i="2"/>
  <c r="D63" i="2"/>
  <c r="H62" i="2"/>
  <c r="D62" i="2"/>
  <c r="H61" i="2"/>
  <c r="D61" i="2"/>
  <c r="H60" i="2"/>
  <c r="D60" i="2"/>
  <c r="H59" i="2"/>
  <c r="D59" i="2"/>
  <c r="H58" i="2"/>
  <c r="D58" i="2"/>
  <c r="H57" i="2"/>
  <c r="D57" i="2"/>
  <c r="E56" i="2"/>
  <c r="E55" i="2" s="1"/>
  <c r="G55" i="2"/>
  <c r="F55" i="2"/>
  <c r="H53" i="2"/>
  <c r="D53" i="2" s="1"/>
  <c r="H52" i="2"/>
  <c r="E52" i="2"/>
  <c r="E51" i="2" s="1"/>
  <c r="D52" i="2"/>
  <c r="G51" i="2"/>
  <c r="F51" i="2"/>
  <c r="C51" i="2"/>
  <c r="H50" i="2"/>
  <c r="H49" i="2"/>
  <c r="H48" i="2"/>
  <c r="D48" i="2"/>
  <c r="H47" i="2"/>
  <c r="D47" i="2"/>
  <c r="H46" i="2"/>
  <c r="D46" i="2" s="1"/>
  <c r="H45" i="2"/>
  <c r="D45" i="2" s="1"/>
  <c r="D44" i="2"/>
  <c r="H42" i="2"/>
  <c r="D42" i="2" s="1"/>
  <c r="H41" i="2"/>
  <c r="D41" i="2" s="1"/>
  <c r="E41" i="2"/>
  <c r="H39" i="2"/>
  <c r="D39" i="2"/>
  <c r="H38" i="2"/>
  <c r="D38" i="2" s="1"/>
  <c r="E38" i="2"/>
  <c r="H37" i="2"/>
  <c r="D37" i="2"/>
  <c r="H36" i="2"/>
  <c r="D36" i="2"/>
  <c r="H35" i="2"/>
  <c r="D35" i="2"/>
  <c r="H34" i="2"/>
  <c r="D34" i="2" s="1"/>
  <c r="D33" i="2"/>
  <c r="H31" i="2"/>
  <c r="D31" i="2" s="1"/>
  <c r="H30" i="2"/>
  <c r="D30" i="2"/>
  <c r="H29" i="2"/>
  <c r="D29" i="2"/>
  <c r="H28" i="2"/>
  <c r="D28" i="2"/>
  <c r="H26" i="2"/>
  <c r="D26" i="2"/>
  <c r="D25" i="2"/>
  <c r="H24" i="2"/>
  <c r="D24" i="2"/>
  <c r="H23" i="2"/>
  <c r="D23" i="2"/>
  <c r="H21" i="2"/>
  <c r="D21" i="2"/>
  <c r="D20" i="2"/>
  <c r="G18" i="2"/>
  <c r="F18" i="2"/>
  <c r="E18" i="2"/>
  <c r="C18" i="2"/>
  <c r="I468" i="3"/>
  <c r="K468" i="3" s="1"/>
  <c r="K467" i="3"/>
  <c r="I467" i="3"/>
  <c r="I466" i="3"/>
  <c r="K466" i="3" s="1"/>
  <c r="I465" i="3"/>
  <c r="K465" i="3" s="1"/>
  <c r="I464" i="3"/>
  <c r="K464" i="3" s="1"/>
  <c r="J463" i="3"/>
  <c r="I463" i="3"/>
  <c r="K463" i="3" s="1"/>
  <c r="K462" i="3"/>
  <c r="I462" i="3"/>
  <c r="H461" i="3"/>
  <c r="J461" i="3" s="1"/>
  <c r="J459" i="3" s="1"/>
  <c r="F461" i="3"/>
  <c r="F459" i="3" s="1"/>
  <c r="F456" i="3" s="1"/>
  <c r="E461" i="3"/>
  <c r="I461" i="3" s="1"/>
  <c r="K461" i="3" s="1"/>
  <c r="K460" i="3"/>
  <c r="I460" i="3"/>
  <c r="E459" i="3"/>
  <c r="I459" i="3" s="1"/>
  <c r="K459" i="3" s="1"/>
  <c r="I458" i="3"/>
  <c r="K458" i="3" s="1"/>
  <c r="I457" i="3"/>
  <c r="K457" i="3" s="1"/>
  <c r="E457" i="3"/>
  <c r="K455" i="3"/>
  <c r="I455" i="3"/>
  <c r="K454" i="3"/>
  <c r="I454" i="3"/>
  <c r="K453" i="3"/>
  <c r="I453" i="3"/>
  <c r="K452" i="3"/>
  <c r="I452" i="3"/>
  <c r="I451" i="3"/>
  <c r="K451" i="3" s="1"/>
  <c r="E451" i="3"/>
  <c r="E434" i="3" s="1"/>
  <c r="I450" i="3"/>
  <c r="K450" i="3" s="1"/>
  <c r="I449" i="3"/>
  <c r="K449" i="3" s="1"/>
  <c r="I448" i="3"/>
  <c r="K448" i="3" s="1"/>
  <c r="I447" i="3"/>
  <c r="K447" i="3" s="1"/>
  <c r="K446" i="3"/>
  <c r="I446" i="3"/>
  <c r="K445" i="3"/>
  <c r="I445" i="3"/>
  <c r="I444" i="3"/>
  <c r="K444" i="3" s="1"/>
  <c r="I443" i="3"/>
  <c r="K443" i="3" s="1"/>
  <c r="K442" i="3"/>
  <c r="I442" i="3"/>
  <c r="I441" i="3"/>
  <c r="K441" i="3" s="1"/>
  <c r="I440" i="3"/>
  <c r="K440" i="3" s="1"/>
  <c r="K439" i="3"/>
  <c r="I439" i="3"/>
  <c r="I438" i="3"/>
  <c r="K438" i="3" s="1"/>
  <c r="K437" i="3"/>
  <c r="I437" i="3"/>
  <c r="I436" i="3"/>
  <c r="K436" i="3" s="1"/>
  <c r="I435" i="3"/>
  <c r="K435" i="3" s="1"/>
  <c r="J434" i="3"/>
  <c r="I434" i="3"/>
  <c r="K434" i="3" s="1"/>
  <c r="F434" i="3"/>
  <c r="I433" i="3"/>
  <c r="K433" i="3" s="1"/>
  <c r="I432" i="3"/>
  <c r="K432" i="3" s="1"/>
  <c r="I431" i="3"/>
  <c r="K431" i="3" s="1"/>
  <c r="K430" i="3"/>
  <c r="J430" i="3"/>
  <c r="E430" i="3"/>
  <c r="I430" i="3" s="1"/>
  <c r="I429" i="3"/>
  <c r="K429" i="3" s="1"/>
  <c r="I428" i="3"/>
  <c r="K428" i="3" s="1"/>
  <c r="K427" i="3"/>
  <c r="I427" i="3"/>
  <c r="I426" i="3"/>
  <c r="K426" i="3" s="1"/>
  <c r="I425" i="3"/>
  <c r="K425" i="3" s="1"/>
  <c r="I424" i="3"/>
  <c r="K424" i="3" s="1"/>
  <c r="K423" i="3"/>
  <c r="I423" i="3"/>
  <c r="I422" i="3"/>
  <c r="K422" i="3" s="1"/>
  <c r="E422" i="3"/>
  <c r="K421" i="3"/>
  <c r="I421" i="3"/>
  <c r="I420" i="3"/>
  <c r="K420" i="3" s="1"/>
  <c r="I419" i="3"/>
  <c r="K419" i="3" s="1"/>
  <c r="I418" i="3"/>
  <c r="K418" i="3" s="1"/>
  <c r="I417" i="3"/>
  <c r="K417" i="3" s="1"/>
  <c r="I416" i="3"/>
  <c r="K416" i="3" s="1"/>
  <c r="I415" i="3"/>
  <c r="K415" i="3" s="1"/>
  <c r="K414" i="3"/>
  <c r="I414" i="3"/>
  <c r="K413" i="3"/>
  <c r="I413" i="3"/>
  <c r="K412" i="3"/>
  <c r="I412" i="3"/>
  <c r="I411" i="3"/>
  <c r="K411" i="3" s="1"/>
  <c r="K410" i="3"/>
  <c r="I410" i="3"/>
  <c r="E410" i="3"/>
  <c r="K409" i="3"/>
  <c r="I409" i="3"/>
  <c r="K408" i="3"/>
  <c r="I408" i="3"/>
  <c r="I407" i="3"/>
  <c r="K407" i="3" s="1"/>
  <c r="J406" i="3"/>
  <c r="F406" i="3"/>
  <c r="E406" i="3"/>
  <c r="I406" i="3" s="1"/>
  <c r="K406" i="3" s="1"/>
  <c r="I405" i="3"/>
  <c r="K405" i="3" s="1"/>
  <c r="I404" i="3"/>
  <c r="K404" i="3" s="1"/>
  <c r="E404" i="3"/>
  <c r="I403" i="3"/>
  <c r="K403" i="3" s="1"/>
  <c r="K402" i="3"/>
  <c r="I402" i="3"/>
  <c r="I401" i="3"/>
  <c r="K401" i="3" s="1"/>
  <c r="K400" i="3"/>
  <c r="I400" i="3"/>
  <c r="I399" i="3"/>
  <c r="K399" i="3" s="1"/>
  <c r="I398" i="3"/>
  <c r="K398" i="3" s="1"/>
  <c r="F398" i="3"/>
  <c r="J398" i="3" s="1"/>
  <c r="E398" i="3"/>
  <c r="F397" i="3"/>
  <c r="J397" i="3" s="1"/>
  <c r="I396" i="3"/>
  <c r="K396" i="3" s="1"/>
  <c r="J395" i="3"/>
  <c r="J394" i="3" s="1"/>
  <c r="I395" i="3"/>
  <c r="H394" i="3"/>
  <c r="F394" i="3"/>
  <c r="E394" i="3"/>
  <c r="I393" i="3"/>
  <c r="K393" i="3" s="1"/>
  <c r="K392" i="3"/>
  <c r="I392" i="3"/>
  <c r="I391" i="3"/>
  <c r="K391" i="3" s="1"/>
  <c r="K390" i="3"/>
  <c r="I390" i="3"/>
  <c r="K389" i="3"/>
  <c r="I389" i="3"/>
  <c r="I388" i="3"/>
  <c r="K388" i="3" s="1"/>
  <c r="I387" i="3"/>
  <c r="K387" i="3" s="1"/>
  <c r="I386" i="3"/>
  <c r="K386" i="3" s="1"/>
  <c r="I385" i="3"/>
  <c r="K385" i="3" s="1"/>
  <c r="E385" i="3"/>
  <c r="K384" i="3"/>
  <c r="J384" i="3"/>
  <c r="I384" i="3"/>
  <c r="I383" i="3"/>
  <c r="K383" i="3" s="1"/>
  <c r="I382" i="3"/>
  <c r="K382" i="3" s="1"/>
  <c r="I381" i="3"/>
  <c r="K381" i="3" s="1"/>
  <c r="I380" i="3"/>
  <c r="K380" i="3" s="1"/>
  <c r="K379" i="3"/>
  <c r="I379" i="3"/>
  <c r="K378" i="3"/>
  <c r="I378" i="3"/>
  <c r="K377" i="3"/>
  <c r="I377" i="3"/>
  <c r="I376" i="3"/>
  <c r="K376" i="3" s="1"/>
  <c r="K375" i="3"/>
  <c r="I375" i="3"/>
  <c r="I374" i="3"/>
  <c r="K374" i="3" s="1"/>
  <c r="I373" i="3"/>
  <c r="K373" i="3" s="1"/>
  <c r="I372" i="3"/>
  <c r="K372" i="3" s="1"/>
  <c r="I371" i="3"/>
  <c r="K371" i="3" s="1"/>
  <c r="K370" i="3"/>
  <c r="I370" i="3"/>
  <c r="K369" i="3"/>
  <c r="I369" i="3"/>
  <c r="I368" i="3"/>
  <c r="K368" i="3" s="1"/>
  <c r="I367" i="3"/>
  <c r="K367" i="3" s="1"/>
  <c r="K366" i="3"/>
  <c r="I366" i="3"/>
  <c r="I365" i="3"/>
  <c r="K365" i="3" s="1"/>
  <c r="I364" i="3"/>
  <c r="K364" i="3" s="1"/>
  <c r="K363" i="3"/>
  <c r="I363" i="3"/>
  <c r="I362" i="3"/>
  <c r="K362" i="3" s="1"/>
  <c r="K361" i="3"/>
  <c r="I361" i="3"/>
  <c r="I360" i="3"/>
  <c r="K360" i="3" s="1"/>
  <c r="I359" i="3"/>
  <c r="K359" i="3" s="1"/>
  <c r="I358" i="3"/>
  <c r="K358" i="3" s="1"/>
  <c r="K357" i="3"/>
  <c r="I357" i="3"/>
  <c r="I356" i="3"/>
  <c r="K356" i="3" s="1"/>
  <c r="K355" i="3"/>
  <c r="I355" i="3"/>
  <c r="K354" i="3"/>
  <c r="I354" i="3"/>
  <c r="I353" i="3"/>
  <c r="K353" i="3" s="1"/>
  <c r="I352" i="3"/>
  <c r="K352" i="3" s="1"/>
  <c r="I351" i="3"/>
  <c r="K351" i="3" s="1"/>
  <c r="I350" i="3"/>
  <c r="K350" i="3" s="1"/>
  <c r="I349" i="3"/>
  <c r="K349" i="3" s="1"/>
  <c r="I348" i="3"/>
  <c r="K348" i="3" s="1"/>
  <c r="K347" i="3"/>
  <c r="I347" i="3"/>
  <c r="K346" i="3"/>
  <c r="I346" i="3"/>
  <c r="K345" i="3"/>
  <c r="I345" i="3"/>
  <c r="I344" i="3"/>
  <c r="K344" i="3" s="1"/>
  <c r="K343" i="3"/>
  <c r="I343" i="3"/>
  <c r="I342" i="3"/>
  <c r="K342" i="3" s="1"/>
  <c r="I341" i="3"/>
  <c r="K341" i="3" s="1"/>
  <c r="I340" i="3"/>
  <c r="K340" i="3" s="1"/>
  <c r="I339" i="3"/>
  <c r="K339" i="3" s="1"/>
  <c r="K338" i="3"/>
  <c r="I338" i="3"/>
  <c r="K337" i="3"/>
  <c r="I337" i="3"/>
  <c r="I336" i="3"/>
  <c r="K336" i="3" s="1"/>
  <c r="I335" i="3"/>
  <c r="K335" i="3" s="1"/>
  <c r="K334" i="3"/>
  <c r="I334" i="3"/>
  <c r="I333" i="3"/>
  <c r="K333" i="3" s="1"/>
  <c r="I332" i="3"/>
  <c r="K332" i="3" s="1"/>
  <c r="I331" i="3"/>
  <c r="K331" i="3" s="1"/>
  <c r="K330" i="3"/>
  <c r="I330" i="3"/>
  <c r="I329" i="3"/>
  <c r="K329" i="3" s="1"/>
  <c r="K328" i="3"/>
  <c r="K327" i="3"/>
  <c r="I327" i="3"/>
  <c r="I326" i="3"/>
  <c r="K326" i="3" s="1"/>
  <c r="K325" i="3"/>
  <c r="I325" i="3"/>
  <c r="K324" i="3"/>
  <c r="I324" i="3"/>
  <c r="K323" i="3"/>
  <c r="I323" i="3"/>
  <c r="I322" i="3"/>
  <c r="K322" i="3" s="1"/>
  <c r="K321" i="3"/>
  <c r="I321" i="3"/>
  <c r="K320" i="3"/>
  <c r="I320" i="3"/>
  <c r="K319" i="3"/>
  <c r="I319" i="3"/>
  <c r="I318" i="3"/>
  <c r="K318" i="3" s="1"/>
  <c r="K317" i="3"/>
  <c r="I317" i="3"/>
  <c r="K316" i="3"/>
  <c r="I316" i="3"/>
  <c r="E315" i="3"/>
  <c r="K314" i="3"/>
  <c r="I314" i="3"/>
  <c r="I313" i="3"/>
  <c r="K313" i="3" s="1"/>
  <c r="H312" i="3"/>
  <c r="F312" i="3"/>
  <c r="F311" i="3" s="1"/>
  <c r="J311" i="3" s="1"/>
  <c r="H311" i="3"/>
  <c r="H270" i="3" s="1"/>
  <c r="H169" i="3" s="1"/>
  <c r="K310" i="3"/>
  <c r="I310" i="3"/>
  <c r="I309" i="3"/>
  <c r="K309" i="3" s="1"/>
  <c r="I308" i="3"/>
  <c r="K308" i="3" s="1"/>
  <c r="I307" i="3"/>
  <c r="K307" i="3" s="1"/>
  <c r="K306" i="3"/>
  <c r="I306" i="3"/>
  <c r="I305" i="3"/>
  <c r="K305" i="3" s="1"/>
  <c r="I304" i="3"/>
  <c r="K304" i="3" s="1"/>
  <c r="I303" i="3"/>
  <c r="K303" i="3" s="1"/>
  <c r="K302" i="3"/>
  <c r="I302" i="3"/>
  <c r="I301" i="3"/>
  <c r="K301" i="3" s="1"/>
  <c r="I300" i="3"/>
  <c r="K300" i="3" s="1"/>
  <c r="I299" i="3"/>
  <c r="K299" i="3" s="1"/>
  <c r="K298" i="3"/>
  <c r="I298" i="3"/>
  <c r="I297" i="3"/>
  <c r="K297" i="3" s="1"/>
  <c r="I296" i="3"/>
  <c r="K296" i="3" s="1"/>
  <c r="I295" i="3"/>
  <c r="K295" i="3" s="1"/>
  <c r="K294" i="3"/>
  <c r="I294" i="3"/>
  <c r="I293" i="3"/>
  <c r="K293" i="3" s="1"/>
  <c r="I292" i="3"/>
  <c r="K292" i="3" s="1"/>
  <c r="J291" i="3"/>
  <c r="I291" i="3"/>
  <c r="K291" i="3" s="1"/>
  <c r="K290" i="3"/>
  <c r="I290" i="3"/>
  <c r="K289" i="3"/>
  <c r="I289" i="3"/>
  <c r="I288" i="3"/>
  <c r="F288" i="3"/>
  <c r="E288" i="3"/>
  <c r="I287" i="3"/>
  <c r="K287" i="3" s="1"/>
  <c r="I286" i="3"/>
  <c r="K286" i="3" s="1"/>
  <c r="I285" i="3"/>
  <c r="K285" i="3" s="1"/>
  <c r="K284" i="3"/>
  <c r="I284" i="3"/>
  <c r="I283" i="3"/>
  <c r="K283" i="3" s="1"/>
  <c r="I282" i="3"/>
  <c r="K282" i="3" s="1"/>
  <c r="I281" i="3"/>
  <c r="K281" i="3" s="1"/>
  <c r="K280" i="3"/>
  <c r="I280" i="3"/>
  <c r="I279" i="3"/>
  <c r="K279" i="3" s="1"/>
  <c r="I278" i="3"/>
  <c r="K278" i="3" s="1"/>
  <c r="E278" i="3"/>
  <c r="K277" i="3"/>
  <c r="I277" i="3"/>
  <c r="K276" i="3"/>
  <c r="I276" i="3"/>
  <c r="K275" i="3"/>
  <c r="I275" i="3"/>
  <c r="K274" i="3"/>
  <c r="I274" i="3"/>
  <c r="K273" i="3"/>
  <c r="I273" i="3"/>
  <c r="K272" i="3"/>
  <c r="I272" i="3"/>
  <c r="E271" i="3"/>
  <c r="I269" i="3"/>
  <c r="K269" i="3" s="1"/>
  <c r="I268" i="3"/>
  <c r="K268" i="3" s="1"/>
  <c r="K267" i="3"/>
  <c r="I267" i="3"/>
  <c r="I266" i="3"/>
  <c r="K266" i="3" s="1"/>
  <c r="I265" i="3"/>
  <c r="K265" i="3" s="1"/>
  <c r="I264" i="3"/>
  <c r="K264" i="3" s="1"/>
  <c r="K263" i="3"/>
  <c r="I263" i="3"/>
  <c r="I262" i="3"/>
  <c r="K262" i="3" s="1"/>
  <c r="I261" i="3"/>
  <c r="K261" i="3" s="1"/>
  <c r="I260" i="3"/>
  <c r="K260" i="3" s="1"/>
  <c r="K259" i="3"/>
  <c r="I259" i="3"/>
  <c r="I258" i="3"/>
  <c r="K258" i="3" s="1"/>
  <c r="I257" i="3"/>
  <c r="K257" i="3" s="1"/>
  <c r="I256" i="3"/>
  <c r="K256" i="3" s="1"/>
  <c r="K255" i="3"/>
  <c r="I255" i="3"/>
  <c r="I254" i="3"/>
  <c r="K254" i="3" s="1"/>
  <c r="I253" i="3"/>
  <c r="K253" i="3" s="1"/>
  <c r="I252" i="3"/>
  <c r="K252" i="3" s="1"/>
  <c r="K251" i="3"/>
  <c r="I251" i="3"/>
  <c r="I250" i="3"/>
  <c r="K250" i="3" s="1"/>
  <c r="I249" i="3"/>
  <c r="K249" i="3" s="1"/>
  <c r="E249" i="3"/>
  <c r="I248" i="3"/>
  <c r="K248" i="3" s="1"/>
  <c r="K247" i="3"/>
  <c r="I247" i="3"/>
  <c r="K246" i="3"/>
  <c r="I246" i="3"/>
  <c r="K245" i="3"/>
  <c r="I245" i="3"/>
  <c r="I244" i="3"/>
  <c r="K244" i="3" s="1"/>
  <c r="K243" i="3"/>
  <c r="I243" i="3"/>
  <c r="E242" i="3"/>
  <c r="I242" i="3" s="1"/>
  <c r="K242" i="3" s="1"/>
  <c r="I241" i="3"/>
  <c r="K241" i="3" s="1"/>
  <c r="K240" i="3"/>
  <c r="I240" i="3"/>
  <c r="I239" i="3"/>
  <c r="K239" i="3" s="1"/>
  <c r="I238" i="3"/>
  <c r="K238" i="3" s="1"/>
  <c r="I237" i="3"/>
  <c r="K237" i="3" s="1"/>
  <c r="E237" i="3"/>
  <c r="K236" i="3"/>
  <c r="I236" i="3"/>
  <c r="K235" i="3"/>
  <c r="I235" i="3"/>
  <c r="K234" i="3"/>
  <c r="I234" i="3"/>
  <c r="K233" i="3"/>
  <c r="I233" i="3"/>
  <c r="K232" i="3"/>
  <c r="I232" i="3"/>
  <c r="K231" i="3"/>
  <c r="I231" i="3"/>
  <c r="K230" i="3"/>
  <c r="I230" i="3"/>
  <c r="K229" i="3"/>
  <c r="I229" i="3"/>
  <c r="K228" i="3"/>
  <c r="I228" i="3"/>
  <c r="K227" i="3"/>
  <c r="I227" i="3"/>
  <c r="K226" i="3"/>
  <c r="I226" i="3"/>
  <c r="K225" i="3"/>
  <c r="I225" i="3"/>
  <c r="K224" i="3"/>
  <c r="I224" i="3"/>
  <c r="K223" i="3"/>
  <c r="I223" i="3"/>
  <c r="K222" i="3"/>
  <c r="I222" i="3"/>
  <c r="K221" i="3"/>
  <c r="I221" i="3"/>
  <c r="K220" i="3"/>
  <c r="I220" i="3"/>
  <c r="K219" i="3"/>
  <c r="I219" i="3"/>
  <c r="K218" i="3"/>
  <c r="I218" i="3"/>
  <c r="K217" i="3"/>
  <c r="I217" i="3"/>
  <c r="K216" i="3"/>
  <c r="I216" i="3"/>
  <c r="K215" i="3"/>
  <c r="I215" i="3"/>
  <c r="K214" i="3"/>
  <c r="I214" i="3"/>
  <c r="K213" i="3"/>
  <c r="J213" i="3"/>
  <c r="I213" i="3"/>
  <c r="I212" i="3"/>
  <c r="K212" i="3" s="1"/>
  <c r="I211" i="3"/>
  <c r="K211" i="3" s="1"/>
  <c r="I210" i="3"/>
  <c r="K210" i="3" s="1"/>
  <c r="K209" i="3"/>
  <c r="I209" i="3"/>
  <c r="I208" i="3"/>
  <c r="K208" i="3" s="1"/>
  <c r="I207" i="3"/>
  <c r="K207" i="3" s="1"/>
  <c r="I206" i="3"/>
  <c r="K206" i="3" s="1"/>
  <c r="K205" i="3"/>
  <c r="I205" i="3"/>
  <c r="I204" i="3"/>
  <c r="K204" i="3" s="1"/>
  <c r="I203" i="3"/>
  <c r="K203" i="3" s="1"/>
  <c r="I202" i="3"/>
  <c r="K202" i="3" s="1"/>
  <c r="K201" i="3"/>
  <c r="I201" i="3"/>
  <c r="I200" i="3"/>
  <c r="K200" i="3" s="1"/>
  <c r="I199" i="3"/>
  <c r="K199" i="3" s="1"/>
  <c r="I198" i="3"/>
  <c r="K198" i="3" s="1"/>
  <c r="K197" i="3"/>
  <c r="E196" i="3"/>
  <c r="I196" i="3" s="1"/>
  <c r="K196" i="3" s="1"/>
  <c r="F195" i="3"/>
  <c r="F194" i="3" s="1"/>
  <c r="J194" i="3" s="1"/>
  <c r="E195" i="3"/>
  <c r="I195" i="3" s="1"/>
  <c r="I193" i="3"/>
  <c r="K193" i="3" s="1"/>
  <c r="K192" i="3"/>
  <c r="I192" i="3"/>
  <c r="E192" i="3"/>
  <c r="K191" i="3"/>
  <c r="E191" i="3"/>
  <c r="I191" i="3" s="1"/>
  <c r="I190" i="3"/>
  <c r="K190" i="3" s="1"/>
  <c r="K189" i="3"/>
  <c r="I189" i="3"/>
  <c r="I188" i="3"/>
  <c r="K188" i="3" s="1"/>
  <c r="I187" i="3"/>
  <c r="K187" i="3" s="1"/>
  <c r="I186" i="3"/>
  <c r="K186" i="3" s="1"/>
  <c r="K185" i="3"/>
  <c r="I185" i="3"/>
  <c r="I184" i="3"/>
  <c r="K184" i="3" s="1"/>
  <c r="I183" i="3"/>
  <c r="K183" i="3" s="1"/>
  <c r="I182" i="3"/>
  <c r="K182" i="3" s="1"/>
  <c r="K181" i="3"/>
  <c r="I181" i="3"/>
  <c r="I180" i="3"/>
  <c r="K180" i="3" s="1"/>
  <c r="I179" i="3"/>
  <c r="K179" i="3" s="1"/>
  <c r="I178" i="3"/>
  <c r="K178" i="3" s="1"/>
  <c r="K177" i="3"/>
  <c r="I177" i="3"/>
  <c r="I176" i="3"/>
  <c r="K176" i="3" s="1"/>
  <c r="E176" i="3"/>
  <c r="K175" i="3"/>
  <c r="I175" i="3"/>
  <c r="K174" i="3"/>
  <c r="I174" i="3"/>
  <c r="K173" i="3"/>
  <c r="I173" i="3"/>
  <c r="K172" i="3"/>
  <c r="I172" i="3"/>
  <c r="E171" i="3"/>
  <c r="K168" i="3"/>
  <c r="I168" i="3"/>
  <c r="I167" i="3" s="1"/>
  <c r="K167" i="3"/>
  <c r="F167" i="3"/>
  <c r="E167" i="3"/>
  <c r="G166" i="3"/>
  <c r="K165" i="3"/>
  <c r="K164" i="3"/>
  <c r="I164" i="3"/>
  <c r="J163" i="3"/>
  <c r="H163" i="3"/>
  <c r="F163" i="3"/>
  <c r="E163" i="3"/>
  <c r="I163" i="3" s="1"/>
  <c r="K162" i="3"/>
  <c r="I162" i="3"/>
  <c r="I161" i="3"/>
  <c r="K161" i="3" s="1"/>
  <c r="I160" i="3"/>
  <c r="K160" i="3" s="1"/>
  <c r="I159" i="3"/>
  <c r="K159" i="3" s="1"/>
  <c r="K158" i="3"/>
  <c r="J158" i="3"/>
  <c r="I158" i="3"/>
  <c r="K157" i="3"/>
  <c r="J157" i="3"/>
  <c r="K156" i="3"/>
  <c r="I156" i="3"/>
  <c r="I155" i="3"/>
  <c r="K155" i="3" s="1"/>
  <c r="K154" i="3"/>
  <c r="I154" i="3"/>
  <c r="K153" i="3"/>
  <c r="I153" i="3"/>
  <c r="K152" i="3"/>
  <c r="I152" i="3"/>
  <c r="I151" i="3"/>
  <c r="K151" i="3" s="1"/>
  <c r="K150" i="3"/>
  <c r="I150" i="3"/>
  <c r="K149" i="3"/>
  <c r="I149" i="3"/>
  <c r="K148" i="3"/>
  <c r="I148" i="3"/>
  <c r="I147" i="3"/>
  <c r="K147" i="3" s="1"/>
  <c r="K146" i="3"/>
  <c r="I146" i="3"/>
  <c r="K145" i="3"/>
  <c r="I145" i="3"/>
  <c r="I144" i="3"/>
  <c r="K144" i="3" s="1"/>
  <c r="H144" i="3"/>
  <c r="J144" i="3" s="1"/>
  <c r="G144" i="3"/>
  <c r="I143" i="3"/>
  <c r="K143" i="3" s="1"/>
  <c r="I142" i="3"/>
  <c r="K142" i="3" s="1"/>
  <c r="I141" i="3"/>
  <c r="K141" i="3" s="1"/>
  <c r="K140" i="3"/>
  <c r="I140" i="3"/>
  <c r="I139" i="3"/>
  <c r="K139" i="3" s="1"/>
  <c r="G139" i="3"/>
  <c r="K138" i="3"/>
  <c r="I138" i="3"/>
  <c r="K137" i="3"/>
  <c r="I137" i="3"/>
  <c r="K136" i="3"/>
  <c r="I136" i="3"/>
  <c r="K135" i="3"/>
  <c r="J135" i="3"/>
  <c r="K134" i="3"/>
  <c r="I134" i="3"/>
  <c r="K133" i="3"/>
  <c r="I133" i="3"/>
  <c r="K132" i="3"/>
  <c r="I132" i="3"/>
  <c r="K131" i="3"/>
  <c r="I131" i="3"/>
  <c r="K130" i="3"/>
  <c r="I130" i="3"/>
  <c r="K129" i="3"/>
  <c r="I129" i="3"/>
  <c r="K128" i="3"/>
  <c r="I128" i="3"/>
  <c r="K127" i="3"/>
  <c r="I127" i="3"/>
  <c r="K126" i="3"/>
  <c r="I126" i="3"/>
  <c r="K125" i="3"/>
  <c r="I125" i="3"/>
  <c r="K124" i="3"/>
  <c r="I124" i="3"/>
  <c r="K123" i="3"/>
  <c r="I123" i="3"/>
  <c r="K122" i="3"/>
  <c r="I122" i="3"/>
  <c r="K121" i="3"/>
  <c r="I121" i="3"/>
  <c r="G121" i="3"/>
  <c r="I120" i="3"/>
  <c r="K120" i="3" s="1"/>
  <c r="I119" i="3"/>
  <c r="K119" i="3" s="1"/>
  <c r="G119" i="3"/>
  <c r="K118" i="3"/>
  <c r="I118" i="3"/>
  <c r="K117" i="3"/>
  <c r="I117" i="3"/>
  <c r="K116" i="3"/>
  <c r="I116" i="3"/>
  <c r="K115" i="3"/>
  <c r="I115" i="3"/>
  <c r="K114" i="3"/>
  <c r="I114" i="3"/>
  <c r="K113" i="3"/>
  <c r="I113" i="3"/>
  <c r="K112" i="3"/>
  <c r="I112" i="3"/>
  <c r="K111" i="3"/>
  <c r="I111" i="3"/>
  <c r="K110" i="3"/>
  <c r="I110" i="3"/>
  <c r="K109" i="3"/>
  <c r="G109" i="3"/>
  <c r="I109" i="3" s="1"/>
  <c r="I108" i="3"/>
  <c r="K108" i="3" s="1"/>
  <c r="G108" i="3"/>
  <c r="K107" i="3"/>
  <c r="I107" i="3"/>
  <c r="K106" i="3"/>
  <c r="I106" i="3"/>
  <c r="K105" i="3"/>
  <c r="I105" i="3"/>
  <c r="K104" i="3"/>
  <c r="I104" i="3"/>
  <c r="K103" i="3"/>
  <c r="I103" i="3"/>
  <c r="K102" i="3"/>
  <c r="I102" i="3"/>
  <c r="K101" i="3"/>
  <c r="I101" i="3"/>
  <c r="K100" i="3"/>
  <c r="I100" i="3"/>
  <c r="K99" i="3"/>
  <c r="I99" i="3"/>
  <c r="K98" i="3"/>
  <c r="I98" i="3"/>
  <c r="K97" i="3"/>
  <c r="I97" i="3"/>
  <c r="K96" i="3"/>
  <c r="I96" i="3"/>
  <c r="K95" i="3"/>
  <c r="I95" i="3"/>
  <c r="K94" i="3"/>
  <c r="I94" i="3"/>
  <c r="K93" i="3"/>
  <c r="I93" i="3"/>
  <c r="G92" i="3"/>
  <c r="I92" i="3" s="1"/>
  <c r="K92" i="3" s="1"/>
  <c r="K91" i="3"/>
  <c r="I91" i="3"/>
  <c r="K90" i="3"/>
  <c r="J90" i="3"/>
  <c r="J89" i="3"/>
  <c r="I89" i="3"/>
  <c r="I88" i="3"/>
  <c r="H88" i="3"/>
  <c r="H80" i="3" s="1"/>
  <c r="J80" i="3" s="1"/>
  <c r="J79" i="3" s="1"/>
  <c r="D37" i="4" s="1"/>
  <c r="D36" i="4" s="1"/>
  <c r="K87" i="3"/>
  <c r="J87" i="3"/>
  <c r="I87" i="3"/>
  <c r="J86" i="3"/>
  <c r="I86" i="3"/>
  <c r="K86" i="3" s="1"/>
  <c r="J85" i="3"/>
  <c r="I85" i="3"/>
  <c r="K85" i="3" s="1"/>
  <c r="J84" i="3"/>
  <c r="I84" i="3"/>
  <c r="J83" i="3"/>
  <c r="I83" i="3"/>
  <c r="K83" i="3" s="1"/>
  <c r="J82" i="3"/>
  <c r="K82" i="3" s="1"/>
  <c r="I82" i="3"/>
  <c r="K81" i="3"/>
  <c r="J81" i="3"/>
  <c r="I81" i="3"/>
  <c r="G81" i="3"/>
  <c r="I80" i="3"/>
  <c r="K80" i="3" s="1"/>
  <c r="I79" i="3"/>
  <c r="C37" i="4" s="1"/>
  <c r="H79" i="3"/>
  <c r="G79" i="3"/>
  <c r="J78" i="3"/>
  <c r="J74" i="3" s="1"/>
  <c r="I78" i="3"/>
  <c r="J77" i="3"/>
  <c r="I77" i="3"/>
  <c r="K77" i="3" s="1"/>
  <c r="G77" i="3"/>
  <c r="K76" i="3"/>
  <c r="I76" i="3"/>
  <c r="K75" i="3"/>
  <c r="I75" i="3"/>
  <c r="H74" i="3"/>
  <c r="G74" i="3"/>
  <c r="G17" i="3" s="1"/>
  <c r="K73" i="3"/>
  <c r="I73" i="3"/>
  <c r="I72" i="3"/>
  <c r="K72" i="3" s="1"/>
  <c r="C71" i="3"/>
  <c r="C69" i="3" s="1"/>
  <c r="I70" i="3"/>
  <c r="K70" i="3" s="1"/>
  <c r="J68" i="3"/>
  <c r="K68" i="3" s="1"/>
  <c r="I67" i="3"/>
  <c r="K67" i="3" s="1"/>
  <c r="K66" i="3"/>
  <c r="I66" i="3"/>
  <c r="I65" i="3"/>
  <c r="K65" i="3" s="1"/>
  <c r="I64" i="3"/>
  <c r="K64" i="3" s="1"/>
  <c r="K63" i="3"/>
  <c r="I63" i="3"/>
  <c r="C62" i="3"/>
  <c r="C61" i="3"/>
  <c r="C60" i="3" s="1"/>
  <c r="I60" i="3" s="1"/>
  <c r="H60" i="3"/>
  <c r="J60" i="3" s="1"/>
  <c r="D29" i="4" s="1"/>
  <c r="F60" i="3"/>
  <c r="I59" i="3"/>
  <c r="K59" i="3" s="1"/>
  <c r="K58" i="3"/>
  <c r="I58" i="3"/>
  <c r="I57" i="3"/>
  <c r="K57" i="3" s="1"/>
  <c r="C56" i="3"/>
  <c r="I56" i="3" s="1"/>
  <c r="K56" i="3" s="1"/>
  <c r="I55" i="3"/>
  <c r="C28" i="4" s="1"/>
  <c r="C55" i="3"/>
  <c r="K54" i="3"/>
  <c r="I54" i="3"/>
  <c r="I53" i="3"/>
  <c r="K53" i="3" s="1"/>
  <c r="I52" i="3"/>
  <c r="K52" i="3" s="1"/>
  <c r="I51" i="3"/>
  <c r="K51" i="3" s="1"/>
  <c r="K50" i="3"/>
  <c r="I50" i="3"/>
  <c r="C49" i="3"/>
  <c r="I49" i="3" s="1"/>
  <c r="I48" i="3"/>
  <c r="K48" i="3" s="1"/>
  <c r="I47" i="3"/>
  <c r="K47" i="3" s="1"/>
  <c r="C47" i="3"/>
  <c r="C44" i="3" s="1"/>
  <c r="I46" i="3"/>
  <c r="K46" i="3" s="1"/>
  <c r="I45" i="3"/>
  <c r="K45" i="3" s="1"/>
  <c r="K42" i="3"/>
  <c r="I42" i="3"/>
  <c r="K41" i="3"/>
  <c r="I40" i="3"/>
  <c r="K40" i="3" s="1"/>
  <c r="C40" i="3"/>
  <c r="K38" i="3"/>
  <c r="I38" i="3"/>
  <c r="I37" i="3"/>
  <c r="K37" i="3" s="1"/>
  <c r="C37" i="3"/>
  <c r="C34" i="3" s="1"/>
  <c r="I34" i="3" s="1"/>
  <c r="I36" i="3"/>
  <c r="K36" i="3" s="1"/>
  <c r="K35" i="3"/>
  <c r="I35" i="3"/>
  <c r="C35" i="3"/>
  <c r="I33" i="3"/>
  <c r="K33" i="3" s="1"/>
  <c r="I32" i="3"/>
  <c r="K32" i="3" s="1"/>
  <c r="K31" i="3"/>
  <c r="I31" i="3"/>
  <c r="C31" i="3"/>
  <c r="K30" i="3"/>
  <c r="I30" i="3"/>
  <c r="K29" i="3"/>
  <c r="I29" i="3"/>
  <c r="K28" i="3"/>
  <c r="I28" i="3"/>
  <c r="C27" i="3"/>
  <c r="I27" i="3" s="1"/>
  <c r="K27" i="3" s="1"/>
  <c r="I26" i="3"/>
  <c r="K26" i="3" s="1"/>
  <c r="K25" i="3"/>
  <c r="I25" i="3"/>
  <c r="K24" i="3"/>
  <c r="I24" i="3"/>
  <c r="C24" i="3"/>
  <c r="C23" i="3"/>
  <c r="I23" i="3" s="1"/>
  <c r="C22" i="3"/>
  <c r="I22" i="3" s="1"/>
  <c r="K22" i="3" s="1"/>
  <c r="K21" i="3"/>
  <c r="I21" i="3"/>
  <c r="D20" i="3"/>
  <c r="C20" i="3"/>
  <c r="I20" i="3" s="1"/>
  <c r="J19" i="3"/>
  <c r="H19" i="3"/>
  <c r="D19" i="3"/>
  <c r="D18" i="3"/>
  <c r="D17" i="3"/>
  <c r="E73" i="4"/>
  <c r="E72" i="4"/>
  <c r="D71" i="4"/>
  <c r="C71" i="4"/>
  <c r="E71" i="4" s="1"/>
  <c r="E70" i="4"/>
  <c r="E69" i="4"/>
  <c r="E68" i="4"/>
  <c r="D68" i="4"/>
  <c r="C68" i="4"/>
  <c r="E67" i="4"/>
  <c r="D66" i="4"/>
  <c r="C66" i="4"/>
  <c r="C65" i="4" s="1"/>
  <c r="E65" i="4" s="1"/>
  <c r="D65" i="4"/>
  <c r="E63" i="4"/>
  <c r="E62" i="4"/>
  <c r="D62" i="4"/>
  <c r="E61" i="4"/>
  <c r="D61" i="4" s="1"/>
  <c r="E59" i="4"/>
  <c r="D59" i="4"/>
  <c r="E58" i="4"/>
  <c r="D58" i="4"/>
  <c r="C55" i="4"/>
  <c r="C45" i="4"/>
  <c r="C44" i="4"/>
  <c r="E41" i="4"/>
  <c r="C41" i="4"/>
  <c r="D39" i="4"/>
  <c r="C39" i="4"/>
  <c r="E39" i="4" s="1"/>
  <c r="D38" i="4"/>
  <c r="C38" i="4"/>
  <c r="E38" i="4" s="1"/>
  <c r="D35" i="4"/>
  <c r="D34" i="4" s="1"/>
  <c r="C32" i="4"/>
  <c r="D31" i="4"/>
  <c r="D27" i="4"/>
  <c r="D24" i="4"/>
  <c r="C23" i="4"/>
  <c r="E23" i="4" s="1"/>
  <c r="E21" i="4" s="1"/>
  <c r="E22" i="4"/>
  <c r="D21" i="4"/>
  <c r="D19" i="4"/>
  <c r="D17" i="4"/>
  <c r="D15" i="4"/>
  <c r="C27" i="4" l="1"/>
  <c r="E27" i="4" s="1"/>
  <c r="E28" i="4"/>
  <c r="K49" i="3"/>
  <c r="C26" i="4"/>
  <c r="E26" i="4" s="1"/>
  <c r="C30" i="4"/>
  <c r="K60" i="3"/>
  <c r="K20" i="3"/>
  <c r="C16" i="4"/>
  <c r="K34" i="3"/>
  <c r="C20" i="4"/>
  <c r="C18" i="4"/>
  <c r="K23" i="3"/>
  <c r="I44" i="3"/>
  <c r="C43" i="3"/>
  <c r="C36" i="4"/>
  <c r="E36" i="4" s="1"/>
  <c r="E37" i="4"/>
  <c r="K84" i="3"/>
  <c r="E194" i="3"/>
  <c r="I194" i="3" s="1"/>
  <c r="K194" i="3" s="1"/>
  <c r="D325" i="2"/>
  <c r="E32" i="4"/>
  <c r="K55" i="3"/>
  <c r="I74" i="3"/>
  <c r="K79" i="3"/>
  <c r="I62" i="3"/>
  <c r="I71" i="3"/>
  <c r="J88" i="3"/>
  <c r="K88" i="3" s="1"/>
  <c r="E170" i="3"/>
  <c r="I171" i="3"/>
  <c r="K171" i="3" s="1"/>
  <c r="J195" i="3"/>
  <c r="K195" i="3" s="1"/>
  <c r="I271" i="3"/>
  <c r="K271" i="3" s="1"/>
  <c r="E193" i="2"/>
  <c r="C19" i="3"/>
  <c r="D277" i="2"/>
  <c r="E66" i="4"/>
  <c r="K78" i="3"/>
  <c r="K89" i="3"/>
  <c r="F270" i="3"/>
  <c r="J288" i="3"/>
  <c r="K288" i="3" s="1"/>
  <c r="H456" i="3"/>
  <c r="J456" i="3" s="1"/>
  <c r="D43" i="4" s="1"/>
  <c r="D89" i="2"/>
  <c r="I69" i="3"/>
  <c r="K69" i="3" s="1"/>
  <c r="J312" i="3"/>
  <c r="K163" i="3"/>
  <c r="E312" i="3"/>
  <c r="I315" i="3"/>
  <c r="K315" i="3" s="1"/>
  <c r="I394" i="3"/>
  <c r="K394" i="3" s="1"/>
  <c r="K395" i="3"/>
  <c r="D51" i="2"/>
  <c r="E397" i="3"/>
  <c r="I397" i="3" s="1"/>
  <c r="K397" i="3" s="1"/>
  <c r="D115" i="2"/>
  <c r="H51" i="2"/>
  <c r="E47" i="4" s="1"/>
  <c r="D47" i="4" s="1"/>
  <c r="D56" i="2"/>
  <c r="D55" i="2" s="1"/>
  <c r="D91" i="2"/>
  <c r="H89" i="2"/>
  <c r="E49" i="4" s="1"/>
  <c r="D49" i="4" s="1"/>
  <c r="G112" i="2"/>
  <c r="G17" i="2" s="1"/>
  <c r="D154" i="2"/>
  <c r="D252" i="2"/>
  <c r="F257" i="2"/>
  <c r="D114" i="2"/>
  <c r="D113" i="2" s="1"/>
  <c r="H113" i="2"/>
  <c r="E209" i="2"/>
  <c r="F249" i="2"/>
  <c r="B80" i="1"/>
  <c r="H77" i="2" s="1"/>
  <c r="D77" i="2" s="1"/>
  <c r="E456" i="3"/>
  <c r="I456" i="3" s="1"/>
  <c r="E89" i="2"/>
  <c r="E115" i="2"/>
  <c r="E112" i="2" s="1"/>
  <c r="D178" i="2"/>
  <c r="F115" i="2"/>
  <c r="F112" i="2" s="1"/>
  <c r="D204" i="2"/>
  <c r="D280" i="2"/>
  <c r="C188" i="1"/>
  <c r="B188" i="1" s="1"/>
  <c r="H189" i="2" s="1"/>
  <c r="D189" i="2" s="1"/>
  <c r="D182" i="2" s="1"/>
  <c r="B119" i="1"/>
  <c r="H124" i="2" s="1"/>
  <c r="D124" i="2" s="1"/>
  <c r="B228" i="1"/>
  <c r="H231" i="2" s="1"/>
  <c r="C241" i="1"/>
  <c r="B241" i="1" s="1"/>
  <c r="H255" i="2" s="1"/>
  <c r="D255" i="2" s="1"/>
  <c r="C245" i="1"/>
  <c r="B245" i="1" s="1"/>
  <c r="H259" i="2" s="1"/>
  <c r="D259" i="2" s="1"/>
  <c r="E257" i="2"/>
  <c r="E248" i="2" s="1"/>
  <c r="D287" i="2"/>
  <c r="D286" i="2" s="1"/>
  <c r="B35" i="1"/>
  <c r="H32" i="2" s="1"/>
  <c r="D32" i="2" s="1"/>
  <c r="F260" i="1"/>
  <c r="B260" i="1" s="1"/>
  <c r="H269" i="2" s="1"/>
  <c r="C193" i="2"/>
  <c r="C17" i="2" s="1"/>
  <c r="F169" i="1"/>
  <c r="B169" i="1" s="1"/>
  <c r="H164" i="2" s="1"/>
  <c r="D164" i="2" s="1"/>
  <c r="D237" i="1"/>
  <c r="C237" i="1" s="1"/>
  <c r="B237" i="1" s="1"/>
  <c r="H253" i="2" s="1"/>
  <c r="D253" i="2" s="1"/>
  <c r="C238" i="1"/>
  <c r="B238" i="1" s="1"/>
  <c r="D197" i="2"/>
  <c r="K373" i="1"/>
  <c r="F35" i="1"/>
  <c r="B127" i="1"/>
  <c r="H130" i="2" s="1"/>
  <c r="D130" i="2" s="1"/>
  <c r="B215" i="1"/>
  <c r="H221" i="2" s="1"/>
  <c r="D221" i="2" s="1"/>
  <c r="D262" i="2"/>
  <c r="B49" i="1"/>
  <c r="H43" i="2" s="1"/>
  <c r="D43" i="2" s="1"/>
  <c r="B193" i="1"/>
  <c r="H196" i="2" s="1"/>
  <c r="B233" i="1"/>
  <c r="H251" i="2" s="1"/>
  <c r="D251" i="2" s="1"/>
  <c r="C276" i="1"/>
  <c r="B276" i="1" s="1"/>
  <c r="H278" i="2" s="1"/>
  <c r="D278" i="2" s="1"/>
  <c r="D268" i="1"/>
  <c r="C268" i="1" s="1"/>
  <c r="B268" i="1" s="1"/>
  <c r="H273" i="2" s="1"/>
  <c r="D273" i="2" s="1"/>
  <c r="C269" i="1"/>
  <c r="B269" i="1" s="1"/>
  <c r="C282" i="1"/>
  <c r="B282" i="1" s="1"/>
  <c r="H281" i="2" s="1"/>
  <c r="D281" i="2" s="1"/>
  <c r="B206" i="1"/>
  <c r="H213" i="2" s="1"/>
  <c r="D213" i="2" s="1"/>
  <c r="D209" i="2" s="1"/>
  <c r="B239" i="1"/>
  <c r="H254" i="2" s="1"/>
  <c r="D254" i="2" s="1"/>
  <c r="C244" i="1"/>
  <c r="B244" i="1" s="1"/>
  <c r="D243" i="1"/>
  <c r="C243" i="1" s="1"/>
  <c r="B243" i="1" s="1"/>
  <c r="H258" i="2" s="1"/>
  <c r="B266" i="1"/>
  <c r="H272" i="2" s="1"/>
  <c r="D272" i="2" s="1"/>
  <c r="B59" i="1"/>
  <c r="H82" i="2" s="1"/>
  <c r="D82" i="2" s="1"/>
  <c r="B131" i="1"/>
  <c r="H133" i="2" s="1"/>
  <c r="D133" i="2" s="1"/>
  <c r="F206" i="1"/>
  <c r="B225" i="1"/>
  <c r="H229" i="2" s="1"/>
  <c r="D229" i="2" s="1"/>
  <c r="B231" i="1"/>
  <c r="H250" i="2" s="1"/>
  <c r="C252" i="1"/>
  <c r="F253" i="1"/>
  <c r="B253" i="1" s="1"/>
  <c r="H252" i="1"/>
  <c r="H373" i="1" s="1"/>
  <c r="B292" i="1"/>
  <c r="H291" i="2" s="1"/>
  <c r="D291" i="2" s="1"/>
  <c r="F296" i="1"/>
  <c r="B296" i="1" s="1"/>
  <c r="H295" i="2" s="1"/>
  <c r="D295" i="2" s="1"/>
  <c r="B28" i="1"/>
  <c r="H27" i="2" s="1"/>
  <c r="D27" i="2" s="1"/>
  <c r="B246" i="1"/>
  <c r="C248" i="1"/>
  <c r="B248" i="1" s="1"/>
  <c r="H261" i="2" s="1"/>
  <c r="D261" i="2" s="1"/>
  <c r="F252" i="1"/>
  <c r="B263" i="1"/>
  <c r="B285" i="1"/>
  <c r="H283" i="2" s="1"/>
  <c r="D283" i="2" s="1"/>
  <c r="B326" i="1"/>
  <c r="H334" i="2" s="1"/>
  <c r="D334" i="2" s="1"/>
  <c r="B254" i="1"/>
  <c r="H264" i="2" s="1"/>
  <c r="D264" i="2" s="1"/>
  <c r="B256" i="1"/>
  <c r="H266" i="2" s="1"/>
  <c r="D266" i="2" s="1"/>
  <c r="B258" i="1"/>
  <c r="H267" i="2" s="1"/>
  <c r="D267" i="2" s="1"/>
  <c r="I373" i="1"/>
  <c r="B18" i="1"/>
  <c r="H19" i="2" s="1"/>
  <c r="B79" i="1"/>
  <c r="H76" i="2" s="1"/>
  <c r="D76" i="2" s="1"/>
  <c r="B147" i="1"/>
  <c r="H147" i="2" s="1"/>
  <c r="D147" i="2" s="1"/>
  <c r="B201" i="1"/>
  <c r="H207" i="2" s="1"/>
  <c r="D207" i="2" s="1"/>
  <c r="F243" i="1"/>
  <c r="N373" i="1"/>
  <c r="E60" i="4" s="1"/>
  <c r="D60" i="4" s="1"/>
  <c r="B265" i="1"/>
  <c r="C277" i="1"/>
  <c r="B277" i="1" s="1"/>
  <c r="B283" i="1"/>
  <c r="B327" i="1"/>
  <c r="H335" i="2" s="1"/>
  <c r="D335" i="2" s="1"/>
  <c r="E373" i="1"/>
  <c r="D269" i="2" l="1"/>
  <c r="D268" i="2" s="1"/>
  <c r="H268" i="2"/>
  <c r="D258" i="2"/>
  <c r="H257" i="2"/>
  <c r="E17" i="2"/>
  <c r="D112" i="2"/>
  <c r="H182" i="2"/>
  <c r="E51" i="4" s="1"/>
  <c r="D51" i="4" s="1"/>
  <c r="D373" i="1"/>
  <c r="K74" i="3"/>
  <c r="C35" i="4"/>
  <c r="E30" i="4"/>
  <c r="C29" i="4"/>
  <c r="E29" i="4" s="1"/>
  <c r="D250" i="2"/>
  <c r="D249" i="2" s="1"/>
  <c r="H249" i="2"/>
  <c r="D196" i="2"/>
  <c r="D194" i="2" s="1"/>
  <c r="H194" i="2"/>
  <c r="H286" i="2"/>
  <c r="H209" i="2"/>
  <c r="H276" i="2"/>
  <c r="I170" i="3"/>
  <c r="K170" i="3" s="1"/>
  <c r="C17" i="4"/>
  <c r="E17" i="4" s="1"/>
  <c r="E18" i="4"/>
  <c r="I312" i="3"/>
  <c r="K312" i="3" s="1"/>
  <c r="E311" i="3"/>
  <c r="D276" i="2"/>
  <c r="I43" i="3"/>
  <c r="K43" i="3" s="1"/>
  <c r="C39" i="3"/>
  <c r="I39" i="3" s="1"/>
  <c r="K39" i="3" s="1"/>
  <c r="E20" i="4"/>
  <c r="C19" i="4"/>
  <c r="E19" i="4" s="1"/>
  <c r="H55" i="2"/>
  <c r="E48" i="4" s="1"/>
  <c r="D48" i="4" s="1"/>
  <c r="J270" i="3"/>
  <c r="F169" i="3"/>
  <c r="C18" i="3"/>
  <c r="I18" i="3" s="1"/>
  <c r="K18" i="3" s="1"/>
  <c r="I19" i="3"/>
  <c r="C17" i="3"/>
  <c r="K71" i="3"/>
  <c r="C33" i="4"/>
  <c r="H324" i="2"/>
  <c r="H322" i="2" s="1"/>
  <c r="E54" i="4" s="1"/>
  <c r="D54" i="4" s="1"/>
  <c r="K44" i="3"/>
  <c r="C25" i="4"/>
  <c r="B252" i="1"/>
  <c r="H263" i="2" s="1"/>
  <c r="D263" i="2" s="1"/>
  <c r="C373" i="1"/>
  <c r="E56" i="4" s="1"/>
  <c r="K456" i="3"/>
  <c r="C43" i="4"/>
  <c r="E43" i="4" s="1"/>
  <c r="H203" i="2"/>
  <c r="F248" i="2"/>
  <c r="F17" i="2" s="1"/>
  <c r="I61" i="3"/>
  <c r="K61" i="3" s="1"/>
  <c r="K62" i="3"/>
  <c r="D324" i="2"/>
  <c r="D322" i="2" s="1"/>
  <c r="D19" i="2"/>
  <c r="D18" i="2" s="1"/>
  <c r="H18" i="2"/>
  <c r="D203" i="2"/>
  <c r="H166" i="3"/>
  <c r="H17" i="3" s="1"/>
  <c r="E16" i="4"/>
  <c r="C15" i="4"/>
  <c r="H115" i="2"/>
  <c r="F373" i="1"/>
  <c r="E57" i="4" s="1"/>
  <c r="D57" i="4" s="1"/>
  <c r="H230" i="2"/>
  <c r="D231" i="2"/>
  <c r="D230" i="2" s="1"/>
  <c r="H112" i="2"/>
  <c r="E50" i="4" s="1"/>
  <c r="D50" i="4" s="1"/>
  <c r="E33" i="4" l="1"/>
  <c r="C31" i="4"/>
  <c r="E31" i="4" s="1"/>
  <c r="H248" i="2"/>
  <c r="E53" i="4" s="1"/>
  <c r="D53" i="4" s="1"/>
  <c r="E46" i="4"/>
  <c r="B373" i="1"/>
  <c r="K19" i="3"/>
  <c r="C34" i="4"/>
  <c r="E34" i="4" s="1"/>
  <c r="E35" i="4"/>
  <c r="D257" i="2"/>
  <c r="D248" i="2" s="1"/>
  <c r="D17" i="2" s="1"/>
  <c r="D56" i="4"/>
  <c r="D55" i="4" s="1"/>
  <c r="E55" i="4"/>
  <c r="E25" i="4"/>
  <c r="C24" i="4"/>
  <c r="E24" i="4" s="1"/>
  <c r="J169" i="3"/>
  <c r="D42" i="4" s="1"/>
  <c r="D40" i="4" s="1"/>
  <c r="D14" i="4" s="1"/>
  <c r="F166" i="3"/>
  <c r="I311" i="3"/>
  <c r="K311" i="3" s="1"/>
  <c r="E270" i="3"/>
  <c r="E15" i="4"/>
  <c r="H193" i="2"/>
  <c r="E52" i="4" s="1"/>
  <c r="D52" i="4" s="1"/>
  <c r="D193" i="2"/>
  <c r="H17" i="2" l="1"/>
  <c r="I270" i="3"/>
  <c r="K270" i="3" s="1"/>
  <c r="E169" i="3"/>
  <c r="E45" i="4"/>
  <c r="E44" i="4" s="1"/>
  <c r="D46" i="4"/>
  <c r="D45" i="4" s="1"/>
  <c r="D44" i="4" s="1"/>
  <c r="D64" i="4" s="1"/>
  <c r="F17" i="3"/>
  <c r="J166" i="3"/>
  <c r="J17" i="3" s="1"/>
  <c r="D166" i="3" l="1"/>
  <c r="I169" i="3"/>
  <c r="E166" i="3"/>
  <c r="I166" i="3" s="1"/>
  <c r="E17" i="3"/>
  <c r="C42" i="4" l="1"/>
  <c r="K169" i="3"/>
  <c r="K166" i="3"/>
  <c r="I17" i="3"/>
  <c r="K17" i="3" s="1"/>
  <c r="E42" i="4" l="1"/>
  <c r="C40" i="4"/>
  <c r="E40" i="4" l="1"/>
  <c r="C14" i="4"/>
  <c r="C64" i="4" l="1"/>
  <c r="E64" i="4" s="1"/>
  <c r="E14" i="4"/>
</calcChain>
</file>

<file path=xl/sharedStrings.xml><?xml version="1.0" encoding="utf-8"?>
<sst xmlns="http://schemas.openxmlformats.org/spreadsheetml/2006/main" count="1469" uniqueCount="899">
  <si>
    <t>Iestādes</t>
  </si>
  <si>
    <t>Balvu novada administrācija</t>
  </si>
  <si>
    <t>Deputātu darba samaksa</t>
  </si>
  <si>
    <t>Balvu pagasta pārvalde</t>
  </si>
  <si>
    <t>Bērzkalnes pagasta pārvalde</t>
  </si>
  <si>
    <t>Bērzpils pagasta pārvalde</t>
  </si>
  <si>
    <t>Briežuciema pagasta pārvalde</t>
  </si>
  <si>
    <t>Krišjāņu pagasta pārvalde</t>
  </si>
  <si>
    <t>Kubulu pagasta pārvalde</t>
  </si>
  <si>
    <t>Lazdulejas pagasta pārvalde</t>
  </si>
  <si>
    <t>Tilžas pagasta pārvalde</t>
  </si>
  <si>
    <t>Vectilžas pagasta pārvalde</t>
  </si>
  <si>
    <t>Vīksnas pagasta pārvalde</t>
  </si>
  <si>
    <t>Izdevumi neparedzētiem gadījumiem</t>
  </si>
  <si>
    <t>Biedru maksa</t>
  </si>
  <si>
    <t>Dzimtsarakstu nodaļa</t>
  </si>
  <si>
    <t>Pašvaldības policija</t>
  </si>
  <si>
    <t>Būvvalde</t>
  </si>
  <si>
    <t>Pārējā ekonomiskā darbība (PVN)</t>
  </si>
  <si>
    <t>Ielu apgaismojums Balvu pilsētā</t>
  </si>
  <si>
    <t>Balvu pagasta komunālā saimniecība</t>
  </si>
  <si>
    <t>Bērzpils pagasta komunālā saimniecība</t>
  </si>
  <si>
    <t>Briežuciema pagasta komunālā saimniecība</t>
  </si>
  <si>
    <t>Krišjāņu pagasta komunālā saimniecība</t>
  </si>
  <si>
    <t>Kubulu pagasta komunālā saimniecība</t>
  </si>
  <si>
    <t>Lazdulejas pagasta komunālā saimniecība</t>
  </si>
  <si>
    <t>Tilžas pagasta komunālā saimniecība</t>
  </si>
  <si>
    <t>Vectilžas pagasta komunālā saimniecība</t>
  </si>
  <si>
    <t>Vīksnas pagasta komunālā saimniecība</t>
  </si>
  <si>
    <t>Pašvaldības aģentūra SAN-TEX</t>
  </si>
  <si>
    <t>Briežuciema FVP</t>
  </si>
  <si>
    <t>Krišjānu FVP</t>
  </si>
  <si>
    <t>Kubulu VFP</t>
  </si>
  <si>
    <t>Lazdulejas VFP</t>
  </si>
  <si>
    <t>Vectilžas VFP</t>
  </si>
  <si>
    <t>Vīksnas VFP</t>
  </si>
  <si>
    <t>Balvu Centrālā bibliotēka</t>
  </si>
  <si>
    <t>KAC pasākumi</t>
  </si>
  <si>
    <t>Briežuciema Tautas nams</t>
  </si>
  <si>
    <t>Krišjāņu Tautas nams</t>
  </si>
  <si>
    <t>Kubulu kultūras nams</t>
  </si>
  <si>
    <t>Vīksnas Tautas nams</t>
  </si>
  <si>
    <t>Pārējie pasākumi, sabiedriskās attiecības</t>
  </si>
  <si>
    <t>PII Pīlādzītis</t>
  </si>
  <si>
    <t>PII Sienāzītis</t>
  </si>
  <si>
    <t>Bērzkalnes PII</t>
  </si>
  <si>
    <t>PII Ieviņa</t>
  </si>
  <si>
    <t>Stacijas pamatskola</t>
  </si>
  <si>
    <t>Balvu Valsts ģimnāzija</t>
  </si>
  <si>
    <t>Balvu mūzikas skola</t>
  </si>
  <si>
    <t>Balvu mākslas skola</t>
  </si>
  <si>
    <t>Balvu sporta skola</t>
  </si>
  <si>
    <t>Transporta izdevumu kompensācija skolēniem</t>
  </si>
  <si>
    <t>Pansionāts "Balvi"</t>
  </si>
  <si>
    <t>Bāriņtiesa</t>
  </si>
  <si>
    <t>Sociālo māju uzturēšana</t>
  </si>
  <si>
    <t>Asisitenta pakalpojumi personām ar invaliditāti</t>
  </si>
  <si>
    <t>KOPĀ</t>
  </si>
  <si>
    <t>Balvu sporta skolas Peldbaseins</t>
  </si>
  <si>
    <t>Balvu Profesionālā un vispārizglītojošā vidusskola</t>
  </si>
  <si>
    <t>Atskurbtuves uzturēšana</t>
  </si>
  <si>
    <t>Profesionālā sociālā darba attīstība pašvaldībās</t>
  </si>
  <si>
    <t>Deinstitucionālizācijas pasākumu īstenošana Latgales reģionā</t>
  </si>
  <si>
    <t>Latgales speciālās ekonomiskās zonas atbalsts</t>
  </si>
  <si>
    <t>Projekts "Karjeras atbalsts vispārējās un profesionālās izglītības iestādēs"</t>
  </si>
  <si>
    <t>Ziemeļlatgales biznesa un tūrisma centrs</t>
  </si>
  <si>
    <t>Sociālie pakalpojumi</t>
  </si>
  <si>
    <t>Programma "Latvijas skolas soma"</t>
  </si>
  <si>
    <t>Balvu pilsētas autoceļu (ielu) uzturēšana</t>
  </si>
  <si>
    <t>Balvu pagasta autoceļu (ielu) uzturēšana</t>
  </si>
  <si>
    <t>Bērzkalnes pagasta autoceļu (ielu) uzturēšana</t>
  </si>
  <si>
    <t>Bērzpils pagasta autoceļu (ielu) uzturēšana</t>
  </si>
  <si>
    <t>Briežuciema pagasta autoceļu (ielu) uzturēšana</t>
  </si>
  <si>
    <t>Krišjāņu pagasta autoceļu (ielu) uzturēšana</t>
  </si>
  <si>
    <t>Kubulu pagasta autoceļu (ielu) uzturēšana</t>
  </si>
  <si>
    <t>Lazdulejas pagasta autoceļu (ielu) uzturēšana</t>
  </si>
  <si>
    <t>Tilžas pagasta autoceļu (ielu) uzturēšana</t>
  </si>
  <si>
    <t>Vectilžas pagasta autoceļu (ielu) uzturēšana</t>
  </si>
  <si>
    <t>Vīksnas pagasta autoceļu (ielu) uzturēšana</t>
  </si>
  <si>
    <t>Vides piesārņojuma novēršana un samazināšana (dabas resursu nodoklis)</t>
  </si>
  <si>
    <t>Balvu Kultūras un atpūtas centrs</t>
  </si>
  <si>
    <t>Norēķini ar citām pašvaldībām par izglītības pakalpojumiem</t>
  </si>
  <si>
    <t>Balvu Novada muzejs</t>
  </si>
  <si>
    <t>Balvu sākumskola</t>
  </si>
  <si>
    <t>Daudzfunkcionālais sociālo pakalpojumu centrs</t>
  </si>
  <si>
    <t>Sociālā rakstura maksājumi un kompensācijas</t>
  </si>
  <si>
    <t>Transferti</t>
  </si>
  <si>
    <t xml:space="preserve"> Atlīdzība</t>
  </si>
  <si>
    <t>Preces un pakalpojumi</t>
  </si>
  <si>
    <t>Subsīdijas un dotācijas</t>
  </si>
  <si>
    <t>Procentu maksājumi</t>
  </si>
  <si>
    <t>Pamatkapitāla veidošana</t>
  </si>
  <si>
    <t>Izdevumi pa ekonomiskās klasifikācijas kodiem (EUR)</t>
  </si>
  <si>
    <t>Viļakas pilsētas pārvalde</t>
  </si>
  <si>
    <t>Valsts un pašvaldības vienotais klientu apkalpošanas centrs</t>
  </si>
  <si>
    <t>Baltinavas pagasta pārvalde</t>
  </si>
  <si>
    <t>Kupravas pagasta pārvalde</t>
  </si>
  <si>
    <t>Medņevas pagasta pārvalde</t>
  </si>
  <si>
    <t>Susāju pagasta pārvalde</t>
  </si>
  <si>
    <t>Šķilbēnu pagasta pārvalde</t>
  </si>
  <si>
    <t>Vecumu pagasta pārvalde</t>
  </si>
  <si>
    <t>Žīguru pagasta pārvalde</t>
  </si>
  <si>
    <t>Susāju pārvaldes teritorijas apsaimniekošana</t>
  </si>
  <si>
    <t>Medņevas komunālā saimniecība</t>
  </si>
  <si>
    <t>Viļakas pilsētas komunālā saimniecība-ūdens</t>
  </si>
  <si>
    <t>Medņevas pagasta teritorijas apsaimniekošana</t>
  </si>
  <si>
    <t>Šķilbēnu pagasta teritorijas apsaimniekošana</t>
  </si>
  <si>
    <t xml:space="preserve"> Vecumu pagasta teritorijas apsaimniekošana</t>
  </si>
  <si>
    <t>Žīguru pagasta teritorijas apsaimniekošana</t>
  </si>
  <si>
    <t>Kupravas pārvaldes pašvaldības dzīvokļu uzturēšana</t>
  </si>
  <si>
    <t>Viļakas pilsētas pašvaldības dzīvokļu uzturēšana</t>
  </si>
  <si>
    <t>Kupravas komunālā saimniecība</t>
  </si>
  <si>
    <t>Žīguru pārvaldes pašvaldības  dzīvokļu uzturēšana</t>
  </si>
  <si>
    <t>Viļakas pilsētas labiekārtošana</t>
  </si>
  <si>
    <t>Šķilbēnu komunālā saimniecība</t>
  </si>
  <si>
    <t>Vecumu pārvaldes pašvaldības dzīvokļu uzturēšana</t>
  </si>
  <si>
    <t>Upītes FVP</t>
  </si>
  <si>
    <t>Rugāju sociālās aprūpes centrs</t>
  </si>
  <si>
    <t>Viļakas sociālās aprūpes centrs</t>
  </si>
  <si>
    <t>Šķilbēnu sociālās aprūpes māja</t>
  </si>
  <si>
    <t>Lazdukalna saieta nams</t>
  </si>
  <si>
    <t>Skujetnieku FVP</t>
  </si>
  <si>
    <t>Kultūrvēsturiskā lauku sēta "Vēršukalns"</t>
  </si>
  <si>
    <t>Viļakas muzejs</t>
  </si>
  <si>
    <t xml:space="preserve">Rugāju muzejs  </t>
  </si>
  <si>
    <t>Lazdukalna pagasta pārvalde</t>
  </si>
  <si>
    <t>Rugāju pagasta pārvalde</t>
  </si>
  <si>
    <t>Algotie pagaidu sabiedriskie darbi</t>
  </si>
  <si>
    <t>Balkanu Dabas parks</t>
  </si>
  <si>
    <t xml:space="preserve">Ūdenssaimniecības attīstība Rugājos 2.kārta </t>
  </si>
  <si>
    <t>Lazdukalna pagasta komunālā saimniecība</t>
  </si>
  <si>
    <t>Rugāju pagasta komunālā saimniecība</t>
  </si>
  <si>
    <t>Lazdukalna pagasta ūdensapgāde</t>
  </si>
  <si>
    <t>Rugāju pagasta ūdensapgāde</t>
  </si>
  <si>
    <t>Kupravas feldšeru punkts</t>
  </si>
  <si>
    <t>Baltinavas muzejs</t>
  </si>
  <si>
    <t>Baltinavas kultūras nams</t>
  </si>
  <si>
    <t>Žīguru kultūras nams</t>
  </si>
  <si>
    <t>Viļakas kultūras nams</t>
  </si>
  <si>
    <t>Medņevas Tautas nams</t>
  </si>
  <si>
    <t>Šķilbēnu pagasta kultūras centrs "Rekova"</t>
  </si>
  <si>
    <t>Skolēnu pārvadāšana Šķilbēnu pārvalde</t>
  </si>
  <si>
    <t>Viļakas mūzikas un mākslas skola</t>
  </si>
  <si>
    <t>Rekavas vidusskola</t>
  </si>
  <si>
    <t>Viduču pamatskola</t>
  </si>
  <si>
    <t>Projekts "Atbalsts izglītojamo individuālo kompetenču attīstībai"</t>
  </si>
  <si>
    <t>Viļakas pirmsskolas izglītības iestāde "Namiņš"</t>
  </si>
  <si>
    <t>Medņevas pirmsskolas izglītības iestāde "Pasaciņa"</t>
  </si>
  <si>
    <t>Eglaines pamatskola</t>
  </si>
  <si>
    <t>Izglītības pārvalde</t>
  </si>
  <si>
    <t>Baltinavas mūzikas un mākslas skola</t>
  </si>
  <si>
    <t>Baltinavas vidusskola</t>
  </si>
  <si>
    <t>Veļas mazgāšanas pakalpojumi (Rugāji)</t>
  </si>
  <si>
    <t>Bērzpils pamatskola</t>
  </si>
  <si>
    <t>Rugāju vidusskola</t>
  </si>
  <si>
    <t>Ziemeļlatgales sporta centrs</t>
  </si>
  <si>
    <t>Izglītības pārvaldes pasākumi</t>
  </si>
  <si>
    <t>Kultūras pārvalde</t>
  </si>
  <si>
    <t>Kultūras pārvaldes pasākumi</t>
  </si>
  <si>
    <t>Bijušo pagastu padomju un pilsētu domju vadītāju pabalsti</t>
  </si>
  <si>
    <t>Svētku un atceres dienu pabalsti</t>
  </si>
  <si>
    <t>Balvu novada pašvaldības dzīvojamā fonda atjaunošana</t>
  </si>
  <si>
    <t>Pašvaldības aizņēmumu apkalpošana un procentu maksa</t>
  </si>
  <si>
    <t>Tehniskās dokumentācijas izstrāde</t>
  </si>
  <si>
    <t>Sociālā pārvalde</t>
  </si>
  <si>
    <t>Dienas sociālas aprūpes centrs Benislavā</t>
  </si>
  <si>
    <t>Dienas aprūpes centrs un grupu dzīvokļi (māja) Viļakā</t>
  </si>
  <si>
    <t>Zobārstniecības kabinets  (Rugāju pagastā)</t>
  </si>
  <si>
    <t>Novada teritorijas īpašuma vadība</t>
  </si>
  <si>
    <t xml:space="preserve">Biznesa ideju konkurss </t>
  </si>
  <si>
    <t>Rugāju tautas nams</t>
  </si>
  <si>
    <t>Skolēnu pārvadājumi Krišjāņu pagastā</t>
  </si>
  <si>
    <t>Novada teritorijas apsaimniekošana</t>
  </si>
  <si>
    <t>Skolēnu pārvadājumi Lazdulejas pagastā</t>
  </si>
  <si>
    <t>Skolēnu pārvadājumi Bērzkalnes pagastā</t>
  </si>
  <si>
    <t>Skolēnu pārvadājumi Bērzpils pagastā</t>
  </si>
  <si>
    <t>Rubeņu Tautas nams</t>
  </si>
  <si>
    <t>Vecumu pagasta komunālā saimniecība</t>
  </si>
  <si>
    <t>Lazdulejas Saieta nams</t>
  </si>
  <si>
    <t>Bērzpils Saieta nams</t>
  </si>
  <si>
    <t>Skolēnu pārvadājumi Vīksnas pagastā</t>
  </si>
  <si>
    <t>Skolēnu pārvadājumi Rugāju pagastā</t>
  </si>
  <si>
    <t>Baltinavas pagasta ūdensapgāde</t>
  </si>
  <si>
    <t>Balvu pagasta ūdensapgāde</t>
  </si>
  <si>
    <t>Balvu pilsētas pārvalde</t>
  </si>
  <si>
    <t>Naudaskalna Tautas nams</t>
  </si>
  <si>
    <t>Ziemeļlatgales sporta centra pasākumi</t>
  </si>
  <si>
    <t>Vectilžas Sporta un atpūtas centrs</t>
  </si>
  <si>
    <t>Skolēnu pārvadājumi Vectilžas pagastā</t>
  </si>
  <si>
    <t>Skolēnu pārvadājumi Baltinavas pagastā</t>
  </si>
  <si>
    <t>Skolēnu pārvadāšana Viļakā</t>
  </si>
  <si>
    <t>Komisiju darba samaksa</t>
  </si>
  <si>
    <t>Skolēnu pārvadājumi Kubulu pagastā</t>
  </si>
  <si>
    <t>Baltinavas pagasta teritorijas apsiamniekošana</t>
  </si>
  <si>
    <t>Skolēnu pārvadājumi Tilžas pagastā</t>
  </si>
  <si>
    <t>Tilžas kultūras un vēstures nams</t>
  </si>
  <si>
    <t>Lazdukalna pagasta autoceļu (ielu) uzturēšana</t>
  </si>
  <si>
    <t>Medņevas pagasta autoceļu (ielu) uzturēšana</t>
  </si>
  <si>
    <t>Kupravas pagasta autoceļu (ielu) uzturēšana</t>
  </si>
  <si>
    <t>Rugāju pagasta autoceļu (ielu) uzturēšana</t>
  </si>
  <si>
    <t>Baltinavas pagasta autoceļu (ielu) uzturēšana</t>
  </si>
  <si>
    <t>Susāju pagasta autoceļu (ielu) uzturēšana</t>
  </si>
  <si>
    <t>Šķilbēnu pagasta autoceļu (ielu) uzturēšana</t>
  </si>
  <si>
    <t>Žīguru pagasta autoceļu (ielu) uzturēšana</t>
  </si>
  <si>
    <t>Viļakas pilsētas autoceļu (ielu) uzturēšana</t>
  </si>
  <si>
    <t>Vecumu pagasta autoceļu (ielu) uzturēšana</t>
  </si>
  <si>
    <t xml:space="preserve">Atbalsts priekšlaicīgas mācību pārtraukšanas samazināšanai </t>
  </si>
  <si>
    <t>Balvu pilsētas stadiona uzturēšana</t>
  </si>
  <si>
    <t>Dotācijas nevalstiskajām organizācijām, biedrībām projektu līdzfinansējumam, priekšfinansējumam</t>
  </si>
  <si>
    <t>Politiski represēto apvienība Balvu nodaļa</t>
  </si>
  <si>
    <t>Balvu pensionāru biedrība</t>
  </si>
  <si>
    <t>Balvu Teritoriālā Invalīdu biedrība</t>
  </si>
  <si>
    <t>Bērzpils pamatskolas pirmsskolas izglītības grupa Krišjāņos</t>
  </si>
  <si>
    <t>Tilžas pamatskola</t>
  </si>
  <si>
    <t>Tilžas pamatskolas pirmsskolas izglītības grupa Vectilžā</t>
  </si>
  <si>
    <t>Tilžas pamatskolas pirmsskolas izglītības grupas Tilžā</t>
  </si>
  <si>
    <t>Balvu novada Bērnu un jauniešu centrs</t>
  </si>
  <si>
    <t>Sociālie pabalsti</t>
  </si>
  <si>
    <t>Baltinavas muzeja ēkas energoefektivitātes paaugstināšana</t>
  </si>
  <si>
    <t>Rugāju pagasta pārvaldes ēkas energoefektivitātes paaugstināšana</t>
  </si>
  <si>
    <t>Muižas apbūves kompleksa pārbūve 2.kārta</t>
  </si>
  <si>
    <t>Mācību, darba un dienesta komandējumi, darba braucieni</t>
  </si>
  <si>
    <t>Pakalpojumi</t>
  </si>
  <si>
    <t>Krājumi, materiāli, energoresursi, preces, biroja preces un inventārs</t>
  </si>
  <si>
    <t xml:space="preserve">Budžeta iestāžu nodokļu, nodevu un sankciju maksājumi </t>
  </si>
  <si>
    <t>ERAF projekts Balvu mākslas skolas ēkas energoefektivitātes paaugstināšana</t>
  </si>
  <si>
    <t>Vides pieejamības veicināšana Balvu novada Nodarbinātības valsts aģentūrā</t>
  </si>
  <si>
    <t>Balvu sākumskolas pārbūve</t>
  </si>
  <si>
    <t>Viduču pamatskola Žīguros</t>
  </si>
  <si>
    <t>Erasmus + projekts Play, Learn, Act, Ensure Sustainable Development Viļakas Valsts ģimnāzija</t>
  </si>
  <si>
    <t>Klasifikācijas kods</t>
  </si>
  <si>
    <t>Iestādes un pasākumi</t>
  </si>
  <si>
    <t>Finansēšanas avots</t>
  </si>
  <si>
    <t xml:space="preserve">Kopā </t>
  </si>
  <si>
    <t>Vispārējie ieņēmumi</t>
  </si>
  <si>
    <t xml:space="preserve">Budžeta iestāžu ieņēmumi </t>
  </si>
  <si>
    <t>Valsts un pašvaldību transferti</t>
  </si>
  <si>
    <t>Aizņēmumi</t>
  </si>
  <si>
    <t>01.000</t>
  </si>
  <si>
    <t>Vispārējie valdības dienesti</t>
  </si>
  <si>
    <t>Rugāju  pagasta pārvalde</t>
  </si>
  <si>
    <t>03.000</t>
  </si>
  <si>
    <t>Sabiedriskā kārtība un drošība</t>
  </si>
  <si>
    <t>04.000</t>
  </si>
  <si>
    <t>Ekonomiskā darbība</t>
  </si>
  <si>
    <t>Balvu novada Būvvalde</t>
  </si>
  <si>
    <t>Ziemeļlatgales biznesa  un tūrisma centrs</t>
  </si>
  <si>
    <t>Biznesa ideju konkurss</t>
  </si>
  <si>
    <t>05.000</t>
  </si>
  <si>
    <t>Vides aizsardzība</t>
  </si>
  <si>
    <t>06.000</t>
  </si>
  <si>
    <t>Pašvaldības teritoriju un mājokļu apsaimniekošana</t>
  </si>
  <si>
    <t>Ielu apgaismojums</t>
  </si>
  <si>
    <t xml:space="preserve">Pārējā citur neklasificētā teritoriju un mājokļu apsaimniekošanas darbība </t>
  </si>
  <si>
    <t>Bērzkalnes pagasta komunālā saimniecība</t>
  </si>
  <si>
    <t>P/A "SAN-TEX"</t>
  </si>
  <si>
    <t>07.000</t>
  </si>
  <si>
    <t>Veselība</t>
  </si>
  <si>
    <t>Briežuciema feldšeru veselības punkts</t>
  </si>
  <si>
    <t>Krišjāņu feldšeru veselības punkts</t>
  </si>
  <si>
    <t>Kubulu feldšeru veselības punkts</t>
  </si>
  <si>
    <t>Lazdulejas feldšeru veselības punkts</t>
  </si>
  <si>
    <t>Skujetnieku feldšeru veselības punkts</t>
  </si>
  <si>
    <t>Upītes feldšeru-vecmāšu punkts</t>
  </si>
  <si>
    <t>Vectilžas feldšeru veselības punkts</t>
  </si>
  <si>
    <t>Vīksnas feldšeru veselības punkts</t>
  </si>
  <si>
    <t>Zobārstniecības kabinets (Rugāji)</t>
  </si>
  <si>
    <t>08.000</t>
  </si>
  <si>
    <t>Atpūtas un sporta pasākumi</t>
  </si>
  <si>
    <t>Kultūra</t>
  </si>
  <si>
    <t>Bibliotēkas</t>
  </si>
  <si>
    <t>Muzeji</t>
  </si>
  <si>
    <t>Balvu novada muzejs</t>
  </si>
  <si>
    <t>Kultūras nami</t>
  </si>
  <si>
    <t>Briežuciema pagasta Tautas nams</t>
  </si>
  <si>
    <t>Lazdulejas saieta nams</t>
  </si>
  <si>
    <t>Nemateriālās kultūras mantojuma centrs "Upīte"</t>
  </si>
  <si>
    <t>Balvu kultūras un atpūtas centra pasākumi</t>
  </si>
  <si>
    <t>08.600</t>
  </si>
  <si>
    <t>Pārējā citur neklasificētā kultūra</t>
  </si>
  <si>
    <t>09.000</t>
  </si>
  <si>
    <t>Izglītība</t>
  </si>
  <si>
    <t>Pirmsskolas izglītība</t>
  </si>
  <si>
    <t>Pamatizglītība, vispārējā un profesionālā izglītība</t>
  </si>
  <si>
    <t>Pamatskola</t>
  </si>
  <si>
    <t>Eglaines pamatkola</t>
  </si>
  <si>
    <t>Bērzpils pamatskolas Krišjāņu pirmsskolas grupa</t>
  </si>
  <si>
    <t>Vidusskolas</t>
  </si>
  <si>
    <t>Balvu profesionālā un vispāizglītojošā vidusskola</t>
  </si>
  <si>
    <t>Interešu un profesionālās ievirzes izglītība</t>
  </si>
  <si>
    <t>Peldbaseins</t>
  </si>
  <si>
    <t>Balvu Bērnu un jauniešu centrs</t>
  </si>
  <si>
    <t>Pārējā izglītības vadība</t>
  </si>
  <si>
    <t>Pārējie citur neklasificētie izglītības pakalpojumi</t>
  </si>
  <si>
    <t>10.000</t>
  </si>
  <si>
    <t>Sociālā aizsardzība</t>
  </si>
  <si>
    <t>Pārējais citur neklasificēts atbalsts sociāli atstumtām personām</t>
  </si>
  <si>
    <t>Dotācijas biedrībām aktivitāšu atbalstam</t>
  </si>
  <si>
    <t>Asistenta pakalpojumi personām ar invaliditāti</t>
  </si>
  <si>
    <t>Kupravas pagasta komunālā saimniecība</t>
  </si>
  <si>
    <t>Medņevas pagasta komunālā saimniecība</t>
  </si>
  <si>
    <t>Šķilbēnu pagasta komunālā saimniecība</t>
  </si>
  <si>
    <t>Vecumu pagasta teritorijas apsaimniekošana</t>
  </si>
  <si>
    <t>Ieņēmumi</t>
  </si>
  <si>
    <t>Ieņēmumu veidi</t>
  </si>
  <si>
    <t>KOPĀ (EUR)</t>
  </si>
  <si>
    <t>Vispārējie pamatbudžeta ieņēmumi (EUR)</t>
  </si>
  <si>
    <t>Maksas pakalpojumi un pašu ieņēmumi (EUR)</t>
  </si>
  <si>
    <t>Valsts mērķdotācijas (EUR)</t>
  </si>
  <si>
    <t>I</t>
  </si>
  <si>
    <t>IEŅĒMUMI KOPĀ</t>
  </si>
  <si>
    <t>Nodokļu ieņēmumi</t>
  </si>
  <si>
    <t>1.0.0.0.</t>
  </si>
  <si>
    <t>IENĀKUMA NODOKĻI</t>
  </si>
  <si>
    <t>1.1.1.0</t>
  </si>
  <si>
    <t>Iedzīvotāju ienākuma nodoklis</t>
  </si>
  <si>
    <t>1.1.1.2</t>
  </si>
  <si>
    <t>4.0.0.0.</t>
  </si>
  <si>
    <t>ĪPAŠUMA NODOKĻI</t>
  </si>
  <si>
    <t>4.1.0.0</t>
  </si>
  <si>
    <t>Nekustamā īpašuma nodoklis</t>
  </si>
  <si>
    <t>4.1.1.0</t>
  </si>
  <si>
    <t>Nekustamā īpašuma nodoklis par zemi</t>
  </si>
  <si>
    <t>4.1.1.1</t>
  </si>
  <si>
    <t>Nekustamā īpašuma nodokļa par zemi kārtējā saimnieciskā gada ieņēmumi</t>
  </si>
  <si>
    <t>4.1.1.2</t>
  </si>
  <si>
    <t>4.1.2.0</t>
  </si>
  <si>
    <t>Nekustamā īpašuma nodokļi par ēkām</t>
  </si>
  <si>
    <t>4.1.2.1</t>
  </si>
  <si>
    <t>Nekustamā īpašuma nodoklis par ēkām kārtējā  gada maksājumi</t>
  </si>
  <si>
    <t>t.sk. par inženierbūvēm</t>
  </si>
  <si>
    <t>4.1.2.2</t>
  </si>
  <si>
    <t>4.1.3.0</t>
  </si>
  <si>
    <t>Nekustamā īpašuma nodokļi par mājokļiem</t>
  </si>
  <si>
    <t>4.1.3.1.</t>
  </si>
  <si>
    <t>Nekustamā īpašuma nodokļa par mājokļiem kārtējā saimnieciskā gada ieņēmumi</t>
  </si>
  <si>
    <t>4.1.3.2.</t>
  </si>
  <si>
    <t>5.0.0.0.</t>
  </si>
  <si>
    <t xml:space="preserve">NODOKĻI PAR PAKALPOJUMIEM UN PRECĒM </t>
  </si>
  <si>
    <t>5.4.0.0.</t>
  </si>
  <si>
    <t>Nodokļi par atsevišķām precēm un pakalpojumu veidiem</t>
  </si>
  <si>
    <t>5.4.1.0</t>
  </si>
  <si>
    <t>Azartspēļu nodoklis</t>
  </si>
  <si>
    <t>5.5.0.0.</t>
  </si>
  <si>
    <t>Nodokļi un maksājumi par tiesībām lietot atsevišķas preces</t>
  </si>
  <si>
    <t>5.5.3.0.</t>
  </si>
  <si>
    <t>Dabas resursu nodoklis</t>
  </si>
  <si>
    <t>Nenodokļu ieņēmumi</t>
  </si>
  <si>
    <t>8.0.0.0.</t>
  </si>
  <si>
    <t>Ieņēmumi no uzņēmējdarbības un īpašuma</t>
  </si>
  <si>
    <t>8.6.0.0.</t>
  </si>
  <si>
    <t>Procentu ieņēmumi par depozītiem, kontu atlikumiem, valsts parāda vērtspapīriem un atlikto maksājumu</t>
  </si>
  <si>
    <t>9.0.0.0.</t>
  </si>
  <si>
    <t>VALSTS (PAŠVALDĪBU) NODEVAS UN KANCELEJAS NODEVAS</t>
  </si>
  <si>
    <t>9.4.0.0.</t>
  </si>
  <si>
    <t>Valsts nodevas, kuras ieskaita valsts budžetā</t>
  </si>
  <si>
    <t>9.4.2.0.</t>
  </si>
  <si>
    <t>Valsts nodeva par apliecinājumiem un citu funkciju pildīšanu bāriņtiesās</t>
  </si>
  <si>
    <t>9.4.5.0.</t>
  </si>
  <si>
    <t>Valsts nodeva par civilstāvokļa aktu reģistrēšanu, grozīšanu un papildināšanu</t>
  </si>
  <si>
    <t>9.4.9.0.</t>
  </si>
  <si>
    <t>Pārējās valsts nodevas, kuras ieskaita pašvaldību budžetos</t>
  </si>
  <si>
    <t>9.4.9.1.</t>
  </si>
  <si>
    <t>Nodeva par dzīves vietas deklarēšanu</t>
  </si>
  <si>
    <t>9.5.0.0.</t>
  </si>
  <si>
    <t>Pašvaldības nodevas</t>
  </si>
  <si>
    <t>9.5.1.2.</t>
  </si>
  <si>
    <t>Pašvaldības nodeva par izklaidējoša rakstura pasākumu sarīkošanu publiskās vietās</t>
  </si>
  <si>
    <t>9.5.1.4.</t>
  </si>
  <si>
    <t>Pašvaldības nodeva par tirdzniecību publiskās vietās</t>
  </si>
  <si>
    <t>9.5.1.7.</t>
  </si>
  <si>
    <t>Pašvaldības nodeva par reklāmas,afišu un sludinājumu izvietošanu publiskajās vietās</t>
  </si>
  <si>
    <t>9.5.2.1.</t>
  </si>
  <si>
    <t>Pašvaldības nodeva par būvatļaujas saņemšanu</t>
  </si>
  <si>
    <t>9.5.2.9.</t>
  </si>
  <si>
    <t>Pārējās nodevas, ko uzliek pašvaldības</t>
  </si>
  <si>
    <t>10.0.0.0.</t>
  </si>
  <si>
    <t>NAUDAS SODI UN SANKCIJAS</t>
  </si>
  <si>
    <t>10.1.4.0.</t>
  </si>
  <si>
    <t xml:space="preserve">Naudas sodi, ko uzliek pašvaldības </t>
  </si>
  <si>
    <t>10.1.4.1.</t>
  </si>
  <si>
    <t>Naudas sodi, ko uzliek pašvaldības administratīvo pārkāpumu komisija</t>
  </si>
  <si>
    <t>10.1.4.2.</t>
  </si>
  <si>
    <t>Naudas sodi, ko uzliek pašvaldības policija</t>
  </si>
  <si>
    <t>10.1.5.0.</t>
  </si>
  <si>
    <t>Naudas sodi, ko uzliek pašvaldību institūcijas  par pārkāpumiem ceļu satiksmē</t>
  </si>
  <si>
    <t>12.0.0.0.</t>
  </si>
  <si>
    <t>PĀRĒJIE NENODOKĻU IEŅĒMUMI</t>
  </si>
  <si>
    <t>12.3.9.9.</t>
  </si>
  <si>
    <t>Pārējie dažādi nenodokļu ieņēmumi, kas nav iepriekš klasificēti šajā klasifikācijā</t>
  </si>
  <si>
    <t>12.3.9.9.4</t>
  </si>
  <si>
    <t>Pārējie ieņēmumi</t>
  </si>
  <si>
    <t>Ziemeļlatgales sporta centrs (pasākumi)</t>
  </si>
  <si>
    <t>Latvijas darba devēju konfederācijas finansējums Balvu Profesionālajai un vispārizglītojošai vidusskolai</t>
  </si>
  <si>
    <t>13.0.0.0.</t>
  </si>
  <si>
    <t>IEŅĒMUMI NO VALSTS (PAŠVALDĪBAS) ĪPAŠUMA IZNOMĀŠANAS  PĀRDOŠANAS</t>
  </si>
  <si>
    <t>13.1.0.0.</t>
  </si>
  <si>
    <t>Ieņēmumi no ēku un būvju īpašuma pārdošanas</t>
  </si>
  <si>
    <t>13.2.0.0.</t>
  </si>
  <si>
    <t>Ieņēmumi no zemes, mežu īpašuma pārdošanas</t>
  </si>
  <si>
    <t>13.2.1.0.</t>
  </si>
  <si>
    <t>Ieņēmumi no zemes īpašuma pārdošanas</t>
  </si>
  <si>
    <t>13.2.2.0.</t>
  </si>
  <si>
    <t>Ieņēmumi no mežu īpašumu pārdošanas</t>
  </si>
  <si>
    <t>17.0.0.0.</t>
  </si>
  <si>
    <t>NO VALSTS BUDŽETA DAĻĒJI FINANSĒTO PUBLISKO PERSONU UN BUDŽETA NEFINANSĒTO IESTĀŽU TRANSFERTI</t>
  </si>
  <si>
    <t>Latgales plānošanas reģiona finansējums projektam "Deinstitucionalizācijas pasākumu īstenošana Latgales reģionā"</t>
  </si>
  <si>
    <t>17.2.0.0.</t>
  </si>
  <si>
    <t>Dienas aprūpes centrs un grupu dzīvokļi Viļaka</t>
  </si>
  <si>
    <t>18.0.0.0.</t>
  </si>
  <si>
    <t>VALSTS BUDŽETA TRANSFERTI</t>
  </si>
  <si>
    <t>18.6.2.0.</t>
  </si>
  <si>
    <t>Pašvaldības saņemtie valsts budžeta transferti noteiktam mērķim</t>
  </si>
  <si>
    <t>18.6.2.0.02</t>
  </si>
  <si>
    <t>Mērķdotācijas pašvaldību pamata un vispārējās izglītības iestāžu pedagogu darba samaksai un valsts sociālās apdrošināšanas obligātajām iemaksām</t>
  </si>
  <si>
    <t>Mērķdotācijas pašvaldību profesionālās pamatizglītības, arodizglītības un profesionālās vidējās izglītības programmu pedagogu darba samaksai un valsts sociālās apdrošināšanas obligātajām iemaksām</t>
  </si>
  <si>
    <t>Mērķdotācija interešu izglītības programmu pedagogu daļējai darba samaksai un valsts sociālās apdrošināšanas obligātajām iemaksām</t>
  </si>
  <si>
    <t>18.6.2.0.03</t>
  </si>
  <si>
    <t>18.6.2.0.04</t>
  </si>
  <si>
    <t>Mērķdotācija audžuģimenēm par bērna uzturnaudas palielināšanu</t>
  </si>
  <si>
    <t>18.6.2.0.05</t>
  </si>
  <si>
    <t>Valsts dotācija autoceļu (ielu) uzturēšanai</t>
  </si>
  <si>
    <t>18.6.2.0.06</t>
  </si>
  <si>
    <t>Valsts dotācija sporta skolai</t>
  </si>
  <si>
    <t>18.6.2.0.07</t>
  </si>
  <si>
    <t>Valsts dotācija mūzikas un mākslas skolām</t>
  </si>
  <si>
    <t>18.6.2.0.08</t>
  </si>
  <si>
    <t>18.6.2.0.13</t>
  </si>
  <si>
    <t>MD māksliniecisko kolektīvu vadītāju darba samaksai un valsts sociālās apdrošināšanas obligātajām iemaksām</t>
  </si>
  <si>
    <t>Lazdukalna Saieta nams</t>
  </si>
  <si>
    <t>Briežuciema tautas nams</t>
  </si>
  <si>
    <t>Vīksnas tautas nams</t>
  </si>
  <si>
    <t>Viļakas Kultūras nams</t>
  </si>
  <si>
    <t>Medņevas tautas nams</t>
  </si>
  <si>
    <t>Vectilžas sporta un atpūtas centrs</t>
  </si>
  <si>
    <t>18.6.2.0.14</t>
  </si>
  <si>
    <t>Valsts un pašvaldības vienotā klientu apkalpošanas centra uzturēšana</t>
  </si>
  <si>
    <t>Latvijas Skolas soma</t>
  </si>
  <si>
    <t>18.6.2.0.18.</t>
  </si>
  <si>
    <t>18.6.2.0.23</t>
  </si>
  <si>
    <t>Feldšerpunktu dotācija</t>
  </si>
  <si>
    <t>Briežuciema feldšeru punkts</t>
  </si>
  <si>
    <t>Krišjāņu feldšeru punkts</t>
  </si>
  <si>
    <t>Lazdulejas feldšeru punkts</t>
  </si>
  <si>
    <t>Vectilžas feldšeru punkts</t>
  </si>
  <si>
    <t>Vīksnas feldšeru punkts</t>
  </si>
  <si>
    <t>Kubulu feldšeru punkts</t>
  </si>
  <si>
    <t>Skujetnieku feldšeru punkts</t>
  </si>
  <si>
    <t>Upītes feldšeru punkts</t>
  </si>
  <si>
    <t>18.6.2.0.20</t>
  </si>
  <si>
    <t>LM finansējums asistenta pakalpojumiem personām ar invaliditāti</t>
  </si>
  <si>
    <t>18.6.2.0.30</t>
  </si>
  <si>
    <t>18.6.2.0.47</t>
  </si>
  <si>
    <t>18.6.2.0.54</t>
  </si>
  <si>
    <t>Valsts dotācija mājokļa pabalstam</t>
  </si>
  <si>
    <t>18.6.3.0.</t>
  </si>
  <si>
    <t>Pašvaldību no valsts budžeta iestādēm saņemtie transferti ES politiku instrumentu un pārējās ārvalstu finanšu palīdzības līdzfinansētajiem projektiem (pasākumiem)</t>
  </si>
  <si>
    <t>18.6.3.0.04</t>
  </si>
  <si>
    <t>Atbalsts izglītojāmo individuālo kompetenču attīstībai</t>
  </si>
  <si>
    <t>18.6.3.0.05</t>
  </si>
  <si>
    <t>18.6.3.0.15</t>
  </si>
  <si>
    <t>Atbalsts priekšlaicīgas mācību pārtraukšanas samazināšanai</t>
  </si>
  <si>
    <t>18.6.4.0.</t>
  </si>
  <si>
    <t>Pašvaldību budžetā saņemta dotācijas no pašvaldības finanšu izlīdzināšanas fonda</t>
  </si>
  <si>
    <t>Sociālās aprūpes centrs "Rugāji"</t>
  </si>
  <si>
    <t>Maksas pakalpojumi un citi pašu ieņēmumi</t>
  </si>
  <si>
    <t>21.3.0.0.</t>
  </si>
  <si>
    <t>Ieņēmumi no budžeta iestāžu sniegtajiem maksas pakalpojumiem un citi pašu ieņēmumi</t>
  </si>
  <si>
    <t>21.3.5.0.</t>
  </si>
  <si>
    <t>Maksa par izglītības pakalpojumiem</t>
  </si>
  <si>
    <t>21.3.5.1.</t>
  </si>
  <si>
    <t>Mācību maksa</t>
  </si>
  <si>
    <t>Balvu Mākslas skola</t>
  </si>
  <si>
    <t>Balvu Mūzikas skola</t>
  </si>
  <si>
    <t>Baltinavas Mūzikas un mākslas skola</t>
  </si>
  <si>
    <t>21.3.5.2.</t>
  </si>
  <si>
    <t>Ieņēmumi no vecāku maksām</t>
  </si>
  <si>
    <t>Medņevas PII "Pasaciņa"</t>
  </si>
  <si>
    <t>Viļakas PII "Namiņš"</t>
  </si>
  <si>
    <t>Baltinavas vidusskolas pirmsskolas izglītības grupas</t>
  </si>
  <si>
    <t>21.3.7.0.</t>
  </si>
  <si>
    <t>Ieņēmumi par dokumentu izsniegšanu un kancelejas pakalpojumiem</t>
  </si>
  <si>
    <t>21.3.7.9.</t>
  </si>
  <si>
    <t>Ieņēmumi par pārējo dokumentu izsniegšanu un pārējiem kancelejas pakalpojumiem</t>
  </si>
  <si>
    <t>21.3.8.0.</t>
  </si>
  <si>
    <t>Ieņēmumi par nomu un īri</t>
  </si>
  <si>
    <t>21.3.8.1.</t>
  </si>
  <si>
    <t>Ieņēmumi par telpu nomu (novads)</t>
  </si>
  <si>
    <t>Valsts un pašvaldības vienotā klientu apkalpošanas centrs</t>
  </si>
  <si>
    <t>Vīksnas pagasta Tautas nams</t>
  </si>
  <si>
    <t>21.3.8.3.</t>
  </si>
  <si>
    <t>Ieņēmumi no kustamā īpašuma iznomāšanas</t>
  </si>
  <si>
    <t>Viļakas Mūzikas un mākslas skola</t>
  </si>
  <si>
    <t>21.3.8.4.</t>
  </si>
  <si>
    <t>Ieņēmumi par zemes nomu</t>
  </si>
  <si>
    <t>21.3.8.9.</t>
  </si>
  <si>
    <t>Pārējie ieņēmumi par nomu un īri</t>
  </si>
  <si>
    <t>Žīguru pārvaldes pašvaldības dzīvokļu uzturēšana</t>
  </si>
  <si>
    <t>21.3.9.0.</t>
  </si>
  <si>
    <t>Ieņēmumi par pārējiem budžeta iestāžu sniegtajiem maksas pakalpojumiem</t>
  </si>
  <si>
    <t>21.3.9.1.</t>
  </si>
  <si>
    <t>Maksa par personu uzturēšanos sociālās aprūpes iestādēs</t>
  </si>
  <si>
    <t>21.3.9.2.</t>
  </si>
  <si>
    <t>Ieņēmumi no pacientu iemaksām un sniegtajiem rehabilitācijas un ārstniecības pakalpojumiem</t>
  </si>
  <si>
    <t>Kubulu FVP</t>
  </si>
  <si>
    <t>Krišjāņu FVP</t>
  </si>
  <si>
    <t>Lazdulejas FVP</t>
  </si>
  <si>
    <t>Vectilžas FVP</t>
  </si>
  <si>
    <t>Vīksnas FVP</t>
  </si>
  <si>
    <t>21.3.9.3.</t>
  </si>
  <si>
    <t>Ieņēmumi par biļešu realizāciju</t>
  </si>
  <si>
    <t>Bērzpils pagasta Saieta nams</t>
  </si>
  <si>
    <t>Kubulu Kultūras nams</t>
  </si>
  <si>
    <t>Rugāju Tautas nams</t>
  </si>
  <si>
    <t>Nemateiālās kultūras mantojuma centrs "Upīte"</t>
  </si>
  <si>
    <t>21.3.9.4.</t>
  </si>
  <si>
    <t>Ieņēmumi par dzīvokļu un komunālajiem pakalpojumiem</t>
  </si>
  <si>
    <t>Balvu novada pašvaldība</t>
  </si>
  <si>
    <t>P/A SAN-TEX</t>
  </si>
  <si>
    <t>21.3.9.4.2.</t>
  </si>
  <si>
    <t>Ieņēmumi par komunālājiem pakalpojumiem</t>
  </si>
  <si>
    <t>`</t>
  </si>
  <si>
    <t>21.3.9.4.3.</t>
  </si>
  <si>
    <t>Apsaimniekošanas maksa</t>
  </si>
  <si>
    <t xml:space="preserve">21.3.9.9. </t>
  </si>
  <si>
    <t>Citi ieņēmumi par maksas pakalpojumiem</t>
  </si>
  <si>
    <t>21.3.9.9.1.</t>
  </si>
  <si>
    <t>Ieņēmumi par skolēnu ēdināšanu</t>
  </si>
  <si>
    <t>21.3.9.9.2.</t>
  </si>
  <si>
    <t>Peldbaseina ieņēmumi</t>
  </si>
  <si>
    <t>21.3.9.9.4.</t>
  </si>
  <si>
    <t>Maksas pakalpojumi</t>
  </si>
  <si>
    <t>Pašvaldības policija (atskurbtuve)</t>
  </si>
  <si>
    <t>21.3.9.9.7.</t>
  </si>
  <si>
    <t>Ieņēmumi no darbinieku ēdināšanas</t>
  </si>
  <si>
    <t xml:space="preserve">Bērzkalnes PII </t>
  </si>
  <si>
    <t>21.4.0.0.</t>
  </si>
  <si>
    <t>Pārējie 2.3.0.0.0.grupā neklasificētie budžeta iestāžu ieņēmumi par budžeta iestāžu sniegtajiem maksas pakalpojumiem un citi pašu ieņēmumi</t>
  </si>
  <si>
    <t>21.4.2.9.</t>
  </si>
  <si>
    <t>Pārējie iepriekš neklasificētie īpašiem mērķiem noteiktie ieņēmumi</t>
  </si>
  <si>
    <t>21.4.9.0.</t>
  </si>
  <si>
    <t>Citi iepriekš neklasificētie pašu ieņēmumi</t>
  </si>
  <si>
    <t>Rādītāju nosaukumi</t>
  </si>
  <si>
    <t>Budžeta kategoriju kodi</t>
  </si>
  <si>
    <t>I IEŅĒMUMI - kopā</t>
  </si>
  <si>
    <t xml:space="preserve">  Ieņēmumi no iedzīvotāju ienākuma nodokļa</t>
  </si>
  <si>
    <t xml:space="preserve">  1.1.0.0.</t>
  </si>
  <si>
    <t xml:space="preserve">  Nekustamā īpašuma nodoklis</t>
  </si>
  <si>
    <t xml:space="preserve">  4.1.0.0.</t>
  </si>
  <si>
    <t>NODOKĻI PAR PAKALPOJUMIEM UN PRECĒM</t>
  </si>
  <si>
    <t xml:space="preserve">  Nodokļi un maksājumi par tiesībām lietot atsevišķas preces</t>
  </si>
  <si>
    <t xml:space="preserve">  5.5.0.0.</t>
  </si>
  <si>
    <t>IEŅĒMUMI NO UZŅĒMĒJDARBĪBAS UN ĪPAŠUMA</t>
  </si>
  <si>
    <t xml:space="preserve">  Valsts nodevas, kuras ieskaita pašvaldību budžetā</t>
  </si>
  <si>
    <t xml:space="preserve">  9.4.0.0.</t>
  </si>
  <si>
    <t xml:space="preserve">  Pašvaldību nodevas</t>
  </si>
  <si>
    <t xml:space="preserve">  9.5.0.0.</t>
  </si>
  <si>
    <t xml:space="preserve">  Naudas sodi</t>
  </si>
  <si>
    <t xml:space="preserve">  10.1.0.0.</t>
  </si>
  <si>
    <t xml:space="preserve">  Citi dažādi nenodokļu ieņēmumi</t>
  </si>
  <si>
    <t>12.3.0.0.</t>
  </si>
  <si>
    <t>Ieņēmumi no valsts (pašvaldību) īpašuma iznomāšanas, pārdošanas un no nodokļu pamatparāda kapitalizācijas</t>
  </si>
  <si>
    <t xml:space="preserve">  Ieņēmumi no ēku un būvju īpašuma pārdošanas</t>
  </si>
  <si>
    <t xml:space="preserve">  13.1.0.0.</t>
  </si>
  <si>
    <t xml:space="preserve">  Ieņēmumi no zemes, meža īpašuma pārdošanas</t>
  </si>
  <si>
    <t xml:space="preserve">  13.2.0.0.</t>
  </si>
  <si>
    <t>No valsts budžeta daļēji finansēto atvasināto publisko personu un budžeta nefinansēto iestāžu transferti</t>
  </si>
  <si>
    <t xml:space="preserve">  Pašvaldību saņemtie transferti no valsts budžeta daļēji finansētām atvasinātām publiskām personām un no budžeta nefinansētām iestādēm</t>
  </si>
  <si>
    <t xml:space="preserve">  17.2.0.0.</t>
  </si>
  <si>
    <t>Valsts budžeta transferti</t>
  </si>
  <si>
    <t xml:space="preserve">  Pašvaldību saņemtie transferti no valsts budžeta</t>
  </si>
  <si>
    <t>Budžeta iestāžu ieņēmumi</t>
  </si>
  <si>
    <t>21.0.0.0.</t>
  </si>
  <si>
    <t xml:space="preserve">  Ieņēmumi no budžeta iestāžu sniegtajiem maksas pakalpojumiem un citi pašu ieņēmumi</t>
  </si>
  <si>
    <t xml:space="preserve">  21.3.0.0.</t>
  </si>
  <si>
    <t xml:space="preserve">  Pārējie 21.3.0.0.grupā neklasificētie budžeta iestāžu ieņēmumi par budžeta iestāžu sniegtajiem maksas pakalpojumiem un citi pašu ieņēmumi</t>
  </si>
  <si>
    <t xml:space="preserve">  21.4.0.0.</t>
  </si>
  <si>
    <t>II IZDEVUMI - kopā</t>
  </si>
  <si>
    <t/>
  </si>
  <si>
    <t>Izdevumi atbilstoši funkcionālajām kategorijām</t>
  </si>
  <si>
    <t>Teritoriju un mājokļu apsaimniekošana</t>
  </si>
  <si>
    <t>Atpūta, kultūra un reliģija</t>
  </si>
  <si>
    <t>Izdevumi atbilstoši ekonomiskajām kategorijām</t>
  </si>
  <si>
    <t>Atlīdzība</t>
  </si>
  <si>
    <t>1000</t>
  </si>
  <si>
    <t>2000</t>
  </si>
  <si>
    <t>3000</t>
  </si>
  <si>
    <t>Procentu izdevumi</t>
  </si>
  <si>
    <t>4000</t>
  </si>
  <si>
    <t>5000</t>
  </si>
  <si>
    <t>6000</t>
  </si>
  <si>
    <t>Transferti, uzturēšanas izdevumu transferti, pašu resursu maksājumi, starptautiskā sadarbība</t>
  </si>
  <si>
    <t>7000</t>
  </si>
  <si>
    <t>III Ieņēmumu pārsniegums (+) deficīts (-) (I-II)</t>
  </si>
  <si>
    <t>IV FINANSĒŠANA - kopā</t>
  </si>
  <si>
    <t>Naudas līdzekļi un noguldījumi</t>
  </si>
  <si>
    <t>F20010000</t>
  </si>
  <si>
    <t xml:space="preserve">  Naudas līdzekļi</t>
  </si>
  <si>
    <t xml:space="preserve">  F21010000</t>
  </si>
  <si>
    <t xml:space="preserve">  Pieprasījuma noguldījumi</t>
  </si>
  <si>
    <t xml:space="preserve">  F22010000</t>
  </si>
  <si>
    <t xml:space="preserve">    Pieprasījuma noguldījumu atlikums gada sākumā</t>
  </si>
  <si>
    <t xml:space="preserve">    F22010000 AS</t>
  </si>
  <si>
    <t xml:space="preserve">    Pieprasījuma noguldījumu atlikums perioda beigās</t>
  </si>
  <si>
    <t>F40020000</t>
  </si>
  <si>
    <t xml:space="preserve">  Saņemtie aizņēmumi</t>
  </si>
  <si>
    <t xml:space="preserve">  Saņemto aizņēmumu atmaksa</t>
  </si>
  <si>
    <t xml:space="preserve">  F40020020</t>
  </si>
  <si>
    <t>Valsts dotācija sociālās aprūpes centru iemītniekiem</t>
  </si>
  <si>
    <t>F40020010</t>
  </si>
  <si>
    <t>Atlikums             uz gada sākumu</t>
  </si>
  <si>
    <t>Ieņēmumi no kokmateriālu realizācijas</t>
  </si>
  <si>
    <t>Valsts dotācija Ukrainas civiliedzīvotāju izmitināšanas iespējām</t>
  </si>
  <si>
    <t>Ukrainas civiliedzīvotāju izmitināšanas iespējām</t>
  </si>
  <si>
    <t>Veļas mājas pakalpojumi iedzīvotājiem Baltinavā</t>
  </si>
  <si>
    <t>Lazdulējas Saieta nams</t>
  </si>
  <si>
    <t>Kubulu PII Ieviņa</t>
  </si>
  <si>
    <t>Atbalsts Ukrainas civiliedzīvotājiem un izmitināšanas iespējām</t>
  </si>
  <si>
    <t>Ieņēmumi par nedzīvojamā nekustamā īpašuma nomu</t>
  </si>
  <si>
    <t>PAŠVALDĪBU BUDŽETU TRANSFERTI</t>
  </si>
  <si>
    <t>19.0.0.0.</t>
  </si>
  <si>
    <t>19.2.0.0.01.</t>
  </si>
  <si>
    <t>Ieņēmumi izglītības funkciju nodoršināšanai</t>
  </si>
  <si>
    <t>Pašvaldību budžetu transferti</t>
  </si>
  <si>
    <t>19.0.0.0</t>
  </si>
  <si>
    <t>Pašvaldību saņemtie transferti no citām pašvaldībām</t>
  </si>
  <si>
    <t>19.2.0.0.</t>
  </si>
  <si>
    <t>Balvu sporta skola trenažieru zāles izmantošanu</t>
  </si>
  <si>
    <t>Tilžas pamatskolas Tilžas pirmsskolas grupa</t>
  </si>
  <si>
    <t>Tilžas pamatskolas Vectilžas pirmsskolas grupa</t>
  </si>
  <si>
    <t>Balvu sporta skola pilsētas stadiona maksas pakalpojumu ieņēmumi</t>
  </si>
  <si>
    <t>Rekavas vidusskola pirmsskolas grupas</t>
  </si>
  <si>
    <t>Viduču pamatskola Žīguros pirmsskolas grupas</t>
  </si>
  <si>
    <t>Balvu Profesionālā un vispārizglītojošā vidusskolas tālākizglītības centrs</t>
  </si>
  <si>
    <t>Balvu profesionālā un vispāizglītojošā vidusskolas tālākizglītības centrs</t>
  </si>
  <si>
    <t>Tilžas pamatskolas Tilžas pirmsskolas grupas</t>
  </si>
  <si>
    <t>Tilžas pamatskolas Vectilžas pirmsskolas grupas</t>
  </si>
  <si>
    <t>Autoceļu (ielu) uzturēšanas līdzekļu rezerves fonds</t>
  </si>
  <si>
    <t>Balvu pilsētas stadiona rekonstrukcija</t>
  </si>
  <si>
    <t>Baltinavas pagasta teritorijas apsaimniekošana</t>
  </si>
  <si>
    <t>Izdevumi periodikas iegādei bibliotēku krājumiem</t>
  </si>
  <si>
    <t>Skolēnu pārvadāšana Susāju pārvalde</t>
  </si>
  <si>
    <t>Atalgojums</t>
  </si>
  <si>
    <t>DDVSAOI</t>
  </si>
  <si>
    <t>Viļakas vidusskola</t>
  </si>
  <si>
    <t>Apstiprināts 2024. gadam (EUR)</t>
  </si>
  <si>
    <t>Tehniskā aprīkojuma iegāde virssemes ūdeņu kvalitātes uzlabošanai</t>
  </si>
  <si>
    <t>Līdzfinansējums"Dabas lieguma Stompaku purvi" dabas aizsardzības plāna  aktualizēšana</t>
  </si>
  <si>
    <t>18.6.4.1.</t>
  </si>
  <si>
    <t>Papildus valsts dotācija pašvaldībām ar zemiem ienākumiem</t>
  </si>
  <si>
    <t>Balvu Profesionālā un vispārizglītojošā vidusskola Vidzemes iela 26</t>
  </si>
  <si>
    <t>Pašvaldības līdzdalības budžets</t>
  </si>
  <si>
    <t>Balvu pilsētas labiekārtošana</t>
  </si>
  <si>
    <t>Tehniskā aprīkojuma iegāde virszemes ūdeņu kvalitātes uzlabošanai</t>
  </si>
  <si>
    <t>Dotācija no līdzekļiem neparedzētiem gadījumiem atskurbtuves uzturēšanai</t>
  </si>
  <si>
    <t>Erasmus + projekts Play, Learn, Act, Ensure Sustainable Development Viļakas vidusskola</t>
  </si>
  <si>
    <t>Eglaines pamatskolas pirmsskolas grupas</t>
  </si>
  <si>
    <t>Rugāju vidusskolas pirmsskolas grupas</t>
  </si>
  <si>
    <t>Lazdukalna pagasta apgaismojuma un autoceļu (ielu) uzturēšana</t>
  </si>
  <si>
    <t>Rubeņu tautas nams</t>
  </si>
  <si>
    <t>21.3.9.7</t>
  </si>
  <si>
    <t>Budžeta iestādes saņemtā atlīdzība no apdrošināšanas sabiedrības par bojātu nekustamo īpašumu un kustamo mantu</t>
  </si>
  <si>
    <t>Namateriālās kultūras mantojuma centrs "Upīte"</t>
  </si>
  <si>
    <t>Viļakas  vidusskolas pirmsskolas grupa</t>
  </si>
  <si>
    <t>8 Starptaustiskais mākslas plenērs "Valdis Bušs 2024"</t>
  </si>
  <si>
    <t>Kubulu ciema ielu pārbūve</t>
  </si>
  <si>
    <t>Balvu novada pašvaldības 2024.gada  pamatbudžeta izdevumi atbilstoši ekonomiskajām kategorijām (EUR)</t>
  </si>
  <si>
    <t>Apstiprināts 2024.gadam (EUR)</t>
  </si>
  <si>
    <t>18.6.2.0.27</t>
  </si>
  <si>
    <t>Algotie sabiedriskie darbi</t>
  </si>
  <si>
    <t xml:space="preserve">Pansionāts "Balvi" </t>
  </si>
  <si>
    <t>Projekts ERASMUS+
Nr. 2023-1-LV01-KA121-SCH-000125225 Rugāju vidusskola</t>
  </si>
  <si>
    <t xml:space="preserve">Tilžas pagasta komunālā saimniecība </t>
  </si>
  <si>
    <t xml:space="preserve">Baltinavas pagasta pārvalde </t>
  </si>
  <si>
    <t xml:space="preserve">Sporta pasākumi novadā </t>
  </si>
  <si>
    <t>Projekts "Militārais mantojums II"</t>
  </si>
  <si>
    <t>Projekts "Green Youth Emprower"</t>
  </si>
  <si>
    <t xml:space="preserve">Balvu Profesionālā un vispārizglītojošā vidusskola </t>
  </si>
  <si>
    <t xml:space="preserve">Vīksnas pagasta komunālā saimniecība </t>
  </si>
  <si>
    <t xml:space="preserve">Sporta skolas peldbaseins </t>
  </si>
  <si>
    <t xml:space="preserve">Balvu sākumskola </t>
  </si>
  <si>
    <t xml:space="preserve">Rekavas vidusskola </t>
  </si>
  <si>
    <t xml:space="preserve">Baltinavas Mūzikas un mākslas skola </t>
  </si>
  <si>
    <t xml:space="preserve">Šķilbēnu pagasta teritorijas apsaimniekošana </t>
  </si>
  <si>
    <t xml:space="preserve">Viļakas Mūzikas un mākslas skola </t>
  </si>
  <si>
    <t>Briežuciema komunālā saimniecība</t>
  </si>
  <si>
    <t xml:space="preserve">Balvu Kultūras un atpūtas centrs </t>
  </si>
  <si>
    <t xml:space="preserve">Baltinavas kultūras nams </t>
  </si>
  <si>
    <t xml:space="preserve">Balvu Novada muzejs </t>
  </si>
  <si>
    <t xml:space="preserve">P/A SAN-TEX </t>
  </si>
  <si>
    <t>Sociālās mājas</t>
  </si>
  <si>
    <t xml:space="preserve">Bērzpils pamatskola </t>
  </si>
  <si>
    <t>Balvu Profesionālā un vispārizglītojošā vidusskolas tālākizglītības centrs  Brīvības 47</t>
  </si>
  <si>
    <t xml:space="preserve">Bērzkalnes pagasta komunālā saimniecība </t>
  </si>
  <si>
    <t xml:space="preserve">Kupravas pagasta komunālā saimniecība </t>
  </si>
  <si>
    <t xml:space="preserve">Šķilbēnu pagasta komunālā saimniecība </t>
  </si>
  <si>
    <t xml:space="preserve">Vecumu komunālā saimniecība </t>
  </si>
  <si>
    <t xml:space="preserve">Sociālā pārvalde </t>
  </si>
  <si>
    <t xml:space="preserve">Balvu Centrālā bibliotēka </t>
  </si>
  <si>
    <t>Balvu kultūras un atpūtas centra kultūras pasākumi</t>
  </si>
  <si>
    <t xml:space="preserve">Kultūrvēsturiskā lauku sēta "Vēršukalns" </t>
  </si>
  <si>
    <t xml:space="preserve">Skolēnu pārvadāšana Susāju pagasta pārvalde </t>
  </si>
  <si>
    <t xml:space="preserve">Skolēnu pārvadāšana Šķilbēnu pagasta pārvalde </t>
  </si>
  <si>
    <t xml:space="preserve">Skolēnu pārvadāšana Viļakā </t>
  </si>
  <si>
    <t xml:space="preserve">Rugāju pagasta komunālā saimniecība </t>
  </si>
  <si>
    <t xml:space="preserve">Viļakas pilsētas labiekārtošana </t>
  </si>
  <si>
    <t xml:space="preserve">Balkanu Dabas parks </t>
  </si>
  <si>
    <t xml:space="preserve">Viļakas muzejs </t>
  </si>
  <si>
    <t xml:space="preserve">Baltinavas muzejs </t>
  </si>
  <si>
    <t>17.2.0.0</t>
  </si>
  <si>
    <t>Vēlēšanu komisija</t>
  </si>
  <si>
    <t>Līdzfinansējums "Dabas lieguma Stompaku purvi" dabas aizsardzības plāna  aktualizēšana</t>
  </si>
  <si>
    <t>Vēlēšanu komisijas finansējums balsu skaitīšanai</t>
  </si>
  <si>
    <t>18.6.2.0.28</t>
  </si>
  <si>
    <t>Centrālā bibliotēka saņemtās valsts dotācijas</t>
  </si>
  <si>
    <t>Sociāli pakalpojumi</t>
  </si>
  <si>
    <t>21.0.0.0</t>
  </si>
  <si>
    <t>21.1.0.0</t>
  </si>
  <si>
    <t>Iestādes ieņēmumi no ārvalstu finanšu palīdzības</t>
  </si>
  <si>
    <t>21.1.9.0</t>
  </si>
  <si>
    <t>Ieņēmumi no citu Eiropas Savienības politiku instrumentu līdzfinansēto projektu un pasākumu īstenošanas un citu valstu finanšu palīdzības programmu īstenošanas, saņemtā ārvalstu finanšu palīdzība</t>
  </si>
  <si>
    <t>21.1.0.0.</t>
  </si>
  <si>
    <t>Latvijas neredzīgo biedrība</t>
  </si>
  <si>
    <t>Balvu novada domes</t>
  </si>
  <si>
    <t>Daudzfunkcionālais  sociālo pakalpojumu centrs</t>
  </si>
  <si>
    <t>Rekavas  komunālā saimniecība notekūdeņi</t>
  </si>
  <si>
    <t>Grozījumi</t>
  </si>
  <si>
    <t>Apstiprināts ar grozījumiem 2024.gadam (EUR)</t>
  </si>
  <si>
    <t>8.3.0.0</t>
  </si>
  <si>
    <t>Ieņēmumi no dividendēm(ieņēmumi no valsts  (pašvaldību) kapitāla izmantošanas</t>
  </si>
  <si>
    <t>Pavisam (EUR)</t>
  </si>
  <si>
    <t>Ieņēmumi no dividendēm (ieņēmumi no valsts  (pašvaldību) kapitāla izmantošanas)</t>
  </si>
  <si>
    <t>18/6/2/0/12</t>
  </si>
  <si>
    <t>Valsts dotācija macību līdzekļu un mācību literatūras iegādei</t>
  </si>
  <si>
    <t>Projekts Starptautiskais amatierteātru klasiskās dramaturģijas festivāls ,,Ķiršu dārzs 2024"</t>
  </si>
  <si>
    <t>Projekts VI starptautiskais tautu deju festivāls "Eima, eima"</t>
  </si>
  <si>
    <t>21.4.9.9.3</t>
  </si>
  <si>
    <t>Dažādi ieņmumi</t>
  </si>
  <si>
    <t>Projekts "Lasītāji satiek rakstniekus 2024"</t>
  </si>
  <si>
    <t>Projekts "XXV Balvu kamermūzikas festivāls"</t>
  </si>
  <si>
    <t>Projekts "Viļakas viduslaiku pilsdrupu konversācijas plāna  detalizēta izstrāde</t>
  </si>
  <si>
    <t>"Projekts "Ekspozīcijas "Viļakas aokārtne vēstures līkločos"noslēguma posma realizācija</t>
  </si>
  <si>
    <t>Projekts "Plecu pie pleca"</t>
  </si>
  <si>
    <t>18.6.2.0.17</t>
  </si>
  <si>
    <t>KKF projekti</t>
  </si>
  <si>
    <t>Projekts "Grāmatniecība, lasišanas paradumi un to kultivēšana Ziemeļlatgalē"</t>
  </si>
  <si>
    <t>18.6.2.0.15</t>
  </si>
  <si>
    <t>Jaunatnes starptautisko programmu aģentūra-projekti</t>
  </si>
  <si>
    <t>18.6.2.0.10</t>
  </si>
  <si>
    <t>Erasmus+ Projekts 2024-1-LV01-KA121-SCH-000209869</t>
  </si>
  <si>
    <t>JSPA Projekts  Nr.2024-1-LV02-KA154-YOU-000237997- "Dots devējam atdodas"</t>
  </si>
  <si>
    <t>Krišjāņu tautas nams</t>
  </si>
  <si>
    <t>NVA Skolēnu nodarbinātība vasarā</t>
  </si>
  <si>
    <t>Skolēnu nodarbinātība vasarā</t>
  </si>
  <si>
    <t>Valsts dotācija asistentu pakalpojumu nodrošināšanai</t>
  </si>
  <si>
    <t>Izglītības jomas biedrību atbalsts</t>
  </si>
  <si>
    <t>Projekts"Amatu prasmes tūrisma telpā"</t>
  </si>
  <si>
    <t>Valsts dotācijas Ukrainas bērnu apmācībai</t>
  </si>
  <si>
    <t xml:space="preserve">    F22010000</t>
  </si>
  <si>
    <t>Projekts "Amatu prasmes tūrisma telpā"</t>
  </si>
  <si>
    <t>Valsts dotācija Balvu Valsts ģinmāzijai</t>
  </si>
  <si>
    <t>Projekts Uzņēmējdarbības atbalsta pasākumi Latgales plānošanas reģionā</t>
  </si>
  <si>
    <t>Projekts Publisko pakalpojumu cilvēkiem ar invaliditāti mājokļu vides pieejamības nodrošināšanā Balvu novadā</t>
  </si>
  <si>
    <t>Publisko pakalpojumu cilvēkiem ar invaliditāti mājokļu vides pieejamības nodrošināšanā Balvu novadā</t>
  </si>
  <si>
    <t>18.6.3.0.13</t>
  </si>
  <si>
    <t xml:space="preserve">Projekts JSPA projekts Balvu novada jauniešu domes izveide" </t>
  </si>
  <si>
    <t>JSPA projekts Balvu novada jauniešu domes izveide" </t>
  </si>
  <si>
    <t>Ielu apgaismojums Balvos</t>
  </si>
  <si>
    <t>ERASMUS+ Projekts Balvu Profesionālās un vispārizglītojošās vidusskolas PandemiArt</t>
  </si>
  <si>
    <t>Balvu Bērnu un jauniešu centra ERASMUS+ projekts Demokrātijas formula</t>
  </si>
  <si>
    <t>19.2.0.0.06</t>
  </si>
  <si>
    <t>Transfērti no citām pašvaldībām projektiem</t>
  </si>
  <si>
    <t>Projekts RoboNet LLI-542, IT programmēšanas un robotikas kompetenču attīstība</t>
  </si>
  <si>
    <t>Bērzpils pamatskolas ERASMUS+ projekts</t>
  </si>
  <si>
    <t>18.6.3.0.09</t>
  </si>
  <si>
    <t>Valsts dotācijas latviešu valodas apguvei Ukrainas bērniem un jauniešiem</t>
  </si>
  <si>
    <t>Balvu valsts ģimnāzijas projekts "Nord Plus"</t>
  </si>
  <si>
    <t>Grozījumi (EUR)</t>
  </si>
  <si>
    <t>Grozījumi  (EUR)</t>
  </si>
  <si>
    <t xml:space="preserve"> Balvu Valsts ģimnāzijas projekts "Eco Quest:Exploring Sustainable Living in Every Step"</t>
  </si>
  <si>
    <t>Projekts Promote the green tourismroutes of Riga, Vidzeme and Latgale regions (Greenways of Latvia)</t>
  </si>
  <si>
    <t>18.6.3.0.11</t>
  </si>
  <si>
    <t>Balvu profesionālās un vispārizglītojošās  vidusskolas Erasmus+ īstermiņa mobilitātes projekts izglītojamajiem un personālam profesionālās izglītības un apmācību jomā(KA122-VET)</t>
  </si>
  <si>
    <t xml:space="preserve">  18.6.2.0.</t>
  </si>
  <si>
    <t>Latvijas olimpiskās komitejas finansējums Tilžas pamatskolai</t>
  </si>
  <si>
    <t>LR VARAM  pārrobežu projekti.Projekts Promote the green tourismroutes of Riga, Vidzeme and Latgale regions (Greenways of Latvia)</t>
  </si>
  <si>
    <t>Kultūras mantojuma pārvaldes finansējums Bēržu kapličas remontam</t>
  </si>
  <si>
    <r>
      <t xml:space="preserve">Balvu novada domes priekšsēdētājs </t>
    </r>
    <r>
      <rPr>
        <i/>
        <sz val="12"/>
        <color theme="1"/>
        <rFont val="Calibri"/>
        <family val="2"/>
        <charset val="186"/>
        <scheme val="minor"/>
      </rPr>
      <t>S. Maksimovs</t>
    </r>
  </si>
  <si>
    <r>
      <t xml:space="preserve">Balvu novada domes priekšsēdētājs </t>
    </r>
    <r>
      <rPr>
        <i/>
        <sz val="11"/>
        <rFont val="Calibri"/>
        <family val="2"/>
        <charset val="186"/>
        <scheme val="minor"/>
      </rPr>
      <t>S. Maksimovs</t>
    </r>
  </si>
  <si>
    <r>
      <t>Balvu novada domes priekšsēdētājs</t>
    </r>
    <r>
      <rPr>
        <i/>
        <sz val="12"/>
        <rFont val="Times New Roman"/>
        <family val="1"/>
        <charset val="186"/>
      </rPr>
      <t xml:space="preserve"> S. Maksimovs</t>
    </r>
  </si>
  <si>
    <r>
      <t xml:space="preserve">Balvu novada domes priekšsēdētājs </t>
    </r>
    <r>
      <rPr>
        <i/>
        <sz val="14"/>
        <rFont val="Times New Roman"/>
        <family val="1"/>
        <charset val="186"/>
      </rPr>
      <t>S. Maksimovs</t>
    </r>
  </si>
  <si>
    <t>1. pielikums</t>
  </si>
  <si>
    <t>2024. gada 25. janvāra saistošajiem noteikumiem Nr. 1/2024</t>
  </si>
  <si>
    <t>"Par Balvu novada pašvaldības 2024. gada budžetu"</t>
  </si>
  <si>
    <t>Balvu novada pašvaldības pamatbudžets 2024. gadam ( EUR)</t>
  </si>
  <si>
    <t>2. pielikums</t>
  </si>
  <si>
    <t>2024. gada 24. oktobra saistošajiem noteikumiem Nr. 17/2024</t>
  </si>
  <si>
    <t>"Par Balvu novada pašvaldības 2024. gada budžetu""</t>
  </si>
  <si>
    <t>Balvu novada pašvaldības pamatbudžeta ieņēmumi 2024. gadam (EUR)</t>
  </si>
  <si>
    <t>Nekustamā īpašuma nodoklis par zemi – iepriekšējo gadu parādi</t>
  </si>
  <si>
    <t>Nekustamā īpašuma nodoklis par ēkām – iepriekšējo gadu parādi</t>
  </si>
  <si>
    <t>Nekustamā īpašuma naodoklis par mājokļiem – iepriekšējo gadu parādi</t>
  </si>
  <si>
    <t xml:space="preserve">Projekts "Remigrācijas atbalsta pasākums – uzņēmējdarbības atbalsts" </t>
  </si>
  <si>
    <t>Mērķdotācijas pašvaldības izglītības iestāžu piecgadīgo un sešgadīgo bērnu apmācības pedagogu darba samaksai un valsts soc. apdroš. obligātajām iemaksām</t>
  </si>
  <si>
    <t>Valsts dotācija 1.–4.klašu brīvpusdienu daļējai apmaksai</t>
  </si>
  <si>
    <t>Projekts "IX Latgales stāstnieku festivāls "Omotu stosti""</t>
  </si>
  <si>
    <t>Projekts "Ekspozīcijas "Viļakas aokārtne vēstures līkločos" noslēguma posma realizācija"</t>
  </si>
  <si>
    <t>ERASMUS+ projekts Rugāju vidusskola Nr.2023-1-LV01-KA121-SCH-000125225</t>
  </si>
  <si>
    <t xml:space="preserve">ERASMUS+ projekts Nr.2023-1-LV02-KA154-YOU-000127946  "Uzdrīksties redzēt plašāk" Rugāju vidusskola </t>
  </si>
  <si>
    <t xml:space="preserve"> JSPA Projekts  Nr.2024-1-LV02-KA154-YOU-000237997 – "Dots devējam atdodas"</t>
  </si>
  <si>
    <t>Lazdukalna pagasta komunālā saimniecība – ūdens</t>
  </si>
  <si>
    <t>Kupravas pagasta komunālā saimniecība – apkure</t>
  </si>
  <si>
    <t>Krišjāņu pagasta komunālā saimniecība – apkure</t>
  </si>
  <si>
    <t>Vecumu komunālā saimniecība – apkure</t>
  </si>
  <si>
    <t>Viļakas pilsētas komunālā saimniecība – apkure</t>
  </si>
  <si>
    <t>Žīguru pagasta komunālā saimniecība – apkure</t>
  </si>
  <si>
    <t>Balvu pagasta komunālā saimniecība – ūdens</t>
  </si>
  <si>
    <t>Baltinavas komunālā saimniecība – ūdens</t>
  </si>
  <si>
    <t>Bērzkalnes komunālā saimniecība – ūdens</t>
  </si>
  <si>
    <t>Bērzpils komunālā saimniecība – ūdens</t>
  </si>
  <si>
    <t>Briežuciema komunālā saimniecība – ūdens</t>
  </si>
  <si>
    <t>Krišjāņu pagasta komunālā saimniecība – ūdens</t>
  </si>
  <si>
    <t>Kubulu pagasta komunālā saimniecība – ūdens</t>
  </si>
  <si>
    <t>Kupravas pagasta komunālā saimniecība – ūdens</t>
  </si>
  <si>
    <t>Lazdukalna pagasts komunālā saimniecība – ūdens</t>
  </si>
  <si>
    <t>Lazdulejas pagasts komunālā saimniecība – ūdens</t>
  </si>
  <si>
    <t>Rugāju pagasta komunālā saimniecība – ūdens</t>
  </si>
  <si>
    <t>Vecumu komunālā saimniecība – ūdens</t>
  </si>
  <si>
    <t>Viļakas pilsētas komunālā saimniecība – ūdens</t>
  </si>
  <si>
    <t>Vīksnas pagasta komunālā saimniecība – ūdens</t>
  </si>
  <si>
    <t>Žīguru pagasta komunālā saimniecība – ūdens</t>
  </si>
  <si>
    <t>Lazdulejas komunālā saimniecība</t>
  </si>
  <si>
    <t>Rekavas komunālā saimniecība – apkure</t>
  </si>
  <si>
    <t>Tilžas komunālā saimniecība – apkure</t>
  </si>
  <si>
    <t>Medņevas komunālā saimniecība – ūdens</t>
  </si>
  <si>
    <t>Šķilbēnu komunālā saimniecība – ūdens</t>
  </si>
  <si>
    <t>Rekavas komunālā saimniecība – ūdens</t>
  </si>
  <si>
    <t>Tilžas komunālā saimniecība – ūdens</t>
  </si>
  <si>
    <t>Vectilžas komunālā saimniecība – ūdens</t>
  </si>
  <si>
    <t>Upītes komunālā saimniecība – ūdens</t>
  </si>
  <si>
    <t>Rekavas komunālā saimniecība – notekūdeņu apsaimniekošana</t>
  </si>
  <si>
    <t>Tilžas komunālā saimniecība – notekūdeņu apsaimniekošana</t>
  </si>
  <si>
    <t>Upītes komunālā saimniecība – notekūdeņu apsaimniekošana</t>
  </si>
  <si>
    <t>Vīksnas komunālā saimniecība – notekūdeņu apsaimniekošana</t>
  </si>
  <si>
    <t>Izglītības  pārvalde – vasaras nometnes</t>
  </si>
  <si>
    <t>Baltinavas pagasta komunālā saimniecība – notekūdeņu apsaimniekošana</t>
  </si>
  <si>
    <t>Bērzkalnes pagasta komunālā saimniecība – notekūdeņu apsaimniekošana</t>
  </si>
  <si>
    <t>Bērzpils pagasta komunālā saimniecība – notekūdeņu apsaimniekošana</t>
  </si>
  <si>
    <t>Briežuciema pagasta komunālā saimniecība – notekūdeņu apsaimniekošana</t>
  </si>
  <si>
    <t>Kubulu pagasta komunālā saimniecība – notekūdeņu apsaimniekošana</t>
  </si>
  <si>
    <t>Kupravas pagasta komunālā saimniecība – notekūdeņu apsaimniekošana</t>
  </si>
  <si>
    <t>Krišjāņu pagasta komunālā saimniecība – notekūdeņu apsaimniekošana</t>
  </si>
  <si>
    <t>Lazdukalna pagasta komunālā saimniecība – notekūdeņu apsaimniekošana</t>
  </si>
  <si>
    <t>Lazdulejas pagasta komunālā saimniecība – notekūdeņu apsaimniekošana</t>
  </si>
  <si>
    <t>Medņevas pagasta komunālā saimniecība – notekūdeņu apsaimniekošana</t>
  </si>
  <si>
    <t>Rugāju pagasta komunālā saimniecība – notekūdeņu apsaimniekošana</t>
  </si>
  <si>
    <t>Vecumu komunālā saimniecība – notekūdeņu apsaimniekošana</t>
  </si>
  <si>
    <t>Viļakas pilsētas komunālā saimniecība – notekūdeņu apsaimniekošana</t>
  </si>
  <si>
    <t>Žīguru pagasta komunālā saimniecība – notekūdeņu apsaimniekošana</t>
  </si>
  <si>
    <t>Viļakas pilsētas komunālā saimniecība – atkritumu apsaimniekošana</t>
  </si>
  <si>
    <t>Projekts Starptautiskais amatierteātru klasiskās dramaturģijas festivāls "Ķiršu dārzs 2024"</t>
  </si>
  <si>
    <t>"Grozījumi 2024. gada 25. janvāra saistošajos noteikumos Nr. 1/2024</t>
  </si>
  <si>
    <t>2024. gada  24. oktobra saistošajiem noteikumiem  Nr. 17/2024</t>
  </si>
  <si>
    <t>Balvu profesionālās un vispārizglītojošās  vidusskolas Erasmus+ īstermiņa mobilitātes projekts izglītojamajiem un personālam profesionālās izglītības un apmācību jomā (KA122-VET)</t>
  </si>
  <si>
    <t>Baltinavas komunālā saimniecība – notekūdeņu apsaimniekošana</t>
  </si>
  <si>
    <t>Bērzkalnes komunālā saimniecība – notekūdeņu apsaimniekošana</t>
  </si>
  <si>
    <t>Briežuciema komunālā saimniecība – notekūdeņu apsaimniekošana</t>
  </si>
  <si>
    <t>Lazdukalna komunālā saimniecība – notekūdeņu apsaimniekošana</t>
  </si>
  <si>
    <t>Lazdulejas komunālā saimniecība – notekūdeņu apsaimniekošana</t>
  </si>
  <si>
    <t>Rugāju komunālā saimniecība – notekūdeņu apsaimniekošana</t>
  </si>
  <si>
    <t>Krišjāņu komunālā saimniecība – apkure</t>
  </si>
  <si>
    <t>Kupravas komunālā saimniecība – apkure</t>
  </si>
  <si>
    <t>Žīguru komunālā saimniecība – apkure</t>
  </si>
  <si>
    <t>Krišjāņu komunālā saimniecība – ūdens</t>
  </si>
  <si>
    <t>Kubulu komunālā saimniecība – ūdens</t>
  </si>
  <si>
    <t>Kupravas komunālā saimniecība – ūdens</t>
  </si>
  <si>
    <t>Lazdulejas komunālā saimniecība – ūdens</t>
  </si>
  <si>
    <t>Žīguru komunālā saimniecība – ūdens</t>
  </si>
  <si>
    <t>Žīguru komunālā saimniecība – notekūdeņu apsaimniekošana</t>
  </si>
  <si>
    <t>Vīksnas komunālā saimniecība – notekūdenu apsaimniekošana</t>
  </si>
  <si>
    <t>Viļakas pilsētas komunālā saimniecība – notekūdenu apsaimniekošana</t>
  </si>
  <si>
    <t>Medņevas komunālā saimniecība – notekūdeņu apsaimniekošana</t>
  </si>
  <si>
    <t>Kupravas komunālā saimniecība – notekūdeņu apsaimniekošana</t>
  </si>
  <si>
    <t>Kubulu komunālā saimniecība – notekūdeņu apsaimniekošana</t>
  </si>
  <si>
    <t>Krišjāņu komunālā saimniecība – notekūdeņu apsaimniekošana</t>
  </si>
  <si>
    <t>Bērzpils komunālā saimniecība – notekūdeņu apsaimniekošana</t>
  </si>
  <si>
    <t>"Remigrācijas atbalsta pasākums – uzņēmējdarbības atbalsts"</t>
  </si>
  <si>
    <t>Balvu novada pašvaldības pamatbudžeta izdevumi 2024. gadam (EUR)</t>
  </si>
  <si>
    <t>3. pielikums</t>
  </si>
  <si>
    <t>4. pielikums</t>
  </si>
  <si>
    <t xml:space="preserve"> Rekavas komunālā saimniecība – apkure</t>
  </si>
  <si>
    <t>Vīksnas komunālā saimniecība – ūdens</t>
  </si>
  <si>
    <t xml:space="preserve"> Žīguru komunālā saimniecība – ūdens</t>
  </si>
  <si>
    <t>Nemateriālās kultūras mantojuma centrs "Upīte" – tautas nams</t>
  </si>
  <si>
    <t>Nemateriālās kultūras mantojuma centrs "Upīte" – bibliotēka</t>
  </si>
  <si>
    <t>Nemateriālās kultūras mantojuma centrs "Upīte" – muzejs</t>
  </si>
  <si>
    <t>Projekts ERASMUS+ 
Nr.2023-1-LV01-KA121-SCH-000125225 Rugāju vidusskola</t>
  </si>
  <si>
    <t>Projekts "Remigrācijas atbalsta pasākums – uzņēmējdarbības atbalsts"</t>
  </si>
  <si>
    <t>Projekts "Viļakas viduslaiku pilsdrupu konversācijas plāna  detalizēta izstrāde"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</si>
</sst>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2" formatCode="_-* #,##0\ &quot;€&quot;_-;\-* #,##0\ &quot;€&quot;_-;_-* &quot;-&quot;\ &quot;€&quot;_-;_-@_-"/>
    <numFmt numFmtId="43" formatCode="_-* #,##0.00_-;\-* #,##0.00_-;_-* &quot;-&quot;??_-;_-@_-"/>
  </numFmts>
  <fonts count="38" x14ac:knownFonts="1">
    <font>
      <sz val="11"/>
      <color theme="1"/>
      <name val="Calibri"/>
      <family val="2"/>
      <charset val="186"/>
      <scheme val="minor"/>
    </font>
    <font>
      <sz val="12"/>
      <color theme="1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b/>
      <sz val="12"/>
      <color rgb="FFFF0000"/>
      <name val="Times New Roman"/>
      <family val="1"/>
      <charset val="186"/>
    </font>
    <font>
      <sz val="12"/>
      <color rgb="FFFF0000"/>
      <name val="Times New Roman"/>
      <family val="1"/>
      <charset val="186"/>
    </font>
    <font>
      <b/>
      <sz val="14"/>
      <color theme="1"/>
      <name val="Times New Roman"/>
      <family val="1"/>
      <charset val="186"/>
    </font>
    <font>
      <b/>
      <sz val="11"/>
      <name val="Times New Roman"/>
      <family val="1"/>
      <charset val="186"/>
    </font>
    <font>
      <sz val="11"/>
      <name val="Times New Roman"/>
      <family val="1"/>
      <charset val="186"/>
    </font>
    <font>
      <sz val="12"/>
      <name val="Times New Roman"/>
      <family val="1"/>
      <charset val="186"/>
    </font>
    <font>
      <sz val="12"/>
      <color theme="1"/>
      <name val="Calibri"/>
      <family val="2"/>
      <charset val="186"/>
      <scheme val="minor"/>
    </font>
    <font>
      <b/>
      <sz val="12"/>
      <name val="Times New Roman"/>
      <family val="1"/>
      <charset val="186"/>
    </font>
    <font>
      <b/>
      <sz val="12"/>
      <color indexed="8"/>
      <name val="Times New Roman"/>
      <family val="1"/>
      <charset val="186"/>
    </font>
    <font>
      <sz val="12"/>
      <color indexed="8"/>
      <name val="Times New Roman"/>
      <family val="1"/>
      <charset val="186"/>
    </font>
    <font>
      <b/>
      <u/>
      <sz val="12"/>
      <color indexed="8"/>
      <name val="Times New Roman"/>
      <family val="1"/>
      <charset val="186"/>
    </font>
    <font>
      <b/>
      <sz val="12"/>
      <color rgb="FF7030A0"/>
      <name val="Times New Roman"/>
      <family val="1"/>
      <charset val="186"/>
    </font>
    <font>
      <b/>
      <sz val="12"/>
      <color indexed="10"/>
      <name val="Times New Roman"/>
      <family val="1"/>
      <charset val="186"/>
    </font>
    <font>
      <b/>
      <sz val="11"/>
      <name val="Calibri"/>
      <family val="2"/>
      <charset val="186"/>
      <scheme val="minor"/>
    </font>
    <font>
      <i/>
      <sz val="12"/>
      <name val="Times New Roman"/>
      <family val="1"/>
      <charset val="186"/>
    </font>
    <font>
      <sz val="11"/>
      <name val="Calibri"/>
      <family val="2"/>
      <charset val="186"/>
      <scheme val="minor"/>
    </font>
    <font>
      <sz val="11"/>
      <color rgb="FFFF0000"/>
      <name val="Calibri"/>
      <family val="2"/>
      <charset val="186"/>
      <scheme val="minor"/>
    </font>
    <font>
      <sz val="13"/>
      <name val="Times New Roman"/>
      <family val="1"/>
      <charset val="186"/>
    </font>
    <font>
      <sz val="13"/>
      <name val="Calibri"/>
      <family val="2"/>
      <charset val="186"/>
      <scheme val="minor"/>
    </font>
    <font>
      <sz val="12"/>
      <name val="Calibri"/>
      <family val="2"/>
      <charset val="186"/>
      <scheme val="minor"/>
    </font>
    <font>
      <b/>
      <sz val="14"/>
      <name val="Times New Roman"/>
      <family val="1"/>
      <charset val="186"/>
    </font>
    <font>
      <i/>
      <sz val="11"/>
      <name val="Calibri"/>
      <family val="2"/>
      <charset val="186"/>
      <scheme val="minor"/>
    </font>
    <font>
      <b/>
      <sz val="16"/>
      <name val="Times New Roman"/>
      <family val="1"/>
      <charset val="186"/>
    </font>
    <font>
      <sz val="14"/>
      <name val="Times New Roman"/>
      <family val="1"/>
      <charset val="186"/>
    </font>
    <font>
      <b/>
      <sz val="11"/>
      <color theme="1"/>
      <name val="Calibri"/>
      <family val="2"/>
      <charset val="186"/>
      <scheme val="minor"/>
    </font>
    <font>
      <sz val="12"/>
      <color rgb="FF00B0F0"/>
      <name val="Times New Roman"/>
      <family val="1"/>
      <charset val="186"/>
    </font>
    <font>
      <i/>
      <sz val="12"/>
      <color theme="1"/>
      <name val="Times New Roman"/>
      <family val="1"/>
      <charset val="186"/>
    </font>
    <font>
      <b/>
      <i/>
      <sz val="12"/>
      <name val="Times New Roman"/>
      <family val="1"/>
      <charset val="186"/>
    </font>
    <font>
      <b/>
      <i/>
      <sz val="12"/>
      <color theme="1"/>
      <name val="Times New Roman"/>
      <family val="1"/>
      <charset val="186"/>
    </font>
    <font>
      <b/>
      <i/>
      <sz val="12"/>
      <color rgb="FF000000"/>
      <name val="Times New Roman"/>
      <family val="1"/>
      <charset val="186"/>
    </font>
    <font>
      <sz val="12"/>
      <color rgb="FF000000"/>
      <name val="Times New Roman"/>
      <family val="1"/>
      <charset val="186"/>
    </font>
    <font>
      <b/>
      <i/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i/>
      <sz val="12"/>
      <color theme="1"/>
      <name val="Calibri"/>
      <family val="2"/>
      <charset val="186"/>
      <scheme val="minor"/>
    </font>
    <font>
      <i/>
      <sz val="14"/>
      <name val="Times New Roman"/>
      <family val="1"/>
      <charset val="186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</borders>
  <cellStyleXfs count="4">
    <xf numFmtId="0" fontId="0" fillId="0" borderId="0"/>
    <xf numFmtId="9" fontId="35" fillId="0" borderId="0" applyFont="0" applyFill="0" applyBorder="0" applyAlignment="0" applyProtection="0"/>
    <xf numFmtId="42" fontId="35" fillId="0" borderId="0" applyFont="0" applyFill="0" applyBorder="0" applyAlignment="0" applyProtection="0"/>
    <xf numFmtId="43" fontId="35" fillId="0" borderId="0" applyFont="0" applyFill="0" applyBorder="0" applyAlignment="0" applyProtection="0"/>
  </cellStyleXfs>
  <cellXfs count="275">
    <xf numFmtId="0" fontId="0" fillId="0" borderId="0" xfId="0"/>
    <xf numFmtId="0" fontId="10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1" fillId="0" borderId="0" xfId="0" applyFont="1" applyAlignment="1">
      <alignment horizontal="right"/>
    </xf>
    <xf numFmtId="0" fontId="1" fillId="0" borderId="0" xfId="0" applyFont="1"/>
    <xf numFmtId="0" fontId="2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1" fontId="2" fillId="0" borderId="0" xfId="0" applyNumberFormat="1" applyFont="1" applyAlignment="1">
      <alignment horizontal="center"/>
    </xf>
    <xf numFmtId="0" fontId="6" fillId="0" borderId="0" xfId="0" applyFont="1" applyAlignment="1">
      <alignment vertical="top"/>
    </xf>
    <xf numFmtId="0" fontId="9" fillId="0" borderId="0" xfId="0" applyFont="1"/>
    <xf numFmtId="0" fontId="12" fillId="0" borderId="0" xfId="0" applyFont="1"/>
    <xf numFmtId="0" fontId="12" fillId="2" borderId="0" xfId="0" applyFont="1" applyFill="1"/>
    <xf numFmtId="0" fontId="11" fillId="0" borderId="1" xfId="0" applyFont="1" applyBorder="1" applyAlignment="1" applyProtection="1">
      <alignment horizontal="center" vertical="center" wrapText="1"/>
      <protection locked="0"/>
    </xf>
    <xf numFmtId="0" fontId="11" fillId="2" borderId="1" xfId="0" applyFont="1" applyFill="1" applyBorder="1" applyAlignment="1" applyProtection="1">
      <alignment horizontal="center" vertical="center" wrapText="1"/>
      <protection locked="0"/>
    </xf>
    <xf numFmtId="0" fontId="11" fillId="0" borderId="1" xfId="0" applyFont="1" applyBorder="1" applyAlignment="1" applyProtection="1">
      <alignment horizontal="center" wrapText="1"/>
      <protection locked="0"/>
    </xf>
    <xf numFmtId="0" fontId="11" fillId="0" borderId="1" xfId="0" applyFont="1" applyBorder="1" applyAlignment="1" applyProtection="1">
      <alignment horizontal="left" wrapText="1"/>
      <protection locked="0"/>
    </xf>
    <xf numFmtId="3" fontId="11" fillId="2" borderId="1" xfId="0" applyNumberFormat="1" applyFont="1" applyFill="1" applyBorder="1" applyAlignment="1" applyProtection="1">
      <alignment horizontal="center" wrapText="1"/>
      <protection locked="0"/>
    </xf>
    <xf numFmtId="0" fontId="11" fillId="0" borderId="0" xfId="0" applyFont="1" applyAlignment="1">
      <alignment horizontal="center" vertical="center"/>
    </xf>
    <xf numFmtId="0" fontId="12" fillId="0" borderId="1" xfId="0" applyFont="1" applyBorder="1" applyAlignment="1" applyProtection="1">
      <alignment horizontal="left" wrapText="1"/>
      <protection locked="0"/>
    </xf>
    <xf numFmtId="0" fontId="12" fillId="0" borderId="1" xfId="0" applyFont="1" applyBorder="1" applyAlignment="1" applyProtection="1">
      <alignment horizontal="center" wrapText="1"/>
      <protection locked="0"/>
    </xf>
    <xf numFmtId="3" fontId="12" fillId="2" borderId="1" xfId="0" applyNumberFormat="1" applyFont="1" applyFill="1" applyBorder="1" applyAlignment="1" applyProtection="1">
      <alignment horizontal="center" wrapText="1"/>
      <protection locked="0"/>
    </xf>
    <xf numFmtId="0" fontId="11" fillId="0" borderId="1" xfId="0" applyFont="1" applyBorder="1" applyAlignment="1">
      <alignment horizontal="left" wrapText="1"/>
    </xf>
    <xf numFmtId="3" fontId="11" fillId="2" borderId="1" xfId="0" applyNumberFormat="1" applyFont="1" applyFill="1" applyBorder="1" applyAlignment="1">
      <alignment horizontal="center" wrapText="1"/>
    </xf>
    <xf numFmtId="0" fontId="12" fillId="0" borderId="1" xfId="0" applyFont="1" applyBorder="1" applyAlignment="1">
      <alignment horizontal="left" wrapText="1"/>
    </xf>
    <xf numFmtId="0" fontId="12" fillId="0" borderId="1" xfId="0" applyFont="1" applyBorder="1" applyAlignment="1">
      <alignment horizontal="center" wrapText="1"/>
    </xf>
    <xf numFmtId="3" fontId="12" fillId="2" borderId="1" xfId="0" applyNumberFormat="1" applyFont="1" applyFill="1" applyBorder="1" applyAlignment="1">
      <alignment horizontal="center" wrapText="1"/>
    </xf>
    <xf numFmtId="49" fontId="12" fillId="0" borderId="2" xfId="0" applyNumberFormat="1" applyFont="1" applyBorder="1" applyAlignment="1">
      <alignment horizontal="left" wrapText="1"/>
    </xf>
    <xf numFmtId="0" fontId="12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wrapText="1"/>
    </xf>
    <xf numFmtId="3" fontId="11" fillId="2" borderId="1" xfId="0" applyNumberFormat="1" applyFont="1" applyFill="1" applyBorder="1" applyAlignment="1">
      <alignment horizontal="center"/>
    </xf>
    <xf numFmtId="0" fontId="13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wrapText="1"/>
    </xf>
    <xf numFmtId="0" fontId="12" fillId="0" borderId="1" xfId="0" applyFont="1" applyBorder="1"/>
    <xf numFmtId="3" fontId="12" fillId="2" borderId="1" xfId="0" applyNumberFormat="1" applyFont="1" applyFill="1" applyBorder="1" applyAlignment="1">
      <alignment horizontal="center"/>
    </xf>
    <xf numFmtId="0" fontId="14" fillId="0" borderId="0" xfId="0" applyFont="1"/>
    <xf numFmtId="0" fontId="15" fillId="0" borderId="0" xfId="0" applyFont="1"/>
    <xf numFmtId="0" fontId="3" fillId="0" borderId="0" xfId="0" applyFont="1"/>
    <xf numFmtId="3" fontId="2" fillId="2" borderId="1" xfId="0" applyNumberFormat="1" applyFont="1" applyFill="1" applyBorder="1" applyAlignment="1">
      <alignment horizontal="center"/>
    </xf>
    <xf numFmtId="3" fontId="8" fillId="0" borderId="1" xfId="0" applyNumberFormat="1" applyFont="1" applyBorder="1"/>
    <xf numFmtId="3" fontId="1" fillId="0" borderId="1" xfId="0" applyNumberFormat="1" applyFont="1" applyBorder="1"/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7" fillId="0" borderId="0" xfId="0" applyFont="1"/>
    <xf numFmtId="3" fontId="8" fillId="0" borderId="1" xfId="0" applyNumberFormat="1" applyFont="1" applyBorder="1" applyAlignment="1">
      <alignment horizontal="right" wrapText="1"/>
    </xf>
    <xf numFmtId="3" fontId="1" fillId="0" borderId="1" xfId="0" applyNumberFormat="1" applyFont="1" applyBorder="1" applyAlignment="1">
      <alignment horizontal="right" wrapText="1"/>
    </xf>
    <xf numFmtId="0" fontId="1" fillId="0" borderId="1" xfId="0" applyFont="1" applyBorder="1" applyAlignment="1">
      <alignment horizontal="center" vertical="top"/>
    </xf>
    <xf numFmtId="0" fontId="2" fillId="0" borderId="1" xfId="0" applyFont="1" applyBorder="1" applyAlignment="1">
      <alignment horizontal="center" vertical="center" wrapText="1"/>
    </xf>
    <xf numFmtId="3" fontId="2" fillId="0" borderId="1" xfId="0" applyNumberFormat="1" applyFont="1" applyBorder="1" applyAlignment="1">
      <alignment horizontal="right" wrapText="1"/>
    </xf>
    <xf numFmtId="3" fontId="2" fillId="0" borderId="1" xfId="0" applyNumberFormat="1" applyFont="1" applyBorder="1"/>
    <xf numFmtId="3" fontId="1" fillId="0" borderId="1" xfId="0" applyNumberFormat="1" applyFont="1" applyBorder="1" applyAlignment="1">
      <alignment horizontal="right"/>
    </xf>
    <xf numFmtId="0" fontId="0" fillId="0" borderId="1" xfId="0" applyBorder="1"/>
    <xf numFmtId="2" fontId="1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 vertical="top"/>
    </xf>
    <xf numFmtId="3" fontId="2" fillId="0" borderId="1" xfId="0" applyNumberFormat="1" applyFont="1" applyBorder="1" applyAlignment="1">
      <alignment horizontal="right"/>
    </xf>
    <xf numFmtId="43" fontId="2" fillId="0" borderId="1" xfId="3" applyFont="1" applyFill="1" applyBorder="1" applyAlignment="1">
      <alignment horizontal="center" vertical="top"/>
    </xf>
    <xf numFmtId="3" fontId="4" fillId="0" borderId="1" xfId="0" applyNumberFormat="1" applyFont="1" applyBorder="1"/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vertical="center" wrapText="1"/>
    </xf>
    <xf numFmtId="0" fontId="18" fillId="0" borderId="0" xfId="0" applyFont="1"/>
    <xf numFmtId="3" fontId="0" fillId="0" borderId="0" xfId="0" applyNumberFormat="1"/>
    <xf numFmtId="0" fontId="8" fillId="0" borderId="0" xfId="0" applyFont="1"/>
    <xf numFmtId="0" fontId="26" fillId="0" borderId="0" xfId="0" applyFont="1"/>
    <xf numFmtId="1" fontId="7" fillId="0" borderId="0" xfId="0" applyNumberFormat="1" applyFont="1"/>
    <xf numFmtId="0" fontId="8" fillId="0" borderId="1" xfId="0" applyFont="1" applyBorder="1" applyAlignment="1">
      <alignment horizontal="center"/>
    </xf>
    <xf numFmtId="0" fontId="27" fillId="0" borderId="0" xfId="0" applyFont="1"/>
    <xf numFmtId="3" fontId="7" fillId="0" borderId="0" xfId="0" applyNumberFormat="1" applyFont="1"/>
    <xf numFmtId="0" fontId="10" fillId="0" borderId="1" xfId="0" applyFont="1" applyBorder="1" applyAlignment="1">
      <alignment horizontal="center" vertical="top"/>
    </xf>
    <xf numFmtId="0" fontId="10" fillId="0" borderId="1" xfId="0" applyFont="1" applyBorder="1"/>
    <xf numFmtId="0" fontId="8" fillId="0" borderId="1" xfId="0" applyFont="1" applyBorder="1"/>
    <xf numFmtId="0" fontId="10" fillId="0" borderId="1" xfId="0" applyFont="1" applyBorder="1" applyAlignment="1">
      <alignment wrapText="1"/>
    </xf>
    <xf numFmtId="0" fontId="16" fillId="0" borderId="0" xfId="0" applyFont="1"/>
    <xf numFmtId="0" fontId="19" fillId="0" borderId="0" xfId="0" applyFont="1"/>
    <xf numFmtId="0" fontId="24" fillId="0" borderId="0" xfId="0" applyFont="1"/>
    <xf numFmtId="3" fontId="28" fillId="0" borderId="1" xfId="0" applyNumberFormat="1" applyFont="1" applyBorder="1"/>
    <xf numFmtId="3" fontId="28" fillId="0" borderId="1" xfId="0" applyNumberFormat="1" applyFont="1" applyBorder="1" applyAlignment="1">
      <alignment horizontal="right" wrapText="1"/>
    </xf>
    <xf numFmtId="3" fontId="1" fillId="2" borderId="1" xfId="0" applyNumberFormat="1" applyFont="1" applyFill="1" applyBorder="1" applyAlignment="1">
      <alignment horizontal="right" wrapText="1"/>
    </xf>
    <xf numFmtId="3" fontId="1" fillId="2" borderId="1" xfId="0" applyNumberFormat="1" applyFont="1" applyFill="1" applyBorder="1"/>
    <xf numFmtId="3" fontId="28" fillId="2" borderId="1" xfId="0" applyNumberFormat="1" applyFont="1" applyFill="1" applyBorder="1"/>
    <xf numFmtId="0" fontId="8" fillId="2" borderId="1" xfId="0" applyFont="1" applyFill="1" applyBorder="1" applyAlignment="1">
      <alignment wrapText="1"/>
    </xf>
    <xf numFmtId="0" fontId="8" fillId="2" borderId="1" xfId="0" applyFont="1" applyFill="1" applyBorder="1"/>
    <xf numFmtId="0" fontId="10" fillId="2" borderId="1" xfId="0" applyFont="1" applyFill="1" applyBorder="1"/>
    <xf numFmtId="0" fontId="10" fillId="2" borderId="1" xfId="0" applyFont="1" applyFill="1" applyBorder="1" applyAlignment="1">
      <alignment wrapText="1"/>
    </xf>
    <xf numFmtId="3" fontId="10" fillId="2" borderId="1" xfId="0" applyNumberFormat="1" applyFont="1" applyFill="1" applyBorder="1"/>
    <xf numFmtId="3" fontId="8" fillId="2" borderId="1" xfId="0" applyNumberFormat="1" applyFont="1" applyFill="1" applyBorder="1"/>
    <xf numFmtId="3" fontId="18" fillId="0" borderId="0" xfId="0" applyNumberFormat="1" applyFont="1"/>
    <xf numFmtId="0" fontId="10" fillId="0" borderId="0" xfId="0" applyFont="1" applyAlignment="1">
      <alignment horizontal="center"/>
    </xf>
    <xf numFmtId="0" fontId="7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top" wrapText="1"/>
    </xf>
    <xf numFmtId="0" fontId="8" fillId="2" borderId="1" xfId="0" applyFont="1" applyFill="1" applyBorder="1" applyAlignment="1">
      <alignment horizontal="left" wrapText="1"/>
    </xf>
    <xf numFmtId="0" fontId="8" fillId="2" borderId="1" xfId="0" applyFont="1" applyFill="1" applyBorder="1" applyAlignment="1">
      <alignment vertical="center" wrapText="1"/>
    </xf>
    <xf numFmtId="0" fontId="8" fillId="0" borderId="1" xfId="0" applyFont="1" applyBorder="1" applyAlignment="1">
      <alignment horizontal="left"/>
    </xf>
    <xf numFmtId="0" fontId="10" fillId="0" borderId="1" xfId="0" applyFont="1" applyBorder="1" applyAlignment="1">
      <alignment vertical="top" wrapText="1"/>
    </xf>
    <xf numFmtId="0" fontId="7" fillId="0" borderId="1" xfId="0" applyFont="1" applyBorder="1" applyAlignment="1">
      <alignment horizontal="left" wrapText="1"/>
    </xf>
    <xf numFmtId="0" fontId="7" fillId="0" borderId="3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wrapText="1"/>
    </xf>
    <xf numFmtId="0" fontId="1" fillId="2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wrapText="1"/>
    </xf>
    <xf numFmtId="0" fontId="1" fillId="0" borderId="1" xfId="0" applyFont="1" applyBorder="1" applyAlignment="1">
      <alignment horizontal="left" vertical="top" wrapText="1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left" wrapText="1"/>
    </xf>
    <xf numFmtId="3" fontId="17" fillId="2" borderId="1" xfId="0" applyNumberFormat="1" applyFont="1" applyFill="1" applyBorder="1"/>
    <xf numFmtId="0" fontId="29" fillId="2" borderId="1" xfId="0" applyFont="1" applyFill="1" applyBorder="1"/>
    <xf numFmtId="0" fontId="7" fillId="2" borderId="0" xfId="0" applyFont="1" applyFill="1"/>
    <xf numFmtId="0" fontId="0" fillId="2" borderId="0" xfId="0" applyFill="1"/>
    <xf numFmtId="0" fontId="1" fillId="2" borderId="0" xfId="0" applyFont="1" applyFill="1" applyAlignment="1">
      <alignment horizontal="right"/>
    </xf>
    <xf numFmtId="0" fontId="1" fillId="2" borderId="0" xfId="0" applyFont="1" applyFill="1"/>
    <xf numFmtId="1" fontId="1" fillId="2" borderId="0" xfId="0" applyNumberFormat="1" applyFont="1" applyFill="1"/>
    <xf numFmtId="3" fontId="10" fillId="2" borderId="1" xfId="0" applyNumberFormat="1" applyFont="1" applyFill="1" applyBorder="1" applyAlignment="1">
      <alignment horizontal="center"/>
    </xf>
    <xf numFmtId="3" fontId="2" fillId="2" borderId="1" xfId="0" applyNumberFormat="1" applyFont="1" applyFill="1" applyBorder="1"/>
    <xf numFmtId="0" fontId="30" fillId="0" borderId="1" xfId="0" applyFont="1" applyBorder="1" applyAlignment="1">
      <alignment horizontal="center" vertical="top" wrapText="1"/>
    </xf>
    <xf numFmtId="3" fontId="30" fillId="2" borderId="1" xfId="0" applyNumberFormat="1" applyFont="1" applyFill="1" applyBorder="1" applyAlignment="1">
      <alignment horizontal="center" wrapText="1"/>
    </xf>
    <xf numFmtId="0" fontId="30" fillId="2" borderId="1" xfId="0" applyFont="1" applyFill="1" applyBorder="1" applyAlignment="1">
      <alignment horizontal="center" vertical="top" wrapText="1"/>
    </xf>
    <xf numFmtId="0" fontId="30" fillId="2" borderId="1" xfId="0" applyFont="1" applyFill="1" applyBorder="1" applyAlignment="1">
      <alignment horizontal="center" wrapText="1"/>
    </xf>
    <xf numFmtId="3" fontId="8" fillId="2" borderId="1" xfId="0" applyNumberFormat="1" applyFont="1" applyFill="1" applyBorder="1" applyAlignment="1">
      <alignment horizontal="center"/>
    </xf>
    <xf numFmtId="0" fontId="30" fillId="0" borderId="1" xfId="0" applyFont="1" applyBorder="1" applyAlignment="1">
      <alignment horizontal="center" wrapText="1"/>
    </xf>
    <xf numFmtId="0" fontId="30" fillId="2" borderId="3" xfId="0" applyFont="1" applyFill="1" applyBorder="1" applyAlignment="1">
      <alignment horizontal="center" vertical="center" wrapText="1"/>
    </xf>
    <xf numFmtId="0" fontId="30" fillId="0" borderId="3" xfId="0" applyFont="1" applyBorder="1" applyAlignment="1">
      <alignment horizontal="center" vertical="center" wrapText="1"/>
    </xf>
    <xf numFmtId="0" fontId="30" fillId="0" borderId="1" xfId="0" applyFont="1" applyBorder="1" applyAlignment="1">
      <alignment horizontal="center" vertical="top"/>
    </xf>
    <xf numFmtId="0" fontId="30" fillId="2" borderId="4" xfId="0" applyFont="1" applyFill="1" applyBorder="1" applyAlignment="1">
      <alignment horizontal="center" vertical="center" wrapText="1"/>
    </xf>
    <xf numFmtId="0" fontId="30" fillId="0" borderId="1" xfId="0" applyFont="1" applyBorder="1" applyAlignment="1">
      <alignment horizontal="center" vertical="center" wrapText="1"/>
    </xf>
    <xf numFmtId="0" fontId="18" fillId="2" borderId="0" xfId="0" applyFont="1" applyFill="1"/>
    <xf numFmtId="0" fontId="20" fillId="2" borderId="0" xfId="0" applyFont="1" applyFill="1"/>
    <xf numFmtId="0" fontId="10" fillId="2" borderId="1" xfId="0" applyFont="1" applyFill="1" applyBorder="1" applyAlignment="1">
      <alignment horizontal="center"/>
    </xf>
    <xf numFmtId="0" fontId="8" fillId="2" borderId="1" xfId="0" applyFont="1" applyFill="1" applyBorder="1" applyAlignment="1">
      <alignment horizontal="right"/>
    </xf>
    <xf numFmtId="0" fontId="10" fillId="2" borderId="1" xfId="0" applyFont="1" applyFill="1" applyBorder="1" applyAlignment="1">
      <alignment horizontal="left"/>
    </xf>
    <xf numFmtId="0" fontId="17" fillId="2" borderId="1" xfId="0" applyFont="1" applyFill="1" applyBorder="1"/>
    <xf numFmtId="49" fontId="10" fillId="2" borderId="1" xfId="0" applyNumberFormat="1" applyFont="1" applyFill="1" applyBorder="1"/>
    <xf numFmtId="0" fontId="22" fillId="2" borderId="0" xfId="0" applyFont="1" applyFill="1" applyAlignment="1">
      <alignment horizontal="right"/>
    </xf>
    <xf numFmtId="0" fontId="8" fillId="2" borderId="0" xfId="0" applyFont="1" applyFill="1" applyAlignment="1">
      <alignment horizontal="right"/>
    </xf>
    <xf numFmtId="0" fontId="21" fillId="2" borderId="0" xfId="0" applyFont="1" applyFill="1"/>
    <xf numFmtId="0" fontId="6" fillId="2" borderId="1" xfId="0" applyFont="1" applyFill="1" applyBorder="1" applyAlignment="1">
      <alignment vertical="top" wrapText="1"/>
    </xf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10" fillId="2" borderId="0" xfId="0" applyFont="1" applyFill="1" applyAlignment="1">
      <alignment horizontal="right"/>
    </xf>
    <xf numFmtId="0" fontId="7" fillId="2" borderId="0" xfId="0" applyFont="1" applyFill="1" applyAlignment="1">
      <alignment horizontal="right"/>
    </xf>
    <xf numFmtId="0" fontId="8" fillId="2" borderId="1" xfId="0" applyFont="1" applyFill="1" applyBorder="1" applyAlignment="1">
      <alignment horizontal="center"/>
    </xf>
    <xf numFmtId="1" fontId="8" fillId="2" borderId="1" xfId="0" applyNumberFormat="1" applyFont="1" applyFill="1" applyBorder="1" applyAlignment="1">
      <alignment horizontal="center" vertical="center" wrapText="1"/>
    </xf>
    <xf numFmtId="3" fontId="8" fillId="2" borderId="3" xfId="0" applyNumberFormat="1" applyFont="1" applyFill="1" applyBorder="1" applyAlignment="1">
      <alignment horizontal="center" wrapText="1"/>
    </xf>
    <xf numFmtId="3" fontId="8" fillId="2" borderId="5" xfId="0" applyNumberFormat="1" applyFont="1" applyFill="1" applyBorder="1" applyAlignment="1">
      <alignment horizontal="center" wrapText="1"/>
    </xf>
    <xf numFmtId="3" fontId="8" fillId="2" borderId="1" xfId="0" applyNumberFormat="1" applyFont="1" applyFill="1" applyBorder="1" applyAlignment="1">
      <alignment horizontal="center" wrapText="1"/>
    </xf>
    <xf numFmtId="3" fontId="8" fillId="2" borderId="6" xfId="0" applyNumberFormat="1" applyFont="1" applyFill="1" applyBorder="1" applyAlignment="1">
      <alignment horizontal="center" wrapText="1"/>
    </xf>
    <xf numFmtId="3" fontId="8" fillId="2" borderId="4" xfId="0" applyNumberFormat="1" applyFont="1" applyFill="1" applyBorder="1" applyAlignment="1">
      <alignment horizontal="center" wrapText="1"/>
    </xf>
    <xf numFmtId="0" fontId="20" fillId="2" borderId="0" xfId="0" applyFont="1" applyFill="1" applyAlignment="1">
      <alignment horizontal="right"/>
    </xf>
    <xf numFmtId="0" fontId="20" fillId="2" borderId="0" xfId="0" applyFont="1" applyFill="1" applyAlignment="1">
      <alignment horizontal="center"/>
    </xf>
    <xf numFmtId="0" fontId="17" fillId="2" borderId="1" xfId="0" applyFont="1" applyFill="1" applyBorder="1" applyAlignment="1">
      <alignment wrapText="1"/>
    </xf>
    <xf numFmtId="3" fontId="8" fillId="2" borderId="1" xfId="0" applyNumberFormat="1" applyFont="1" applyFill="1" applyBorder="1" applyAlignment="1">
      <alignment horizontal="right"/>
    </xf>
    <xf numFmtId="0" fontId="1" fillId="2" borderId="0" xfId="0" applyFont="1" applyFill="1" applyAlignment="1">
      <alignment wrapText="1"/>
    </xf>
    <xf numFmtId="0" fontId="1" fillId="2" borderId="1" xfId="0" applyFont="1" applyFill="1" applyBorder="1" applyAlignment="1">
      <alignment vertical="top" wrapText="1"/>
    </xf>
    <xf numFmtId="49" fontId="10" fillId="2" borderId="1" xfId="0" applyNumberFormat="1" applyFont="1" applyFill="1" applyBorder="1" applyAlignment="1">
      <alignment wrapText="1"/>
    </xf>
    <xf numFmtId="0" fontId="2" fillId="2" borderId="1" xfId="0" applyFont="1" applyFill="1" applyBorder="1" applyAlignment="1">
      <alignment wrapText="1"/>
    </xf>
    <xf numFmtId="3" fontId="12" fillId="0" borderId="1" xfId="0" applyNumberFormat="1" applyFont="1" applyBorder="1"/>
    <xf numFmtId="0" fontId="11" fillId="0" borderId="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3" fontId="12" fillId="0" borderId="1" xfId="0" applyNumberFormat="1" applyFont="1" applyBorder="1" applyAlignment="1">
      <alignment horizontal="center"/>
    </xf>
    <xf numFmtId="0" fontId="6" fillId="2" borderId="1" xfId="0" applyFont="1" applyFill="1" applyBorder="1" applyAlignment="1">
      <alignment horizontal="center" vertical="top" wrapText="1"/>
    </xf>
    <xf numFmtId="3" fontId="10" fillId="2" borderId="7" xfId="0" applyNumberFormat="1" applyFont="1" applyFill="1" applyBorder="1"/>
    <xf numFmtId="3" fontId="8" fillId="2" borderId="7" xfId="0" applyNumberFormat="1" applyFont="1" applyFill="1" applyBorder="1"/>
    <xf numFmtId="3" fontId="17" fillId="2" borderId="7" xfId="0" applyNumberFormat="1" applyFont="1" applyFill="1" applyBorder="1"/>
    <xf numFmtId="0" fontId="30" fillId="2" borderId="1" xfId="0" applyFont="1" applyFill="1" applyBorder="1"/>
    <xf numFmtId="0" fontId="17" fillId="0" borderId="1" xfId="0" applyFont="1" applyBorder="1"/>
    <xf numFmtId="0" fontId="4" fillId="0" borderId="1" xfId="0" applyFont="1" applyBorder="1"/>
    <xf numFmtId="0" fontId="2" fillId="2" borderId="1" xfId="0" applyFont="1" applyFill="1" applyBorder="1"/>
    <xf numFmtId="0" fontId="4" fillId="2" borderId="1" xfId="0" applyFont="1" applyFill="1" applyBorder="1"/>
    <xf numFmtId="0" fontId="30" fillId="0" borderId="1" xfId="0" applyFont="1" applyBorder="1"/>
    <xf numFmtId="3" fontId="11" fillId="0" borderId="1" xfId="0" applyNumberFormat="1" applyFont="1" applyBorder="1"/>
    <xf numFmtId="0" fontId="8" fillId="0" borderId="0" xfId="0" applyFont="1" applyAlignment="1">
      <alignment wrapText="1"/>
    </xf>
    <xf numFmtId="0" fontId="8" fillId="0" borderId="10" xfId="0" applyFont="1" applyBorder="1" applyAlignment="1">
      <alignment wrapText="1"/>
    </xf>
    <xf numFmtId="3" fontId="11" fillId="0" borderId="1" xfId="0" applyNumberFormat="1" applyFont="1" applyBorder="1" applyAlignment="1">
      <alignment horizontal="center"/>
    </xf>
    <xf numFmtId="0" fontId="12" fillId="0" borderId="1" xfId="0" applyFont="1" applyBorder="1" applyAlignment="1">
      <alignment horizontal="center"/>
    </xf>
    <xf numFmtId="3" fontId="10" fillId="0" borderId="1" xfId="0" applyNumberFormat="1" applyFont="1" applyBorder="1"/>
    <xf numFmtId="3" fontId="12" fillId="0" borderId="0" xfId="0" applyNumberFormat="1" applyFont="1"/>
    <xf numFmtId="0" fontId="6" fillId="2" borderId="1" xfId="0" applyFont="1" applyFill="1" applyBorder="1"/>
    <xf numFmtId="0" fontId="11" fillId="0" borderId="1" xfId="0" applyFont="1" applyBorder="1" applyAlignment="1">
      <alignment horizontal="center"/>
    </xf>
    <xf numFmtId="1" fontId="6" fillId="0" borderId="0" xfId="0" applyNumberFormat="1" applyFont="1" applyAlignment="1">
      <alignment vertical="top" wrapText="1"/>
    </xf>
    <xf numFmtId="0" fontId="30" fillId="0" borderId="11" xfId="0" applyFont="1" applyBorder="1" applyAlignment="1">
      <alignment horizontal="center" wrapText="1"/>
    </xf>
    <xf numFmtId="3" fontId="8" fillId="2" borderId="11" xfId="0" applyNumberFormat="1" applyFont="1" applyFill="1" applyBorder="1" applyAlignment="1">
      <alignment horizontal="center"/>
    </xf>
    <xf numFmtId="0" fontId="30" fillId="0" borderId="5" xfId="0" applyFont="1" applyBorder="1" applyAlignment="1">
      <alignment horizontal="center" vertical="center" wrapText="1"/>
    </xf>
    <xf numFmtId="0" fontId="30" fillId="2" borderId="11" xfId="0" applyFont="1" applyFill="1" applyBorder="1" applyAlignment="1">
      <alignment horizontal="center" vertical="top" wrapText="1"/>
    </xf>
    <xf numFmtId="0" fontId="30" fillId="2" borderId="12" xfId="0" applyFont="1" applyFill="1" applyBorder="1" applyAlignment="1">
      <alignment horizontal="center" wrapText="1"/>
    </xf>
    <xf numFmtId="3" fontId="8" fillId="2" borderId="12" xfId="0" applyNumberFormat="1" applyFont="1" applyFill="1" applyBorder="1" applyAlignment="1">
      <alignment horizontal="center"/>
    </xf>
    <xf numFmtId="3" fontId="8" fillId="2" borderId="13" xfId="0" applyNumberFormat="1" applyFont="1" applyFill="1" applyBorder="1" applyAlignment="1">
      <alignment horizontal="center" wrapText="1"/>
    </xf>
    <xf numFmtId="0" fontId="30" fillId="2" borderId="1" xfId="0" applyFont="1" applyFill="1" applyBorder="1" applyAlignment="1">
      <alignment horizontal="center" vertical="center" wrapText="1"/>
    </xf>
    <xf numFmtId="3" fontId="12" fillId="0" borderId="14" xfId="0" applyNumberFormat="1" applyFont="1" applyBorder="1" applyAlignment="1">
      <alignment wrapText="1"/>
    </xf>
    <xf numFmtId="3" fontId="8" fillId="0" borderId="7" xfId="0" applyNumberFormat="1" applyFont="1" applyBorder="1"/>
    <xf numFmtId="3" fontId="10" fillId="0" borderId="1" xfId="0" applyNumberFormat="1" applyFont="1" applyBorder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1" fillId="0" borderId="1" xfId="0" applyNumberFormat="1" applyFont="1" applyBorder="1" applyAlignment="1">
      <alignment horizontal="center"/>
    </xf>
    <xf numFmtId="1" fontId="6" fillId="0" borderId="0" xfId="0" applyNumberFormat="1" applyFont="1" applyAlignment="1">
      <alignment vertical="top"/>
    </xf>
    <xf numFmtId="0" fontId="33" fillId="0" borderId="0" xfId="0" applyFont="1" applyAlignment="1">
      <alignment vertical="top" wrapText="1"/>
    </xf>
    <xf numFmtId="0" fontId="7" fillId="0" borderId="1" xfId="0" applyFont="1" applyBorder="1"/>
    <xf numFmtId="0" fontId="1" fillId="0" borderId="1" xfId="0" applyFont="1" applyBorder="1" applyAlignment="1">
      <alignment wrapText="1"/>
    </xf>
    <xf numFmtId="0" fontId="1" fillId="0" borderId="0" xfId="0" applyFont="1" applyAlignment="1">
      <alignment wrapText="1"/>
    </xf>
    <xf numFmtId="0" fontId="1" fillId="0" borderId="1" xfId="0" applyFont="1" applyBorder="1" applyAlignment="1">
      <alignment vertical="top" wrapText="1"/>
    </xf>
    <xf numFmtId="1" fontId="8" fillId="0" borderId="1" xfId="0" applyNumberFormat="1" applyFont="1" applyBorder="1" applyAlignment="1">
      <alignment horizontal="center" vertical="center" wrapText="1"/>
    </xf>
    <xf numFmtId="3" fontId="8" fillId="0" borderId="7" xfId="0" applyNumberFormat="1" applyFont="1" applyBorder="1" applyAlignment="1">
      <alignment horizontal="center"/>
    </xf>
    <xf numFmtId="3" fontId="8" fillId="0" borderId="15" xfId="0" applyNumberFormat="1" applyFont="1" applyBorder="1" applyAlignment="1">
      <alignment horizontal="center" wrapText="1"/>
    </xf>
    <xf numFmtId="3" fontId="8" fillId="0" borderId="1" xfId="0" applyNumberFormat="1" applyFont="1" applyBorder="1" applyAlignment="1">
      <alignment horizontal="center" wrapText="1"/>
    </xf>
    <xf numFmtId="3" fontId="8" fillId="0" borderId="11" xfId="0" applyNumberFormat="1" applyFont="1" applyBorder="1" applyAlignment="1">
      <alignment horizontal="center" wrapText="1"/>
    </xf>
    <xf numFmtId="3" fontId="8" fillId="0" borderId="0" xfId="0" applyNumberFormat="1" applyFont="1" applyAlignment="1">
      <alignment horizontal="center" wrapText="1"/>
    </xf>
    <xf numFmtId="3" fontId="8" fillId="0" borderId="3" xfId="0" applyNumberFormat="1" applyFont="1" applyBorder="1" applyAlignment="1">
      <alignment horizontal="center" wrapText="1"/>
    </xf>
    <xf numFmtId="3" fontId="8" fillId="0" borderId="11" xfId="0" applyNumberFormat="1" applyFont="1" applyBorder="1" applyAlignment="1">
      <alignment horizontal="center"/>
    </xf>
    <xf numFmtId="3" fontId="8" fillId="0" borderId="12" xfId="0" applyNumberFormat="1" applyFont="1" applyBorder="1" applyAlignment="1">
      <alignment horizontal="center"/>
    </xf>
    <xf numFmtId="3" fontId="8" fillId="0" borderId="16" xfId="0" applyNumberFormat="1" applyFont="1" applyBorder="1" applyAlignment="1">
      <alignment horizontal="center" wrapText="1"/>
    </xf>
    <xf numFmtId="3" fontId="8" fillId="0" borderId="12" xfId="0" applyNumberFormat="1" applyFont="1" applyBorder="1" applyAlignment="1">
      <alignment horizontal="center" wrapText="1"/>
    </xf>
    <xf numFmtId="3" fontId="1" fillId="0" borderId="16" xfId="0" applyNumberFormat="1" applyFont="1" applyBorder="1" applyAlignment="1">
      <alignment horizontal="center" wrapText="1"/>
    </xf>
    <xf numFmtId="3" fontId="28" fillId="0" borderId="1" xfId="0" applyNumberFormat="1" applyFont="1" applyBorder="1" applyAlignment="1">
      <alignment horizontal="center"/>
    </xf>
    <xf numFmtId="3" fontId="8" fillId="0" borderId="17" xfId="0" applyNumberFormat="1" applyFont="1" applyBorder="1" applyAlignment="1">
      <alignment horizontal="center" wrapText="1"/>
    </xf>
    <xf numFmtId="3" fontId="8" fillId="0" borderId="18" xfId="0" applyNumberFormat="1" applyFont="1" applyBorder="1" applyAlignment="1">
      <alignment horizontal="center" wrapText="1"/>
    </xf>
    <xf numFmtId="0" fontId="32" fillId="2" borderId="0" xfId="0" applyFont="1" applyFill="1" applyAlignment="1">
      <alignment horizontal="center" vertical="top" wrapText="1"/>
    </xf>
    <xf numFmtId="0" fontId="10" fillId="2" borderId="1" xfId="0" applyFont="1" applyFill="1" applyBorder="1" applyAlignment="1">
      <alignment horizontal="center" vertical="top"/>
    </xf>
    <xf numFmtId="0" fontId="30" fillId="2" borderId="5" xfId="0" applyFont="1" applyFill="1" applyBorder="1" applyAlignment="1">
      <alignment horizontal="center" vertical="center" wrapText="1"/>
    </xf>
    <xf numFmtId="3" fontId="8" fillId="2" borderId="0" xfId="0" applyNumberFormat="1" applyFont="1" applyFill="1" applyAlignment="1">
      <alignment horizontal="center" wrapText="1"/>
    </xf>
    <xf numFmtId="0" fontId="8" fillId="2" borderId="0" xfId="0" applyFont="1" applyFill="1" applyAlignment="1">
      <alignment wrapText="1"/>
    </xf>
    <xf numFmtId="3" fontId="11" fillId="0" borderId="1" xfId="0" applyNumberFormat="1" applyFont="1" applyBorder="1" applyAlignment="1">
      <alignment horizontal="center" vertical="center"/>
    </xf>
    <xf numFmtId="3" fontId="1" fillId="2" borderId="1" xfId="0" applyNumberFormat="1" applyFont="1" applyFill="1" applyBorder="1" applyAlignment="1">
      <alignment horizontal="center"/>
    </xf>
    <xf numFmtId="0" fontId="8" fillId="2" borderId="1" xfId="0" applyFont="1" applyFill="1" applyBorder="1" applyAlignment="1">
      <alignment vertical="top" wrapText="1"/>
    </xf>
    <xf numFmtId="3" fontId="31" fillId="2" borderId="1" xfId="0" applyNumberFormat="1" applyFont="1" applyFill="1" applyBorder="1" applyAlignment="1">
      <alignment horizontal="center" wrapText="1"/>
    </xf>
    <xf numFmtId="3" fontId="30" fillId="2" borderId="11" xfId="0" applyNumberFormat="1" applyFont="1" applyFill="1" applyBorder="1" applyAlignment="1">
      <alignment horizontal="center" wrapText="1"/>
    </xf>
    <xf numFmtId="3" fontId="30" fillId="2" borderId="12" xfId="0" applyNumberFormat="1" applyFont="1" applyFill="1" applyBorder="1" applyAlignment="1">
      <alignment horizontal="center" wrapText="1"/>
    </xf>
    <xf numFmtId="0" fontId="7" fillId="2" borderId="1" xfId="0" applyFont="1" applyFill="1" applyBorder="1"/>
    <xf numFmtId="0" fontId="7" fillId="2" borderId="1" xfId="0" applyFont="1" applyFill="1" applyBorder="1" applyAlignment="1">
      <alignment wrapText="1"/>
    </xf>
    <xf numFmtId="3" fontId="8" fillId="2" borderId="0" xfId="0" applyNumberFormat="1" applyFont="1" applyFill="1"/>
    <xf numFmtId="3" fontId="2" fillId="0" borderId="0" xfId="0" applyNumberFormat="1" applyFont="1" applyAlignment="1">
      <alignment horizontal="right" wrapText="1"/>
    </xf>
    <xf numFmtId="3" fontId="8" fillId="2" borderId="15" xfId="0" applyNumberFormat="1" applyFont="1" applyFill="1" applyBorder="1" applyAlignment="1">
      <alignment horizontal="center" wrapText="1"/>
    </xf>
    <xf numFmtId="0" fontId="31" fillId="2" borderId="1" xfId="0" applyFont="1" applyFill="1" applyBorder="1" applyAlignment="1">
      <alignment horizontal="center" vertical="top" wrapText="1"/>
    </xf>
    <xf numFmtId="3" fontId="18" fillId="2" borderId="0" xfId="0" applyNumberFormat="1" applyFont="1" applyFill="1"/>
    <xf numFmtId="0" fontId="30" fillId="3" borderId="1" xfId="0" applyFont="1" applyFill="1" applyBorder="1" applyAlignment="1">
      <alignment horizontal="center" wrapText="1"/>
    </xf>
    <xf numFmtId="0" fontId="30" fillId="3" borderId="1" xfId="0" applyFont="1" applyFill="1" applyBorder="1" applyAlignment="1">
      <alignment horizontal="center" vertical="top" wrapText="1"/>
    </xf>
    <xf numFmtId="0" fontId="30" fillId="3" borderId="0" xfId="0" applyFont="1" applyFill="1" applyAlignment="1">
      <alignment horizontal="center" vertical="center" wrapText="1"/>
    </xf>
    <xf numFmtId="0" fontId="30" fillId="3" borderId="0" xfId="0" applyFont="1" applyFill="1" applyAlignment="1">
      <alignment horizontal="center" wrapText="1"/>
    </xf>
    <xf numFmtId="43" fontId="7" fillId="0" borderId="0" xfId="3" applyFont="1"/>
    <xf numFmtId="0" fontId="7" fillId="0" borderId="14" xfId="0" applyFont="1" applyBorder="1"/>
    <xf numFmtId="3" fontId="6" fillId="0" borderId="0" xfId="0" applyNumberFormat="1" applyFont="1" applyAlignment="1">
      <alignment vertical="top"/>
    </xf>
    <xf numFmtId="3" fontId="10" fillId="0" borderId="0" xfId="0" applyNumberFormat="1" applyFont="1" applyAlignment="1">
      <alignment horizontal="center"/>
    </xf>
    <xf numFmtId="0" fontId="31" fillId="3" borderId="0" xfId="0" applyFont="1" applyFill="1" applyAlignment="1">
      <alignment horizontal="center" vertical="top" wrapText="1"/>
    </xf>
    <xf numFmtId="0" fontId="31" fillId="3" borderId="1" xfId="0" applyFont="1" applyFill="1" applyBorder="1" applyAlignment="1">
      <alignment horizontal="center" vertical="top" wrapText="1"/>
    </xf>
    <xf numFmtId="3" fontId="2" fillId="0" borderId="0" xfId="0" applyNumberFormat="1" applyFont="1" applyAlignment="1">
      <alignment horizontal="center"/>
    </xf>
    <xf numFmtId="3" fontId="10" fillId="2" borderId="0" xfId="0" applyNumberFormat="1" applyFont="1" applyFill="1" applyAlignment="1">
      <alignment horizontal="center"/>
    </xf>
    <xf numFmtId="9" fontId="0" fillId="0" borderId="0" xfId="1" applyFont="1" applyFill="1"/>
    <xf numFmtId="0" fontId="30" fillId="3" borderId="1" xfId="0" applyFont="1" applyFill="1" applyBorder="1" applyAlignment="1">
      <alignment horizontal="center" vertical="top"/>
    </xf>
    <xf numFmtId="3" fontId="12" fillId="2" borderId="14" xfId="0" applyNumberFormat="1" applyFont="1" applyFill="1" applyBorder="1"/>
    <xf numFmtId="0" fontId="10" fillId="2" borderId="1" xfId="0" applyFont="1" applyFill="1" applyBorder="1" applyAlignment="1">
      <alignment vertical="top" wrapText="1"/>
    </xf>
    <xf numFmtId="0" fontId="1" fillId="2" borderId="0" xfId="0" applyFont="1" applyFill="1" applyAlignment="1">
      <alignment horizontal="left" vertical="top" wrapText="1"/>
    </xf>
    <xf numFmtId="0" fontId="0" fillId="0" borderId="0" xfId="2" applyNumberFormat="1" applyFont="1" applyFill="1"/>
    <xf numFmtId="3" fontId="27" fillId="0" borderId="0" xfId="0" applyNumberFormat="1" applyFont="1"/>
    <xf numFmtId="3" fontId="34" fillId="0" borderId="0" xfId="0" applyNumberFormat="1" applyFont="1"/>
    <xf numFmtId="0" fontId="11" fillId="0" borderId="0" xfId="0" applyFont="1" applyAlignment="1">
      <alignment horizontal="center"/>
    </xf>
    <xf numFmtId="0" fontId="10" fillId="0" borderId="1" xfId="0" applyFont="1" applyBorder="1" applyAlignment="1">
      <alignment horizontal="center" vertical="center" wrapText="1"/>
    </xf>
    <xf numFmtId="0" fontId="23" fillId="2" borderId="0" xfId="0" applyFont="1" applyFill="1" applyAlignment="1">
      <alignment horizontal="center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0" fontId="10" fillId="2" borderId="7" xfId="0" applyFont="1" applyFill="1" applyBorder="1" applyAlignment="1">
      <alignment horizontal="center" vertical="center"/>
    </xf>
    <xf numFmtId="0" fontId="10" fillId="2" borderId="7" xfId="0" applyFont="1" applyFill="1" applyBorder="1" applyAlignment="1">
      <alignment horizontal="center" wrapText="1"/>
    </xf>
    <xf numFmtId="0" fontId="10" fillId="2" borderId="8" xfId="0" applyFont="1" applyFill="1" applyBorder="1" applyAlignment="1">
      <alignment horizontal="center" wrapText="1"/>
    </xf>
    <xf numFmtId="0" fontId="10" fillId="2" borderId="9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wrapText="1"/>
    </xf>
    <xf numFmtId="0" fontId="2" fillId="0" borderId="11" xfId="0" applyFont="1" applyBorder="1" applyAlignment="1">
      <alignment horizontal="center" wrapText="1"/>
    </xf>
    <xf numFmtId="0" fontId="2" fillId="0" borderId="12" xfId="0" applyFont="1" applyBorder="1" applyAlignment="1">
      <alignment horizontal="center" wrapText="1"/>
    </xf>
    <xf numFmtId="0" fontId="25" fillId="0" borderId="0" xfId="0" applyFont="1" applyAlignment="1">
      <alignment horizontal="center"/>
    </xf>
    <xf numFmtId="0" fontId="10" fillId="0" borderId="1" xfId="0" applyFont="1" applyBorder="1" applyAlignment="1">
      <alignment horizontal="center"/>
    </xf>
    <xf numFmtId="0" fontId="10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center"/>
    </xf>
    <xf numFmtId="0" fontId="7" fillId="2" borderId="0" xfId="0" applyFont="1" applyFill="1" applyAlignment="1">
      <alignment horizontal="center"/>
    </xf>
    <xf numFmtId="0" fontId="9" fillId="0" borderId="0" xfId="0" applyFont="1" applyAlignment="1">
      <alignment horizontal="right"/>
    </xf>
    <xf numFmtId="0" fontId="18" fillId="2" borderId="0" xfId="0" applyFont="1" applyFill="1" applyAlignment="1">
      <alignment horizontal="right"/>
    </xf>
    <xf numFmtId="0" fontId="26" fillId="0" borderId="0" xfId="0" applyFont="1" applyAlignment="1">
      <alignment horizontal="center"/>
    </xf>
    <xf numFmtId="0" fontId="8" fillId="0" borderId="0" xfId="0" applyFont="1" applyAlignment="1">
      <alignment horizontal="right"/>
    </xf>
    <xf numFmtId="0" fontId="1" fillId="0" borderId="0" xfId="0" applyFont="1" applyAlignment="1">
      <alignment horizontal="center"/>
    </xf>
  </cellXfs>
  <cellStyles count="4">
    <cellStyle name="Comma" xfId="3" builtinId="3"/>
    <cellStyle name="Currency [0]" xfId="2" builtinId="7"/>
    <cellStyle name="Normal" xfId="0" builtinId="0"/>
    <cellStyle name="Percent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76"/>
  <sheetViews>
    <sheetView workbookViewId="0">
      <selection activeCell="G6" sqref="G6"/>
    </sheetView>
  </sheetViews>
  <sheetFormatPr defaultColWidth="9.109375" defaultRowHeight="15.6" x14ac:dyDescent="0.3"/>
  <cols>
    <col min="1" max="1" width="65.6640625" style="10" customWidth="1"/>
    <col min="2" max="3" width="13.88671875" style="10" customWidth="1"/>
    <col min="4" max="4" width="13.5546875" style="10" customWidth="1"/>
    <col min="5" max="5" width="19.5546875" style="10" customWidth="1"/>
    <col min="6" max="6" width="11.33203125" style="10" bestFit="1" customWidth="1"/>
    <col min="7" max="16384" width="9.109375" style="10"/>
  </cols>
  <sheetData>
    <row r="1" spans="1:12" x14ac:dyDescent="0.3">
      <c r="E1" s="4" t="s">
        <v>791</v>
      </c>
    </row>
    <row r="2" spans="1:12" x14ac:dyDescent="0.3">
      <c r="E2" s="4" t="s">
        <v>723</v>
      </c>
    </row>
    <row r="3" spans="1:12" x14ac:dyDescent="0.3">
      <c r="E3" s="4" t="s">
        <v>862</v>
      </c>
    </row>
    <row r="4" spans="1:12" x14ac:dyDescent="0.3">
      <c r="E4" s="4" t="s">
        <v>861</v>
      </c>
    </row>
    <row r="5" spans="1:12" x14ac:dyDescent="0.3">
      <c r="C5" s="274" t="s">
        <v>797</v>
      </c>
      <c r="D5" s="274"/>
      <c r="E5" s="274"/>
    </row>
    <row r="6" spans="1:12" x14ac:dyDescent="0.3">
      <c r="A6" s="5"/>
      <c r="C6" s="5"/>
      <c r="E6" s="4" t="s">
        <v>791</v>
      </c>
      <c r="F6" s="11"/>
      <c r="G6" s="11"/>
      <c r="H6" s="11"/>
      <c r="I6" s="11"/>
    </row>
    <row r="7" spans="1:12" x14ac:dyDescent="0.3">
      <c r="A7" s="5"/>
      <c r="C7" s="5"/>
      <c r="E7" s="4" t="s">
        <v>723</v>
      </c>
      <c r="F7" s="11"/>
      <c r="G7" s="11"/>
      <c r="H7" s="11"/>
      <c r="I7" s="11"/>
    </row>
    <row r="8" spans="1:12" x14ac:dyDescent="0.3">
      <c r="A8" s="5"/>
      <c r="C8" s="5"/>
      <c r="E8" s="4" t="s">
        <v>792</v>
      </c>
      <c r="F8" s="11"/>
      <c r="G8" s="11"/>
      <c r="H8" s="11"/>
      <c r="I8" s="11"/>
      <c r="J8" s="5"/>
      <c r="K8" s="5"/>
      <c r="L8" s="5"/>
    </row>
    <row r="9" spans="1:12" x14ac:dyDescent="0.3">
      <c r="A9" s="5"/>
      <c r="B9" s="4"/>
      <c r="C9" s="5"/>
      <c r="D9" s="4"/>
      <c r="E9" s="4" t="s">
        <v>793</v>
      </c>
      <c r="F9" s="11"/>
      <c r="G9" s="11"/>
      <c r="H9" s="11"/>
      <c r="I9" s="11"/>
    </row>
    <row r="10" spans="1:12" s="11" customFormat="1" ht="15" customHeight="1" x14ac:dyDescent="0.3"/>
    <row r="11" spans="1:12" s="11" customFormat="1" ht="15" customHeight="1" x14ac:dyDescent="0.3">
      <c r="A11" s="252" t="s">
        <v>794</v>
      </c>
      <c r="B11" s="252"/>
      <c r="C11" s="252"/>
    </row>
    <row r="12" spans="1:12" s="11" customFormat="1" ht="15" customHeight="1" x14ac:dyDescent="0.3">
      <c r="C12" s="12"/>
    </row>
    <row r="13" spans="1:12" s="11" customFormat="1" ht="52.5" customHeight="1" x14ac:dyDescent="0.3">
      <c r="A13" s="13" t="s">
        <v>542</v>
      </c>
      <c r="B13" s="13" t="s">
        <v>543</v>
      </c>
      <c r="C13" s="14" t="s">
        <v>645</v>
      </c>
      <c r="D13" s="155" t="s">
        <v>726</v>
      </c>
      <c r="E13" s="155" t="s">
        <v>727</v>
      </c>
    </row>
    <row r="14" spans="1:12" s="11" customFormat="1" ht="30" customHeight="1" x14ac:dyDescent="0.3">
      <c r="A14" s="15" t="s">
        <v>544</v>
      </c>
      <c r="B14" s="16"/>
      <c r="C14" s="17">
        <f>C15+C17+C19+C24+C27+C29+C31+C34+C36+C38+C40+C21</f>
        <v>33196377</v>
      </c>
      <c r="D14" s="173">
        <f>D36+D40+D34+D38+D15+D29</f>
        <v>2528272</v>
      </c>
      <c r="E14" s="170">
        <f>C14+D14</f>
        <v>35724649</v>
      </c>
      <c r="F14" s="176"/>
    </row>
    <row r="15" spans="1:12" s="18" customFormat="1" ht="15" customHeight="1" x14ac:dyDescent="0.3">
      <c r="A15" s="16" t="s">
        <v>313</v>
      </c>
      <c r="B15" s="16" t="s">
        <v>312</v>
      </c>
      <c r="C15" s="17">
        <f>C16</f>
        <v>11298140</v>
      </c>
      <c r="D15" s="219">
        <f>D16</f>
        <v>0</v>
      </c>
      <c r="E15" s="170">
        <f t="shared" ref="E15:E42" si="0">C15+D15</f>
        <v>11298140</v>
      </c>
    </row>
    <row r="16" spans="1:12" s="11" customFormat="1" ht="15" customHeight="1" x14ac:dyDescent="0.3">
      <c r="A16" s="19" t="s">
        <v>545</v>
      </c>
      <c r="B16" s="20" t="s">
        <v>546</v>
      </c>
      <c r="C16" s="21">
        <f>'2.pielikums'!I20</f>
        <v>11298140</v>
      </c>
      <c r="D16" s="159"/>
      <c r="E16" s="154">
        <f t="shared" si="0"/>
        <v>11298140</v>
      </c>
    </row>
    <row r="17" spans="1:5" s="11" customFormat="1" ht="15" customHeight="1" x14ac:dyDescent="0.3">
      <c r="A17" s="22" t="s">
        <v>318</v>
      </c>
      <c r="B17" s="22" t="s">
        <v>317</v>
      </c>
      <c r="C17" s="23">
        <f>C18</f>
        <v>1129985</v>
      </c>
      <c r="D17" s="33">
        <f>'2.pielikums'!J22</f>
        <v>0</v>
      </c>
      <c r="E17" s="170">
        <f t="shared" si="0"/>
        <v>1129985</v>
      </c>
    </row>
    <row r="18" spans="1:5" s="11" customFormat="1" ht="15" customHeight="1" x14ac:dyDescent="0.3">
      <c r="A18" s="24" t="s">
        <v>547</v>
      </c>
      <c r="B18" s="25" t="s">
        <v>548</v>
      </c>
      <c r="C18" s="26">
        <f>'2.pielikums'!I23</f>
        <v>1129985</v>
      </c>
      <c r="D18" s="33"/>
      <c r="E18" s="154">
        <f t="shared" si="0"/>
        <v>1129985</v>
      </c>
    </row>
    <row r="19" spans="1:5" s="11" customFormat="1" ht="15" customHeight="1" x14ac:dyDescent="0.3">
      <c r="A19" s="22" t="s">
        <v>549</v>
      </c>
      <c r="B19" s="22" t="s">
        <v>337</v>
      </c>
      <c r="C19" s="23">
        <f>C20</f>
        <v>45000</v>
      </c>
      <c r="D19" s="33">
        <f>'2.pielikums'!J34</f>
        <v>0</v>
      </c>
      <c r="E19" s="170">
        <f t="shared" si="0"/>
        <v>45000</v>
      </c>
    </row>
    <row r="20" spans="1:5" s="11" customFormat="1" ht="15" customHeight="1" x14ac:dyDescent="0.3">
      <c r="A20" s="24" t="s">
        <v>550</v>
      </c>
      <c r="B20" s="25" t="s">
        <v>551</v>
      </c>
      <c r="C20" s="26">
        <f>'2.pielikums'!I34</f>
        <v>45000</v>
      </c>
      <c r="D20" s="33"/>
      <c r="E20" s="154">
        <f t="shared" si="0"/>
        <v>45000</v>
      </c>
    </row>
    <row r="21" spans="1:5" s="11" customFormat="1" ht="15" customHeight="1" x14ac:dyDescent="0.3">
      <c r="A21" s="22" t="s">
        <v>552</v>
      </c>
      <c r="B21" s="22" t="s">
        <v>348</v>
      </c>
      <c r="C21" s="23">
        <v>54687</v>
      </c>
      <c r="D21" s="173">
        <f>'2.pielikums'!J40</f>
        <v>0</v>
      </c>
      <c r="E21" s="170">
        <f>E23+E22</f>
        <v>54687</v>
      </c>
    </row>
    <row r="22" spans="1:5" s="11" customFormat="1" ht="15" customHeight="1" x14ac:dyDescent="0.3">
      <c r="A22" s="24" t="s">
        <v>729</v>
      </c>
      <c r="B22" s="25" t="s">
        <v>728</v>
      </c>
      <c r="C22" s="26">
        <v>49687</v>
      </c>
      <c r="D22" s="159"/>
      <c r="E22" s="154">
        <f t="shared" si="0"/>
        <v>49687</v>
      </c>
    </row>
    <row r="23" spans="1:5" s="11" customFormat="1" ht="30" customHeight="1" x14ac:dyDescent="0.3">
      <c r="A23" s="24" t="s">
        <v>351</v>
      </c>
      <c r="B23" s="25" t="s">
        <v>350</v>
      </c>
      <c r="C23" s="26">
        <f>'2.pielikums'!I42</f>
        <v>5000</v>
      </c>
      <c r="D23" s="33"/>
      <c r="E23" s="154">
        <f t="shared" si="0"/>
        <v>5000</v>
      </c>
    </row>
    <row r="24" spans="1:5" s="11" customFormat="1" ht="15" customHeight="1" x14ac:dyDescent="0.3">
      <c r="A24" s="22" t="s">
        <v>353</v>
      </c>
      <c r="B24" s="22" t="s">
        <v>352</v>
      </c>
      <c r="C24" s="23">
        <f>C25+C26</f>
        <v>18140</v>
      </c>
      <c r="D24" s="33">
        <f>'2.pielikums'!J43</f>
        <v>0</v>
      </c>
      <c r="E24" s="170">
        <f t="shared" si="0"/>
        <v>18140</v>
      </c>
    </row>
    <row r="25" spans="1:5" s="11" customFormat="1" ht="15" customHeight="1" x14ac:dyDescent="0.3">
      <c r="A25" s="24" t="s">
        <v>553</v>
      </c>
      <c r="B25" s="25" t="s">
        <v>554</v>
      </c>
      <c r="C25" s="26">
        <f>'2.pielikums'!I44</f>
        <v>11690</v>
      </c>
      <c r="D25" s="33"/>
      <c r="E25" s="154">
        <f t="shared" si="0"/>
        <v>11690</v>
      </c>
    </row>
    <row r="26" spans="1:5" s="11" customFormat="1" ht="15" customHeight="1" x14ac:dyDescent="0.3">
      <c r="A26" s="24" t="s">
        <v>555</v>
      </c>
      <c r="B26" s="25" t="s">
        <v>556</v>
      </c>
      <c r="C26" s="26">
        <f>'2.pielikums'!I49</f>
        <v>6450</v>
      </c>
      <c r="D26" s="33"/>
      <c r="E26" s="154">
        <f t="shared" si="0"/>
        <v>6450</v>
      </c>
    </row>
    <row r="27" spans="1:5" s="11" customFormat="1" ht="15" customHeight="1" x14ac:dyDescent="0.3">
      <c r="A27" s="22" t="s">
        <v>377</v>
      </c>
      <c r="B27" s="22" t="s">
        <v>376</v>
      </c>
      <c r="C27" s="23">
        <f>C28</f>
        <v>4000</v>
      </c>
      <c r="D27" s="33">
        <f>'2.pielikums'!J55</f>
        <v>0</v>
      </c>
      <c r="E27" s="170">
        <f t="shared" si="0"/>
        <v>4000</v>
      </c>
    </row>
    <row r="28" spans="1:5" s="11" customFormat="1" ht="15" customHeight="1" x14ac:dyDescent="0.3">
      <c r="A28" s="24" t="s">
        <v>557</v>
      </c>
      <c r="B28" s="25" t="s">
        <v>558</v>
      </c>
      <c r="C28" s="26">
        <f>'2.pielikums'!I55</f>
        <v>4000</v>
      </c>
      <c r="D28" s="33"/>
      <c r="E28" s="154">
        <f t="shared" si="0"/>
        <v>4000</v>
      </c>
    </row>
    <row r="29" spans="1:5" s="11" customFormat="1" ht="15" customHeight="1" x14ac:dyDescent="0.3">
      <c r="A29" s="22" t="s">
        <v>387</v>
      </c>
      <c r="B29" s="22" t="s">
        <v>386</v>
      </c>
      <c r="C29" s="23">
        <f>C30</f>
        <v>63969</v>
      </c>
      <c r="D29" s="170">
        <f>'2.pielikums'!J60</f>
        <v>5000</v>
      </c>
      <c r="E29" s="170">
        <f t="shared" si="0"/>
        <v>68969</v>
      </c>
    </row>
    <row r="30" spans="1:5" s="11" customFormat="1" ht="15" customHeight="1" x14ac:dyDescent="0.3">
      <c r="A30" s="27" t="s">
        <v>559</v>
      </c>
      <c r="B30" s="25" t="s">
        <v>560</v>
      </c>
      <c r="C30" s="26">
        <f>'2.pielikums'!I60</f>
        <v>63969</v>
      </c>
      <c r="D30" s="33"/>
      <c r="E30" s="154">
        <f t="shared" si="0"/>
        <v>63969</v>
      </c>
    </row>
    <row r="31" spans="1:5" s="11" customFormat="1" ht="30" customHeight="1" x14ac:dyDescent="0.3">
      <c r="A31" s="22" t="s">
        <v>561</v>
      </c>
      <c r="B31" s="22" t="s">
        <v>394</v>
      </c>
      <c r="C31" s="23">
        <f>C32+C33</f>
        <v>520000</v>
      </c>
      <c r="D31" s="33">
        <f>'2.pielikums'!J69</f>
        <v>0</v>
      </c>
      <c r="E31" s="170">
        <f t="shared" si="0"/>
        <v>520000</v>
      </c>
    </row>
    <row r="32" spans="1:5" s="11" customFormat="1" ht="15" customHeight="1" x14ac:dyDescent="0.3">
      <c r="A32" s="24" t="s">
        <v>562</v>
      </c>
      <c r="B32" s="28" t="s">
        <v>563</v>
      </c>
      <c r="C32" s="26">
        <f>'2.pielikums'!I70</f>
        <v>20000</v>
      </c>
      <c r="D32" s="33"/>
      <c r="E32" s="154">
        <f t="shared" si="0"/>
        <v>20000</v>
      </c>
    </row>
    <row r="33" spans="1:6" s="11" customFormat="1" ht="15" customHeight="1" x14ac:dyDescent="0.3">
      <c r="A33" s="24" t="s">
        <v>564</v>
      </c>
      <c r="B33" s="28" t="s">
        <v>565</v>
      </c>
      <c r="C33" s="26">
        <f>'2.pielikums'!I71</f>
        <v>500000</v>
      </c>
      <c r="D33" s="33"/>
      <c r="E33" s="154">
        <f t="shared" si="0"/>
        <v>500000</v>
      </c>
    </row>
    <row r="34" spans="1:6" s="11" customFormat="1" ht="30" customHeight="1" x14ac:dyDescent="0.3">
      <c r="A34" s="22" t="s">
        <v>566</v>
      </c>
      <c r="B34" s="22" t="s">
        <v>404</v>
      </c>
      <c r="C34" s="23">
        <f>C35</f>
        <v>149591</v>
      </c>
      <c r="D34" s="178">
        <f>D35</f>
        <v>0</v>
      </c>
      <c r="E34" s="170">
        <f>C34+D34</f>
        <v>149591</v>
      </c>
    </row>
    <row r="35" spans="1:6" s="11" customFormat="1" ht="15" customHeight="1" x14ac:dyDescent="0.3">
      <c r="A35" s="24" t="s">
        <v>567</v>
      </c>
      <c r="B35" s="25" t="s">
        <v>568</v>
      </c>
      <c r="C35" s="26">
        <f>'2.pielikums'!I74</f>
        <v>149591</v>
      </c>
      <c r="D35" s="174">
        <f>'2.pielikums'!J75</f>
        <v>0</v>
      </c>
      <c r="E35" s="154">
        <f t="shared" si="0"/>
        <v>149591</v>
      </c>
    </row>
    <row r="36" spans="1:6" s="11" customFormat="1" ht="15" customHeight="1" x14ac:dyDescent="0.3">
      <c r="A36" s="22" t="s">
        <v>569</v>
      </c>
      <c r="B36" s="22" t="s">
        <v>409</v>
      </c>
      <c r="C36" s="23">
        <f>C37</f>
        <v>14470898</v>
      </c>
      <c r="D36" s="173">
        <f>D37</f>
        <v>2496730</v>
      </c>
      <c r="E36" s="170">
        <f>C36+D36</f>
        <v>16967628</v>
      </c>
    </row>
    <row r="37" spans="1:6" s="11" customFormat="1" ht="15" customHeight="1" x14ac:dyDescent="0.3">
      <c r="A37" s="24" t="s">
        <v>570</v>
      </c>
      <c r="B37" s="25" t="s">
        <v>783</v>
      </c>
      <c r="C37" s="26">
        <f>'2.pielikums'!I79</f>
        <v>14470898</v>
      </c>
      <c r="D37" s="34">
        <f>'2.pielikums'!J79</f>
        <v>2496730</v>
      </c>
      <c r="E37" s="154">
        <f>C37+D37</f>
        <v>16967628</v>
      </c>
    </row>
    <row r="38" spans="1:6" s="11" customFormat="1" ht="15" customHeight="1" x14ac:dyDescent="0.3">
      <c r="A38" s="22" t="s">
        <v>623</v>
      </c>
      <c r="B38" s="22" t="s">
        <v>624</v>
      </c>
      <c r="C38" s="23">
        <f>C39</f>
        <v>116000</v>
      </c>
      <c r="D38" s="178">
        <f>D39</f>
        <v>0</v>
      </c>
      <c r="E38" s="170">
        <f t="shared" si="0"/>
        <v>116000</v>
      </c>
    </row>
    <row r="39" spans="1:6" s="11" customFormat="1" ht="15" customHeight="1" x14ac:dyDescent="0.3">
      <c r="A39" s="24" t="s">
        <v>625</v>
      </c>
      <c r="B39" s="25" t="s">
        <v>626</v>
      </c>
      <c r="C39" s="26">
        <f>'2.pielikums'!I163</f>
        <v>116000</v>
      </c>
      <c r="D39" s="174">
        <f>'2.pielikums'!J164</f>
        <v>0</v>
      </c>
      <c r="E39" s="154">
        <f t="shared" si="0"/>
        <v>116000</v>
      </c>
    </row>
    <row r="40" spans="1:6" s="11" customFormat="1" ht="15" customHeight="1" x14ac:dyDescent="0.3">
      <c r="A40" s="22" t="s">
        <v>571</v>
      </c>
      <c r="B40" s="22" t="s">
        <v>572</v>
      </c>
      <c r="C40" s="23">
        <f>SUM(C41:C43)</f>
        <v>5325967</v>
      </c>
      <c r="D40" s="23">
        <f>SUM(D41:D43)</f>
        <v>26542</v>
      </c>
      <c r="E40" s="170">
        <f>C40+D40</f>
        <v>5352509</v>
      </c>
    </row>
    <row r="41" spans="1:6" s="11" customFormat="1" ht="15" customHeight="1" x14ac:dyDescent="0.3">
      <c r="A41" s="24" t="s">
        <v>718</v>
      </c>
      <c r="B41" s="25" t="s">
        <v>721</v>
      </c>
      <c r="C41" s="26">
        <f>'2.pielikums'!I167</f>
        <v>169672</v>
      </c>
      <c r="D41" s="159"/>
      <c r="E41" s="154">
        <f t="shared" si="0"/>
        <v>169672</v>
      </c>
    </row>
    <row r="42" spans="1:6" s="11" customFormat="1" ht="30" customHeight="1" x14ac:dyDescent="0.3">
      <c r="A42" s="24" t="s">
        <v>573</v>
      </c>
      <c r="B42" s="25" t="s">
        <v>574</v>
      </c>
      <c r="C42" s="26">
        <f>'2.pielikums'!I169</f>
        <v>4974482</v>
      </c>
      <c r="D42" s="159">
        <f>'2.pielikums'!J169</f>
        <v>18750</v>
      </c>
      <c r="E42" s="154">
        <f t="shared" si="0"/>
        <v>4993232</v>
      </c>
    </row>
    <row r="43" spans="1:6" s="11" customFormat="1" ht="30" customHeight="1" x14ac:dyDescent="0.3">
      <c r="A43" s="24" t="s">
        <v>575</v>
      </c>
      <c r="B43" s="25" t="s">
        <v>576</v>
      </c>
      <c r="C43" s="26">
        <f>'2.pielikums'!I456</f>
        <v>181813</v>
      </c>
      <c r="D43" s="159">
        <f>'2.pielikums'!J456</f>
        <v>7792</v>
      </c>
      <c r="E43" s="154">
        <f>C43+D43</f>
        <v>189605</v>
      </c>
    </row>
    <row r="44" spans="1:6" s="11" customFormat="1" ht="30" customHeight="1" x14ac:dyDescent="0.3">
      <c r="A44" s="29" t="s">
        <v>577</v>
      </c>
      <c r="B44" s="22" t="s">
        <v>578</v>
      </c>
      <c r="C44" s="30">
        <f>C45</f>
        <v>35862258</v>
      </c>
      <c r="D44" s="173">
        <f>D45</f>
        <v>2765330.2100000004</v>
      </c>
      <c r="E44" s="170">
        <f>E45</f>
        <v>38627588.210000001</v>
      </c>
      <c r="F44" s="176"/>
    </row>
    <row r="45" spans="1:6" s="11" customFormat="1" ht="30" customHeight="1" x14ac:dyDescent="0.3">
      <c r="A45" s="31" t="s">
        <v>579</v>
      </c>
      <c r="B45" s="32"/>
      <c r="C45" s="30">
        <f>SUM(C46:C54)</f>
        <v>35862258</v>
      </c>
      <c r="D45" s="30">
        <f>SUM(D46:D54)</f>
        <v>2765330.2100000004</v>
      </c>
      <c r="E45" s="170">
        <f>SUM(E46:E54)</f>
        <v>38627588.210000001</v>
      </c>
      <c r="F45" s="176"/>
    </row>
    <row r="46" spans="1:6" s="11" customFormat="1" ht="15" customHeight="1" x14ac:dyDescent="0.3">
      <c r="A46" s="22" t="s">
        <v>239</v>
      </c>
      <c r="B46" s="22" t="s">
        <v>238</v>
      </c>
      <c r="C46" s="30">
        <v>3843257</v>
      </c>
      <c r="D46" s="159">
        <f>E46-C46</f>
        <v>87150</v>
      </c>
      <c r="E46" s="170">
        <f>'3.pielikums'!H18</f>
        <v>3930407</v>
      </c>
      <c r="F46" s="176"/>
    </row>
    <row r="47" spans="1:6" s="11" customFormat="1" ht="15" customHeight="1" x14ac:dyDescent="0.3">
      <c r="A47" s="22" t="s">
        <v>242</v>
      </c>
      <c r="B47" s="22" t="s">
        <v>241</v>
      </c>
      <c r="C47" s="30">
        <v>322694</v>
      </c>
      <c r="D47" s="159">
        <f>E47-C47</f>
        <v>0</v>
      </c>
      <c r="E47" s="170">
        <f>'3.pielikums'!H51</f>
        <v>322694</v>
      </c>
      <c r="F47" s="176"/>
    </row>
    <row r="48" spans="1:6" s="11" customFormat="1" ht="15" customHeight="1" x14ac:dyDescent="0.3">
      <c r="A48" s="22" t="s">
        <v>244</v>
      </c>
      <c r="B48" s="22" t="s">
        <v>243</v>
      </c>
      <c r="C48" s="30">
        <v>2219258</v>
      </c>
      <c r="D48" s="34">
        <f t="shared" ref="D48:D54" si="1">E48-C48</f>
        <v>0</v>
      </c>
      <c r="E48" s="170">
        <f>'3.pielikums'!H55</f>
        <v>2219258</v>
      </c>
      <c r="F48" s="176"/>
    </row>
    <row r="49" spans="1:8" s="11" customFormat="1" ht="15" customHeight="1" x14ac:dyDescent="0.3">
      <c r="A49" s="22" t="s">
        <v>249</v>
      </c>
      <c r="B49" s="22" t="s">
        <v>248</v>
      </c>
      <c r="C49" s="30">
        <v>192324</v>
      </c>
      <c r="D49" s="34">
        <f>E49-C49</f>
        <v>0</v>
      </c>
      <c r="E49" s="170">
        <f>'3.pielikums'!H89</f>
        <v>192324</v>
      </c>
      <c r="F49" s="176"/>
    </row>
    <row r="50" spans="1:8" s="11" customFormat="1" ht="15" customHeight="1" x14ac:dyDescent="0.3">
      <c r="A50" s="22" t="s">
        <v>580</v>
      </c>
      <c r="B50" s="22" t="s">
        <v>250</v>
      </c>
      <c r="C50" s="30">
        <v>5177397</v>
      </c>
      <c r="D50" s="159">
        <f>E50-C50</f>
        <v>100035</v>
      </c>
      <c r="E50" s="170">
        <f>'3.pielikums'!H112</f>
        <v>5277432</v>
      </c>
      <c r="F50" s="176"/>
    </row>
    <row r="51" spans="1:8" s="11" customFormat="1" ht="15" customHeight="1" x14ac:dyDescent="0.3">
      <c r="A51" s="22" t="s">
        <v>257</v>
      </c>
      <c r="B51" s="22" t="s">
        <v>256</v>
      </c>
      <c r="C51" s="30">
        <v>150076</v>
      </c>
      <c r="D51" s="159">
        <f t="shared" si="1"/>
        <v>0</v>
      </c>
      <c r="E51" s="170">
        <f>'3.pielikums'!H182</f>
        <v>150076</v>
      </c>
      <c r="F51" s="176"/>
    </row>
    <row r="52" spans="1:8" s="11" customFormat="1" ht="15" customHeight="1" x14ac:dyDescent="0.3">
      <c r="A52" s="22" t="s">
        <v>581</v>
      </c>
      <c r="B52" s="22" t="s">
        <v>267</v>
      </c>
      <c r="C52" s="30">
        <v>2759073</v>
      </c>
      <c r="D52" s="159">
        <f t="shared" si="1"/>
        <v>37712.229999999981</v>
      </c>
      <c r="E52" s="170">
        <f>'3.pielikums'!H193</f>
        <v>2796785.23</v>
      </c>
      <c r="F52" s="176"/>
    </row>
    <row r="53" spans="1:8" s="11" customFormat="1" ht="15" customHeight="1" x14ac:dyDescent="0.3">
      <c r="A53" s="22" t="s">
        <v>281</v>
      </c>
      <c r="B53" s="22" t="s">
        <v>280</v>
      </c>
      <c r="C53" s="30">
        <v>14989109</v>
      </c>
      <c r="D53" s="34">
        <f>E53-C53</f>
        <v>2523572.9800000004</v>
      </c>
      <c r="E53" s="175">
        <f>'3.pielikums'!H248</f>
        <v>17512681.98</v>
      </c>
      <c r="F53" s="176"/>
      <c r="G53" s="176"/>
    </row>
    <row r="54" spans="1:8" s="11" customFormat="1" ht="15" customHeight="1" x14ac:dyDescent="0.3">
      <c r="A54" s="22" t="s">
        <v>295</v>
      </c>
      <c r="B54" s="22" t="s">
        <v>294</v>
      </c>
      <c r="C54" s="30">
        <v>6209070</v>
      </c>
      <c r="D54" s="34">
        <f t="shared" si="1"/>
        <v>16860</v>
      </c>
      <c r="E54" s="170">
        <f>'3.pielikums'!H322</f>
        <v>6225930</v>
      </c>
      <c r="F54" s="176"/>
      <c r="H54" s="176"/>
    </row>
    <row r="55" spans="1:8" s="11" customFormat="1" ht="30" customHeight="1" x14ac:dyDescent="0.3">
      <c r="A55" s="31" t="s">
        <v>582</v>
      </c>
      <c r="B55" s="32"/>
      <c r="C55" s="23">
        <f>SUM(C56:C62)</f>
        <v>35862258</v>
      </c>
      <c r="D55" s="23">
        <f>D56+D57+D58+D59+D60+D61+D62</f>
        <v>2765330.2100000004</v>
      </c>
      <c r="E55" s="170">
        <f>SUM(E56:E62)</f>
        <v>38627588.210000001</v>
      </c>
      <c r="F55" s="188"/>
    </row>
    <row r="56" spans="1:8" s="11" customFormat="1" ht="15" customHeight="1" x14ac:dyDescent="0.3">
      <c r="A56" s="22" t="s">
        <v>583</v>
      </c>
      <c r="B56" s="22" t="s">
        <v>584</v>
      </c>
      <c r="C56" s="23">
        <v>21999081</v>
      </c>
      <c r="D56" s="159">
        <f>E56-C56</f>
        <v>2430431.9800000004</v>
      </c>
      <c r="E56" s="170">
        <f>'4.pielikums'!C373</f>
        <v>24429512.98</v>
      </c>
      <c r="F56" s="188"/>
    </row>
    <row r="57" spans="1:8" s="11" customFormat="1" ht="15" customHeight="1" x14ac:dyDescent="0.3">
      <c r="A57" s="22" t="s">
        <v>88</v>
      </c>
      <c r="B57" s="22" t="s">
        <v>585</v>
      </c>
      <c r="C57" s="23">
        <v>8949599</v>
      </c>
      <c r="D57" s="159">
        <f t="shared" ref="D57:D59" si="2">E57-C57</f>
        <v>221170</v>
      </c>
      <c r="E57" s="170">
        <f>'4.pielikums'!F373</f>
        <v>9170769</v>
      </c>
      <c r="F57" s="188"/>
    </row>
    <row r="58" spans="1:8" s="11" customFormat="1" ht="15" customHeight="1" x14ac:dyDescent="0.3">
      <c r="A58" s="22" t="s">
        <v>89</v>
      </c>
      <c r="B58" s="22" t="s">
        <v>586</v>
      </c>
      <c r="C58" s="23">
        <v>102031</v>
      </c>
      <c r="D58" s="159">
        <f t="shared" si="2"/>
        <v>0</v>
      </c>
      <c r="E58" s="170">
        <f>'4.pielikums'!L373</f>
        <v>102031</v>
      </c>
      <c r="F58" s="188"/>
    </row>
    <row r="59" spans="1:8" s="11" customFormat="1" ht="15" customHeight="1" x14ac:dyDescent="0.3">
      <c r="A59" s="22" t="s">
        <v>587</v>
      </c>
      <c r="B59" s="22" t="s">
        <v>588</v>
      </c>
      <c r="C59" s="23">
        <v>860221</v>
      </c>
      <c r="D59" s="159">
        <f t="shared" si="2"/>
        <v>0</v>
      </c>
      <c r="E59" s="170">
        <f>'4.pielikums'!M373</f>
        <v>860221</v>
      </c>
      <c r="F59" s="188"/>
    </row>
    <row r="60" spans="1:8" s="11" customFormat="1" ht="15" customHeight="1" x14ac:dyDescent="0.3">
      <c r="A60" s="22" t="s">
        <v>91</v>
      </c>
      <c r="B60" s="22" t="s">
        <v>589</v>
      </c>
      <c r="C60" s="23">
        <v>2081286</v>
      </c>
      <c r="D60" s="159">
        <f>E60-C60</f>
        <v>37721</v>
      </c>
      <c r="E60" s="170">
        <f>'4.pielikums'!N373</f>
        <v>2119007</v>
      </c>
      <c r="F60" s="188"/>
    </row>
    <row r="61" spans="1:8" s="11" customFormat="1" ht="15" customHeight="1" x14ac:dyDescent="0.3">
      <c r="A61" s="22" t="s">
        <v>217</v>
      </c>
      <c r="B61" s="22" t="s">
        <v>590</v>
      </c>
      <c r="C61" s="23">
        <v>1709061</v>
      </c>
      <c r="D61" s="159">
        <f>E61-C61</f>
        <v>0</v>
      </c>
      <c r="E61" s="170">
        <f>'4.pielikums'!O373</f>
        <v>1709061</v>
      </c>
      <c r="F61" s="188"/>
    </row>
    <row r="62" spans="1:8" s="11" customFormat="1" ht="30" customHeight="1" x14ac:dyDescent="0.3">
      <c r="A62" s="22" t="s">
        <v>591</v>
      </c>
      <c r="B62" s="22" t="s">
        <v>592</v>
      </c>
      <c r="C62" s="23">
        <v>160979</v>
      </c>
      <c r="D62" s="159">
        <f>E62-C62</f>
        <v>76007.23000000001</v>
      </c>
      <c r="E62" s="170">
        <f>'4.pielikums'!P373</f>
        <v>236986.23</v>
      </c>
      <c r="F62" s="246"/>
    </row>
    <row r="63" spans="1:8" s="11" customFormat="1" ht="30" customHeight="1" x14ac:dyDescent="0.3">
      <c r="A63" s="33"/>
      <c r="B63" s="33"/>
      <c r="C63" s="34"/>
      <c r="D63" s="174"/>
      <c r="E63" s="170">
        <f t="shared" ref="E63:E72" si="3">C63</f>
        <v>0</v>
      </c>
    </row>
    <row r="64" spans="1:8" s="11" customFormat="1" ht="15" customHeight="1" x14ac:dyDescent="0.3">
      <c r="A64" s="29" t="s">
        <v>593</v>
      </c>
      <c r="B64" s="22" t="s">
        <v>578</v>
      </c>
      <c r="C64" s="23">
        <f>C14-C44</f>
        <v>-2665881</v>
      </c>
      <c r="D64" s="159">
        <f>D14-D44</f>
        <v>-237058.21000000043</v>
      </c>
      <c r="E64" s="170">
        <f>C64+D64</f>
        <v>-2902939.2100000004</v>
      </c>
    </row>
    <row r="65" spans="1:6" s="11" customFormat="1" ht="30" customHeight="1" x14ac:dyDescent="0.3">
      <c r="A65" s="29" t="s">
        <v>594</v>
      </c>
      <c r="B65" s="22" t="s">
        <v>578</v>
      </c>
      <c r="C65" s="30">
        <f>C66+C71</f>
        <v>2665881</v>
      </c>
      <c r="D65" s="30">
        <f>D66+D71</f>
        <v>237058</v>
      </c>
      <c r="E65" s="170">
        <f>C65+D65</f>
        <v>2902939</v>
      </c>
    </row>
    <row r="66" spans="1:6" s="35" customFormat="1" ht="15" customHeight="1" x14ac:dyDescent="0.3">
      <c r="A66" s="22" t="s">
        <v>595</v>
      </c>
      <c r="B66" s="22" t="s">
        <v>596</v>
      </c>
      <c r="C66" s="30">
        <f>C67+C68</f>
        <v>697394</v>
      </c>
      <c r="D66" s="190">
        <f>D67+D68</f>
        <v>237058</v>
      </c>
      <c r="E66" s="170">
        <f>C66+D66</f>
        <v>934452</v>
      </c>
    </row>
    <row r="67" spans="1:6" s="36" customFormat="1" ht="15" customHeight="1" x14ac:dyDescent="0.3">
      <c r="A67" s="22" t="s">
        <v>597</v>
      </c>
      <c r="B67" s="22" t="s">
        <v>598</v>
      </c>
      <c r="C67" s="30">
        <v>8824</v>
      </c>
      <c r="D67" s="69"/>
      <c r="E67" s="170">
        <f>C67+D67</f>
        <v>8824</v>
      </c>
    </row>
    <row r="68" spans="1:6" s="37" customFormat="1" ht="15" customHeight="1" x14ac:dyDescent="0.3">
      <c r="A68" s="22" t="s">
        <v>599</v>
      </c>
      <c r="B68" s="22" t="s">
        <v>600</v>
      </c>
      <c r="C68" s="30">
        <f>C69-C70</f>
        <v>688570</v>
      </c>
      <c r="D68" s="111">
        <f>D69-D70</f>
        <v>237058</v>
      </c>
      <c r="E68" s="170">
        <f>C68+D68</f>
        <v>925628</v>
      </c>
    </row>
    <row r="69" spans="1:6" s="11" customFormat="1" ht="15" customHeight="1" x14ac:dyDescent="0.3">
      <c r="A69" s="22" t="s">
        <v>601</v>
      </c>
      <c r="B69" s="22" t="s">
        <v>602</v>
      </c>
      <c r="C69" s="30">
        <v>1398918</v>
      </c>
      <c r="D69" s="70"/>
      <c r="E69" s="170">
        <f t="shared" si="3"/>
        <v>1398918</v>
      </c>
    </row>
    <row r="70" spans="1:6" s="11" customFormat="1" ht="30" customHeight="1" x14ac:dyDescent="0.3">
      <c r="A70" s="22" t="s">
        <v>603</v>
      </c>
      <c r="B70" s="22" t="s">
        <v>758</v>
      </c>
      <c r="C70" s="30">
        <v>710348</v>
      </c>
      <c r="D70" s="143">
        <v>-237058</v>
      </c>
      <c r="E70" s="170">
        <f>C70+D70</f>
        <v>473290</v>
      </c>
    </row>
    <row r="71" spans="1:6" s="11" customFormat="1" ht="15" customHeight="1" x14ac:dyDescent="0.3">
      <c r="A71" s="22" t="s">
        <v>237</v>
      </c>
      <c r="B71" s="22" t="s">
        <v>604</v>
      </c>
      <c r="C71" s="30">
        <f>C72-C73</f>
        <v>1968487</v>
      </c>
      <c r="D71" s="30">
        <f>D72-D73</f>
        <v>0</v>
      </c>
      <c r="E71" s="170">
        <f>C71+D71</f>
        <v>1968487</v>
      </c>
    </row>
    <row r="72" spans="1:6" s="11" customFormat="1" ht="15" customHeight="1" x14ac:dyDescent="0.3">
      <c r="A72" s="22" t="s">
        <v>605</v>
      </c>
      <c r="B72" s="22" t="s">
        <v>609</v>
      </c>
      <c r="C72" s="30">
        <v>3477399</v>
      </c>
      <c r="D72" s="33"/>
      <c r="E72" s="170">
        <f t="shared" si="3"/>
        <v>3477399</v>
      </c>
      <c r="F72" s="176"/>
    </row>
    <row r="73" spans="1:6" s="11" customFormat="1" ht="15" customHeight="1" x14ac:dyDescent="0.3">
      <c r="A73" s="22" t="s">
        <v>606</v>
      </c>
      <c r="B73" s="22" t="s">
        <v>607</v>
      </c>
      <c r="C73" s="38">
        <v>1508912</v>
      </c>
      <c r="D73" s="174">
        <v>0</v>
      </c>
      <c r="E73" s="170">
        <f>C73+D73</f>
        <v>1508912</v>
      </c>
    </row>
    <row r="75" spans="1:6" x14ac:dyDescent="0.3">
      <c r="A75" s="270" t="s">
        <v>787</v>
      </c>
      <c r="B75" s="270"/>
      <c r="C75" s="270"/>
      <c r="D75" s="270"/>
      <c r="E75" s="270"/>
    </row>
    <row r="76" spans="1:6" ht="18" x14ac:dyDescent="0.35">
      <c r="A76" s="63"/>
    </row>
  </sheetData>
  <mergeCells count="3">
    <mergeCell ref="A11:C11"/>
    <mergeCell ref="A75:E75"/>
    <mergeCell ref="C5:E5"/>
  </mergeCells>
  <pageMargins left="0.25" right="0.25" top="0.75" bottom="0.75" header="0.3" footer="0.3"/>
  <pageSetup paperSize="9" scale="7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470"/>
  <sheetViews>
    <sheetView workbookViewId="0">
      <selection activeCell="L5" sqref="L5"/>
    </sheetView>
  </sheetViews>
  <sheetFormatPr defaultColWidth="9.109375" defaultRowHeight="15.6" x14ac:dyDescent="0.3"/>
  <cols>
    <col min="1" max="1" width="14.33203125" style="124" customWidth="1"/>
    <col min="2" max="2" width="48.33203125" style="124" customWidth="1"/>
    <col min="3" max="3" width="15.6640625" style="124" customWidth="1"/>
    <col min="4" max="4" width="12.33203125" style="124" customWidth="1"/>
    <col min="5" max="5" width="15.6640625" style="124" customWidth="1"/>
    <col min="6" max="6" width="11.33203125" style="124" customWidth="1"/>
    <col min="7" max="7" width="15.88671875" style="124" customWidth="1"/>
    <col min="8" max="8" width="14.44140625" style="124" customWidth="1"/>
    <col min="9" max="9" width="15.6640625" style="124" customWidth="1"/>
    <col min="10" max="10" width="11.88671875" style="62" customWidth="1"/>
    <col min="11" max="11" width="14.88671875" style="43" customWidth="1"/>
    <col min="12" max="12" width="9.88671875" style="60" bestFit="1" customWidth="1"/>
    <col min="13" max="16384" width="9.109375" style="60"/>
  </cols>
  <sheetData>
    <row r="1" spans="1:11" ht="15" customHeight="1" x14ac:dyDescent="0.3">
      <c r="J1" s="171"/>
      <c r="K1" s="171"/>
    </row>
    <row r="2" spans="1:11" ht="15" customHeight="1" x14ac:dyDescent="0.35">
      <c r="A2" s="125"/>
      <c r="B2" s="133"/>
      <c r="C2" s="131"/>
      <c r="D2" s="131"/>
      <c r="E2" s="131"/>
      <c r="F2" s="131"/>
      <c r="G2" s="131"/>
      <c r="H2" s="131"/>
      <c r="I2" s="137"/>
      <c r="J2" s="171"/>
      <c r="K2" s="132" t="s">
        <v>795</v>
      </c>
    </row>
    <row r="3" spans="1:11" ht="15" customHeight="1" x14ac:dyDescent="0.35">
      <c r="A3" s="125"/>
      <c r="B3" s="133"/>
      <c r="C3" s="131"/>
      <c r="D3" s="131"/>
      <c r="E3" s="131"/>
      <c r="F3" s="131"/>
      <c r="G3" s="131"/>
      <c r="H3" s="131"/>
      <c r="I3" s="132"/>
      <c r="J3" s="171"/>
      <c r="K3" s="132" t="s">
        <v>723</v>
      </c>
    </row>
    <row r="4" spans="1:11" ht="15" customHeight="1" x14ac:dyDescent="0.3">
      <c r="A4" s="125"/>
      <c r="E4" s="132"/>
      <c r="F4" s="132"/>
      <c r="G4" s="132"/>
      <c r="H4" s="132"/>
      <c r="I4" s="132"/>
      <c r="J4" s="171"/>
      <c r="K4" s="132" t="s">
        <v>796</v>
      </c>
    </row>
    <row r="5" spans="1:11" ht="15" customHeight="1" x14ac:dyDescent="0.3">
      <c r="A5" s="125"/>
      <c r="E5" s="132"/>
      <c r="F5" s="132"/>
      <c r="G5" s="132"/>
      <c r="H5" s="132"/>
      <c r="I5" s="132"/>
      <c r="J5" s="171"/>
      <c r="K5" s="132" t="s">
        <v>861</v>
      </c>
    </row>
    <row r="6" spans="1:11" ht="15" customHeight="1" x14ac:dyDescent="0.3">
      <c r="A6" s="125"/>
      <c r="B6" s="146"/>
      <c r="E6" s="132"/>
      <c r="F6" s="132"/>
      <c r="G6" s="132"/>
      <c r="H6" s="132"/>
      <c r="I6" s="132"/>
      <c r="J6" s="171"/>
      <c r="K6" s="132" t="s">
        <v>797</v>
      </c>
    </row>
    <row r="7" spans="1:11" ht="15" customHeight="1" x14ac:dyDescent="0.3">
      <c r="A7" s="125"/>
      <c r="B7" s="146"/>
      <c r="E7" s="132"/>
      <c r="F7" s="132"/>
      <c r="G7" s="132"/>
      <c r="H7" s="132"/>
      <c r="I7" s="132"/>
      <c r="J7" s="171"/>
      <c r="K7" s="171"/>
    </row>
    <row r="8" spans="1:11" ht="15" customHeight="1" x14ac:dyDescent="0.3">
      <c r="A8" s="125"/>
      <c r="B8" s="146"/>
      <c r="E8" s="132"/>
      <c r="F8" s="132"/>
      <c r="G8" s="132"/>
      <c r="H8" s="132"/>
      <c r="I8" s="137"/>
      <c r="J8" s="171"/>
      <c r="K8" s="132" t="s">
        <v>795</v>
      </c>
    </row>
    <row r="9" spans="1:11" ht="15" customHeight="1" x14ac:dyDescent="0.3">
      <c r="A9" s="125"/>
      <c r="B9" s="146"/>
      <c r="E9" s="132"/>
      <c r="F9" s="132"/>
      <c r="G9" s="132"/>
      <c r="H9" s="132"/>
      <c r="I9" s="132"/>
      <c r="J9" s="171"/>
      <c r="K9" s="132" t="s">
        <v>723</v>
      </c>
    </row>
    <row r="10" spans="1:11" ht="15" customHeight="1" x14ac:dyDescent="0.3">
      <c r="A10" s="125"/>
      <c r="B10" s="146"/>
      <c r="E10" s="132"/>
      <c r="F10" s="132"/>
      <c r="G10" s="132"/>
      <c r="H10" s="132"/>
      <c r="I10" s="132"/>
      <c r="J10" s="171"/>
      <c r="K10" s="132" t="s">
        <v>792</v>
      </c>
    </row>
    <row r="11" spans="1:11" ht="15" customHeight="1" x14ac:dyDescent="0.3">
      <c r="A11" s="125"/>
      <c r="B11" s="146"/>
      <c r="E11" s="132"/>
      <c r="F11" s="132"/>
      <c r="G11" s="132"/>
      <c r="H11" s="132"/>
      <c r="I11" s="132"/>
      <c r="J11" s="171"/>
      <c r="K11" s="132" t="s">
        <v>793</v>
      </c>
    </row>
    <row r="12" spans="1:11" ht="15" customHeight="1" x14ac:dyDescent="0.35">
      <c r="A12" s="125"/>
      <c r="B12" s="147"/>
      <c r="C12" s="133"/>
      <c r="D12" s="133"/>
      <c r="E12" s="133"/>
      <c r="F12" s="133"/>
      <c r="G12" s="133"/>
      <c r="H12" s="133"/>
      <c r="I12" s="133"/>
      <c r="J12" s="171"/>
      <c r="K12" s="171"/>
    </row>
    <row r="13" spans="1:11" ht="15" customHeight="1" x14ac:dyDescent="0.3">
      <c r="A13" s="254" t="s">
        <v>798</v>
      </c>
      <c r="B13" s="254"/>
      <c r="C13" s="254"/>
      <c r="D13" s="254"/>
      <c r="E13" s="254"/>
      <c r="F13" s="254"/>
      <c r="G13" s="254"/>
      <c r="H13" s="254"/>
      <c r="I13" s="254"/>
      <c r="J13" s="171"/>
      <c r="K13" s="171"/>
    </row>
    <row r="14" spans="1:11" ht="15" customHeight="1" x14ac:dyDescent="0.35">
      <c r="A14" s="125"/>
      <c r="B14" s="125"/>
      <c r="C14" s="133"/>
      <c r="D14" s="133"/>
      <c r="E14" s="133"/>
      <c r="F14" s="133"/>
      <c r="G14" s="133"/>
      <c r="H14" s="133"/>
      <c r="I14" s="133"/>
      <c r="J14" s="172"/>
      <c r="K14" s="172"/>
    </row>
    <row r="15" spans="1:11" ht="15" customHeight="1" x14ac:dyDescent="0.3">
      <c r="A15" s="255" t="s">
        <v>230</v>
      </c>
      <c r="B15" s="256" t="s">
        <v>303</v>
      </c>
      <c r="C15" s="258" t="s">
        <v>304</v>
      </c>
      <c r="D15" s="259"/>
      <c r="E15" s="259"/>
      <c r="F15" s="259"/>
      <c r="G15" s="259"/>
      <c r="H15" s="260"/>
      <c r="I15" s="257" t="s">
        <v>305</v>
      </c>
      <c r="J15" s="253" t="s">
        <v>778</v>
      </c>
      <c r="K15" s="253" t="s">
        <v>730</v>
      </c>
    </row>
    <row r="16" spans="1:11" ht="64.5" customHeight="1" x14ac:dyDescent="0.3">
      <c r="A16" s="255"/>
      <c r="B16" s="256"/>
      <c r="C16" s="134" t="s">
        <v>306</v>
      </c>
      <c r="D16" s="160" t="s">
        <v>777</v>
      </c>
      <c r="E16" s="134" t="s">
        <v>307</v>
      </c>
      <c r="F16" s="160" t="s">
        <v>777</v>
      </c>
      <c r="G16" s="134" t="s">
        <v>308</v>
      </c>
      <c r="H16" s="160" t="s">
        <v>777</v>
      </c>
      <c r="I16" s="257"/>
      <c r="J16" s="253"/>
      <c r="K16" s="253"/>
    </row>
    <row r="17" spans="1:13" ht="15" customHeight="1" x14ac:dyDescent="0.3">
      <c r="A17" s="126" t="s">
        <v>309</v>
      </c>
      <c r="B17" s="82" t="s">
        <v>310</v>
      </c>
      <c r="C17" s="84">
        <f>C19+C22+C34+C43+C55+C69+C60+C40</f>
        <v>13133921</v>
      </c>
      <c r="D17" s="84">
        <f>D19+D22+D34+D43+D55+D69+D60+D40</f>
        <v>0</v>
      </c>
      <c r="E17" s="84">
        <f>E163+E169+E456+E167</f>
        <v>5441967</v>
      </c>
      <c r="F17" s="84">
        <f>F163+F166+F60+F270+F194</f>
        <v>42500</v>
      </c>
      <c r="G17" s="84">
        <f>G79+G74</f>
        <v>14620489</v>
      </c>
      <c r="H17" s="84">
        <f>H79+H74+H166+H163+H19</f>
        <v>2504522</v>
      </c>
      <c r="I17" s="161">
        <f>I19+I22+I34+I40+I43+I55+I60+I69+I74+I79+I163+I166</f>
        <v>33196377</v>
      </c>
      <c r="J17" s="84">
        <f>J19+J22+J34+J40+J43+J55+J60+J69+J74+J79+J163+J166</f>
        <v>2528272</v>
      </c>
      <c r="K17" s="175">
        <f>I17+J17</f>
        <v>35724649</v>
      </c>
      <c r="L17" s="86"/>
      <c r="M17" s="86"/>
    </row>
    <row r="18" spans="1:13" ht="15" customHeight="1" x14ac:dyDescent="0.3">
      <c r="A18" s="82">
        <v>1</v>
      </c>
      <c r="B18" s="82" t="s">
        <v>311</v>
      </c>
      <c r="C18" s="84">
        <f>C19+C22+C34</f>
        <v>12473125</v>
      </c>
      <c r="D18" s="84">
        <f>D19+D22+D34</f>
        <v>0</v>
      </c>
      <c r="E18" s="85"/>
      <c r="F18" s="85"/>
      <c r="G18" s="85"/>
      <c r="H18" s="85"/>
      <c r="I18" s="161">
        <f t="shared" ref="I18:I34" si="0">C18</f>
        <v>12473125</v>
      </c>
      <c r="J18" s="81"/>
      <c r="K18" s="175">
        <f t="shared" ref="K18:K75" si="1">I18+J18</f>
        <v>12473125</v>
      </c>
      <c r="L18" s="86"/>
    </row>
    <row r="19" spans="1:13" ht="15" customHeight="1" x14ac:dyDescent="0.3">
      <c r="A19" s="82" t="s">
        <v>312</v>
      </c>
      <c r="B19" s="82" t="s">
        <v>313</v>
      </c>
      <c r="C19" s="84">
        <f>C20</f>
        <v>11298140</v>
      </c>
      <c r="D19" s="84">
        <f>D21</f>
        <v>0</v>
      </c>
      <c r="E19" s="85"/>
      <c r="F19" s="85"/>
      <c r="G19" s="85"/>
      <c r="H19" s="84">
        <f>H21</f>
        <v>0</v>
      </c>
      <c r="I19" s="161">
        <f>C19</f>
        <v>11298140</v>
      </c>
      <c r="J19" s="84">
        <f>J21</f>
        <v>0</v>
      </c>
      <c r="K19" s="84">
        <f t="shared" si="1"/>
        <v>11298140</v>
      </c>
      <c r="L19" s="231"/>
    </row>
    <row r="20" spans="1:13" ht="15" customHeight="1" x14ac:dyDescent="0.3">
      <c r="A20" s="82" t="s">
        <v>314</v>
      </c>
      <c r="B20" s="82" t="s">
        <v>315</v>
      </c>
      <c r="C20" s="84">
        <f>C21</f>
        <v>11298140</v>
      </c>
      <c r="D20" s="84">
        <f>D21</f>
        <v>0</v>
      </c>
      <c r="E20" s="85"/>
      <c r="F20" s="85"/>
      <c r="G20" s="85"/>
      <c r="H20" s="85"/>
      <c r="I20" s="161">
        <f t="shared" si="0"/>
        <v>11298140</v>
      </c>
      <c r="J20" s="81"/>
      <c r="K20" s="84">
        <f t="shared" si="1"/>
        <v>11298140</v>
      </c>
    </row>
    <row r="21" spans="1:13" ht="15" customHeight="1" x14ac:dyDescent="0.3">
      <c r="A21" s="127" t="s">
        <v>316</v>
      </c>
      <c r="B21" s="81" t="s">
        <v>315</v>
      </c>
      <c r="C21" s="85">
        <v>11298140</v>
      </c>
      <c r="D21" s="85"/>
      <c r="E21" s="85"/>
      <c r="F21" s="85"/>
      <c r="G21" s="85"/>
      <c r="H21" s="85"/>
      <c r="I21" s="162">
        <f t="shared" si="0"/>
        <v>11298140</v>
      </c>
      <c r="J21" s="85"/>
      <c r="K21" s="85">
        <f t="shared" si="1"/>
        <v>11298140</v>
      </c>
      <c r="L21" s="124"/>
    </row>
    <row r="22" spans="1:13" ht="15" customHeight="1" x14ac:dyDescent="0.3">
      <c r="A22" s="128" t="s">
        <v>317</v>
      </c>
      <c r="B22" s="82" t="s">
        <v>318</v>
      </c>
      <c r="C22" s="84">
        <f>C23</f>
        <v>1129985</v>
      </c>
      <c r="D22" s="84"/>
      <c r="E22" s="85"/>
      <c r="F22" s="85"/>
      <c r="G22" s="85"/>
      <c r="H22" s="85"/>
      <c r="I22" s="161">
        <f>C22</f>
        <v>1129985</v>
      </c>
      <c r="J22" s="81"/>
      <c r="K22" s="84">
        <f t="shared" ref="K22:K30" si="2">I22+J22</f>
        <v>1129985</v>
      </c>
    </row>
    <row r="23" spans="1:13" ht="15" customHeight="1" x14ac:dyDescent="0.35">
      <c r="A23" s="82" t="s">
        <v>319</v>
      </c>
      <c r="B23" s="82" t="s">
        <v>320</v>
      </c>
      <c r="C23" s="84">
        <f>C24+C27+C31</f>
        <v>1129985</v>
      </c>
      <c r="D23" s="84"/>
      <c r="E23" s="85"/>
      <c r="F23" s="85"/>
      <c r="G23" s="85"/>
      <c r="H23" s="85"/>
      <c r="I23" s="161">
        <f t="shared" si="0"/>
        <v>1129985</v>
      </c>
      <c r="J23" s="164"/>
      <c r="K23" s="175">
        <f t="shared" si="2"/>
        <v>1129985</v>
      </c>
      <c r="L23" s="86"/>
    </row>
    <row r="24" spans="1:13" ht="15" customHeight="1" x14ac:dyDescent="0.3">
      <c r="A24" s="82" t="s">
        <v>321</v>
      </c>
      <c r="B24" s="82" t="s">
        <v>322</v>
      </c>
      <c r="C24" s="84">
        <f>C25+C26</f>
        <v>981415</v>
      </c>
      <c r="D24" s="84"/>
      <c r="E24" s="85"/>
      <c r="F24" s="85"/>
      <c r="G24" s="85"/>
      <c r="H24" s="85"/>
      <c r="I24" s="161">
        <f t="shared" si="0"/>
        <v>981415</v>
      </c>
      <c r="J24" s="81"/>
      <c r="K24" s="175">
        <f t="shared" si="2"/>
        <v>981415</v>
      </c>
    </row>
    <row r="25" spans="1:13" ht="30" customHeight="1" x14ac:dyDescent="0.3">
      <c r="A25" s="81" t="s">
        <v>323</v>
      </c>
      <c r="B25" s="80" t="s">
        <v>324</v>
      </c>
      <c r="C25" s="85">
        <v>882815</v>
      </c>
      <c r="D25" s="85"/>
      <c r="E25" s="85"/>
      <c r="F25" s="85"/>
      <c r="G25" s="85"/>
      <c r="H25" s="85"/>
      <c r="I25" s="162">
        <f t="shared" si="0"/>
        <v>882815</v>
      </c>
      <c r="J25" s="81"/>
      <c r="K25" s="39">
        <f t="shared" si="2"/>
        <v>882815</v>
      </c>
    </row>
    <row r="26" spans="1:13" ht="30" customHeight="1" x14ac:dyDescent="0.3">
      <c r="A26" s="81" t="s">
        <v>325</v>
      </c>
      <c r="B26" s="80" t="s">
        <v>799</v>
      </c>
      <c r="C26" s="85">
        <v>98600</v>
      </c>
      <c r="D26" s="85"/>
      <c r="E26" s="85"/>
      <c r="F26" s="85"/>
      <c r="G26" s="85"/>
      <c r="H26" s="85"/>
      <c r="I26" s="162">
        <f t="shared" si="0"/>
        <v>98600</v>
      </c>
      <c r="J26" s="81"/>
      <c r="K26" s="39">
        <f t="shared" si="2"/>
        <v>98600</v>
      </c>
    </row>
    <row r="27" spans="1:13" ht="15" customHeight="1" x14ac:dyDescent="0.3">
      <c r="A27" s="82" t="s">
        <v>326</v>
      </c>
      <c r="B27" s="82" t="s">
        <v>327</v>
      </c>
      <c r="C27" s="84">
        <f>C28+C30</f>
        <v>90570</v>
      </c>
      <c r="D27" s="84"/>
      <c r="E27" s="85"/>
      <c r="F27" s="85"/>
      <c r="G27" s="85"/>
      <c r="H27" s="85"/>
      <c r="I27" s="161">
        <f t="shared" si="0"/>
        <v>90570</v>
      </c>
      <c r="J27" s="81"/>
      <c r="K27" s="175">
        <f t="shared" si="2"/>
        <v>90570</v>
      </c>
    </row>
    <row r="28" spans="1:13" ht="30" customHeight="1" x14ac:dyDescent="0.3">
      <c r="A28" s="81" t="s">
        <v>328</v>
      </c>
      <c r="B28" s="80" t="s">
        <v>329</v>
      </c>
      <c r="C28" s="85">
        <v>82570</v>
      </c>
      <c r="D28" s="85"/>
      <c r="E28" s="85"/>
      <c r="F28" s="85"/>
      <c r="G28" s="85"/>
      <c r="H28" s="85"/>
      <c r="I28" s="162">
        <f t="shared" si="0"/>
        <v>82570</v>
      </c>
      <c r="J28" s="81"/>
      <c r="K28" s="39">
        <f t="shared" si="2"/>
        <v>82570</v>
      </c>
    </row>
    <row r="29" spans="1:13" ht="15" customHeight="1" x14ac:dyDescent="0.3">
      <c r="A29" s="81"/>
      <c r="B29" s="80" t="s">
        <v>330</v>
      </c>
      <c r="C29" s="85">
        <v>4718</v>
      </c>
      <c r="D29" s="85"/>
      <c r="E29" s="85"/>
      <c r="F29" s="85"/>
      <c r="G29" s="85"/>
      <c r="H29" s="85"/>
      <c r="I29" s="162">
        <f t="shared" si="0"/>
        <v>4718</v>
      </c>
      <c r="J29" s="81"/>
      <c r="K29" s="39">
        <f t="shared" si="2"/>
        <v>4718</v>
      </c>
    </row>
    <row r="30" spans="1:13" ht="30" customHeight="1" x14ac:dyDescent="0.3">
      <c r="A30" s="81" t="s">
        <v>331</v>
      </c>
      <c r="B30" s="80" t="s">
        <v>800</v>
      </c>
      <c r="C30" s="85">
        <v>8000</v>
      </c>
      <c r="D30" s="85"/>
      <c r="E30" s="85"/>
      <c r="F30" s="85"/>
      <c r="G30" s="85"/>
      <c r="H30" s="85"/>
      <c r="I30" s="162">
        <f t="shared" si="0"/>
        <v>8000</v>
      </c>
      <c r="J30" s="81"/>
      <c r="K30" s="39">
        <f t="shared" si="2"/>
        <v>8000</v>
      </c>
    </row>
    <row r="31" spans="1:13" ht="15" customHeight="1" x14ac:dyDescent="0.3">
      <c r="A31" s="82" t="s">
        <v>332</v>
      </c>
      <c r="B31" s="83" t="s">
        <v>333</v>
      </c>
      <c r="C31" s="84">
        <f>C32+C33</f>
        <v>58000</v>
      </c>
      <c r="D31" s="84"/>
      <c r="E31" s="85"/>
      <c r="F31" s="85"/>
      <c r="G31" s="85"/>
      <c r="H31" s="85"/>
      <c r="I31" s="161">
        <f t="shared" si="0"/>
        <v>58000</v>
      </c>
      <c r="J31" s="81"/>
      <c r="K31" s="175">
        <f t="shared" si="1"/>
        <v>58000</v>
      </c>
    </row>
    <row r="32" spans="1:13" ht="30" customHeight="1" x14ac:dyDescent="0.3">
      <c r="A32" s="81" t="s">
        <v>334</v>
      </c>
      <c r="B32" s="80" t="s">
        <v>335</v>
      </c>
      <c r="C32" s="85">
        <v>48000</v>
      </c>
      <c r="D32" s="85"/>
      <c r="E32" s="85"/>
      <c r="F32" s="85"/>
      <c r="G32" s="85"/>
      <c r="H32" s="85"/>
      <c r="I32" s="162">
        <f t="shared" si="0"/>
        <v>48000</v>
      </c>
      <c r="J32" s="81"/>
      <c r="K32" s="39">
        <f t="shared" si="1"/>
        <v>48000</v>
      </c>
    </row>
    <row r="33" spans="1:11" ht="30" customHeight="1" x14ac:dyDescent="0.3">
      <c r="A33" s="81" t="s">
        <v>336</v>
      </c>
      <c r="B33" s="80" t="s">
        <v>801</v>
      </c>
      <c r="C33" s="85">
        <v>10000</v>
      </c>
      <c r="D33" s="85"/>
      <c r="E33" s="85"/>
      <c r="F33" s="85"/>
      <c r="G33" s="85"/>
      <c r="H33" s="85"/>
      <c r="I33" s="162">
        <f t="shared" si="0"/>
        <v>10000</v>
      </c>
      <c r="J33" s="81"/>
      <c r="K33" s="39">
        <f t="shared" si="1"/>
        <v>10000</v>
      </c>
    </row>
    <row r="34" spans="1:11" ht="30" customHeight="1" x14ac:dyDescent="0.3">
      <c r="A34" s="82" t="s">
        <v>337</v>
      </c>
      <c r="B34" s="83" t="s">
        <v>338</v>
      </c>
      <c r="C34" s="84">
        <f>C35+C37</f>
        <v>45000</v>
      </c>
      <c r="D34" s="84"/>
      <c r="E34" s="85"/>
      <c r="F34" s="85"/>
      <c r="G34" s="85"/>
      <c r="H34" s="85"/>
      <c r="I34" s="161">
        <f t="shared" si="0"/>
        <v>45000</v>
      </c>
      <c r="J34" s="81"/>
      <c r="K34" s="84">
        <f t="shared" si="1"/>
        <v>45000</v>
      </c>
    </row>
    <row r="35" spans="1:11" ht="30" customHeight="1" x14ac:dyDescent="0.3">
      <c r="A35" s="82" t="s">
        <v>339</v>
      </c>
      <c r="B35" s="83" t="s">
        <v>340</v>
      </c>
      <c r="C35" s="84">
        <f>C36</f>
        <v>7000</v>
      </c>
      <c r="D35" s="84"/>
      <c r="E35" s="85"/>
      <c r="F35" s="85"/>
      <c r="G35" s="85"/>
      <c r="H35" s="85"/>
      <c r="I35" s="161">
        <f>I36</f>
        <v>7000</v>
      </c>
      <c r="J35" s="81"/>
      <c r="K35" s="175">
        <f t="shared" si="1"/>
        <v>7000</v>
      </c>
    </row>
    <row r="36" spans="1:11" ht="15" customHeight="1" x14ac:dyDescent="0.3">
      <c r="A36" s="81" t="s">
        <v>341</v>
      </c>
      <c r="B36" s="81" t="s">
        <v>342</v>
      </c>
      <c r="C36" s="85">
        <v>7000</v>
      </c>
      <c r="D36" s="85"/>
      <c r="E36" s="85"/>
      <c r="F36" s="85"/>
      <c r="G36" s="85"/>
      <c r="H36" s="85"/>
      <c r="I36" s="162">
        <f>C36</f>
        <v>7000</v>
      </c>
      <c r="J36" s="81"/>
      <c r="K36" s="39">
        <f t="shared" si="1"/>
        <v>7000</v>
      </c>
    </row>
    <row r="37" spans="1:11" ht="30" customHeight="1" x14ac:dyDescent="0.3">
      <c r="A37" s="82" t="s">
        <v>343</v>
      </c>
      <c r="B37" s="83" t="s">
        <v>344</v>
      </c>
      <c r="C37" s="84">
        <f>C38</f>
        <v>38000</v>
      </c>
      <c r="D37" s="84"/>
      <c r="E37" s="84"/>
      <c r="F37" s="84"/>
      <c r="G37" s="84"/>
      <c r="H37" s="84"/>
      <c r="I37" s="161">
        <f>I38</f>
        <v>38000</v>
      </c>
      <c r="J37" s="81"/>
      <c r="K37" s="175">
        <f t="shared" si="1"/>
        <v>38000</v>
      </c>
    </row>
    <row r="38" spans="1:11" ht="15" customHeight="1" x14ac:dyDescent="0.3">
      <c r="A38" s="81" t="s">
        <v>345</v>
      </c>
      <c r="B38" s="81" t="s">
        <v>346</v>
      </c>
      <c r="C38" s="85">
        <v>38000</v>
      </c>
      <c r="D38" s="85"/>
      <c r="E38" s="85"/>
      <c r="F38" s="85"/>
      <c r="G38" s="85"/>
      <c r="H38" s="85"/>
      <c r="I38" s="162">
        <f>C38</f>
        <v>38000</v>
      </c>
      <c r="J38" s="81"/>
      <c r="K38" s="39">
        <f t="shared" si="1"/>
        <v>38000</v>
      </c>
    </row>
    <row r="39" spans="1:11" ht="15" customHeight="1" x14ac:dyDescent="0.3">
      <c r="A39" s="82">
        <v>2</v>
      </c>
      <c r="B39" s="82" t="s">
        <v>347</v>
      </c>
      <c r="C39" s="84">
        <f>C43+C55+C60+C69+C40</f>
        <v>660796</v>
      </c>
      <c r="D39" s="84"/>
      <c r="E39" s="85"/>
      <c r="F39" s="85"/>
      <c r="G39" s="85"/>
      <c r="H39" s="85"/>
      <c r="I39" s="161">
        <f>C39</f>
        <v>660796</v>
      </c>
      <c r="J39" s="81"/>
      <c r="K39" s="175">
        <f t="shared" si="1"/>
        <v>660796</v>
      </c>
    </row>
    <row r="40" spans="1:11" ht="15" customHeight="1" x14ac:dyDescent="0.3">
      <c r="A40" s="82" t="s">
        <v>348</v>
      </c>
      <c r="B40" s="82" t="s">
        <v>349</v>
      </c>
      <c r="C40" s="84">
        <f>C42+C41</f>
        <v>54687</v>
      </c>
      <c r="D40" s="84"/>
      <c r="E40" s="84"/>
      <c r="F40" s="84"/>
      <c r="G40" s="84"/>
      <c r="H40" s="84"/>
      <c r="I40" s="161">
        <f>I42+I41</f>
        <v>54687</v>
      </c>
      <c r="J40" s="85"/>
      <c r="K40" s="84">
        <f t="shared" si="1"/>
        <v>54687</v>
      </c>
    </row>
    <row r="41" spans="1:11" ht="32.25" customHeight="1" x14ac:dyDescent="0.3">
      <c r="A41" s="81" t="s">
        <v>728</v>
      </c>
      <c r="B41" s="89" t="s">
        <v>731</v>
      </c>
      <c r="C41" s="85">
        <v>49687</v>
      </c>
      <c r="D41" s="85"/>
      <c r="E41" s="84"/>
      <c r="F41" s="84"/>
      <c r="G41" s="84"/>
      <c r="H41" s="84"/>
      <c r="I41" s="162">
        <v>49687</v>
      </c>
      <c r="J41" s="85"/>
      <c r="K41" s="39">
        <f>I41+J41</f>
        <v>49687</v>
      </c>
    </row>
    <row r="42" spans="1:11" ht="30" customHeight="1" x14ac:dyDescent="0.3">
      <c r="A42" s="81" t="s">
        <v>350</v>
      </c>
      <c r="B42" s="80" t="s">
        <v>351</v>
      </c>
      <c r="C42" s="85">
        <v>5000</v>
      </c>
      <c r="D42" s="85"/>
      <c r="E42" s="85"/>
      <c r="F42" s="85"/>
      <c r="G42" s="85"/>
      <c r="H42" s="85"/>
      <c r="I42" s="162">
        <f t="shared" ref="I42:I59" si="3">C42</f>
        <v>5000</v>
      </c>
      <c r="J42" s="81"/>
      <c r="K42" s="39">
        <f>I42+J42</f>
        <v>5000</v>
      </c>
    </row>
    <row r="43" spans="1:11" s="72" customFormat="1" ht="30" customHeight="1" x14ac:dyDescent="0.3">
      <c r="A43" s="82" t="s">
        <v>352</v>
      </c>
      <c r="B43" s="83" t="s">
        <v>353</v>
      </c>
      <c r="C43" s="84">
        <f>C44+C49</f>
        <v>18140</v>
      </c>
      <c r="D43" s="84"/>
      <c r="E43" s="84"/>
      <c r="F43" s="84"/>
      <c r="G43" s="84"/>
      <c r="H43" s="84"/>
      <c r="I43" s="161">
        <f t="shared" si="3"/>
        <v>18140</v>
      </c>
      <c r="J43" s="82"/>
      <c r="K43" s="84">
        <f t="shared" si="1"/>
        <v>18140</v>
      </c>
    </row>
    <row r="44" spans="1:11" s="72" customFormat="1" ht="15" customHeight="1" x14ac:dyDescent="0.3">
      <c r="A44" s="82" t="s">
        <v>354</v>
      </c>
      <c r="B44" s="83" t="s">
        <v>355</v>
      </c>
      <c r="C44" s="84">
        <f>C45+C46+C47</f>
        <v>11690</v>
      </c>
      <c r="D44" s="84"/>
      <c r="E44" s="84"/>
      <c r="F44" s="84"/>
      <c r="G44" s="84"/>
      <c r="H44" s="84"/>
      <c r="I44" s="161">
        <f t="shared" si="3"/>
        <v>11690</v>
      </c>
      <c r="J44" s="82"/>
      <c r="K44" s="175">
        <f t="shared" si="1"/>
        <v>11690</v>
      </c>
    </row>
    <row r="45" spans="1:11" ht="30" customHeight="1" x14ac:dyDescent="0.3">
      <c r="A45" s="81" t="s">
        <v>356</v>
      </c>
      <c r="B45" s="80" t="s">
        <v>357</v>
      </c>
      <c r="C45" s="85">
        <v>10000</v>
      </c>
      <c r="D45" s="85"/>
      <c r="E45" s="85"/>
      <c r="F45" s="85"/>
      <c r="G45" s="85"/>
      <c r="H45" s="85"/>
      <c r="I45" s="162">
        <f t="shared" si="3"/>
        <v>10000</v>
      </c>
      <c r="J45" s="81"/>
      <c r="K45" s="39">
        <f t="shared" si="1"/>
        <v>10000</v>
      </c>
    </row>
    <row r="46" spans="1:11" ht="30" customHeight="1" x14ac:dyDescent="0.3">
      <c r="A46" s="81" t="s">
        <v>358</v>
      </c>
      <c r="B46" s="80" t="s">
        <v>359</v>
      </c>
      <c r="C46" s="85">
        <v>1400</v>
      </c>
      <c r="D46" s="85"/>
      <c r="E46" s="85"/>
      <c r="F46" s="85"/>
      <c r="G46" s="85"/>
      <c r="H46" s="85"/>
      <c r="I46" s="162">
        <f t="shared" si="3"/>
        <v>1400</v>
      </c>
      <c r="J46" s="81"/>
      <c r="K46" s="39">
        <f t="shared" si="1"/>
        <v>1400</v>
      </c>
    </row>
    <row r="47" spans="1:11" ht="30" customHeight="1" x14ac:dyDescent="0.3">
      <c r="A47" s="81" t="s">
        <v>360</v>
      </c>
      <c r="B47" s="80" t="s">
        <v>361</v>
      </c>
      <c r="C47" s="85">
        <f>C48</f>
        <v>290</v>
      </c>
      <c r="D47" s="85"/>
      <c r="E47" s="85"/>
      <c r="F47" s="85"/>
      <c r="G47" s="85"/>
      <c r="H47" s="85"/>
      <c r="I47" s="162">
        <f t="shared" si="3"/>
        <v>290</v>
      </c>
      <c r="J47" s="81"/>
      <c r="K47" s="39">
        <f t="shared" si="1"/>
        <v>290</v>
      </c>
    </row>
    <row r="48" spans="1:11" ht="15" customHeight="1" x14ac:dyDescent="0.3">
      <c r="A48" s="81" t="s">
        <v>362</v>
      </c>
      <c r="B48" s="80" t="s">
        <v>363</v>
      </c>
      <c r="C48" s="85">
        <v>290</v>
      </c>
      <c r="D48" s="85"/>
      <c r="E48" s="85"/>
      <c r="F48" s="85"/>
      <c r="G48" s="85"/>
      <c r="H48" s="85"/>
      <c r="I48" s="162">
        <f t="shared" si="3"/>
        <v>290</v>
      </c>
      <c r="J48" s="81"/>
      <c r="K48" s="39">
        <f t="shared" si="1"/>
        <v>290</v>
      </c>
    </row>
    <row r="49" spans="1:11" ht="15" customHeight="1" x14ac:dyDescent="0.3">
      <c r="A49" s="82" t="s">
        <v>364</v>
      </c>
      <c r="B49" s="82" t="s">
        <v>365</v>
      </c>
      <c r="C49" s="84">
        <f>C50+C51+C52+C53+C54</f>
        <v>6450</v>
      </c>
      <c r="D49" s="84"/>
      <c r="E49" s="85"/>
      <c r="F49" s="85"/>
      <c r="G49" s="85"/>
      <c r="H49" s="85"/>
      <c r="I49" s="161">
        <f t="shared" si="3"/>
        <v>6450</v>
      </c>
      <c r="J49" s="81"/>
      <c r="K49" s="175">
        <f t="shared" si="1"/>
        <v>6450</v>
      </c>
    </row>
    <row r="50" spans="1:11" ht="30" customHeight="1" x14ac:dyDescent="0.3">
      <c r="A50" s="81" t="s">
        <v>366</v>
      </c>
      <c r="B50" s="80" t="s">
        <v>367</v>
      </c>
      <c r="C50" s="85">
        <v>300</v>
      </c>
      <c r="D50" s="85"/>
      <c r="E50" s="85"/>
      <c r="F50" s="85"/>
      <c r="G50" s="85"/>
      <c r="H50" s="85"/>
      <c r="I50" s="162">
        <f t="shared" si="3"/>
        <v>300</v>
      </c>
      <c r="J50" s="81"/>
      <c r="K50" s="39">
        <f t="shared" si="1"/>
        <v>300</v>
      </c>
    </row>
    <row r="51" spans="1:11" ht="15" customHeight="1" x14ac:dyDescent="0.3">
      <c r="A51" s="81" t="s">
        <v>368</v>
      </c>
      <c r="B51" s="80" t="s">
        <v>369</v>
      </c>
      <c r="C51" s="85">
        <v>1000</v>
      </c>
      <c r="D51" s="85"/>
      <c r="E51" s="85"/>
      <c r="F51" s="85"/>
      <c r="G51" s="85"/>
      <c r="H51" s="85"/>
      <c r="I51" s="162">
        <f t="shared" si="3"/>
        <v>1000</v>
      </c>
      <c r="J51" s="81"/>
      <c r="K51" s="39">
        <f t="shared" si="1"/>
        <v>1000</v>
      </c>
    </row>
    <row r="52" spans="1:11" ht="30" customHeight="1" x14ac:dyDescent="0.3">
      <c r="A52" s="81" t="s">
        <v>370</v>
      </c>
      <c r="B52" s="80" t="s">
        <v>371</v>
      </c>
      <c r="C52" s="85">
        <v>50</v>
      </c>
      <c r="D52" s="85"/>
      <c r="E52" s="85"/>
      <c r="F52" s="85"/>
      <c r="G52" s="85"/>
      <c r="H52" s="85"/>
      <c r="I52" s="162">
        <f t="shared" si="3"/>
        <v>50</v>
      </c>
      <c r="J52" s="81"/>
      <c r="K52" s="39">
        <f t="shared" si="1"/>
        <v>50</v>
      </c>
    </row>
    <row r="53" spans="1:11" ht="15" customHeight="1" x14ac:dyDescent="0.3">
      <c r="A53" s="81" t="s">
        <v>372</v>
      </c>
      <c r="B53" s="80" t="s">
        <v>373</v>
      </c>
      <c r="C53" s="85">
        <v>5000</v>
      </c>
      <c r="D53" s="85"/>
      <c r="E53" s="85"/>
      <c r="F53" s="85"/>
      <c r="G53" s="85"/>
      <c r="H53" s="85"/>
      <c r="I53" s="162">
        <f t="shared" si="3"/>
        <v>5000</v>
      </c>
      <c r="J53" s="81"/>
      <c r="K53" s="39">
        <f t="shared" si="1"/>
        <v>5000</v>
      </c>
    </row>
    <row r="54" spans="1:11" ht="15" customHeight="1" x14ac:dyDescent="0.3">
      <c r="A54" s="81" t="s">
        <v>374</v>
      </c>
      <c r="B54" s="80" t="s">
        <v>375</v>
      </c>
      <c r="C54" s="85">
        <v>100</v>
      </c>
      <c r="D54" s="85"/>
      <c r="E54" s="85"/>
      <c r="F54" s="85"/>
      <c r="G54" s="85"/>
      <c r="H54" s="85"/>
      <c r="I54" s="162">
        <f t="shared" si="3"/>
        <v>100</v>
      </c>
      <c r="J54" s="81"/>
      <c r="K54" s="39">
        <f t="shared" si="1"/>
        <v>100</v>
      </c>
    </row>
    <row r="55" spans="1:11" ht="15" customHeight="1" x14ac:dyDescent="0.3">
      <c r="A55" s="82" t="s">
        <v>376</v>
      </c>
      <c r="B55" s="82" t="s">
        <v>377</v>
      </c>
      <c r="C55" s="84">
        <f>C56+C59</f>
        <v>4000</v>
      </c>
      <c r="D55" s="84"/>
      <c r="E55" s="85"/>
      <c r="F55" s="85"/>
      <c r="G55" s="85"/>
      <c r="H55" s="85"/>
      <c r="I55" s="161">
        <f t="shared" si="3"/>
        <v>4000</v>
      </c>
      <c r="J55" s="81"/>
      <c r="K55" s="84">
        <f t="shared" si="1"/>
        <v>4000</v>
      </c>
    </row>
    <row r="56" spans="1:11" ht="15" customHeight="1" x14ac:dyDescent="0.3">
      <c r="A56" s="81" t="s">
        <v>378</v>
      </c>
      <c r="B56" s="80" t="s">
        <v>379</v>
      </c>
      <c r="C56" s="85">
        <f>C57+C58</f>
        <v>3500</v>
      </c>
      <c r="D56" s="85"/>
      <c r="E56" s="85"/>
      <c r="F56" s="85"/>
      <c r="G56" s="85"/>
      <c r="H56" s="85"/>
      <c r="I56" s="162">
        <f t="shared" si="3"/>
        <v>3500</v>
      </c>
      <c r="J56" s="81"/>
      <c r="K56" s="39">
        <f t="shared" si="1"/>
        <v>3500</v>
      </c>
    </row>
    <row r="57" spans="1:11" ht="30" customHeight="1" x14ac:dyDescent="0.3">
      <c r="A57" s="81" t="s">
        <v>380</v>
      </c>
      <c r="B57" s="148" t="s">
        <v>381</v>
      </c>
      <c r="C57" s="85">
        <v>2000</v>
      </c>
      <c r="D57" s="85"/>
      <c r="E57" s="85"/>
      <c r="F57" s="85"/>
      <c r="G57" s="85"/>
      <c r="H57" s="85"/>
      <c r="I57" s="162">
        <f t="shared" si="3"/>
        <v>2000</v>
      </c>
      <c r="J57" s="81"/>
      <c r="K57" s="39">
        <f t="shared" si="1"/>
        <v>2000</v>
      </c>
    </row>
    <row r="58" spans="1:11" ht="15" customHeight="1" x14ac:dyDescent="0.3">
      <c r="A58" s="81" t="s">
        <v>382</v>
      </c>
      <c r="B58" s="148" t="s">
        <v>383</v>
      </c>
      <c r="C58" s="85">
        <v>1500</v>
      </c>
      <c r="D58" s="85"/>
      <c r="E58" s="85"/>
      <c r="F58" s="85"/>
      <c r="G58" s="85"/>
      <c r="H58" s="85"/>
      <c r="I58" s="162">
        <f t="shared" si="3"/>
        <v>1500</v>
      </c>
      <c r="J58" s="81"/>
      <c r="K58" s="39">
        <f t="shared" si="1"/>
        <v>1500</v>
      </c>
    </row>
    <row r="59" spans="1:11" ht="30" customHeight="1" x14ac:dyDescent="0.3">
      <c r="A59" s="81" t="s">
        <v>384</v>
      </c>
      <c r="B59" s="80" t="s">
        <v>385</v>
      </c>
      <c r="C59" s="85">
        <v>500</v>
      </c>
      <c r="D59" s="85"/>
      <c r="E59" s="85"/>
      <c r="F59" s="85"/>
      <c r="G59" s="85"/>
      <c r="H59" s="85"/>
      <c r="I59" s="162">
        <f t="shared" si="3"/>
        <v>500</v>
      </c>
      <c r="J59" s="81"/>
      <c r="K59" s="39">
        <f t="shared" si="1"/>
        <v>500</v>
      </c>
    </row>
    <row r="60" spans="1:11" ht="15" customHeight="1" x14ac:dyDescent="0.3">
      <c r="A60" s="82" t="s">
        <v>386</v>
      </c>
      <c r="B60" s="83" t="s">
        <v>387</v>
      </c>
      <c r="C60" s="84">
        <f>C61</f>
        <v>63969</v>
      </c>
      <c r="D60" s="84"/>
      <c r="E60" s="85"/>
      <c r="F60" s="84">
        <f>F68</f>
        <v>5000</v>
      </c>
      <c r="G60" s="85"/>
      <c r="H60" s="112">
        <f>H68</f>
        <v>0</v>
      </c>
      <c r="I60" s="161">
        <f>C60</f>
        <v>63969</v>
      </c>
      <c r="J60" s="84">
        <f>H60+F60</f>
        <v>5000</v>
      </c>
      <c r="K60" s="84">
        <f t="shared" si="1"/>
        <v>68969</v>
      </c>
    </row>
    <row r="61" spans="1:11" ht="30" customHeight="1" x14ac:dyDescent="0.3">
      <c r="A61" s="81" t="s">
        <v>388</v>
      </c>
      <c r="B61" s="80" t="s">
        <v>389</v>
      </c>
      <c r="C61" s="85">
        <f>C62</f>
        <v>63969</v>
      </c>
      <c r="D61" s="85"/>
      <c r="E61" s="85"/>
      <c r="F61" s="85"/>
      <c r="G61" s="85"/>
      <c r="H61" s="85"/>
      <c r="I61" s="162">
        <f>I62</f>
        <v>63969</v>
      </c>
      <c r="J61" s="81"/>
      <c r="K61" s="39">
        <f t="shared" si="1"/>
        <v>63969</v>
      </c>
    </row>
    <row r="62" spans="1:11" ht="15" customHeight="1" x14ac:dyDescent="0.3">
      <c r="A62" s="81" t="s">
        <v>390</v>
      </c>
      <c r="B62" s="80" t="s">
        <v>391</v>
      </c>
      <c r="C62" s="85">
        <f>SUM(C63:C68)</f>
        <v>63969</v>
      </c>
      <c r="D62" s="85"/>
      <c r="E62" s="85"/>
      <c r="F62" s="85"/>
      <c r="G62" s="85"/>
      <c r="H62" s="85"/>
      <c r="I62" s="162">
        <f>SUM(I63:I67)</f>
        <v>63969</v>
      </c>
      <c r="J62" s="81"/>
      <c r="K62" s="39">
        <f t="shared" si="1"/>
        <v>63969</v>
      </c>
    </row>
    <row r="63" spans="1:11" ht="15" customHeight="1" x14ac:dyDescent="0.3">
      <c r="A63" s="81"/>
      <c r="B63" s="81" t="s">
        <v>246</v>
      </c>
      <c r="C63" s="85">
        <v>4000</v>
      </c>
      <c r="D63" s="85"/>
      <c r="E63" s="85"/>
      <c r="F63" s="85"/>
      <c r="G63" s="85"/>
      <c r="H63" s="85"/>
      <c r="I63" s="162">
        <f>C63</f>
        <v>4000</v>
      </c>
      <c r="J63" s="81"/>
      <c r="K63" s="39">
        <f t="shared" si="1"/>
        <v>4000</v>
      </c>
    </row>
    <row r="64" spans="1:11" ht="15" customHeight="1" x14ac:dyDescent="0.3">
      <c r="A64" s="81"/>
      <c r="B64" s="81" t="s">
        <v>392</v>
      </c>
      <c r="C64" s="85">
        <v>2120</v>
      </c>
      <c r="D64" s="85"/>
      <c r="E64" s="85"/>
      <c r="F64" s="85"/>
      <c r="G64" s="85"/>
      <c r="H64" s="85"/>
      <c r="I64" s="162">
        <f>C64</f>
        <v>2120</v>
      </c>
      <c r="J64" s="81"/>
      <c r="K64" s="39">
        <f t="shared" si="1"/>
        <v>2120</v>
      </c>
    </row>
    <row r="65" spans="1:12" ht="15" customHeight="1" x14ac:dyDescent="0.3">
      <c r="A65" s="81"/>
      <c r="B65" s="80" t="s">
        <v>49</v>
      </c>
      <c r="C65" s="85">
        <v>420</v>
      </c>
      <c r="D65" s="85"/>
      <c r="E65" s="85"/>
      <c r="F65" s="85"/>
      <c r="G65" s="85"/>
      <c r="H65" s="85"/>
      <c r="I65" s="162">
        <f>C65</f>
        <v>420</v>
      </c>
      <c r="J65" s="81"/>
      <c r="K65" s="39">
        <f t="shared" si="1"/>
        <v>420</v>
      </c>
    </row>
    <row r="66" spans="1:12" ht="15" customHeight="1" x14ac:dyDescent="0.3">
      <c r="A66" s="81"/>
      <c r="B66" s="80" t="s">
        <v>66</v>
      </c>
      <c r="C66" s="85">
        <v>51600</v>
      </c>
      <c r="D66" s="85"/>
      <c r="E66" s="85"/>
      <c r="F66" s="85"/>
      <c r="G66" s="85"/>
      <c r="H66" s="85"/>
      <c r="I66" s="162">
        <f>C66</f>
        <v>51600</v>
      </c>
      <c r="J66" s="81"/>
      <c r="K66" s="39">
        <f t="shared" si="1"/>
        <v>51600</v>
      </c>
    </row>
    <row r="67" spans="1:12" ht="30" customHeight="1" x14ac:dyDescent="0.3">
      <c r="A67" s="81"/>
      <c r="B67" s="80" t="s">
        <v>393</v>
      </c>
      <c r="C67" s="149">
        <v>5829</v>
      </c>
      <c r="D67" s="149"/>
      <c r="E67" s="85"/>
      <c r="F67" s="85"/>
      <c r="G67" s="85"/>
      <c r="H67" s="85"/>
      <c r="I67" s="162">
        <f>C67</f>
        <v>5829</v>
      </c>
      <c r="J67" s="81"/>
      <c r="K67" s="39">
        <f t="shared" si="1"/>
        <v>5829</v>
      </c>
    </row>
    <row r="68" spans="1:12" ht="39.75" customHeight="1" x14ac:dyDescent="0.3">
      <c r="A68" s="81"/>
      <c r="B68" s="80" t="s">
        <v>784</v>
      </c>
      <c r="C68" s="149"/>
      <c r="D68" s="149"/>
      <c r="E68" s="85"/>
      <c r="F68" s="85">
        <v>5000</v>
      </c>
      <c r="G68" s="85"/>
      <c r="H68" s="85"/>
      <c r="I68" s="162"/>
      <c r="J68" s="85">
        <f>F68</f>
        <v>5000</v>
      </c>
      <c r="K68" s="39">
        <f t="shared" si="1"/>
        <v>5000</v>
      </c>
    </row>
    <row r="69" spans="1:12" ht="30" customHeight="1" x14ac:dyDescent="0.3">
      <c r="A69" s="82" t="s">
        <v>394</v>
      </c>
      <c r="B69" s="83" t="s">
        <v>395</v>
      </c>
      <c r="C69" s="84">
        <f>C70+C71</f>
        <v>520000</v>
      </c>
      <c r="D69" s="84"/>
      <c r="E69" s="85"/>
      <c r="F69" s="85"/>
      <c r="G69" s="85"/>
      <c r="H69" s="85"/>
      <c r="I69" s="161">
        <f>I70+I71</f>
        <v>520000</v>
      </c>
      <c r="J69" s="81"/>
      <c r="K69" s="84">
        <f t="shared" si="1"/>
        <v>520000</v>
      </c>
    </row>
    <row r="70" spans="1:12" ht="15" customHeight="1" x14ac:dyDescent="0.3">
      <c r="A70" s="81" t="s">
        <v>396</v>
      </c>
      <c r="B70" s="80" t="s">
        <v>397</v>
      </c>
      <c r="C70" s="85">
        <v>20000</v>
      </c>
      <c r="D70" s="85"/>
      <c r="E70" s="85"/>
      <c r="F70" s="85"/>
      <c r="G70" s="85"/>
      <c r="H70" s="85"/>
      <c r="I70" s="162">
        <f>C70</f>
        <v>20000</v>
      </c>
      <c r="J70" s="81"/>
      <c r="K70" s="39">
        <f t="shared" si="1"/>
        <v>20000</v>
      </c>
    </row>
    <row r="71" spans="1:12" ht="15" customHeight="1" x14ac:dyDescent="0.3">
      <c r="A71" s="81" t="s">
        <v>398</v>
      </c>
      <c r="B71" s="81" t="s">
        <v>399</v>
      </c>
      <c r="C71" s="85">
        <f>C72+C73</f>
        <v>500000</v>
      </c>
      <c r="D71" s="85"/>
      <c r="E71" s="85"/>
      <c r="F71" s="85"/>
      <c r="G71" s="85"/>
      <c r="H71" s="85"/>
      <c r="I71" s="162">
        <f>C71</f>
        <v>500000</v>
      </c>
      <c r="J71" s="81"/>
      <c r="K71" s="39">
        <f t="shared" si="1"/>
        <v>500000</v>
      </c>
    </row>
    <row r="72" spans="1:12" ht="15" customHeight="1" x14ac:dyDescent="0.3">
      <c r="A72" s="81" t="s">
        <v>400</v>
      </c>
      <c r="B72" s="81" t="s">
        <v>401</v>
      </c>
      <c r="C72" s="85">
        <v>500000</v>
      </c>
      <c r="D72" s="85"/>
      <c r="E72" s="85"/>
      <c r="F72" s="85"/>
      <c r="G72" s="85"/>
      <c r="H72" s="85"/>
      <c r="I72" s="162">
        <f>C72</f>
        <v>500000</v>
      </c>
      <c r="J72" s="81"/>
      <c r="K72" s="39">
        <f t="shared" si="1"/>
        <v>500000</v>
      </c>
    </row>
    <row r="73" spans="1:12" ht="15" customHeight="1" x14ac:dyDescent="0.3">
      <c r="A73" s="81" t="s">
        <v>402</v>
      </c>
      <c r="B73" s="81" t="s">
        <v>403</v>
      </c>
      <c r="C73" s="85"/>
      <c r="D73" s="85"/>
      <c r="E73" s="85"/>
      <c r="F73" s="85"/>
      <c r="G73" s="85"/>
      <c r="H73" s="85"/>
      <c r="I73" s="162">
        <f>C73</f>
        <v>0</v>
      </c>
      <c r="J73" s="81"/>
      <c r="K73" s="39">
        <f t="shared" si="1"/>
        <v>0</v>
      </c>
    </row>
    <row r="74" spans="1:12" ht="47.1" customHeight="1" x14ac:dyDescent="0.3">
      <c r="A74" s="82" t="s">
        <v>404</v>
      </c>
      <c r="B74" s="83" t="s">
        <v>405</v>
      </c>
      <c r="C74" s="84"/>
      <c r="D74" s="84"/>
      <c r="E74" s="84"/>
      <c r="F74" s="84"/>
      <c r="G74" s="84">
        <f>G76+G75+G77+G78</f>
        <v>149591</v>
      </c>
      <c r="H74" s="84">
        <f>H76+H75+H77+H78</f>
        <v>0</v>
      </c>
      <c r="I74" s="161">
        <f>G74</f>
        <v>149591</v>
      </c>
      <c r="J74" s="84">
        <f>J78</f>
        <v>0</v>
      </c>
      <c r="K74" s="84">
        <f>I74+J74</f>
        <v>149591</v>
      </c>
    </row>
    <row r="75" spans="1:12" ht="30.6" customHeight="1" x14ac:dyDescent="0.3">
      <c r="A75" s="81" t="s">
        <v>709</v>
      </c>
      <c r="B75" s="150" t="s">
        <v>802</v>
      </c>
      <c r="C75" s="84"/>
      <c r="D75" s="84"/>
      <c r="E75" s="84"/>
      <c r="F75" s="84"/>
      <c r="G75" s="85">
        <v>8000</v>
      </c>
      <c r="H75" s="85"/>
      <c r="I75" s="162">
        <f t="shared" ref="I75:I92" si="4">G75</f>
        <v>8000</v>
      </c>
      <c r="J75" s="81"/>
      <c r="K75" s="39">
        <f t="shared" si="1"/>
        <v>8000</v>
      </c>
    </row>
    <row r="76" spans="1:12" ht="47.1" customHeight="1" x14ac:dyDescent="0.3">
      <c r="A76" s="81" t="s">
        <v>407</v>
      </c>
      <c r="B76" s="198" t="s">
        <v>406</v>
      </c>
      <c r="C76" s="85"/>
      <c r="D76" s="85"/>
      <c r="E76" s="85"/>
      <c r="F76" s="85"/>
      <c r="G76" s="85">
        <v>72900</v>
      </c>
      <c r="H76" s="85"/>
      <c r="I76" s="162">
        <f t="shared" si="4"/>
        <v>72900</v>
      </c>
      <c r="J76" s="81"/>
      <c r="K76" s="39">
        <f t="shared" ref="K76:K81" si="5">I76+J76</f>
        <v>72900</v>
      </c>
    </row>
    <row r="77" spans="1:12" ht="21" customHeight="1" x14ac:dyDescent="0.3">
      <c r="A77" s="81" t="s">
        <v>709</v>
      </c>
      <c r="B77" s="198" t="s">
        <v>759</v>
      </c>
      <c r="C77" s="85"/>
      <c r="D77" s="85"/>
      <c r="E77" s="85"/>
      <c r="F77" s="85"/>
      <c r="G77" s="85">
        <f>61634</f>
        <v>61634</v>
      </c>
      <c r="H77" s="39"/>
      <c r="I77" s="162">
        <f>G77</f>
        <v>61634</v>
      </c>
      <c r="J77" s="85">
        <f>H77</f>
        <v>0</v>
      </c>
      <c r="K77" s="39">
        <f t="shared" si="5"/>
        <v>61634</v>
      </c>
    </row>
    <row r="78" spans="1:12" ht="33" customHeight="1" x14ac:dyDescent="0.3">
      <c r="A78" s="81" t="s">
        <v>709</v>
      </c>
      <c r="B78" s="151" t="s">
        <v>761</v>
      </c>
      <c r="C78" s="85"/>
      <c r="D78" s="85"/>
      <c r="E78" s="85"/>
      <c r="F78" s="85"/>
      <c r="G78" s="85">
        <v>7057</v>
      </c>
      <c r="H78" s="39"/>
      <c r="I78" s="162">
        <f>G78</f>
        <v>7057</v>
      </c>
      <c r="J78" s="85">
        <f>H78</f>
        <v>0</v>
      </c>
      <c r="K78" s="39">
        <f t="shared" si="5"/>
        <v>7057</v>
      </c>
    </row>
    <row r="79" spans="1:12" ht="15" customHeight="1" x14ac:dyDescent="0.3">
      <c r="A79" s="82" t="s">
        <v>409</v>
      </c>
      <c r="B79" s="69" t="s">
        <v>410</v>
      </c>
      <c r="C79" s="84"/>
      <c r="D79" s="84"/>
      <c r="E79" s="84"/>
      <c r="F79" s="84"/>
      <c r="G79" s="84">
        <f>G80+G161+G144+G162</f>
        <v>14470898</v>
      </c>
      <c r="H79" s="84">
        <f>H80+H144</f>
        <v>2496730</v>
      </c>
      <c r="I79" s="161">
        <f>G79</f>
        <v>14470898</v>
      </c>
      <c r="J79" s="84">
        <f>J80+J144</f>
        <v>2496730</v>
      </c>
      <c r="K79" s="84">
        <f>I79+J79</f>
        <v>16967628</v>
      </c>
      <c r="L79" s="86"/>
    </row>
    <row r="80" spans="1:12" ht="30" customHeight="1" x14ac:dyDescent="0.3">
      <c r="A80" s="82" t="s">
        <v>411</v>
      </c>
      <c r="B80" s="83" t="s">
        <v>412</v>
      </c>
      <c r="C80" s="84"/>
      <c r="D80" s="84"/>
      <c r="E80" s="84"/>
      <c r="F80" s="84"/>
      <c r="G80" s="84">
        <v>7908107</v>
      </c>
      <c r="H80" s="84">
        <f>SUM(H81:H143)</f>
        <v>2312005</v>
      </c>
      <c r="I80" s="161">
        <f>G80</f>
        <v>7908107</v>
      </c>
      <c r="J80" s="84">
        <f>H80</f>
        <v>2312005</v>
      </c>
      <c r="K80" s="175">
        <f t="shared" si="5"/>
        <v>10220112</v>
      </c>
    </row>
    <row r="81" spans="1:11" ht="45" customHeight="1" x14ac:dyDescent="0.3">
      <c r="A81" s="81" t="s">
        <v>413</v>
      </c>
      <c r="B81" s="80" t="s">
        <v>414</v>
      </c>
      <c r="C81" s="85"/>
      <c r="D81" s="85"/>
      <c r="E81" s="85"/>
      <c r="F81" s="85"/>
      <c r="G81" s="85">
        <f>3251056+23400</f>
        <v>3274456</v>
      </c>
      <c r="H81" s="85">
        <v>1600952</v>
      </c>
      <c r="I81" s="162">
        <f>G81</f>
        <v>3274456</v>
      </c>
      <c r="J81" s="85">
        <f>H81</f>
        <v>1600952</v>
      </c>
      <c r="K81" s="39">
        <f t="shared" si="5"/>
        <v>4875408</v>
      </c>
    </row>
    <row r="82" spans="1:11" ht="60" customHeight="1" x14ac:dyDescent="0.3">
      <c r="A82" s="81" t="s">
        <v>413</v>
      </c>
      <c r="B82" s="80" t="s">
        <v>415</v>
      </c>
      <c r="C82" s="85"/>
      <c r="D82" s="85"/>
      <c r="E82" s="85"/>
      <c r="F82" s="85"/>
      <c r="G82" s="85">
        <v>182000</v>
      </c>
      <c r="H82" s="85">
        <v>90452</v>
      </c>
      <c r="I82" s="162">
        <f t="shared" si="4"/>
        <v>182000</v>
      </c>
      <c r="J82" s="85">
        <f t="shared" ref="J82:J83" si="6">H82</f>
        <v>90452</v>
      </c>
      <c r="K82" s="39">
        <f t="shared" ref="K82:K168" si="7">I82+J82</f>
        <v>272452</v>
      </c>
    </row>
    <row r="83" spans="1:11" ht="45" customHeight="1" x14ac:dyDescent="0.3">
      <c r="A83" s="81" t="s">
        <v>413</v>
      </c>
      <c r="B83" s="80" t="s">
        <v>416</v>
      </c>
      <c r="C83" s="85"/>
      <c r="D83" s="85"/>
      <c r="E83" s="85"/>
      <c r="F83" s="85"/>
      <c r="G83" s="85">
        <v>157847</v>
      </c>
      <c r="H83" s="85">
        <v>82669</v>
      </c>
      <c r="I83" s="162">
        <f t="shared" si="4"/>
        <v>157847</v>
      </c>
      <c r="J83" s="85">
        <f t="shared" si="6"/>
        <v>82669</v>
      </c>
      <c r="K83" s="39">
        <f t="shared" si="7"/>
        <v>240516</v>
      </c>
    </row>
    <row r="84" spans="1:11" ht="60" customHeight="1" x14ac:dyDescent="0.3">
      <c r="A84" s="81" t="s">
        <v>417</v>
      </c>
      <c r="B84" s="80" t="s">
        <v>803</v>
      </c>
      <c r="C84" s="85"/>
      <c r="D84" s="85"/>
      <c r="E84" s="85"/>
      <c r="F84" s="85"/>
      <c r="G84" s="85">
        <v>581731</v>
      </c>
      <c r="H84" s="85">
        <v>261452</v>
      </c>
      <c r="I84" s="162">
        <f t="shared" si="4"/>
        <v>581731</v>
      </c>
      <c r="J84" s="85">
        <f>H84</f>
        <v>261452</v>
      </c>
      <c r="K84" s="39">
        <f t="shared" si="7"/>
        <v>843183</v>
      </c>
    </row>
    <row r="85" spans="1:11" ht="30" customHeight="1" x14ac:dyDescent="0.3">
      <c r="A85" s="81" t="s">
        <v>418</v>
      </c>
      <c r="B85" s="100" t="s">
        <v>419</v>
      </c>
      <c r="C85" s="85"/>
      <c r="D85" s="85"/>
      <c r="E85" s="85"/>
      <c r="F85" s="85"/>
      <c r="G85" s="85">
        <v>21550</v>
      </c>
      <c r="H85" s="85"/>
      <c r="I85" s="162">
        <f t="shared" si="4"/>
        <v>21550</v>
      </c>
      <c r="J85" s="85">
        <f t="shared" ref="J85:J89" si="8">H85</f>
        <v>0</v>
      </c>
      <c r="K85" s="39">
        <f t="shared" si="7"/>
        <v>21550</v>
      </c>
    </row>
    <row r="86" spans="1:11" ht="15" customHeight="1" x14ac:dyDescent="0.3">
      <c r="A86" s="81" t="s">
        <v>420</v>
      </c>
      <c r="B86" s="80" t="s">
        <v>421</v>
      </c>
      <c r="C86" s="85"/>
      <c r="D86" s="85"/>
      <c r="E86" s="85"/>
      <c r="F86" s="85"/>
      <c r="G86" s="85">
        <v>963135</v>
      </c>
      <c r="H86" s="85"/>
      <c r="I86" s="162">
        <f t="shared" si="4"/>
        <v>963135</v>
      </c>
      <c r="J86" s="85">
        <f t="shared" si="8"/>
        <v>0</v>
      </c>
      <c r="K86" s="39">
        <f t="shared" si="7"/>
        <v>963135</v>
      </c>
    </row>
    <row r="87" spans="1:11" ht="15" customHeight="1" x14ac:dyDescent="0.3">
      <c r="A87" s="81" t="s">
        <v>422</v>
      </c>
      <c r="B87" s="81" t="s">
        <v>423</v>
      </c>
      <c r="C87" s="85"/>
      <c r="D87" s="85"/>
      <c r="E87" s="85"/>
      <c r="F87" s="85"/>
      <c r="G87" s="85">
        <v>374372</v>
      </c>
      <c r="H87" s="85">
        <v>4878</v>
      </c>
      <c r="I87" s="162">
        <f t="shared" si="4"/>
        <v>374372</v>
      </c>
      <c r="J87" s="85">
        <f t="shared" si="8"/>
        <v>4878</v>
      </c>
      <c r="K87" s="39">
        <f t="shared" si="7"/>
        <v>379250</v>
      </c>
    </row>
    <row r="88" spans="1:11" ht="15" customHeight="1" x14ac:dyDescent="0.3">
      <c r="A88" s="81" t="s">
        <v>424</v>
      </c>
      <c r="B88" s="81" t="s">
        <v>425</v>
      </c>
      <c r="C88" s="85"/>
      <c r="D88" s="85"/>
      <c r="E88" s="85"/>
      <c r="F88" s="85"/>
      <c r="G88" s="85">
        <v>538057</v>
      </c>
      <c r="H88" s="85">
        <f>242569+26525</f>
        <v>269094</v>
      </c>
      <c r="I88" s="162">
        <f t="shared" si="4"/>
        <v>538057</v>
      </c>
      <c r="J88" s="85">
        <f t="shared" si="8"/>
        <v>269094</v>
      </c>
      <c r="K88" s="39">
        <f t="shared" si="7"/>
        <v>807151</v>
      </c>
    </row>
    <row r="89" spans="1:11" ht="30" customHeight="1" x14ac:dyDescent="0.3">
      <c r="A89" s="81" t="s">
        <v>426</v>
      </c>
      <c r="B89" s="80" t="s">
        <v>804</v>
      </c>
      <c r="C89" s="85"/>
      <c r="D89" s="85"/>
      <c r="E89" s="85"/>
      <c r="F89" s="85"/>
      <c r="G89" s="85">
        <v>161226</v>
      </c>
      <c r="H89" s="85">
        <v>2058</v>
      </c>
      <c r="I89" s="162">
        <f>G89</f>
        <v>161226</v>
      </c>
      <c r="J89" s="85">
        <f t="shared" si="8"/>
        <v>2058</v>
      </c>
      <c r="K89" s="39">
        <f t="shared" si="7"/>
        <v>163284</v>
      </c>
    </row>
    <row r="90" spans="1:11" ht="30" customHeight="1" x14ac:dyDescent="0.3">
      <c r="A90" s="81" t="s">
        <v>748</v>
      </c>
      <c r="B90" s="58" t="s">
        <v>760</v>
      </c>
      <c r="C90" s="85"/>
      <c r="D90" s="85"/>
      <c r="E90" s="85"/>
      <c r="F90" s="85"/>
      <c r="G90" s="85">
        <v>5273</v>
      </c>
      <c r="H90" s="39"/>
      <c r="I90" s="162">
        <v>5273</v>
      </c>
      <c r="J90" s="85">
        <f>H90</f>
        <v>0</v>
      </c>
      <c r="K90" s="39">
        <f>I90+J90</f>
        <v>5273</v>
      </c>
    </row>
    <row r="91" spans="1:11" ht="30" customHeight="1" x14ac:dyDescent="0.3">
      <c r="A91" s="81" t="s">
        <v>732</v>
      </c>
      <c r="B91" s="58" t="s">
        <v>733</v>
      </c>
      <c r="C91" s="85"/>
      <c r="D91" s="85"/>
      <c r="E91" s="85"/>
      <c r="F91" s="85"/>
      <c r="G91" s="85">
        <v>72644</v>
      </c>
      <c r="H91" s="85"/>
      <c r="I91" s="162">
        <f>G91</f>
        <v>72644</v>
      </c>
      <c r="J91" s="85">
        <v>0</v>
      </c>
      <c r="K91" s="39">
        <f t="shared" si="7"/>
        <v>72644</v>
      </c>
    </row>
    <row r="92" spans="1:11" ht="45" customHeight="1" x14ac:dyDescent="0.3">
      <c r="A92" s="81" t="s">
        <v>427</v>
      </c>
      <c r="B92" s="80" t="s">
        <v>428</v>
      </c>
      <c r="C92" s="85"/>
      <c r="D92" s="85"/>
      <c r="E92" s="85"/>
      <c r="F92" s="85"/>
      <c r="G92" s="85">
        <f>SUM(G93:G107)</f>
        <v>27404</v>
      </c>
      <c r="H92" s="85"/>
      <c r="I92" s="162">
        <f t="shared" si="4"/>
        <v>27404</v>
      </c>
      <c r="J92" s="70"/>
      <c r="K92" s="39">
        <f t="shared" si="7"/>
        <v>27404</v>
      </c>
    </row>
    <row r="93" spans="1:11" ht="15" customHeight="1" x14ac:dyDescent="0.3">
      <c r="A93" s="81"/>
      <c r="B93" s="80" t="s">
        <v>429</v>
      </c>
      <c r="C93" s="85"/>
      <c r="D93" s="85"/>
      <c r="E93" s="85"/>
      <c r="F93" s="85"/>
      <c r="G93" s="85">
        <v>403</v>
      </c>
      <c r="H93" s="85"/>
      <c r="I93" s="162">
        <f t="shared" ref="I93:I107" si="9">C93+E93+G93</f>
        <v>403</v>
      </c>
      <c r="J93" s="70"/>
      <c r="K93" s="39">
        <f t="shared" si="7"/>
        <v>403</v>
      </c>
    </row>
    <row r="94" spans="1:11" ht="15" customHeight="1" x14ac:dyDescent="0.3">
      <c r="A94" s="81"/>
      <c r="B94" s="80" t="s">
        <v>136</v>
      </c>
      <c r="C94" s="85"/>
      <c r="D94" s="85"/>
      <c r="E94" s="85"/>
      <c r="F94" s="85"/>
      <c r="G94" s="85">
        <v>2015</v>
      </c>
      <c r="H94" s="85"/>
      <c r="I94" s="162">
        <f t="shared" si="9"/>
        <v>2015</v>
      </c>
      <c r="J94" s="70"/>
      <c r="K94" s="39">
        <f t="shared" si="7"/>
        <v>2015</v>
      </c>
    </row>
    <row r="95" spans="1:11" ht="15" customHeight="1" x14ac:dyDescent="0.3">
      <c r="A95" s="81"/>
      <c r="B95" s="80" t="s">
        <v>80</v>
      </c>
      <c r="C95" s="85"/>
      <c r="D95" s="85"/>
      <c r="E95" s="85"/>
      <c r="F95" s="85"/>
      <c r="G95" s="85">
        <v>6851</v>
      </c>
      <c r="H95" s="85"/>
      <c r="I95" s="162">
        <f t="shared" si="9"/>
        <v>6851</v>
      </c>
      <c r="J95" s="70"/>
      <c r="K95" s="39">
        <f t="shared" si="7"/>
        <v>6851</v>
      </c>
    </row>
    <row r="96" spans="1:11" ht="15" customHeight="1" x14ac:dyDescent="0.3">
      <c r="A96" s="81"/>
      <c r="B96" s="58" t="s">
        <v>170</v>
      </c>
      <c r="C96" s="85"/>
      <c r="D96" s="85"/>
      <c r="E96" s="85"/>
      <c r="F96" s="85"/>
      <c r="G96" s="85">
        <v>3224</v>
      </c>
      <c r="H96" s="85"/>
      <c r="I96" s="162">
        <f t="shared" si="9"/>
        <v>3224</v>
      </c>
      <c r="J96" s="70"/>
      <c r="K96" s="39">
        <f t="shared" si="7"/>
        <v>3224</v>
      </c>
    </row>
    <row r="97" spans="1:11" ht="15" customHeight="1" x14ac:dyDescent="0.3">
      <c r="A97" s="81"/>
      <c r="B97" s="58" t="s">
        <v>140</v>
      </c>
      <c r="C97" s="85"/>
      <c r="D97" s="85"/>
      <c r="E97" s="85"/>
      <c r="F97" s="85"/>
      <c r="G97" s="85">
        <v>1612</v>
      </c>
      <c r="H97" s="85"/>
      <c r="I97" s="162">
        <f t="shared" si="9"/>
        <v>1612</v>
      </c>
      <c r="J97" s="70"/>
      <c r="K97" s="39">
        <f t="shared" si="7"/>
        <v>1612</v>
      </c>
    </row>
    <row r="98" spans="1:11" ht="15" customHeight="1" x14ac:dyDescent="0.3">
      <c r="A98" s="81"/>
      <c r="B98" s="58" t="s">
        <v>430</v>
      </c>
      <c r="C98" s="85"/>
      <c r="D98" s="85"/>
      <c r="E98" s="85"/>
      <c r="F98" s="85"/>
      <c r="G98" s="85">
        <v>2015</v>
      </c>
      <c r="H98" s="85"/>
      <c r="I98" s="162">
        <f t="shared" si="9"/>
        <v>2015</v>
      </c>
      <c r="J98" s="70"/>
      <c r="K98" s="39">
        <f t="shared" si="7"/>
        <v>2015</v>
      </c>
    </row>
    <row r="99" spans="1:11" ht="15" customHeight="1" x14ac:dyDescent="0.3">
      <c r="A99" s="81"/>
      <c r="B99" s="58" t="s">
        <v>751</v>
      </c>
      <c r="C99" s="85"/>
      <c r="D99" s="85"/>
      <c r="E99" s="85"/>
      <c r="F99" s="85"/>
      <c r="G99" s="85">
        <v>806</v>
      </c>
      <c r="H99" s="85"/>
      <c r="I99" s="162">
        <f t="shared" si="9"/>
        <v>806</v>
      </c>
      <c r="J99" s="39"/>
      <c r="K99" s="39">
        <f t="shared" si="7"/>
        <v>806</v>
      </c>
    </row>
    <row r="100" spans="1:11" ht="15" customHeight="1" x14ac:dyDescent="0.3">
      <c r="A100" s="81"/>
      <c r="B100" s="58" t="s">
        <v>431</v>
      </c>
      <c r="C100" s="85"/>
      <c r="D100" s="85"/>
      <c r="E100" s="85"/>
      <c r="F100" s="85"/>
      <c r="G100" s="85">
        <v>1209</v>
      </c>
      <c r="H100" s="85"/>
      <c r="I100" s="162">
        <f>C100+E100+G100</f>
        <v>1209</v>
      </c>
      <c r="J100" s="70"/>
      <c r="K100" s="39">
        <f t="shared" si="7"/>
        <v>1209</v>
      </c>
    </row>
    <row r="101" spans="1:11" ht="15" customHeight="1" x14ac:dyDescent="0.3">
      <c r="A101" s="81"/>
      <c r="B101" s="58" t="s">
        <v>432</v>
      </c>
      <c r="C101" s="85"/>
      <c r="D101" s="85"/>
      <c r="E101" s="85"/>
      <c r="F101" s="85"/>
      <c r="G101" s="85">
        <v>4030</v>
      </c>
      <c r="H101" s="85"/>
      <c r="I101" s="162">
        <f t="shared" si="9"/>
        <v>4030</v>
      </c>
      <c r="J101" s="70"/>
      <c r="K101" s="39">
        <f t="shared" si="7"/>
        <v>4030</v>
      </c>
    </row>
    <row r="102" spans="1:11" ht="15" customHeight="1" x14ac:dyDescent="0.3">
      <c r="A102" s="81"/>
      <c r="B102" s="58" t="s">
        <v>179</v>
      </c>
      <c r="C102" s="85"/>
      <c r="D102" s="85"/>
      <c r="E102" s="85"/>
      <c r="F102" s="85"/>
      <c r="G102" s="85">
        <v>403</v>
      </c>
      <c r="H102" s="85"/>
      <c r="I102" s="162">
        <f t="shared" si="9"/>
        <v>403</v>
      </c>
      <c r="J102" s="70"/>
      <c r="K102" s="39">
        <f t="shared" si="7"/>
        <v>403</v>
      </c>
    </row>
    <row r="103" spans="1:11" ht="15" customHeight="1" x14ac:dyDescent="0.3">
      <c r="A103" s="81"/>
      <c r="B103" s="58" t="s">
        <v>276</v>
      </c>
      <c r="C103" s="85"/>
      <c r="D103" s="85"/>
      <c r="E103" s="85"/>
      <c r="F103" s="85"/>
      <c r="G103" s="85">
        <v>1612</v>
      </c>
      <c r="H103" s="85"/>
      <c r="I103" s="162">
        <f t="shared" si="9"/>
        <v>1612</v>
      </c>
      <c r="J103" s="70"/>
      <c r="K103" s="39">
        <f t="shared" si="7"/>
        <v>1612</v>
      </c>
    </row>
    <row r="104" spans="1:11" ht="15" customHeight="1" x14ac:dyDescent="0.3">
      <c r="A104" s="81"/>
      <c r="B104" s="58" t="s">
        <v>433</v>
      </c>
      <c r="C104" s="85"/>
      <c r="D104" s="85"/>
      <c r="E104" s="85"/>
      <c r="F104" s="85"/>
      <c r="G104" s="85">
        <v>1209</v>
      </c>
      <c r="H104" s="85"/>
      <c r="I104" s="162">
        <f t="shared" si="9"/>
        <v>1209</v>
      </c>
      <c r="J104" s="70"/>
      <c r="K104" s="39">
        <f t="shared" si="7"/>
        <v>1209</v>
      </c>
    </row>
    <row r="105" spans="1:11" ht="15" customHeight="1" x14ac:dyDescent="0.3">
      <c r="A105" s="81"/>
      <c r="B105" s="58" t="s">
        <v>137</v>
      </c>
      <c r="C105" s="85"/>
      <c r="D105" s="85"/>
      <c r="E105" s="85"/>
      <c r="F105" s="85"/>
      <c r="G105" s="85">
        <v>403</v>
      </c>
      <c r="H105" s="85"/>
      <c r="I105" s="162">
        <f t="shared" si="9"/>
        <v>403</v>
      </c>
      <c r="J105" s="70"/>
      <c r="K105" s="39">
        <f t="shared" si="7"/>
        <v>403</v>
      </c>
    </row>
    <row r="106" spans="1:11" ht="15" customHeight="1" x14ac:dyDescent="0.3">
      <c r="A106" s="81"/>
      <c r="B106" s="58" t="s">
        <v>434</v>
      </c>
      <c r="C106" s="85"/>
      <c r="D106" s="85"/>
      <c r="E106" s="85"/>
      <c r="F106" s="85"/>
      <c r="G106" s="85">
        <v>403</v>
      </c>
      <c r="H106" s="85"/>
      <c r="I106" s="162">
        <f t="shared" si="9"/>
        <v>403</v>
      </c>
      <c r="J106" s="70"/>
      <c r="K106" s="39">
        <f t="shared" si="7"/>
        <v>403</v>
      </c>
    </row>
    <row r="107" spans="1:11" ht="15" customHeight="1" x14ac:dyDescent="0.3">
      <c r="A107" s="81"/>
      <c r="B107" s="58" t="s">
        <v>195</v>
      </c>
      <c r="C107" s="85"/>
      <c r="D107" s="85"/>
      <c r="E107" s="85"/>
      <c r="F107" s="85"/>
      <c r="G107" s="85">
        <v>1209</v>
      </c>
      <c r="H107" s="85"/>
      <c r="I107" s="162">
        <f t="shared" si="9"/>
        <v>1209</v>
      </c>
      <c r="J107" s="70"/>
      <c r="K107" s="39">
        <f t="shared" si="7"/>
        <v>1209</v>
      </c>
    </row>
    <row r="108" spans="1:11" ht="30" customHeight="1" x14ac:dyDescent="0.3">
      <c r="A108" s="81" t="s">
        <v>435</v>
      </c>
      <c r="B108" s="58" t="s">
        <v>436</v>
      </c>
      <c r="C108" s="85"/>
      <c r="D108" s="85"/>
      <c r="E108" s="85"/>
      <c r="F108" s="85"/>
      <c r="G108" s="85">
        <f>26000+3300</f>
        <v>29300</v>
      </c>
      <c r="H108" s="85"/>
      <c r="I108" s="162">
        <f t="shared" ref="I108:I162" si="10">G108</f>
        <v>29300</v>
      </c>
      <c r="J108" s="39"/>
      <c r="K108" s="39">
        <f t="shared" si="7"/>
        <v>29300</v>
      </c>
    </row>
    <row r="109" spans="1:11" ht="15" customHeight="1" x14ac:dyDescent="0.3">
      <c r="A109" s="81"/>
      <c r="B109" s="196" t="s">
        <v>437</v>
      </c>
      <c r="C109" s="85"/>
      <c r="D109" s="85"/>
      <c r="E109" s="85"/>
      <c r="F109" s="85"/>
      <c r="G109" s="85">
        <f>12789+35900</f>
        <v>48689</v>
      </c>
      <c r="H109" s="39"/>
      <c r="I109" s="162">
        <f t="shared" si="10"/>
        <v>48689</v>
      </c>
      <c r="J109" s="70"/>
      <c r="K109" s="39">
        <f>I109+J109</f>
        <v>48689</v>
      </c>
    </row>
    <row r="110" spans="1:11" ht="15" customHeight="1" x14ac:dyDescent="0.3">
      <c r="A110" s="81" t="s">
        <v>746</v>
      </c>
      <c r="B110" s="196" t="s">
        <v>747</v>
      </c>
      <c r="C110" s="85"/>
      <c r="D110" s="85"/>
      <c r="E110" s="85"/>
      <c r="F110" s="85"/>
      <c r="G110" s="85">
        <v>6492</v>
      </c>
      <c r="H110" s="39"/>
      <c r="I110" s="162">
        <f t="shared" si="10"/>
        <v>6492</v>
      </c>
      <c r="J110" s="85"/>
      <c r="K110" s="39">
        <f>I110+J110</f>
        <v>6492</v>
      </c>
    </row>
    <row r="111" spans="1:11" ht="15" customHeight="1" x14ac:dyDescent="0.3">
      <c r="A111" s="81"/>
      <c r="B111" s="100" t="s">
        <v>766</v>
      </c>
      <c r="C111" s="85"/>
      <c r="D111" s="85"/>
      <c r="E111" s="85"/>
      <c r="F111" s="85"/>
      <c r="G111" s="85">
        <v>8500</v>
      </c>
      <c r="H111" s="85"/>
      <c r="I111" s="162">
        <f t="shared" si="10"/>
        <v>8500</v>
      </c>
      <c r="J111" s="85"/>
      <c r="K111" s="39">
        <f>I111+J111</f>
        <v>8500</v>
      </c>
    </row>
    <row r="112" spans="1:11" ht="15" customHeight="1" x14ac:dyDescent="0.3">
      <c r="A112" s="81" t="s">
        <v>743</v>
      </c>
      <c r="B112" s="196" t="s">
        <v>744</v>
      </c>
      <c r="C112" s="85"/>
      <c r="D112" s="85"/>
      <c r="E112" s="85"/>
      <c r="F112" s="85"/>
      <c r="G112" s="85">
        <v>21100</v>
      </c>
      <c r="H112" s="39"/>
      <c r="I112" s="162">
        <f t="shared" si="10"/>
        <v>21100</v>
      </c>
      <c r="J112" s="70"/>
      <c r="K112" s="39">
        <f>I112+J112</f>
        <v>21100</v>
      </c>
    </row>
    <row r="113" spans="1:11" ht="15" customHeight="1" x14ac:dyDescent="0.3">
      <c r="A113" s="81"/>
      <c r="B113" s="57" t="s">
        <v>739</v>
      </c>
      <c r="C113" s="85"/>
      <c r="D113" s="85"/>
      <c r="E113" s="85"/>
      <c r="F113" s="85"/>
      <c r="G113" s="85">
        <v>2400</v>
      </c>
      <c r="H113" s="39"/>
      <c r="I113" s="162">
        <f t="shared" si="10"/>
        <v>2400</v>
      </c>
      <c r="J113" s="39"/>
      <c r="K113" s="39">
        <f t="shared" ref="K113:K118" si="11">I113+J113</f>
        <v>2400</v>
      </c>
    </row>
    <row r="114" spans="1:11" ht="38.25" customHeight="1" x14ac:dyDescent="0.3">
      <c r="A114" s="81"/>
      <c r="B114" s="57" t="s">
        <v>805</v>
      </c>
      <c r="C114" s="85"/>
      <c r="D114" s="85"/>
      <c r="E114" s="85"/>
      <c r="F114" s="85"/>
      <c r="G114" s="85">
        <v>2000</v>
      </c>
      <c r="H114" s="39"/>
      <c r="I114" s="162">
        <f t="shared" si="10"/>
        <v>2000</v>
      </c>
      <c r="J114" s="39"/>
      <c r="K114" s="39">
        <f t="shared" si="11"/>
        <v>2000</v>
      </c>
    </row>
    <row r="115" spans="1:11" ht="15" customHeight="1" x14ac:dyDescent="0.3">
      <c r="A115" s="81"/>
      <c r="B115" s="57" t="s">
        <v>738</v>
      </c>
      <c r="C115" s="85"/>
      <c r="D115" s="85"/>
      <c r="E115" s="85"/>
      <c r="F115" s="85"/>
      <c r="G115" s="85">
        <v>1000</v>
      </c>
      <c r="H115" s="39"/>
      <c r="I115" s="162">
        <f t="shared" si="10"/>
        <v>1000</v>
      </c>
      <c r="J115" s="39"/>
      <c r="K115" s="39">
        <f t="shared" si="11"/>
        <v>1000</v>
      </c>
    </row>
    <row r="116" spans="1:11" ht="33" customHeight="1" x14ac:dyDescent="0.3">
      <c r="A116" s="81"/>
      <c r="B116" s="57" t="s">
        <v>745</v>
      </c>
      <c r="C116" s="85"/>
      <c r="D116" s="85"/>
      <c r="E116" s="85"/>
      <c r="F116" s="85"/>
      <c r="G116" s="85">
        <v>400</v>
      </c>
      <c r="H116" s="39"/>
      <c r="I116" s="162">
        <f t="shared" si="10"/>
        <v>400</v>
      </c>
      <c r="J116" s="39"/>
      <c r="K116" s="39">
        <f t="shared" si="11"/>
        <v>400</v>
      </c>
    </row>
    <row r="117" spans="1:11" ht="33.75" customHeight="1" x14ac:dyDescent="0.3">
      <c r="A117" s="81"/>
      <c r="B117" s="57" t="s">
        <v>806</v>
      </c>
      <c r="C117" s="85"/>
      <c r="D117" s="85"/>
      <c r="E117" s="85"/>
      <c r="F117" s="85"/>
      <c r="G117" s="85">
        <v>10000</v>
      </c>
      <c r="H117" s="39"/>
      <c r="I117" s="162">
        <f t="shared" si="10"/>
        <v>10000</v>
      </c>
      <c r="J117" s="39"/>
      <c r="K117" s="39">
        <f t="shared" si="11"/>
        <v>10000</v>
      </c>
    </row>
    <row r="118" spans="1:11" ht="37.5" customHeight="1" x14ac:dyDescent="0.3">
      <c r="A118" s="81"/>
      <c r="B118" s="57" t="s">
        <v>740</v>
      </c>
      <c r="C118" s="85"/>
      <c r="D118" s="85"/>
      <c r="E118" s="85"/>
      <c r="F118" s="85"/>
      <c r="G118" s="85">
        <v>5300</v>
      </c>
      <c r="H118" s="39"/>
      <c r="I118" s="162">
        <f t="shared" si="10"/>
        <v>5300</v>
      </c>
      <c r="J118" s="39"/>
      <c r="K118" s="39">
        <f t="shared" si="11"/>
        <v>5300</v>
      </c>
    </row>
    <row r="119" spans="1:11" ht="30" customHeight="1" x14ac:dyDescent="0.3">
      <c r="A119" s="81" t="s">
        <v>438</v>
      </c>
      <c r="B119" s="58" t="s">
        <v>654</v>
      </c>
      <c r="C119" s="85"/>
      <c r="D119" s="85"/>
      <c r="E119" s="85"/>
      <c r="F119" s="85"/>
      <c r="G119" s="85">
        <f>4770+510</f>
        <v>5280</v>
      </c>
      <c r="H119" s="39"/>
      <c r="I119" s="162">
        <f t="shared" si="10"/>
        <v>5280</v>
      </c>
      <c r="J119" s="39"/>
      <c r="K119" s="39">
        <f t="shared" si="7"/>
        <v>5280</v>
      </c>
    </row>
    <row r="120" spans="1:11" ht="23.25" customHeight="1" x14ac:dyDescent="0.3">
      <c r="A120" s="81" t="s">
        <v>449</v>
      </c>
      <c r="B120" s="58" t="s">
        <v>754</v>
      </c>
      <c r="C120" s="85"/>
      <c r="D120" s="85"/>
      <c r="E120" s="85"/>
      <c r="F120" s="85"/>
      <c r="G120" s="85">
        <v>97012</v>
      </c>
      <c r="H120" s="85"/>
      <c r="I120" s="162">
        <f t="shared" si="10"/>
        <v>97012</v>
      </c>
      <c r="J120" s="39"/>
      <c r="K120" s="39">
        <f t="shared" si="7"/>
        <v>97012</v>
      </c>
    </row>
    <row r="121" spans="1:11" ht="15" customHeight="1" x14ac:dyDescent="0.3">
      <c r="A121" s="81" t="s">
        <v>439</v>
      </c>
      <c r="B121" s="81" t="s">
        <v>440</v>
      </c>
      <c r="C121" s="85"/>
      <c r="D121" s="85"/>
      <c r="E121" s="85"/>
      <c r="F121" s="85"/>
      <c r="G121" s="85">
        <f>SUM(G122:G130)</f>
        <v>115434</v>
      </c>
      <c r="H121" s="85"/>
      <c r="I121" s="162">
        <f t="shared" si="10"/>
        <v>115434</v>
      </c>
      <c r="J121" s="70"/>
      <c r="K121" s="39">
        <f t="shared" si="7"/>
        <v>115434</v>
      </c>
    </row>
    <row r="122" spans="1:11" s="74" customFormat="1" ht="15" customHeight="1" x14ac:dyDescent="0.3">
      <c r="A122" s="129"/>
      <c r="B122" s="105" t="s">
        <v>441</v>
      </c>
      <c r="C122" s="104"/>
      <c r="D122" s="104"/>
      <c r="E122" s="104"/>
      <c r="F122" s="104"/>
      <c r="G122" s="104">
        <v>12896</v>
      </c>
      <c r="H122" s="104"/>
      <c r="I122" s="163">
        <f t="shared" si="10"/>
        <v>12896</v>
      </c>
      <c r="J122" s="165"/>
      <c r="K122" s="39">
        <f t="shared" si="7"/>
        <v>12896</v>
      </c>
    </row>
    <row r="123" spans="1:11" s="74" customFormat="1" ht="15" customHeight="1" x14ac:dyDescent="0.3">
      <c r="A123" s="129"/>
      <c r="B123" s="105" t="s">
        <v>442</v>
      </c>
      <c r="C123" s="104"/>
      <c r="D123" s="104"/>
      <c r="E123" s="104"/>
      <c r="F123" s="104"/>
      <c r="G123" s="104">
        <v>12266</v>
      </c>
      <c r="H123" s="104"/>
      <c r="I123" s="163">
        <f t="shared" si="10"/>
        <v>12266</v>
      </c>
      <c r="J123" s="165"/>
      <c r="K123" s="39">
        <f t="shared" si="7"/>
        <v>12266</v>
      </c>
    </row>
    <row r="124" spans="1:11" s="74" customFormat="1" ht="15" customHeight="1" x14ac:dyDescent="0.3">
      <c r="A124" s="129"/>
      <c r="B124" s="105" t="s">
        <v>443</v>
      </c>
      <c r="C124" s="104"/>
      <c r="D124" s="104"/>
      <c r="E124" s="104"/>
      <c r="F124" s="104"/>
      <c r="G124" s="104">
        <v>12896</v>
      </c>
      <c r="H124" s="104"/>
      <c r="I124" s="163">
        <f t="shared" si="10"/>
        <v>12896</v>
      </c>
      <c r="J124" s="165"/>
      <c r="K124" s="39">
        <f t="shared" si="7"/>
        <v>12896</v>
      </c>
    </row>
    <row r="125" spans="1:11" s="74" customFormat="1" ht="15" customHeight="1" x14ac:dyDescent="0.3">
      <c r="A125" s="129"/>
      <c r="B125" s="105" t="s">
        <v>444</v>
      </c>
      <c r="C125" s="104"/>
      <c r="D125" s="104"/>
      <c r="E125" s="104"/>
      <c r="F125" s="104"/>
      <c r="G125" s="104">
        <v>12896</v>
      </c>
      <c r="H125" s="104"/>
      <c r="I125" s="163">
        <f t="shared" si="10"/>
        <v>12896</v>
      </c>
      <c r="J125" s="165"/>
      <c r="K125" s="39">
        <f t="shared" si="7"/>
        <v>12896</v>
      </c>
    </row>
    <row r="126" spans="1:11" s="74" customFormat="1" ht="15" customHeight="1" x14ac:dyDescent="0.3">
      <c r="A126" s="129"/>
      <c r="B126" s="105" t="s">
        <v>445</v>
      </c>
      <c r="C126" s="104"/>
      <c r="D126" s="104"/>
      <c r="E126" s="104"/>
      <c r="F126" s="104"/>
      <c r="G126" s="104">
        <v>12896</v>
      </c>
      <c r="H126" s="104"/>
      <c r="I126" s="163">
        <f t="shared" si="10"/>
        <v>12896</v>
      </c>
      <c r="J126" s="165"/>
      <c r="K126" s="39">
        <f t="shared" si="7"/>
        <v>12896</v>
      </c>
    </row>
    <row r="127" spans="1:11" s="74" customFormat="1" ht="15" customHeight="1" x14ac:dyDescent="0.3">
      <c r="A127" s="129"/>
      <c r="B127" s="105" t="s">
        <v>446</v>
      </c>
      <c r="C127" s="104"/>
      <c r="D127" s="104"/>
      <c r="E127" s="104"/>
      <c r="F127" s="104"/>
      <c r="G127" s="104">
        <v>12896</v>
      </c>
      <c r="H127" s="104"/>
      <c r="I127" s="163">
        <f t="shared" si="10"/>
        <v>12896</v>
      </c>
      <c r="J127" s="165"/>
      <c r="K127" s="39">
        <f t="shared" si="7"/>
        <v>12896</v>
      </c>
    </row>
    <row r="128" spans="1:11" s="74" customFormat="1" ht="15" customHeight="1" x14ac:dyDescent="0.3">
      <c r="A128" s="129"/>
      <c r="B128" s="105" t="s">
        <v>134</v>
      </c>
      <c r="C128" s="104"/>
      <c r="D128" s="104"/>
      <c r="E128" s="104"/>
      <c r="F128" s="104"/>
      <c r="G128" s="104">
        <v>12896</v>
      </c>
      <c r="H128" s="104"/>
      <c r="I128" s="163">
        <f t="shared" si="10"/>
        <v>12896</v>
      </c>
      <c r="J128" s="165"/>
      <c r="K128" s="39">
        <f t="shared" si="7"/>
        <v>12896</v>
      </c>
    </row>
    <row r="129" spans="1:12" s="74" customFormat="1" ht="15" customHeight="1" x14ac:dyDescent="0.3">
      <c r="A129" s="129"/>
      <c r="B129" s="105" t="s">
        <v>447</v>
      </c>
      <c r="C129" s="104"/>
      <c r="D129" s="104"/>
      <c r="E129" s="104"/>
      <c r="F129" s="104"/>
      <c r="G129" s="104">
        <v>12896</v>
      </c>
      <c r="H129" s="104"/>
      <c r="I129" s="163">
        <f t="shared" si="10"/>
        <v>12896</v>
      </c>
      <c r="J129" s="165"/>
      <c r="K129" s="39">
        <f t="shared" si="7"/>
        <v>12896</v>
      </c>
    </row>
    <row r="130" spans="1:12" s="74" customFormat="1" ht="15" customHeight="1" x14ac:dyDescent="0.3">
      <c r="A130" s="129"/>
      <c r="B130" s="105" t="s">
        <v>448</v>
      </c>
      <c r="C130" s="104"/>
      <c r="D130" s="104"/>
      <c r="E130" s="104"/>
      <c r="F130" s="104"/>
      <c r="G130" s="104">
        <v>12896</v>
      </c>
      <c r="H130" s="104"/>
      <c r="I130" s="163">
        <f t="shared" si="10"/>
        <v>12896</v>
      </c>
      <c r="J130" s="165"/>
      <c r="K130" s="39">
        <f t="shared" si="7"/>
        <v>12896</v>
      </c>
    </row>
    <row r="131" spans="1:12" ht="15" customHeight="1" x14ac:dyDescent="0.3">
      <c r="A131" s="81"/>
      <c r="B131" s="102" t="s">
        <v>167</v>
      </c>
      <c r="C131" s="85"/>
      <c r="D131" s="85"/>
      <c r="E131" s="85"/>
      <c r="F131" s="85"/>
      <c r="G131" s="104">
        <v>19829</v>
      </c>
      <c r="H131" s="104"/>
      <c r="I131" s="163">
        <f t="shared" si="10"/>
        <v>19829</v>
      </c>
      <c r="J131" s="70"/>
      <c r="K131" s="39">
        <f t="shared" si="7"/>
        <v>19829</v>
      </c>
    </row>
    <row r="132" spans="1:12" ht="30" customHeight="1" x14ac:dyDescent="0.3">
      <c r="A132" s="81" t="s">
        <v>449</v>
      </c>
      <c r="B132" s="80" t="s">
        <v>450</v>
      </c>
      <c r="C132" s="85"/>
      <c r="D132" s="85"/>
      <c r="E132" s="85"/>
      <c r="F132" s="85"/>
      <c r="G132" s="85">
        <v>632852</v>
      </c>
      <c r="H132" s="85"/>
      <c r="I132" s="162">
        <f t="shared" si="10"/>
        <v>632852</v>
      </c>
      <c r="J132" s="70"/>
      <c r="K132" s="39">
        <f t="shared" si="7"/>
        <v>632852</v>
      </c>
    </row>
    <row r="133" spans="1:12" ht="30" customHeight="1" x14ac:dyDescent="0.3">
      <c r="A133" s="81"/>
      <c r="B133" s="196" t="s">
        <v>226</v>
      </c>
      <c r="C133" s="85"/>
      <c r="D133" s="85"/>
      <c r="E133" s="85"/>
      <c r="F133" s="85"/>
      <c r="G133" s="85">
        <v>46467</v>
      </c>
      <c r="H133" s="85"/>
      <c r="I133" s="162">
        <f t="shared" si="10"/>
        <v>46467</v>
      </c>
      <c r="J133" s="70"/>
      <c r="K133" s="39">
        <f t="shared" si="7"/>
        <v>46467</v>
      </c>
    </row>
    <row r="134" spans="1:12" ht="30" customHeight="1" x14ac:dyDescent="0.3">
      <c r="A134" s="81"/>
      <c r="B134" s="197" t="s">
        <v>752</v>
      </c>
      <c r="C134" s="85"/>
      <c r="D134" s="85"/>
      <c r="E134" s="85"/>
      <c r="F134" s="85"/>
      <c r="G134" s="85">
        <v>40280</v>
      </c>
      <c r="H134" s="85"/>
      <c r="I134" s="162">
        <f t="shared" si="10"/>
        <v>40280</v>
      </c>
      <c r="J134" s="70"/>
      <c r="K134" s="39">
        <f>I134+J134</f>
        <v>40280</v>
      </c>
    </row>
    <row r="135" spans="1:12" ht="43.5" customHeight="1" x14ac:dyDescent="0.3">
      <c r="A135" s="81"/>
      <c r="B135" s="196" t="s">
        <v>786</v>
      </c>
      <c r="C135" s="85"/>
      <c r="D135" s="85"/>
      <c r="E135" s="85"/>
      <c r="F135" s="85"/>
      <c r="G135" s="85"/>
      <c r="H135" s="85">
        <v>450</v>
      </c>
      <c r="I135" s="162">
        <v>0</v>
      </c>
      <c r="J135" s="39">
        <f>H135</f>
        <v>450</v>
      </c>
      <c r="K135" s="39">
        <f>I135+J135</f>
        <v>450</v>
      </c>
    </row>
    <row r="136" spans="1:12" ht="30" customHeight="1" x14ac:dyDescent="0.3">
      <c r="A136" s="81" t="s">
        <v>668</v>
      </c>
      <c r="B136" s="196" t="s">
        <v>669</v>
      </c>
      <c r="C136" s="85"/>
      <c r="D136" s="85"/>
      <c r="E136" s="85"/>
      <c r="F136" s="85"/>
      <c r="G136" s="39">
        <v>60100</v>
      </c>
      <c r="H136" s="39"/>
      <c r="I136" s="162">
        <f t="shared" si="10"/>
        <v>60100</v>
      </c>
      <c r="J136" s="39"/>
      <c r="K136" s="39">
        <f t="shared" si="7"/>
        <v>60100</v>
      </c>
    </row>
    <row r="137" spans="1:12" ht="30" customHeight="1" x14ac:dyDescent="0.3">
      <c r="A137" s="81" t="s">
        <v>713</v>
      </c>
      <c r="B137" s="196" t="s">
        <v>712</v>
      </c>
      <c r="C137" s="85"/>
      <c r="D137" s="85"/>
      <c r="E137" s="85"/>
      <c r="F137" s="85"/>
      <c r="G137" s="39">
        <v>109439</v>
      </c>
      <c r="H137" s="39"/>
      <c r="I137" s="162">
        <f t="shared" si="10"/>
        <v>109439</v>
      </c>
      <c r="J137" s="39"/>
      <c r="K137" s="39">
        <f>I137+J137</f>
        <v>109439</v>
      </c>
    </row>
    <row r="138" spans="1:12" ht="22.5" customHeight="1" x14ac:dyDescent="0.3">
      <c r="A138" s="81" t="s">
        <v>451</v>
      </c>
      <c r="B138" s="57" t="s">
        <v>608</v>
      </c>
      <c r="C138" s="85"/>
      <c r="D138" s="85"/>
      <c r="E138" s="85"/>
      <c r="F138" s="85"/>
      <c r="G138" s="39">
        <v>34992</v>
      </c>
      <c r="H138" s="39"/>
      <c r="I138" s="189">
        <f t="shared" si="10"/>
        <v>34992</v>
      </c>
      <c r="J138" s="70"/>
      <c r="K138" s="39">
        <f t="shared" si="7"/>
        <v>34992</v>
      </c>
    </row>
    <row r="139" spans="1:12" ht="30" customHeight="1" x14ac:dyDescent="0.3">
      <c r="A139" s="81" t="s">
        <v>452</v>
      </c>
      <c r="B139" s="57" t="s">
        <v>612</v>
      </c>
      <c r="C139" s="85"/>
      <c r="D139" s="85"/>
      <c r="E139" s="85"/>
      <c r="F139" s="85"/>
      <c r="G139" s="85">
        <f>2000+3846</f>
        <v>5846</v>
      </c>
      <c r="H139" s="85"/>
      <c r="I139" s="162">
        <f t="shared" si="10"/>
        <v>5846</v>
      </c>
      <c r="J139" s="39"/>
      <c r="K139" s="39">
        <f t="shared" si="7"/>
        <v>5846</v>
      </c>
    </row>
    <row r="140" spans="1:12" ht="30" customHeight="1" x14ac:dyDescent="0.3">
      <c r="A140" s="81"/>
      <c r="B140" s="57" t="s">
        <v>757</v>
      </c>
      <c r="C140" s="85"/>
      <c r="D140" s="85"/>
      <c r="E140" s="85"/>
      <c r="F140" s="85"/>
      <c r="G140" s="85">
        <v>6301</v>
      </c>
      <c r="H140" s="85"/>
      <c r="I140" s="162">
        <f t="shared" si="10"/>
        <v>6301</v>
      </c>
      <c r="J140" s="39"/>
      <c r="K140" s="39">
        <f t="shared" si="7"/>
        <v>6301</v>
      </c>
    </row>
    <row r="141" spans="1:12" ht="34.5" customHeight="1" x14ac:dyDescent="0.3">
      <c r="A141" s="81"/>
      <c r="B141" s="221" t="s">
        <v>775</v>
      </c>
      <c r="C141" s="85"/>
      <c r="D141" s="85"/>
      <c r="E141" s="85"/>
      <c r="F141" s="85"/>
      <c r="G141" s="85">
        <v>3267</v>
      </c>
      <c r="H141" s="85"/>
      <c r="I141" s="162">
        <f t="shared" si="10"/>
        <v>3267</v>
      </c>
      <c r="J141" s="39"/>
      <c r="K141" s="39">
        <f t="shared" si="7"/>
        <v>3267</v>
      </c>
    </row>
    <row r="142" spans="1:12" ht="20.25" customHeight="1" x14ac:dyDescent="0.3">
      <c r="A142" s="81" t="s">
        <v>452</v>
      </c>
      <c r="B142" s="92" t="s">
        <v>714</v>
      </c>
      <c r="C142" s="85"/>
      <c r="D142" s="85"/>
      <c r="E142" s="85"/>
      <c r="F142" s="85"/>
      <c r="G142" s="78">
        <v>18531</v>
      </c>
      <c r="H142" s="78"/>
      <c r="I142" s="162">
        <f t="shared" si="10"/>
        <v>18531</v>
      </c>
      <c r="J142" s="70"/>
      <c r="K142" s="39">
        <f t="shared" si="7"/>
        <v>18531</v>
      </c>
    </row>
    <row r="143" spans="1:12" s="72" customFormat="1" ht="21.75" customHeight="1" x14ac:dyDescent="0.3">
      <c r="A143" s="81" t="s">
        <v>453</v>
      </c>
      <c r="B143" s="151" t="s">
        <v>454</v>
      </c>
      <c r="C143" s="85"/>
      <c r="D143" s="85"/>
      <c r="E143" s="85"/>
      <c r="F143" s="85"/>
      <c r="G143" s="85">
        <v>245193</v>
      </c>
      <c r="H143" s="85"/>
      <c r="I143" s="162">
        <f t="shared" si="10"/>
        <v>245193</v>
      </c>
      <c r="J143" s="70"/>
      <c r="K143" s="39">
        <f t="shared" si="7"/>
        <v>245193</v>
      </c>
    </row>
    <row r="144" spans="1:12" ht="69.75" customHeight="1" x14ac:dyDescent="0.3">
      <c r="A144" s="82" t="s">
        <v>455</v>
      </c>
      <c r="B144" s="83" t="s">
        <v>456</v>
      </c>
      <c r="C144" s="84"/>
      <c r="D144" s="84"/>
      <c r="E144" s="84"/>
      <c r="F144" s="84"/>
      <c r="G144" s="84">
        <f>SUM(G145:G160)</f>
        <v>130162</v>
      </c>
      <c r="H144" s="84">
        <f>SUM(H145:H160)</f>
        <v>184725</v>
      </c>
      <c r="I144" s="161">
        <f>G144</f>
        <v>130162</v>
      </c>
      <c r="J144" s="161">
        <f>H144</f>
        <v>184725</v>
      </c>
      <c r="K144" s="84">
        <f>I144+J144</f>
        <v>314887</v>
      </c>
      <c r="L144" s="86"/>
    </row>
    <row r="145" spans="1:11" ht="15" customHeight="1" x14ac:dyDescent="0.3">
      <c r="A145" s="81" t="s">
        <v>457</v>
      </c>
      <c r="B145" s="151" t="s">
        <v>458</v>
      </c>
      <c r="C145" s="84"/>
      <c r="D145" s="84"/>
      <c r="E145" s="85"/>
      <c r="F145" s="85"/>
      <c r="G145" s="85">
        <v>20000</v>
      </c>
      <c r="H145" s="85"/>
      <c r="I145" s="162">
        <f t="shared" si="10"/>
        <v>20000</v>
      </c>
      <c r="J145" s="70"/>
      <c r="K145" s="39">
        <f t="shared" si="7"/>
        <v>20000</v>
      </c>
    </row>
    <row r="146" spans="1:11" ht="18" customHeight="1" x14ac:dyDescent="0.3">
      <c r="A146" s="81" t="s">
        <v>459</v>
      </c>
      <c r="B146" s="100" t="s">
        <v>61</v>
      </c>
      <c r="C146" s="84"/>
      <c r="D146" s="84"/>
      <c r="E146" s="85"/>
      <c r="F146" s="85"/>
      <c r="G146" s="85">
        <v>9232</v>
      </c>
      <c r="H146" s="85"/>
      <c r="I146" s="162">
        <f t="shared" si="10"/>
        <v>9232</v>
      </c>
      <c r="J146" s="70"/>
      <c r="K146" s="39">
        <f t="shared" si="7"/>
        <v>9232</v>
      </c>
    </row>
    <row r="147" spans="1:11" ht="30" customHeight="1" x14ac:dyDescent="0.3">
      <c r="A147" s="81"/>
      <c r="B147" s="151" t="s">
        <v>218</v>
      </c>
      <c r="C147" s="84"/>
      <c r="D147" s="84"/>
      <c r="E147" s="85"/>
      <c r="F147" s="85"/>
      <c r="G147" s="85">
        <v>23000</v>
      </c>
      <c r="H147" s="85"/>
      <c r="I147" s="162">
        <f t="shared" si="10"/>
        <v>23000</v>
      </c>
      <c r="J147" s="70"/>
      <c r="K147" s="39">
        <f t="shared" si="7"/>
        <v>23000</v>
      </c>
    </row>
    <row r="148" spans="1:11" ht="32.25" customHeight="1" x14ac:dyDescent="0.3">
      <c r="A148" s="81"/>
      <c r="B148" s="151" t="s">
        <v>219</v>
      </c>
      <c r="C148" s="84"/>
      <c r="D148" s="84"/>
      <c r="E148" s="85"/>
      <c r="F148" s="85"/>
      <c r="G148" s="85"/>
      <c r="H148" s="85"/>
      <c r="I148" s="162">
        <f t="shared" si="10"/>
        <v>0</v>
      </c>
      <c r="J148" s="70"/>
      <c r="K148" s="39">
        <f t="shared" si="7"/>
        <v>0</v>
      </c>
    </row>
    <row r="149" spans="1:11" ht="40.5" customHeight="1" x14ac:dyDescent="0.3">
      <c r="A149" s="81"/>
      <c r="B149" s="100" t="s">
        <v>807</v>
      </c>
      <c r="C149" s="84"/>
      <c r="D149" s="84"/>
      <c r="E149" s="85"/>
      <c r="F149" s="85"/>
      <c r="G149" s="85">
        <v>6386</v>
      </c>
      <c r="H149" s="85"/>
      <c r="I149" s="162">
        <f t="shared" si="10"/>
        <v>6386</v>
      </c>
      <c r="J149" s="70"/>
      <c r="K149" s="39">
        <f t="shared" si="7"/>
        <v>6386</v>
      </c>
    </row>
    <row r="150" spans="1:11" ht="49.5" customHeight="1" x14ac:dyDescent="0.3">
      <c r="A150" s="81"/>
      <c r="B150" s="100" t="s">
        <v>808</v>
      </c>
      <c r="C150" s="84"/>
      <c r="D150" s="84"/>
      <c r="E150" s="85"/>
      <c r="F150" s="85"/>
      <c r="G150" s="85">
        <v>1000</v>
      </c>
      <c r="H150" s="85"/>
      <c r="I150" s="162">
        <f t="shared" si="10"/>
        <v>1000</v>
      </c>
      <c r="J150" s="70"/>
      <c r="K150" s="39">
        <f t="shared" si="7"/>
        <v>1000</v>
      </c>
    </row>
    <row r="151" spans="1:11" ht="38.25" customHeight="1" x14ac:dyDescent="0.3">
      <c r="A151" s="81"/>
      <c r="B151" s="58" t="s">
        <v>655</v>
      </c>
      <c r="C151" s="84"/>
      <c r="D151" s="84"/>
      <c r="E151" s="85"/>
      <c r="F151" s="85"/>
      <c r="G151" s="85">
        <v>8000</v>
      </c>
      <c r="H151" s="85"/>
      <c r="I151" s="162">
        <f t="shared" si="10"/>
        <v>8000</v>
      </c>
      <c r="J151" s="70"/>
      <c r="K151" s="39">
        <f t="shared" si="7"/>
        <v>8000</v>
      </c>
    </row>
    <row r="152" spans="1:11" ht="38.25" customHeight="1" x14ac:dyDescent="0.3">
      <c r="A152" s="81"/>
      <c r="B152" s="58" t="s">
        <v>809</v>
      </c>
      <c r="C152" s="84"/>
      <c r="D152" s="84"/>
      <c r="E152" s="85"/>
      <c r="F152" s="85"/>
      <c r="G152" s="85">
        <v>3500</v>
      </c>
      <c r="H152" s="85"/>
      <c r="I152" s="162">
        <f t="shared" si="10"/>
        <v>3500</v>
      </c>
      <c r="J152" s="39"/>
      <c r="K152" s="39">
        <f t="shared" si="7"/>
        <v>3500</v>
      </c>
    </row>
    <row r="153" spans="1:11" ht="38.25" customHeight="1" x14ac:dyDescent="0.3">
      <c r="A153" s="81"/>
      <c r="B153" s="58" t="s">
        <v>749</v>
      </c>
      <c r="C153" s="84"/>
      <c r="D153" s="84"/>
      <c r="E153" s="85"/>
      <c r="F153" s="85"/>
      <c r="G153" s="85">
        <v>36004</v>
      </c>
      <c r="H153" s="85"/>
      <c r="I153" s="162">
        <f t="shared" si="10"/>
        <v>36004</v>
      </c>
      <c r="J153" s="39"/>
      <c r="K153" s="39">
        <f t="shared" si="7"/>
        <v>36004</v>
      </c>
    </row>
    <row r="154" spans="1:11" ht="38.25" customHeight="1" x14ac:dyDescent="0.3">
      <c r="A154" s="81"/>
      <c r="B154" s="58" t="s">
        <v>742</v>
      </c>
      <c r="C154" s="84"/>
      <c r="D154" s="84"/>
      <c r="E154" s="85"/>
      <c r="F154" s="85"/>
      <c r="G154" s="85">
        <v>6492</v>
      </c>
      <c r="H154" s="85"/>
      <c r="I154" s="162">
        <f t="shared" si="10"/>
        <v>6492</v>
      </c>
      <c r="J154" s="39"/>
      <c r="K154" s="39">
        <f t="shared" si="7"/>
        <v>6492</v>
      </c>
    </row>
    <row r="155" spans="1:11" ht="36" customHeight="1" x14ac:dyDescent="0.3">
      <c r="A155" s="81"/>
      <c r="B155" s="58" t="s">
        <v>653</v>
      </c>
      <c r="C155" s="84"/>
      <c r="D155" s="84"/>
      <c r="E155" s="85"/>
      <c r="F155" s="85"/>
      <c r="G155" s="85">
        <v>7079</v>
      </c>
      <c r="H155" s="85"/>
      <c r="I155" s="162">
        <f t="shared" si="10"/>
        <v>7079</v>
      </c>
      <c r="J155" s="70"/>
      <c r="K155" s="39">
        <f t="shared" si="7"/>
        <v>7079</v>
      </c>
    </row>
    <row r="156" spans="1:11" ht="43.2" customHeight="1" x14ac:dyDescent="0.3">
      <c r="A156" s="81" t="s">
        <v>774</v>
      </c>
      <c r="B156" s="100" t="s">
        <v>773</v>
      </c>
      <c r="C156" s="84"/>
      <c r="D156" s="84"/>
      <c r="E156" s="85"/>
      <c r="F156" s="85"/>
      <c r="G156" s="85">
        <v>5631</v>
      </c>
      <c r="H156" s="85"/>
      <c r="I156" s="162">
        <f t="shared" si="10"/>
        <v>5631</v>
      </c>
      <c r="J156" s="39"/>
      <c r="K156" s="39">
        <f t="shared" si="7"/>
        <v>5631</v>
      </c>
    </row>
    <row r="157" spans="1:11" ht="67.5" customHeight="1" x14ac:dyDescent="0.3">
      <c r="A157" s="81"/>
      <c r="B157" s="100" t="s">
        <v>782</v>
      </c>
      <c r="C157" s="84"/>
      <c r="D157" s="84"/>
      <c r="E157" s="85"/>
      <c r="F157" s="85"/>
      <c r="G157" s="85"/>
      <c r="H157" s="85">
        <v>94550</v>
      </c>
      <c r="I157" s="162"/>
      <c r="J157" s="39">
        <f>H157</f>
        <v>94550</v>
      </c>
      <c r="K157" s="39">
        <f t="shared" si="7"/>
        <v>94550</v>
      </c>
    </row>
    <row r="158" spans="1:11" ht="62.25" customHeight="1" x14ac:dyDescent="0.3">
      <c r="A158" s="81" t="s">
        <v>781</v>
      </c>
      <c r="B158" s="150" t="s">
        <v>785</v>
      </c>
      <c r="C158" s="84"/>
      <c r="D158" s="84"/>
      <c r="E158" s="85"/>
      <c r="F158" s="85"/>
      <c r="G158" s="85"/>
      <c r="H158" s="85">
        <v>90175</v>
      </c>
      <c r="I158" s="162">
        <f t="shared" si="10"/>
        <v>0</v>
      </c>
      <c r="J158" s="39">
        <f>H158</f>
        <v>90175</v>
      </c>
      <c r="K158" s="39">
        <f t="shared" si="7"/>
        <v>90175</v>
      </c>
    </row>
    <row r="159" spans="1:11" ht="51" customHeight="1" x14ac:dyDescent="0.3">
      <c r="A159" s="81" t="s">
        <v>764</v>
      </c>
      <c r="B159" s="80" t="s">
        <v>763</v>
      </c>
      <c r="C159" s="84"/>
      <c r="D159" s="84"/>
      <c r="E159" s="85"/>
      <c r="F159" s="85"/>
      <c r="G159" s="85">
        <v>1078</v>
      </c>
      <c r="H159" s="85"/>
      <c r="I159" s="162">
        <f t="shared" si="10"/>
        <v>1078</v>
      </c>
      <c r="J159" s="39"/>
      <c r="K159" s="39">
        <f t="shared" si="7"/>
        <v>1078</v>
      </c>
    </row>
    <row r="160" spans="1:11" ht="33.75" customHeight="1" x14ac:dyDescent="0.3">
      <c r="A160" s="81" t="s">
        <v>460</v>
      </c>
      <c r="B160" s="151" t="s">
        <v>461</v>
      </c>
      <c r="C160" s="84"/>
      <c r="D160" s="84"/>
      <c r="E160" s="85"/>
      <c r="F160" s="85"/>
      <c r="G160" s="85">
        <v>2760</v>
      </c>
      <c r="H160" s="85"/>
      <c r="I160" s="162">
        <f t="shared" si="10"/>
        <v>2760</v>
      </c>
      <c r="J160" s="166"/>
      <c r="K160" s="39">
        <f t="shared" si="7"/>
        <v>2760</v>
      </c>
    </row>
    <row r="161" spans="1:12" s="72" customFormat="1" ht="33.75" customHeight="1" x14ac:dyDescent="0.3">
      <c r="A161" s="82" t="s">
        <v>462</v>
      </c>
      <c r="B161" s="83" t="s">
        <v>463</v>
      </c>
      <c r="C161" s="84"/>
      <c r="D161" s="84"/>
      <c r="E161" s="84"/>
      <c r="F161" s="84"/>
      <c r="G161" s="84">
        <v>6066083</v>
      </c>
      <c r="H161" s="84"/>
      <c r="I161" s="161">
        <f t="shared" si="10"/>
        <v>6066083</v>
      </c>
      <c r="J161" s="69"/>
      <c r="K161" s="175">
        <f t="shared" si="7"/>
        <v>6066083</v>
      </c>
    </row>
    <row r="162" spans="1:12" s="72" customFormat="1" ht="35.25" customHeight="1" x14ac:dyDescent="0.3">
      <c r="A162" s="82" t="s">
        <v>648</v>
      </c>
      <c r="B162" s="152" t="s">
        <v>649</v>
      </c>
      <c r="C162" s="84"/>
      <c r="D162" s="84"/>
      <c r="E162" s="84"/>
      <c r="F162" s="84"/>
      <c r="G162" s="84">
        <v>366546</v>
      </c>
      <c r="H162" s="84"/>
      <c r="I162" s="161">
        <f t="shared" si="10"/>
        <v>366546</v>
      </c>
      <c r="J162" s="167"/>
      <c r="K162" s="175">
        <f t="shared" si="7"/>
        <v>366546</v>
      </c>
    </row>
    <row r="163" spans="1:12" ht="30.75" customHeight="1" x14ac:dyDescent="0.3">
      <c r="A163" s="82" t="s">
        <v>620</v>
      </c>
      <c r="B163" s="83" t="s">
        <v>619</v>
      </c>
      <c r="C163" s="84"/>
      <c r="D163" s="84"/>
      <c r="E163" s="84">
        <f>E164+E165</f>
        <v>116000</v>
      </c>
      <c r="F163" s="84">
        <f>F164+F165</f>
        <v>0</v>
      </c>
      <c r="G163" s="84"/>
      <c r="H163" s="84">
        <f>H165</f>
        <v>0</v>
      </c>
      <c r="I163" s="161">
        <f>C163+E163+G163</f>
        <v>116000</v>
      </c>
      <c r="J163" s="112">
        <f>J165</f>
        <v>0</v>
      </c>
      <c r="K163" s="84">
        <f>I163+J163</f>
        <v>116000</v>
      </c>
    </row>
    <row r="164" spans="1:12" ht="15" customHeight="1" x14ac:dyDescent="0.3">
      <c r="A164" s="81" t="s">
        <v>621</v>
      </c>
      <c r="B164" s="80" t="s">
        <v>622</v>
      </c>
      <c r="C164" s="85"/>
      <c r="D164" s="85"/>
      <c r="E164" s="85">
        <v>115000</v>
      </c>
      <c r="F164" s="85"/>
      <c r="G164" s="85"/>
      <c r="H164" s="85"/>
      <c r="I164" s="162">
        <f>C164+E164+G164</f>
        <v>115000</v>
      </c>
      <c r="J164" s="102"/>
      <c r="K164" s="39">
        <f t="shared" si="7"/>
        <v>115000</v>
      </c>
    </row>
    <row r="165" spans="1:12" ht="15" customHeight="1" x14ac:dyDescent="0.3">
      <c r="A165" s="81" t="s">
        <v>770</v>
      </c>
      <c r="B165" s="80" t="s">
        <v>771</v>
      </c>
      <c r="C165" s="85"/>
      <c r="D165" s="85"/>
      <c r="E165" s="85">
        <v>1000</v>
      </c>
      <c r="F165" s="85"/>
      <c r="G165" s="85"/>
      <c r="H165" s="85"/>
      <c r="I165" s="162">
        <v>1000</v>
      </c>
      <c r="J165" s="78"/>
      <c r="K165" s="39">
        <f>I165+J165</f>
        <v>1000</v>
      </c>
    </row>
    <row r="166" spans="1:12" ht="30" customHeight="1" x14ac:dyDescent="0.3">
      <c r="A166" s="130" t="s">
        <v>716</v>
      </c>
      <c r="B166" s="82" t="s">
        <v>465</v>
      </c>
      <c r="C166" s="84"/>
      <c r="D166" s="84">
        <f>E167+E169+E456</f>
        <v>5325967</v>
      </c>
      <c r="E166" s="84">
        <f>E169+E456+E167</f>
        <v>5325967</v>
      </c>
      <c r="F166" s="84">
        <f>F169+F456+F167</f>
        <v>18750</v>
      </c>
      <c r="G166" s="84">
        <f>G169+G456+G167</f>
        <v>0</v>
      </c>
      <c r="H166" s="84">
        <f>H169+H456+H167</f>
        <v>7792</v>
      </c>
      <c r="I166" s="161">
        <f>E166</f>
        <v>5325967</v>
      </c>
      <c r="J166" s="161">
        <f>F166+H166</f>
        <v>26542</v>
      </c>
      <c r="K166" s="175">
        <f>I166+J166</f>
        <v>5352509</v>
      </c>
      <c r="L166" s="86"/>
    </row>
    <row r="167" spans="1:12" ht="30" customHeight="1" x14ac:dyDescent="0.3">
      <c r="A167" s="130" t="s">
        <v>717</v>
      </c>
      <c r="B167" s="82" t="s">
        <v>718</v>
      </c>
      <c r="C167" s="84"/>
      <c r="D167" s="84"/>
      <c r="E167" s="84">
        <f>E168</f>
        <v>169672</v>
      </c>
      <c r="F167" s="84">
        <f>F168</f>
        <v>0</v>
      </c>
      <c r="G167" s="85"/>
      <c r="H167" s="85"/>
      <c r="I167" s="161">
        <f>I168</f>
        <v>169672</v>
      </c>
      <c r="J167" s="102"/>
      <c r="K167" s="175">
        <f t="shared" si="7"/>
        <v>169672</v>
      </c>
      <c r="L167" s="86"/>
    </row>
    <row r="168" spans="1:12" ht="81" customHeight="1" x14ac:dyDescent="0.3">
      <c r="A168" s="130" t="s">
        <v>719</v>
      </c>
      <c r="B168" s="83" t="s">
        <v>720</v>
      </c>
      <c r="C168" s="84"/>
      <c r="D168" s="84"/>
      <c r="E168" s="84">
        <v>169672</v>
      </c>
      <c r="F168" s="84"/>
      <c r="G168" s="85"/>
      <c r="H168" s="85"/>
      <c r="I168" s="161">
        <f>E168</f>
        <v>169672</v>
      </c>
      <c r="J168" s="102"/>
      <c r="K168" s="175">
        <f t="shared" si="7"/>
        <v>169672</v>
      </c>
    </row>
    <row r="169" spans="1:12" s="72" customFormat="1" ht="31.5" customHeight="1" x14ac:dyDescent="0.3">
      <c r="A169" s="82" t="s">
        <v>466</v>
      </c>
      <c r="B169" s="83" t="s">
        <v>467</v>
      </c>
      <c r="C169" s="84"/>
      <c r="D169" s="84"/>
      <c r="E169" s="84">
        <f>E170+E191+E194+E270</f>
        <v>4974482</v>
      </c>
      <c r="F169" s="84">
        <f>F170+F191+F194+F270</f>
        <v>18750</v>
      </c>
      <c r="G169" s="85"/>
      <c r="H169" s="84">
        <f>H170+H191+H194+H270</f>
        <v>0</v>
      </c>
      <c r="I169" s="161">
        <f t="shared" ref="I169:J196" si="12">E169</f>
        <v>4974482</v>
      </c>
      <c r="J169" s="161">
        <f t="shared" si="12"/>
        <v>18750</v>
      </c>
      <c r="K169" s="84">
        <f t="shared" ref="K169:K232" si="13">I169+J169</f>
        <v>4993232</v>
      </c>
    </row>
    <row r="170" spans="1:12" s="72" customFormat="1" ht="15" customHeight="1" x14ac:dyDescent="0.3">
      <c r="A170" s="82" t="s">
        <v>468</v>
      </c>
      <c r="B170" s="82" t="s">
        <v>469</v>
      </c>
      <c r="C170" s="84"/>
      <c r="D170" s="84"/>
      <c r="E170" s="84">
        <f>E171+E176</f>
        <v>134214</v>
      </c>
      <c r="F170" s="84"/>
      <c r="G170" s="84"/>
      <c r="H170" s="84"/>
      <c r="I170" s="161">
        <f t="shared" si="12"/>
        <v>134214</v>
      </c>
      <c r="J170" s="167"/>
      <c r="K170" s="175">
        <f t="shared" si="13"/>
        <v>134214</v>
      </c>
    </row>
    <row r="171" spans="1:12" ht="15" customHeight="1" x14ac:dyDescent="0.3">
      <c r="A171" s="82" t="s">
        <v>470</v>
      </c>
      <c r="B171" s="82" t="s">
        <v>471</v>
      </c>
      <c r="C171" s="84"/>
      <c r="D171" s="84"/>
      <c r="E171" s="84">
        <f>SUM(E172:E175)</f>
        <v>23104</v>
      </c>
      <c r="F171" s="84"/>
      <c r="G171" s="84"/>
      <c r="H171" s="84"/>
      <c r="I171" s="161">
        <f>E171</f>
        <v>23104</v>
      </c>
      <c r="J171" s="69"/>
      <c r="K171" s="175">
        <f t="shared" si="13"/>
        <v>23104</v>
      </c>
    </row>
    <row r="172" spans="1:12" ht="15" customHeight="1" x14ac:dyDescent="0.3">
      <c r="A172" s="81"/>
      <c r="B172" s="102" t="s">
        <v>472</v>
      </c>
      <c r="C172" s="85"/>
      <c r="D172" s="85"/>
      <c r="E172" s="85">
        <v>8020</v>
      </c>
      <c r="F172" s="85"/>
      <c r="G172" s="85"/>
      <c r="H172" s="85"/>
      <c r="I172" s="162">
        <f t="shared" si="12"/>
        <v>8020</v>
      </c>
      <c r="J172" s="70"/>
      <c r="K172" s="39">
        <f t="shared" si="13"/>
        <v>8020</v>
      </c>
    </row>
    <row r="173" spans="1:12" ht="15" customHeight="1" x14ac:dyDescent="0.3">
      <c r="A173" s="81"/>
      <c r="B173" s="102" t="s">
        <v>473</v>
      </c>
      <c r="C173" s="85"/>
      <c r="D173" s="85"/>
      <c r="E173" s="85">
        <v>9234</v>
      </c>
      <c r="F173" s="85"/>
      <c r="G173" s="85"/>
      <c r="H173" s="85"/>
      <c r="I173" s="162">
        <f t="shared" si="12"/>
        <v>9234</v>
      </c>
      <c r="J173" s="70"/>
      <c r="K173" s="39">
        <f t="shared" si="13"/>
        <v>9234</v>
      </c>
    </row>
    <row r="174" spans="1:12" ht="15" customHeight="1" x14ac:dyDescent="0.3">
      <c r="A174" s="81"/>
      <c r="B174" s="102" t="s">
        <v>474</v>
      </c>
      <c r="C174" s="85"/>
      <c r="D174" s="85"/>
      <c r="E174" s="85">
        <v>1750</v>
      </c>
      <c r="F174" s="85"/>
      <c r="G174" s="85"/>
      <c r="H174" s="85"/>
      <c r="I174" s="162">
        <f t="shared" si="12"/>
        <v>1750</v>
      </c>
      <c r="J174" s="70"/>
      <c r="K174" s="39">
        <f t="shared" si="13"/>
        <v>1750</v>
      </c>
    </row>
    <row r="175" spans="1:12" ht="15" customHeight="1" x14ac:dyDescent="0.3">
      <c r="A175" s="81"/>
      <c r="B175" s="102" t="s">
        <v>492</v>
      </c>
      <c r="C175" s="85"/>
      <c r="D175" s="85"/>
      <c r="E175" s="85">
        <v>4100</v>
      </c>
      <c r="F175" s="85"/>
      <c r="G175" s="85"/>
      <c r="H175" s="85"/>
      <c r="I175" s="162">
        <f t="shared" si="12"/>
        <v>4100</v>
      </c>
      <c r="J175" s="70"/>
      <c r="K175" s="39">
        <f t="shared" si="13"/>
        <v>4100</v>
      </c>
    </row>
    <row r="176" spans="1:12" ht="15" customHeight="1" x14ac:dyDescent="0.3">
      <c r="A176" s="82" t="s">
        <v>475</v>
      </c>
      <c r="B176" s="82" t="s">
        <v>476</v>
      </c>
      <c r="C176" s="84"/>
      <c r="D176" s="84"/>
      <c r="E176" s="84">
        <f>SUM(E177:E190)</f>
        <v>111110</v>
      </c>
      <c r="F176" s="84"/>
      <c r="G176" s="84"/>
      <c r="H176" s="84"/>
      <c r="I176" s="161">
        <f t="shared" si="12"/>
        <v>111110</v>
      </c>
      <c r="J176" s="69"/>
      <c r="K176" s="175">
        <f t="shared" si="13"/>
        <v>111110</v>
      </c>
    </row>
    <row r="177" spans="1:11" ht="15" customHeight="1" x14ac:dyDescent="0.3">
      <c r="A177" s="81"/>
      <c r="B177" s="102" t="s">
        <v>43</v>
      </c>
      <c r="C177" s="85"/>
      <c r="D177" s="85"/>
      <c r="E177" s="85">
        <v>39000</v>
      </c>
      <c r="F177" s="85"/>
      <c r="G177" s="85"/>
      <c r="H177" s="85"/>
      <c r="I177" s="162">
        <f t="shared" si="12"/>
        <v>39000</v>
      </c>
      <c r="J177" s="70"/>
      <c r="K177" s="39">
        <f t="shared" si="13"/>
        <v>39000</v>
      </c>
    </row>
    <row r="178" spans="1:11" ht="15" customHeight="1" x14ac:dyDescent="0.3">
      <c r="A178" s="81"/>
      <c r="B178" s="102" t="s">
        <v>44</v>
      </c>
      <c r="C178" s="85"/>
      <c r="D178" s="85"/>
      <c r="E178" s="85">
        <v>22000</v>
      </c>
      <c r="F178" s="85"/>
      <c r="G178" s="85"/>
      <c r="H178" s="85"/>
      <c r="I178" s="162">
        <f t="shared" si="12"/>
        <v>22000</v>
      </c>
      <c r="J178" s="70"/>
      <c r="K178" s="39">
        <f t="shared" si="13"/>
        <v>22000</v>
      </c>
    </row>
    <row r="179" spans="1:11" ht="15" customHeight="1" x14ac:dyDescent="0.3">
      <c r="A179" s="81"/>
      <c r="B179" s="102" t="s">
        <v>616</v>
      </c>
      <c r="C179" s="85"/>
      <c r="D179" s="85"/>
      <c r="E179" s="85">
        <v>12551</v>
      </c>
      <c r="F179" s="85"/>
      <c r="G179" s="85"/>
      <c r="H179" s="85"/>
      <c r="I179" s="162">
        <f t="shared" si="12"/>
        <v>12551</v>
      </c>
      <c r="J179" s="70"/>
      <c r="K179" s="39">
        <f t="shared" si="13"/>
        <v>12551</v>
      </c>
    </row>
    <row r="180" spans="1:11" ht="15" customHeight="1" x14ac:dyDescent="0.3">
      <c r="A180" s="81"/>
      <c r="B180" s="102" t="s">
        <v>45</v>
      </c>
      <c r="C180" s="85"/>
      <c r="D180" s="85"/>
      <c r="E180" s="85">
        <v>2500</v>
      </c>
      <c r="F180" s="85"/>
      <c r="G180" s="85"/>
      <c r="H180" s="85"/>
      <c r="I180" s="162">
        <f t="shared" si="12"/>
        <v>2500</v>
      </c>
      <c r="J180" s="70"/>
      <c r="K180" s="39">
        <f t="shared" si="13"/>
        <v>2500</v>
      </c>
    </row>
    <row r="181" spans="1:11" ht="15" customHeight="1" x14ac:dyDescent="0.3">
      <c r="A181" s="81"/>
      <c r="B181" s="102" t="s">
        <v>479</v>
      </c>
      <c r="C181" s="85"/>
      <c r="D181" s="85"/>
      <c r="E181" s="85">
        <v>2500</v>
      </c>
      <c r="F181" s="85"/>
      <c r="G181" s="85"/>
      <c r="H181" s="85"/>
      <c r="I181" s="162">
        <f t="shared" si="12"/>
        <v>2500</v>
      </c>
      <c r="J181" s="70"/>
      <c r="K181" s="39">
        <f t="shared" si="13"/>
        <v>2500</v>
      </c>
    </row>
    <row r="182" spans="1:11" ht="15" customHeight="1" x14ac:dyDescent="0.3">
      <c r="A182" s="81"/>
      <c r="B182" s="102" t="s">
        <v>635</v>
      </c>
      <c r="C182" s="85"/>
      <c r="D182" s="85"/>
      <c r="E182" s="85">
        <v>6100</v>
      </c>
      <c r="F182" s="85"/>
      <c r="G182" s="85"/>
      <c r="H182" s="85"/>
      <c r="I182" s="162">
        <f t="shared" si="12"/>
        <v>6100</v>
      </c>
      <c r="J182" s="70"/>
      <c r="K182" s="39">
        <f t="shared" si="13"/>
        <v>6100</v>
      </c>
    </row>
    <row r="183" spans="1:11" ht="15" customHeight="1" x14ac:dyDescent="0.3">
      <c r="A183" s="81"/>
      <c r="B183" s="102" t="s">
        <v>636</v>
      </c>
      <c r="C183" s="85"/>
      <c r="D183" s="85"/>
      <c r="E183" s="85">
        <v>2819</v>
      </c>
      <c r="F183" s="85"/>
      <c r="G183" s="85"/>
      <c r="H183" s="85"/>
      <c r="I183" s="162">
        <f t="shared" si="12"/>
        <v>2819</v>
      </c>
      <c r="J183" s="70"/>
      <c r="K183" s="39">
        <f t="shared" si="13"/>
        <v>2819</v>
      </c>
    </row>
    <row r="184" spans="1:11" ht="15" customHeight="1" x14ac:dyDescent="0.3">
      <c r="A184" s="81"/>
      <c r="B184" s="102" t="s">
        <v>478</v>
      </c>
      <c r="C184" s="85"/>
      <c r="D184" s="85"/>
      <c r="E184" s="85">
        <v>7000</v>
      </c>
      <c r="F184" s="85"/>
      <c r="G184" s="85"/>
      <c r="H184" s="85"/>
      <c r="I184" s="162">
        <f t="shared" si="12"/>
        <v>7000</v>
      </c>
      <c r="J184" s="70"/>
      <c r="K184" s="39">
        <f t="shared" si="13"/>
        <v>7000</v>
      </c>
    </row>
    <row r="185" spans="1:11" ht="15" customHeight="1" x14ac:dyDescent="0.3">
      <c r="A185" s="81"/>
      <c r="B185" s="102" t="s">
        <v>477</v>
      </c>
      <c r="C185" s="85"/>
      <c r="D185" s="85"/>
      <c r="E185" s="85">
        <v>3850</v>
      </c>
      <c r="F185" s="85"/>
      <c r="G185" s="85"/>
      <c r="H185" s="85"/>
      <c r="I185" s="162">
        <f t="shared" si="12"/>
        <v>3850</v>
      </c>
      <c r="J185" s="70"/>
      <c r="K185" s="39">
        <f t="shared" si="13"/>
        <v>3850</v>
      </c>
    </row>
    <row r="186" spans="1:11" ht="15" customHeight="1" x14ac:dyDescent="0.3">
      <c r="A186" s="81"/>
      <c r="B186" s="102" t="s">
        <v>631</v>
      </c>
      <c r="C186" s="85"/>
      <c r="D186" s="85"/>
      <c r="E186" s="85">
        <v>4100</v>
      </c>
      <c r="F186" s="85"/>
      <c r="G186" s="85"/>
      <c r="H186" s="85"/>
      <c r="I186" s="162">
        <f t="shared" si="12"/>
        <v>4100</v>
      </c>
      <c r="J186" s="70"/>
      <c r="K186" s="39">
        <f t="shared" si="13"/>
        <v>4100</v>
      </c>
    </row>
    <row r="187" spans="1:11" ht="15" customHeight="1" x14ac:dyDescent="0.3">
      <c r="A187" s="81"/>
      <c r="B187" s="102" t="s">
        <v>656</v>
      </c>
      <c r="C187" s="85"/>
      <c r="D187" s="85"/>
      <c r="E187" s="85">
        <v>1000</v>
      </c>
      <c r="F187" s="85"/>
      <c r="G187" s="85"/>
      <c r="H187" s="85"/>
      <c r="I187" s="162">
        <f t="shared" si="12"/>
        <v>1000</v>
      </c>
      <c r="J187" s="168"/>
      <c r="K187" s="39">
        <f t="shared" si="13"/>
        <v>1000</v>
      </c>
    </row>
    <row r="188" spans="1:11" ht="15" customHeight="1" x14ac:dyDescent="0.3">
      <c r="A188" s="81"/>
      <c r="B188" s="102" t="s">
        <v>657</v>
      </c>
      <c r="C188" s="85"/>
      <c r="D188" s="85"/>
      <c r="E188" s="85">
        <v>4880</v>
      </c>
      <c r="F188" s="85"/>
      <c r="G188" s="85"/>
      <c r="H188" s="85"/>
      <c r="I188" s="162">
        <f t="shared" si="12"/>
        <v>4880</v>
      </c>
      <c r="J188" s="168"/>
      <c r="K188" s="39">
        <f t="shared" si="13"/>
        <v>4880</v>
      </c>
    </row>
    <row r="189" spans="1:11" ht="15" customHeight="1" x14ac:dyDescent="0.3">
      <c r="A189" s="81"/>
      <c r="B189" s="102" t="s">
        <v>663</v>
      </c>
      <c r="C189" s="85"/>
      <c r="D189" s="85"/>
      <c r="E189" s="85">
        <v>1660</v>
      </c>
      <c r="F189" s="85"/>
      <c r="G189" s="85"/>
      <c r="H189" s="85"/>
      <c r="I189" s="162">
        <f t="shared" si="12"/>
        <v>1660</v>
      </c>
      <c r="J189" s="168"/>
      <c r="K189" s="39">
        <f t="shared" si="13"/>
        <v>1660</v>
      </c>
    </row>
    <row r="190" spans="1:11" s="72" customFormat="1" ht="15" customHeight="1" x14ac:dyDescent="0.3">
      <c r="A190" s="81"/>
      <c r="B190" s="102" t="s">
        <v>632</v>
      </c>
      <c r="C190" s="85"/>
      <c r="D190" s="85"/>
      <c r="E190" s="85">
        <v>1150</v>
      </c>
      <c r="F190" s="85"/>
      <c r="G190" s="85"/>
      <c r="H190" s="85"/>
      <c r="I190" s="162">
        <f t="shared" si="12"/>
        <v>1150</v>
      </c>
      <c r="J190" s="70"/>
      <c r="K190" s="175">
        <f t="shared" si="13"/>
        <v>1150</v>
      </c>
    </row>
    <row r="191" spans="1:11" s="72" customFormat="1" ht="30" customHeight="1" x14ac:dyDescent="0.3">
      <c r="A191" s="82" t="s">
        <v>480</v>
      </c>
      <c r="B191" s="83" t="s">
        <v>481</v>
      </c>
      <c r="C191" s="84"/>
      <c r="D191" s="84"/>
      <c r="E191" s="84">
        <f>E192</f>
        <v>1340</v>
      </c>
      <c r="F191" s="84"/>
      <c r="G191" s="84"/>
      <c r="H191" s="84"/>
      <c r="I191" s="161">
        <f t="shared" si="12"/>
        <v>1340</v>
      </c>
      <c r="J191" s="69"/>
      <c r="K191" s="175">
        <f t="shared" si="13"/>
        <v>1340</v>
      </c>
    </row>
    <row r="192" spans="1:11" ht="31.5" customHeight="1" x14ac:dyDescent="0.3">
      <c r="A192" s="82" t="s">
        <v>482</v>
      </c>
      <c r="B192" s="83" t="s">
        <v>483</v>
      </c>
      <c r="C192" s="84"/>
      <c r="D192" s="84"/>
      <c r="E192" s="84">
        <f>SUM(E193:E193)</f>
        <v>1340</v>
      </c>
      <c r="F192" s="84"/>
      <c r="G192" s="84"/>
      <c r="H192" s="84"/>
      <c r="I192" s="161">
        <f t="shared" si="12"/>
        <v>1340</v>
      </c>
      <c r="J192" s="69"/>
      <c r="K192" s="175">
        <f t="shared" si="13"/>
        <v>1340</v>
      </c>
    </row>
    <row r="193" spans="1:11" s="72" customFormat="1" ht="15" customHeight="1" x14ac:dyDescent="0.3">
      <c r="A193" s="81"/>
      <c r="B193" s="100" t="s">
        <v>15</v>
      </c>
      <c r="C193" s="85"/>
      <c r="D193" s="85"/>
      <c r="E193" s="85">
        <v>1340</v>
      </c>
      <c r="F193" s="85"/>
      <c r="G193" s="85"/>
      <c r="H193" s="85"/>
      <c r="I193" s="162">
        <f t="shared" si="12"/>
        <v>1340</v>
      </c>
      <c r="J193" s="70"/>
      <c r="K193" s="39">
        <f t="shared" si="13"/>
        <v>1340</v>
      </c>
    </row>
    <row r="194" spans="1:11" s="72" customFormat="1" ht="25.5" customHeight="1" x14ac:dyDescent="0.3">
      <c r="A194" s="82" t="s">
        <v>484</v>
      </c>
      <c r="B194" s="82" t="s">
        <v>485</v>
      </c>
      <c r="C194" s="84"/>
      <c r="D194" s="84"/>
      <c r="E194" s="84">
        <f>E195+E242+E248+E249</f>
        <v>585710</v>
      </c>
      <c r="F194" s="84">
        <f>F195+F242+F248+F249</f>
        <v>117</v>
      </c>
      <c r="G194" s="84"/>
      <c r="H194" s="84"/>
      <c r="I194" s="161">
        <f t="shared" si="12"/>
        <v>585710</v>
      </c>
      <c r="J194" s="161">
        <f t="shared" si="12"/>
        <v>117</v>
      </c>
      <c r="K194" s="84">
        <f t="shared" si="13"/>
        <v>585827</v>
      </c>
    </row>
    <row r="195" spans="1:11" ht="28.5" customHeight="1" x14ac:dyDescent="0.3">
      <c r="A195" s="82" t="s">
        <v>486</v>
      </c>
      <c r="B195" s="83" t="s">
        <v>618</v>
      </c>
      <c r="C195" s="84"/>
      <c r="D195" s="84"/>
      <c r="E195" s="84">
        <f>SUM(E196:E241)</f>
        <v>173167</v>
      </c>
      <c r="F195" s="84">
        <f>SUM(F196:F241)</f>
        <v>117</v>
      </c>
      <c r="G195" s="84"/>
      <c r="H195" s="84"/>
      <c r="I195" s="161">
        <f t="shared" si="12"/>
        <v>173167</v>
      </c>
      <c r="J195" s="161">
        <f t="shared" si="12"/>
        <v>117</v>
      </c>
      <c r="K195" s="175">
        <f t="shared" si="13"/>
        <v>173284</v>
      </c>
    </row>
    <row r="196" spans="1:11" ht="15" customHeight="1" x14ac:dyDescent="0.3">
      <c r="A196" s="81"/>
      <c r="B196" s="81" t="s">
        <v>487</v>
      </c>
      <c r="C196" s="85"/>
      <c r="D196" s="85"/>
      <c r="E196" s="85">
        <f>91840+6124</f>
        <v>97964</v>
      </c>
      <c r="F196" s="85"/>
      <c r="G196" s="85"/>
      <c r="H196" s="85"/>
      <c r="I196" s="162">
        <f t="shared" si="12"/>
        <v>97964</v>
      </c>
      <c r="J196" s="70"/>
      <c r="K196" s="39">
        <f t="shared" si="13"/>
        <v>97964</v>
      </c>
    </row>
    <row r="197" spans="1:11" ht="15" customHeight="1" x14ac:dyDescent="0.3">
      <c r="A197" s="81"/>
      <c r="B197" s="81" t="s">
        <v>724</v>
      </c>
      <c r="C197" s="85"/>
      <c r="D197" s="85"/>
      <c r="E197" s="85">
        <v>3179</v>
      </c>
      <c r="F197" s="85"/>
      <c r="G197" s="85"/>
      <c r="H197" s="85"/>
      <c r="I197" s="162"/>
      <c r="J197" s="70"/>
      <c r="K197" s="39">
        <f t="shared" si="13"/>
        <v>0</v>
      </c>
    </row>
    <row r="198" spans="1:11" ht="15" customHeight="1" x14ac:dyDescent="0.3">
      <c r="A198" s="81"/>
      <c r="B198" s="102" t="s">
        <v>673</v>
      </c>
      <c r="C198" s="85"/>
      <c r="D198" s="85"/>
      <c r="E198" s="85">
        <v>305</v>
      </c>
      <c r="F198" s="85"/>
      <c r="G198" s="85"/>
      <c r="H198" s="85"/>
      <c r="I198" s="162">
        <f t="shared" ref="I198:I229" si="14">E198</f>
        <v>305</v>
      </c>
      <c r="J198" s="70"/>
      <c r="K198" s="39">
        <f t="shared" si="13"/>
        <v>305</v>
      </c>
    </row>
    <row r="199" spans="1:11" ht="15" customHeight="1" x14ac:dyDescent="0.3">
      <c r="A199" s="81"/>
      <c r="B199" s="102" t="s">
        <v>5</v>
      </c>
      <c r="C199" s="85"/>
      <c r="D199" s="85"/>
      <c r="E199" s="85">
        <v>430</v>
      </c>
      <c r="F199" s="85"/>
      <c r="G199" s="85"/>
      <c r="H199" s="85"/>
      <c r="I199" s="162">
        <f t="shared" si="14"/>
        <v>430</v>
      </c>
      <c r="J199" s="70"/>
      <c r="K199" s="39">
        <f t="shared" si="13"/>
        <v>430</v>
      </c>
    </row>
    <row r="200" spans="1:11" ht="21.75" customHeight="1" x14ac:dyDescent="0.3">
      <c r="A200" s="81"/>
      <c r="B200" s="103" t="s">
        <v>93</v>
      </c>
      <c r="C200" s="85"/>
      <c r="D200" s="85"/>
      <c r="E200" s="78">
        <v>430</v>
      </c>
      <c r="F200" s="78"/>
      <c r="G200" s="85"/>
      <c r="H200" s="85"/>
      <c r="I200" s="162">
        <f t="shared" si="14"/>
        <v>430</v>
      </c>
      <c r="J200" s="70"/>
      <c r="K200" s="39">
        <f t="shared" si="13"/>
        <v>430</v>
      </c>
    </row>
    <row r="201" spans="1:11" ht="20.25" customHeight="1" x14ac:dyDescent="0.3">
      <c r="A201" s="81"/>
      <c r="B201" s="102" t="s">
        <v>20</v>
      </c>
      <c r="C201" s="85"/>
      <c r="D201" s="85"/>
      <c r="E201" s="78">
        <v>510</v>
      </c>
      <c r="F201" s="78"/>
      <c r="G201" s="85"/>
      <c r="H201" s="85"/>
      <c r="I201" s="162">
        <f t="shared" si="14"/>
        <v>510</v>
      </c>
      <c r="J201" s="70"/>
      <c r="K201" s="39">
        <f t="shared" si="13"/>
        <v>510</v>
      </c>
    </row>
    <row r="202" spans="1:11" ht="20.25" customHeight="1" x14ac:dyDescent="0.3">
      <c r="A202" s="81"/>
      <c r="B202" s="100" t="s">
        <v>23</v>
      </c>
      <c r="C202" s="85"/>
      <c r="D202" s="85"/>
      <c r="E202" s="85">
        <v>300</v>
      </c>
      <c r="F202" s="85"/>
      <c r="G202" s="85"/>
      <c r="H202" s="85"/>
      <c r="I202" s="162">
        <f t="shared" si="14"/>
        <v>300</v>
      </c>
      <c r="J202" s="70"/>
      <c r="K202" s="39">
        <f t="shared" si="13"/>
        <v>300</v>
      </c>
    </row>
    <row r="203" spans="1:11" ht="21.75" customHeight="1" x14ac:dyDescent="0.3">
      <c r="A203" s="81"/>
      <c r="B203" s="100" t="s">
        <v>299</v>
      </c>
      <c r="C203" s="85"/>
      <c r="D203" s="85"/>
      <c r="E203" s="85">
        <v>2000</v>
      </c>
      <c r="F203" s="85"/>
      <c r="G203" s="85"/>
      <c r="H203" s="85"/>
      <c r="I203" s="162">
        <f t="shared" si="14"/>
        <v>2000</v>
      </c>
      <c r="J203" s="70"/>
      <c r="K203" s="39">
        <f t="shared" si="13"/>
        <v>2000</v>
      </c>
    </row>
    <row r="204" spans="1:11" ht="21" customHeight="1" x14ac:dyDescent="0.3">
      <c r="A204" s="81"/>
      <c r="B204" s="100" t="s">
        <v>131</v>
      </c>
      <c r="C204" s="85"/>
      <c r="D204" s="85"/>
      <c r="E204" s="85">
        <v>516</v>
      </c>
      <c r="F204" s="85"/>
      <c r="G204" s="85"/>
      <c r="H204" s="85"/>
      <c r="I204" s="162">
        <f t="shared" si="14"/>
        <v>516</v>
      </c>
      <c r="J204" s="70"/>
      <c r="K204" s="39">
        <f t="shared" si="13"/>
        <v>516</v>
      </c>
    </row>
    <row r="205" spans="1:11" ht="21" customHeight="1" x14ac:dyDescent="0.3">
      <c r="A205" s="81"/>
      <c r="B205" s="100" t="s">
        <v>114</v>
      </c>
      <c r="C205" s="85"/>
      <c r="D205" s="85"/>
      <c r="E205" s="85">
        <v>700</v>
      </c>
      <c r="F205" s="85"/>
      <c r="G205" s="85"/>
      <c r="H205" s="85"/>
      <c r="I205" s="162">
        <f t="shared" si="14"/>
        <v>700</v>
      </c>
      <c r="J205" s="70"/>
      <c r="K205" s="39">
        <f t="shared" si="13"/>
        <v>700</v>
      </c>
    </row>
    <row r="206" spans="1:11" ht="20.25" customHeight="1" x14ac:dyDescent="0.3">
      <c r="A206" s="81"/>
      <c r="B206" s="100" t="s">
        <v>672</v>
      </c>
      <c r="C206" s="85"/>
      <c r="D206" s="85"/>
      <c r="E206" s="85">
        <v>2585</v>
      </c>
      <c r="F206" s="85"/>
      <c r="G206" s="85"/>
      <c r="H206" s="85"/>
      <c r="I206" s="162">
        <f t="shared" si="14"/>
        <v>2585</v>
      </c>
      <c r="J206" s="70"/>
      <c r="K206" s="39">
        <f t="shared" si="13"/>
        <v>2585</v>
      </c>
    </row>
    <row r="207" spans="1:11" ht="18.75" customHeight="1" x14ac:dyDescent="0.3">
      <c r="A207" s="81"/>
      <c r="B207" s="100" t="s">
        <v>678</v>
      </c>
      <c r="C207" s="85"/>
      <c r="D207" s="85"/>
      <c r="E207" s="85">
        <v>120</v>
      </c>
      <c r="F207" s="85"/>
      <c r="G207" s="85"/>
      <c r="H207" s="85"/>
      <c r="I207" s="162">
        <f t="shared" si="14"/>
        <v>120</v>
      </c>
      <c r="J207" s="81"/>
      <c r="K207" s="39">
        <f t="shared" si="13"/>
        <v>120</v>
      </c>
    </row>
    <row r="208" spans="1:11" ht="15" customHeight="1" x14ac:dyDescent="0.3">
      <c r="A208" s="81"/>
      <c r="B208" s="100" t="s">
        <v>810</v>
      </c>
      <c r="C208" s="85"/>
      <c r="D208" s="85"/>
      <c r="E208" s="85">
        <v>2178</v>
      </c>
      <c r="F208" s="85"/>
      <c r="G208" s="85"/>
      <c r="H208" s="85"/>
      <c r="I208" s="162">
        <f t="shared" si="14"/>
        <v>2178</v>
      </c>
      <c r="J208" s="70"/>
      <c r="K208" s="39">
        <f t="shared" si="13"/>
        <v>2178</v>
      </c>
    </row>
    <row r="209" spans="1:11" ht="15" customHeight="1" x14ac:dyDescent="0.3">
      <c r="A209" s="81"/>
      <c r="B209" s="100" t="s">
        <v>488</v>
      </c>
      <c r="C209" s="85"/>
      <c r="D209" s="85"/>
      <c r="E209" s="85">
        <v>4350</v>
      </c>
      <c r="F209" s="85"/>
      <c r="G209" s="85"/>
      <c r="H209" s="85"/>
      <c r="I209" s="162">
        <f t="shared" si="14"/>
        <v>4350</v>
      </c>
      <c r="J209" s="70"/>
      <c r="K209" s="39">
        <f t="shared" si="13"/>
        <v>4350</v>
      </c>
    </row>
    <row r="210" spans="1:11" ht="15" customHeight="1" x14ac:dyDescent="0.3">
      <c r="A210" s="81"/>
      <c r="B210" s="100" t="s">
        <v>82</v>
      </c>
      <c r="C210" s="85"/>
      <c r="D210" s="85"/>
      <c r="E210" s="85">
        <v>3340</v>
      </c>
      <c r="F210" s="85"/>
      <c r="G210" s="85"/>
      <c r="H210" s="85"/>
      <c r="I210" s="162">
        <f t="shared" si="14"/>
        <v>3340</v>
      </c>
      <c r="J210" s="70"/>
      <c r="K210" s="39">
        <f t="shared" si="13"/>
        <v>3340</v>
      </c>
    </row>
    <row r="211" spans="1:11" ht="15" customHeight="1" x14ac:dyDescent="0.3">
      <c r="A211" s="81"/>
      <c r="B211" s="100" t="s">
        <v>80</v>
      </c>
      <c r="C211" s="85"/>
      <c r="D211" s="85"/>
      <c r="E211" s="85">
        <v>7829</v>
      </c>
      <c r="F211" s="85"/>
      <c r="G211" s="85"/>
      <c r="H211" s="85"/>
      <c r="I211" s="162">
        <f t="shared" si="14"/>
        <v>7829</v>
      </c>
      <c r="J211" s="70"/>
      <c r="K211" s="39">
        <f t="shared" si="13"/>
        <v>7829</v>
      </c>
    </row>
    <row r="212" spans="1:11" ht="15" customHeight="1" x14ac:dyDescent="0.3">
      <c r="A212" s="81"/>
      <c r="B212" s="100" t="s">
        <v>136</v>
      </c>
      <c r="C212" s="85"/>
      <c r="D212" s="85"/>
      <c r="E212" s="85">
        <v>130</v>
      </c>
      <c r="F212" s="85"/>
      <c r="G212" s="85"/>
      <c r="H212" s="85"/>
      <c r="I212" s="162">
        <f t="shared" si="14"/>
        <v>130</v>
      </c>
      <c r="J212" s="70"/>
      <c r="K212" s="39">
        <f t="shared" si="13"/>
        <v>130</v>
      </c>
    </row>
    <row r="213" spans="1:11" ht="15" customHeight="1" x14ac:dyDescent="0.3">
      <c r="A213" s="81"/>
      <c r="B213" s="100" t="s">
        <v>179</v>
      </c>
      <c r="C213" s="85"/>
      <c r="D213" s="85"/>
      <c r="E213" s="85">
        <v>50</v>
      </c>
      <c r="F213" s="85">
        <v>117</v>
      </c>
      <c r="G213" s="85"/>
      <c r="H213" s="85"/>
      <c r="I213" s="162">
        <f t="shared" si="14"/>
        <v>50</v>
      </c>
      <c r="J213" s="39">
        <f>F213</f>
        <v>117</v>
      </c>
      <c r="K213" s="39">
        <f t="shared" si="13"/>
        <v>167</v>
      </c>
    </row>
    <row r="214" spans="1:11" ht="15" customHeight="1" x14ac:dyDescent="0.3">
      <c r="A214" s="81"/>
      <c r="B214" s="100" t="s">
        <v>274</v>
      </c>
      <c r="C214" s="85"/>
      <c r="D214" s="85"/>
      <c r="E214" s="85">
        <v>50</v>
      </c>
      <c r="F214" s="85"/>
      <c r="G214" s="85"/>
      <c r="H214" s="85"/>
      <c r="I214" s="162">
        <f t="shared" si="14"/>
        <v>50</v>
      </c>
      <c r="J214" s="70"/>
      <c r="K214" s="39">
        <f t="shared" si="13"/>
        <v>50</v>
      </c>
    </row>
    <row r="215" spans="1:11" ht="15" customHeight="1" x14ac:dyDescent="0.3">
      <c r="A215" s="81"/>
      <c r="B215" s="100" t="s">
        <v>39</v>
      </c>
      <c r="C215" s="85"/>
      <c r="D215" s="85"/>
      <c r="E215" s="85">
        <v>82</v>
      </c>
      <c r="F215" s="85"/>
      <c r="G215" s="85"/>
      <c r="H215" s="85"/>
      <c r="I215" s="162">
        <f t="shared" si="14"/>
        <v>82</v>
      </c>
      <c r="J215" s="70"/>
      <c r="K215" s="39">
        <f t="shared" si="13"/>
        <v>82</v>
      </c>
    </row>
    <row r="216" spans="1:11" ht="15" customHeight="1" x14ac:dyDescent="0.3">
      <c r="A216" s="81"/>
      <c r="B216" s="100" t="s">
        <v>40</v>
      </c>
      <c r="C216" s="85"/>
      <c r="D216" s="85"/>
      <c r="E216" s="85">
        <v>350</v>
      </c>
      <c r="F216" s="85"/>
      <c r="G216" s="85"/>
      <c r="H216" s="85"/>
      <c r="I216" s="162">
        <f t="shared" si="14"/>
        <v>350</v>
      </c>
      <c r="J216" s="70"/>
      <c r="K216" s="39">
        <f t="shared" si="13"/>
        <v>350</v>
      </c>
    </row>
    <row r="217" spans="1:11" ht="15" customHeight="1" x14ac:dyDescent="0.3">
      <c r="A217" s="81"/>
      <c r="B217" s="100" t="s">
        <v>429</v>
      </c>
      <c r="C217" s="85"/>
      <c r="D217" s="85"/>
      <c r="E217" s="85">
        <v>100</v>
      </c>
      <c r="F217" s="85"/>
      <c r="G217" s="85"/>
      <c r="H217" s="85"/>
      <c r="I217" s="162">
        <f t="shared" si="14"/>
        <v>100</v>
      </c>
      <c r="J217" s="70"/>
      <c r="K217" s="39">
        <f t="shared" si="13"/>
        <v>100</v>
      </c>
    </row>
    <row r="218" spans="1:11" ht="15" customHeight="1" x14ac:dyDescent="0.3">
      <c r="A218" s="81"/>
      <c r="B218" s="102" t="s">
        <v>178</v>
      </c>
      <c r="C218" s="85"/>
      <c r="D218" s="85"/>
      <c r="E218" s="85">
        <v>25</v>
      </c>
      <c r="F218" s="85"/>
      <c r="G218" s="85"/>
      <c r="H218" s="85"/>
      <c r="I218" s="162">
        <f t="shared" si="14"/>
        <v>25</v>
      </c>
      <c r="J218" s="70"/>
      <c r="K218" s="39">
        <f t="shared" si="13"/>
        <v>25</v>
      </c>
    </row>
    <row r="219" spans="1:11" ht="15" customHeight="1" x14ac:dyDescent="0.3">
      <c r="A219" s="81"/>
      <c r="B219" s="102" t="s">
        <v>139</v>
      </c>
      <c r="C219" s="85"/>
      <c r="D219" s="85"/>
      <c r="E219" s="85">
        <v>100</v>
      </c>
      <c r="F219" s="85"/>
      <c r="G219" s="85"/>
      <c r="H219" s="85"/>
      <c r="I219" s="162">
        <f t="shared" si="14"/>
        <v>100</v>
      </c>
      <c r="J219" s="70"/>
      <c r="K219" s="39">
        <f t="shared" si="13"/>
        <v>100</v>
      </c>
    </row>
    <row r="220" spans="1:11" ht="15" customHeight="1" x14ac:dyDescent="0.3">
      <c r="A220" s="81"/>
      <c r="B220" s="100" t="s">
        <v>185</v>
      </c>
      <c r="C220" s="85"/>
      <c r="D220" s="85"/>
      <c r="E220" s="85">
        <v>50</v>
      </c>
      <c r="F220" s="85"/>
      <c r="G220" s="85"/>
      <c r="H220" s="85"/>
      <c r="I220" s="162">
        <f t="shared" si="14"/>
        <v>50</v>
      </c>
      <c r="J220" s="70"/>
      <c r="K220" s="39">
        <f t="shared" si="13"/>
        <v>50</v>
      </c>
    </row>
    <row r="221" spans="1:11" ht="15" customHeight="1" x14ac:dyDescent="0.3">
      <c r="A221" s="81"/>
      <c r="B221" s="100" t="s">
        <v>176</v>
      </c>
      <c r="C221" s="85"/>
      <c r="D221" s="85"/>
      <c r="E221" s="85">
        <v>50</v>
      </c>
      <c r="F221" s="85"/>
      <c r="G221" s="85"/>
      <c r="H221" s="85"/>
      <c r="I221" s="162">
        <f t="shared" si="14"/>
        <v>50</v>
      </c>
      <c r="J221" s="70"/>
      <c r="K221" s="39">
        <f t="shared" si="13"/>
        <v>50</v>
      </c>
    </row>
    <row r="222" spans="1:11" ht="15" customHeight="1" x14ac:dyDescent="0.3">
      <c r="A222" s="81"/>
      <c r="B222" s="100" t="s">
        <v>195</v>
      </c>
      <c r="C222" s="85"/>
      <c r="D222" s="85"/>
      <c r="E222" s="85">
        <v>157</v>
      </c>
      <c r="F222" s="85"/>
      <c r="G222" s="85"/>
      <c r="H222" s="85"/>
      <c r="I222" s="162">
        <f t="shared" si="14"/>
        <v>157</v>
      </c>
      <c r="J222" s="70"/>
      <c r="K222" s="39">
        <f t="shared" si="13"/>
        <v>157</v>
      </c>
    </row>
    <row r="223" spans="1:11" ht="15" customHeight="1" x14ac:dyDescent="0.3">
      <c r="A223" s="81"/>
      <c r="B223" s="100" t="s">
        <v>434</v>
      </c>
      <c r="C223" s="85"/>
      <c r="D223" s="85"/>
      <c r="E223" s="85">
        <v>160</v>
      </c>
      <c r="F223" s="85"/>
      <c r="G223" s="85"/>
      <c r="H223" s="85"/>
      <c r="I223" s="162">
        <f t="shared" si="14"/>
        <v>160</v>
      </c>
      <c r="J223" s="70"/>
      <c r="K223" s="39">
        <f t="shared" si="13"/>
        <v>160</v>
      </c>
    </row>
    <row r="224" spans="1:11" ht="15" customHeight="1" x14ac:dyDescent="0.3">
      <c r="A224" s="81"/>
      <c r="B224" s="100" t="s">
        <v>489</v>
      </c>
      <c r="C224" s="85"/>
      <c r="D224" s="85"/>
      <c r="E224" s="85">
        <v>100</v>
      </c>
      <c r="F224" s="85"/>
      <c r="G224" s="85"/>
      <c r="H224" s="85"/>
      <c r="I224" s="162">
        <f t="shared" si="14"/>
        <v>100</v>
      </c>
      <c r="J224" s="70"/>
      <c r="K224" s="39">
        <f t="shared" si="13"/>
        <v>100</v>
      </c>
    </row>
    <row r="225" spans="1:11" ht="15" customHeight="1" x14ac:dyDescent="0.3">
      <c r="A225" s="81"/>
      <c r="B225" s="100" t="s">
        <v>138</v>
      </c>
      <c r="C225" s="85"/>
      <c r="D225" s="85"/>
      <c r="E225" s="85">
        <v>400</v>
      </c>
      <c r="F225" s="85"/>
      <c r="G225" s="85"/>
      <c r="H225" s="85"/>
      <c r="I225" s="162">
        <f t="shared" si="14"/>
        <v>400</v>
      </c>
      <c r="J225" s="70"/>
      <c r="K225" s="39">
        <f t="shared" si="13"/>
        <v>400</v>
      </c>
    </row>
    <row r="226" spans="1:11" ht="15" customHeight="1" x14ac:dyDescent="0.3">
      <c r="A226" s="81"/>
      <c r="B226" s="100" t="s">
        <v>137</v>
      </c>
      <c r="C226" s="85"/>
      <c r="D226" s="85"/>
      <c r="E226" s="85">
        <v>200</v>
      </c>
      <c r="F226" s="85"/>
      <c r="G226" s="85"/>
      <c r="H226" s="85"/>
      <c r="I226" s="162">
        <f t="shared" si="14"/>
        <v>200</v>
      </c>
      <c r="J226" s="70"/>
      <c r="K226" s="39">
        <f t="shared" si="13"/>
        <v>200</v>
      </c>
    </row>
    <row r="227" spans="1:11" ht="15" customHeight="1" x14ac:dyDescent="0.3">
      <c r="A227" s="81"/>
      <c r="B227" s="100" t="s">
        <v>128</v>
      </c>
      <c r="C227" s="85"/>
      <c r="D227" s="85"/>
      <c r="E227" s="85">
        <v>250</v>
      </c>
      <c r="F227" s="85"/>
      <c r="G227" s="85"/>
      <c r="H227" s="85"/>
      <c r="I227" s="162">
        <f t="shared" si="14"/>
        <v>250</v>
      </c>
      <c r="J227" s="70"/>
      <c r="K227" s="39">
        <f t="shared" si="13"/>
        <v>250</v>
      </c>
    </row>
    <row r="228" spans="1:11" ht="18.75" customHeight="1" x14ac:dyDescent="0.3">
      <c r="A228" s="81"/>
      <c r="B228" s="100" t="s">
        <v>140</v>
      </c>
      <c r="C228" s="85"/>
      <c r="D228" s="85"/>
      <c r="E228" s="85">
        <v>200</v>
      </c>
      <c r="F228" s="85"/>
      <c r="G228" s="85"/>
      <c r="H228" s="85"/>
      <c r="I228" s="162">
        <f t="shared" si="14"/>
        <v>200</v>
      </c>
      <c r="J228" s="70"/>
      <c r="K228" s="39">
        <f t="shared" si="13"/>
        <v>200</v>
      </c>
    </row>
    <row r="229" spans="1:11" ht="31.5" customHeight="1" x14ac:dyDescent="0.3">
      <c r="A229" s="81"/>
      <c r="B229" s="100" t="s">
        <v>677</v>
      </c>
      <c r="C229" s="85"/>
      <c r="D229" s="85"/>
      <c r="E229" s="85">
        <v>9000</v>
      </c>
      <c r="F229" s="85"/>
      <c r="G229" s="85"/>
      <c r="H229" s="85"/>
      <c r="I229" s="162">
        <f t="shared" si="14"/>
        <v>9000</v>
      </c>
      <c r="J229" s="70"/>
      <c r="K229" s="39">
        <f t="shared" si="13"/>
        <v>9000</v>
      </c>
    </row>
    <row r="230" spans="1:11" ht="31.5" customHeight="1" x14ac:dyDescent="0.3">
      <c r="A230" s="81"/>
      <c r="B230" s="100" t="s">
        <v>633</v>
      </c>
      <c r="C230" s="85"/>
      <c r="D230" s="85"/>
      <c r="E230" s="85">
        <v>2500</v>
      </c>
      <c r="F230" s="85"/>
      <c r="G230" s="85"/>
      <c r="H230" s="85"/>
      <c r="I230" s="162">
        <f t="shared" ref="I230:I261" si="15">E230</f>
        <v>2500</v>
      </c>
      <c r="J230" s="70"/>
      <c r="K230" s="39">
        <f t="shared" si="13"/>
        <v>2500</v>
      </c>
    </row>
    <row r="231" spans="1:11" ht="15" customHeight="1" x14ac:dyDescent="0.3">
      <c r="A231" s="81"/>
      <c r="B231" s="100" t="s">
        <v>48</v>
      </c>
      <c r="C231" s="85"/>
      <c r="D231" s="85"/>
      <c r="E231" s="85">
        <v>15072</v>
      </c>
      <c r="F231" s="85"/>
      <c r="G231" s="85"/>
      <c r="H231" s="85"/>
      <c r="I231" s="162">
        <f t="shared" si="15"/>
        <v>15072</v>
      </c>
      <c r="J231" s="70"/>
      <c r="K231" s="39">
        <f t="shared" si="13"/>
        <v>15072</v>
      </c>
    </row>
    <row r="232" spans="1:11" ht="15" customHeight="1" x14ac:dyDescent="0.3">
      <c r="A232" s="81"/>
      <c r="B232" s="100" t="s">
        <v>644</v>
      </c>
      <c r="C232" s="85"/>
      <c r="D232" s="85"/>
      <c r="E232" s="85">
        <v>1400</v>
      </c>
      <c r="F232" s="85"/>
      <c r="G232" s="85"/>
      <c r="H232" s="85"/>
      <c r="I232" s="162">
        <f t="shared" si="15"/>
        <v>1400</v>
      </c>
      <c r="J232" s="70"/>
      <c r="K232" s="39">
        <f t="shared" si="13"/>
        <v>1400</v>
      </c>
    </row>
    <row r="233" spans="1:11" ht="15" customHeight="1" x14ac:dyDescent="0.3">
      <c r="A233" s="81"/>
      <c r="B233" s="100" t="s">
        <v>680</v>
      </c>
      <c r="C233" s="85"/>
      <c r="D233" s="85"/>
      <c r="E233" s="85">
        <v>1332</v>
      </c>
      <c r="F233" s="85"/>
      <c r="G233" s="85"/>
      <c r="H233" s="85"/>
      <c r="I233" s="162">
        <f t="shared" si="15"/>
        <v>1332</v>
      </c>
      <c r="J233" s="70"/>
      <c r="K233" s="39">
        <f t="shared" ref="K233:K296" si="16">I233+J233</f>
        <v>1332</v>
      </c>
    </row>
    <row r="234" spans="1:11" ht="15" customHeight="1" x14ac:dyDescent="0.3">
      <c r="A234" s="81"/>
      <c r="B234" s="100" t="s">
        <v>153</v>
      </c>
      <c r="C234" s="85"/>
      <c r="D234" s="85"/>
      <c r="E234" s="78">
        <v>500</v>
      </c>
      <c r="F234" s="78"/>
      <c r="G234" s="85"/>
      <c r="H234" s="85"/>
      <c r="I234" s="162">
        <f t="shared" si="15"/>
        <v>500</v>
      </c>
      <c r="J234" s="70"/>
      <c r="K234" s="39">
        <f t="shared" si="16"/>
        <v>500</v>
      </c>
    </row>
    <row r="235" spans="1:11" ht="15" customHeight="1" x14ac:dyDescent="0.3">
      <c r="A235" s="81"/>
      <c r="B235" s="100" t="s">
        <v>144</v>
      </c>
      <c r="C235" s="85"/>
      <c r="D235" s="85"/>
      <c r="E235" s="85">
        <v>150</v>
      </c>
      <c r="F235" s="85"/>
      <c r="G235" s="85"/>
      <c r="H235" s="85"/>
      <c r="I235" s="162">
        <f t="shared" si="15"/>
        <v>150</v>
      </c>
      <c r="J235" s="70"/>
      <c r="K235" s="39">
        <f t="shared" si="16"/>
        <v>150</v>
      </c>
    </row>
    <row r="236" spans="1:11" ht="15" customHeight="1" x14ac:dyDescent="0.3">
      <c r="A236" s="81"/>
      <c r="B236" s="100" t="s">
        <v>681</v>
      </c>
      <c r="C236" s="85"/>
      <c r="D236" s="85"/>
      <c r="E236" s="85">
        <v>2201</v>
      </c>
      <c r="F236" s="85"/>
      <c r="G236" s="85"/>
      <c r="H236" s="85"/>
      <c r="I236" s="162">
        <f t="shared" si="15"/>
        <v>2201</v>
      </c>
      <c r="J236" s="70"/>
      <c r="K236" s="39">
        <f t="shared" si="16"/>
        <v>2201</v>
      </c>
    </row>
    <row r="237" spans="1:11" ht="15" customHeight="1" x14ac:dyDescent="0.3">
      <c r="A237" s="81"/>
      <c r="B237" s="100" t="s">
        <v>154</v>
      </c>
      <c r="C237" s="85"/>
      <c r="D237" s="85"/>
      <c r="E237" s="85">
        <f>1000+2929</f>
        <v>3929</v>
      </c>
      <c r="F237" s="85"/>
      <c r="G237" s="85"/>
      <c r="H237" s="85"/>
      <c r="I237" s="162">
        <f t="shared" si="15"/>
        <v>3929</v>
      </c>
      <c r="J237" s="70"/>
      <c r="K237" s="39">
        <f t="shared" si="16"/>
        <v>3929</v>
      </c>
    </row>
    <row r="238" spans="1:11" ht="15" customHeight="1" x14ac:dyDescent="0.3">
      <c r="A238" s="81"/>
      <c r="B238" s="100" t="s">
        <v>291</v>
      </c>
      <c r="C238" s="85"/>
      <c r="D238" s="85"/>
      <c r="E238" s="85">
        <v>552</v>
      </c>
      <c r="F238" s="85"/>
      <c r="G238" s="85"/>
      <c r="H238" s="85"/>
      <c r="I238" s="162">
        <f t="shared" si="15"/>
        <v>552</v>
      </c>
      <c r="J238" s="70"/>
      <c r="K238" s="39">
        <f t="shared" si="16"/>
        <v>552</v>
      </c>
    </row>
    <row r="239" spans="1:11" ht="17.25" customHeight="1" x14ac:dyDescent="0.3">
      <c r="A239" s="81"/>
      <c r="B239" s="100" t="s">
        <v>679</v>
      </c>
      <c r="C239" s="85"/>
      <c r="D239" s="85"/>
      <c r="E239" s="85">
        <v>2384</v>
      </c>
      <c r="F239" s="85"/>
      <c r="G239" s="85"/>
      <c r="H239" s="85"/>
      <c r="I239" s="162">
        <f t="shared" si="15"/>
        <v>2384</v>
      </c>
      <c r="J239" s="70"/>
      <c r="K239" s="39">
        <f t="shared" si="16"/>
        <v>2384</v>
      </c>
    </row>
    <row r="240" spans="1:11" ht="15" customHeight="1" x14ac:dyDescent="0.3">
      <c r="A240" s="81"/>
      <c r="B240" s="100" t="s">
        <v>164</v>
      </c>
      <c r="C240" s="85"/>
      <c r="D240" s="85"/>
      <c r="E240" s="85">
        <v>2257</v>
      </c>
      <c r="F240" s="85"/>
      <c r="G240" s="85"/>
      <c r="H240" s="85"/>
      <c r="I240" s="162">
        <f t="shared" si="15"/>
        <v>2257</v>
      </c>
      <c r="J240" s="70"/>
      <c r="K240" s="39">
        <f t="shared" si="16"/>
        <v>2257</v>
      </c>
    </row>
    <row r="241" spans="1:11" ht="15" customHeight="1" x14ac:dyDescent="0.3">
      <c r="A241" s="81"/>
      <c r="B241" s="100" t="s">
        <v>670</v>
      </c>
      <c r="C241" s="85"/>
      <c r="D241" s="85"/>
      <c r="E241" s="85">
        <v>2700</v>
      </c>
      <c r="F241" s="85"/>
      <c r="G241" s="85"/>
      <c r="H241" s="85"/>
      <c r="I241" s="162">
        <f t="shared" si="15"/>
        <v>2700</v>
      </c>
      <c r="J241" s="70"/>
      <c r="K241" s="39">
        <f t="shared" si="16"/>
        <v>2700</v>
      </c>
    </row>
    <row r="242" spans="1:11" ht="15" customHeight="1" x14ac:dyDescent="0.3">
      <c r="A242" s="82" t="s">
        <v>490</v>
      </c>
      <c r="B242" s="82" t="s">
        <v>491</v>
      </c>
      <c r="C242" s="84"/>
      <c r="D242" s="84"/>
      <c r="E242" s="84">
        <f>SUM(E243:E247)</f>
        <v>2526</v>
      </c>
      <c r="F242" s="84"/>
      <c r="G242" s="84"/>
      <c r="H242" s="84"/>
      <c r="I242" s="161">
        <f t="shared" si="15"/>
        <v>2526</v>
      </c>
      <c r="J242" s="69"/>
      <c r="K242" s="175">
        <f t="shared" si="16"/>
        <v>2526</v>
      </c>
    </row>
    <row r="243" spans="1:11" s="72" customFormat="1" ht="15" customHeight="1" x14ac:dyDescent="0.3">
      <c r="A243" s="81"/>
      <c r="B243" s="102" t="s">
        <v>473</v>
      </c>
      <c r="C243" s="85"/>
      <c r="D243" s="85"/>
      <c r="E243" s="85">
        <v>800</v>
      </c>
      <c r="F243" s="85"/>
      <c r="G243" s="85"/>
      <c r="H243" s="85"/>
      <c r="I243" s="162">
        <f t="shared" si="15"/>
        <v>800</v>
      </c>
      <c r="J243" s="70"/>
      <c r="K243" s="39">
        <f t="shared" si="16"/>
        <v>800</v>
      </c>
    </row>
    <row r="244" spans="1:11" s="72" customFormat="1" ht="15" customHeight="1" x14ac:dyDescent="0.3">
      <c r="A244" s="81"/>
      <c r="B244" s="102" t="s">
        <v>682</v>
      </c>
      <c r="C244" s="85"/>
      <c r="D244" s="85"/>
      <c r="E244" s="85">
        <v>25</v>
      </c>
      <c r="F244" s="85"/>
      <c r="G244" s="85"/>
      <c r="H244" s="85"/>
      <c r="I244" s="162">
        <f t="shared" si="15"/>
        <v>25</v>
      </c>
      <c r="J244" s="70"/>
      <c r="K244" s="39">
        <f t="shared" si="16"/>
        <v>25</v>
      </c>
    </row>
    <row r="245" spans="1:11" s="73" customFormat="1" ht="29.25" customHeight="1" x14ac:dyDescent="0.3">
      <c r="A245" s="81"/>
      <c r="B245" s="80" t="s">
        <v>725</v>
      </c>
      <c r="C245" s="85"/>
      <c r="D245" s="85"/>
      <c r="E245" s="85">
        <v>1050</v>
      </c>
      <c r="F245" s="85"/>
      <c r="G245" s="85"/>
      <c r="H245" s="85"/>
      <c r="I245" s="162">
        <f t="shared" si="15"/>
        <v>1050</v>
      </c>
      <c r="J245" s="70"/>
      <c r="K245" s="39">
        <f t="shared" si="16"/>
        <v>1050</v>
      </c>
    </row>
    <row r="246" spans="1:11" ht="30.75" customHeight="1" x14ac:dyDescent="0.3">
      <c r="A246" s="81"/>
      <c r="B246" s="80" t="s">
        <v>683</v>
      </c>
      <c r="C246" s="85"/>
      <c r="D246" s="85"/>
      <c r="E246" s="85">
        <v>255</v>
      </c>
      <c r="F246" s="85"/>
      <c r="G246" s="85"/>
      <c r="H246" s="85"/>
      <c r="I246" s="162">
        <f t="shared" si="15"/>
        <v>255</v>
      </c>
      <c r="J246" s="70"/>
      <c r="K246" s="39">
        <f t="shared" si="16"/>
        <v>255</v>
      </c>
    </row>
    <row r="247" spans="1:11" ht="15" customHeight="1" x14ac:dyDescent="0.3">
      <c r="A247" s="81"/>
      <c r="B247" s="81" t="s">
        <v>684</v>
      </c>
      <c r="C247" s="85"/>
      <c r="D247" s="85"/>
      <c r="E247" s="85">
        <v>396</v>
      </c>
      <c r="F247" s="85"/>
      <c r="G247" s="85"/>
      <c r="H247" s="85"/>
      <c r="I247" s="162">
        <f t="shared" si="15"/>
        <v>396</v>
      </c>
      <c r="J247" s="70"/>
      <c r="K247" s="39">
        <f t="shared" si="16"/>
        <v>396</v>
      </c>
    </row>
    <row r="248" spans="1:11" ht="15" customHeight="1" x14ac:dyDescent="0.3">
      <c r="A248" s="82" t="s">
        <v>493</v>
      </c>
      <c r="B248" s="82" t="s">
        <v>494</v>
      </c>
      <c r="C248" s="84"/>
      <c r="D248" s="84"/>
      <c r="E248" s="84">
        <v>350000</v>
      </c>
      <c r="F248" s="84"/>
      <c r="G248" s="84"/>
      <c r="H248" s="84"/>
      <c r="I248" s="161">
        <f t="shared" si="15"/>
        <v>350000</v>
      </c>
      <c r="J248" s="69"/>
      <c r="K248" s="84">
        <f t="shared" si="16"/>
        <v>350000</v>
      </c>
    </row>
    <row r="249" spans="1:11" ht="15" customHeight="1" x14ac:dyDescent="0.3">
      <c r="A249" s="82" t="s">
        <v>495</v>
      </c>
      <c r="B249" s="82" t="s">
        <v>496</v>
      </c>
      <c r="C249" s="84"/>
      <c r="D249" s="84"/>
      <c r="E249" s="84">
        <f>SUM(E250:E269)</f>
        <v>60017</v>
      </c>
      <c r="F249" s="84"/>
      <c r="G249" s="84"/>
      <c r="H249" s="84"/>
      <c r="I249" s="161">
        <f t="shared" si="15"/>
        <v>60017</v>
      </c>
      <c r="J249" s="69"/>
      <c r="K249" s="84">
        <f t="shared" si="16"/>
        <v>60017</v>
      </c>
    </row>
    <row r="250" spans="1:11" ht="15" customHeight="1" x14ac:dyDescent="0.3">
      <c r="A250" s="81"/>
      <c r="B250" s="80" t="s">
        <v>517</v>
      </c>
      <c r="C250" s="85"/>
      <c r="D250" s="85"/>
      <c r="E250" s="85">
        <v>17000</v>
      </c>
      <c r="F250" s="85"/>
      <c r="G250" s="85"/>
      <c r="H250" s="85"/>
      <c r="I250" s="162">
        <f t="shared" si="15"/>
        <v>17000</v>
      </c>
      <c r="J250" s="166"/>
      <c r="K250" s="39">
        <f t="shared" si="16"/>
        <v>17000</v>
      </c>
    </row>
    <row r="251" spans="1:11" ht="15" customHeight="1" x14ac:dyDescent="0.3">
      <c r="A251" s="81"/>
      <c r="B251" s="81" t="s">
        <v>670</v>
      </c>
      <c r="C251" s="85"/>
      <c r="D251" s="85"/>
      <c r="E251" s="85">
        <v>11923</v>
      </c>
      <c r="F251" s="85"/>
      <c r="G251" s="85"/>
      <c r="H251" s="85"/>
      <c r="I251" s="162">
        <f t="shared" si="15"/>
        <v>11923</v>
      </c>
      <c r="J251" s="70"/>
      <c r="K251" s="39">
        <f t="shared" si="16"/>
        <v>11923</v>
      </c>
    </row>
    <row r="252" spans="1:11" ht="31.95" customHeight="1" x14ac:dyDescent="0.3">
      <c r="A252" s="81"/>
      <c r="B252" s="80"/>
      <c r="C252" s="85"/>
      <c r="D252" s="85"/>
      <c r="E252" s="85"/>
      <c r="F252" s="85"/>
      <c r="G252" s="85"/>
      <c r="H252" s="85"/>
      <c r="I252" s="162">
        <f t="shared" si="15"/>
        <v>0</v>
      </c>
      <c r="J252" s="70"/>
      <c r="K252" s="39">
        <f t="shared" si="16"/>
        <v>0</v>
      </c>
    </row>
    <row r="253" spans="1:11" ht="15" customHeight="1" x14ac:dyDescent="0.3">
      <c r="A253" s="81"/>
      <c r="B253" s="81" t="s">
        <v>408</v>
      </c>
      <c r="C253" s="85"/>
      <c r="D253" s="85"/>
      <c r="E253" s="85">
        <v>5534</v>
      </c>
      <c r="F253" s="85"/>
      <c r="G253" s="85"/>
      <c r="H253" s="85"/>
      <c r="I253" s="162">
        <f t="shared" si="15"/>
        <v>5534</v>
      </c>
      <c r="J253" s="70"/>
      <c r="K253" s="39">
        <f t="shared" si="16"/>
        <v>5534</v>
      </c>
    </row>
    <row r="254" spans="1:11" ht="15" customHeight="1" x14ac:dyDescent="0.3">
      <c r="A254" s="81"/>
      <c r="B254" s="81" t="s">
        <v>3</v>
      </c>
      <c r="C254" s="85"/>
      <c r="D254" s="85"/>
      <c r="E254" s="85">
        <v>115</v>
      </c>
      <c r="F254" s="85"/>
      <c r="G254" s="85"/>
      <c r="H254" s="85"/>
      <c r="I254" s="162">
        <f t="shared" si="15"/>
        <v>115</v>
      </c>
      <c r="J254" s="70"/>
      <c r="K254" s="39">
        <f t="shared" si="16"/>
        <v>115</v>
      </c>
    </row>
    <row r="255" spans="1:11" ht="30.75" customHeight="1" x14ac:dyDescent="0.3">
      <c r="A255" s="81"/>
      <c r="B255" s="80" t="s">
        <v>7</v>
      </c>
      <c r="C255" s="85"/>
      <c r="D255" s="85"/>
      <c r="E255" s="85">
        <v>85</v>
      </c>
      <c r="F255" s="85"/>
      <c r="G255" s="85"/>
      <c r="H255" s="85"/>
      <c r="I255" s="162">
        <f t="shared" si="15"/>
        <v>85</v>
      </c>
      <c r="J255" s="70"/>
      <c r="K255" s="39">
        <f t="shared" si="16"/>
        <v>85</v>
      </c>
    </row>
    <row r="256" spans="1:11" ht="15" customHeight="1" x14ac:dyDescent="0.3">
      <c r="A256" s="81"/>
      <c r="B256" s="81" t="s">
        <v>126</v>
      </c>
      <c r="C256" s="85"/>
      <c r="D256" s="85"/>
      <c r="E256" s="78">
        <v>1200</v>
      </c>
      <c r="F256" s="78"/>
      <c r="G256" s="85"/>
      <c r="H256" s="85"/>
      <c r="I256" s="162">
        <f t="shared" si="15"/>
        <v>1200</v>
      </c>
      <c r="J256" s="70"/>
      <c r="K256" s="39">
        <f t="shared" si="16"/>
        <v>1200</v>
      </c>
    </row>
    <row r="257" spans="1:14" ht="30" customHeight="1" x14ac:dyDescent="0.3">
      <c r="A257" s="81"/>
      <c r="B257" s="80" t="s">
        <v>10</v>
      </c>
      <c r="C257" s="85"/>
      <c r="D257" s="85"/>
      <c r="E257" s="78">
        <v>500</v>
      </c>
      <c r="F257" s="78"/>
      <c r="G257" s="85"/>
      <c r="H257" s="85"/>
      <c r="I257" s="162">
        <f t="shared" si="15"/>
        <v>500</v>
      </c>
      <c r="J257" s="70"/>
      <c r="K257" s="39">
        <f t="shared" si="16"/>
        <v>500</v>
      </c>
    </row>
    <row r="258" spans="1:14" ht="15" customHeight="1" x14ac:dyDescent="0.3">
      <c r="A258" s="81"/>
      <c r="B258" s="81" t="s">
        <v>12</v>
      </c>
      <c r="C258" s="85"/>
      <c r="D258" s="85"/>
      <c r="E258" s="78">
        <v>67</v>
      </c>
      <c r="F258" s="78"/>
      <c r="G258" s="85"/>
      <c r="H258" s="85"/>
      <c r="I258" s="162">
        <f t="shared" si="15"/>
        <v>67</v>
      </c>
      <c r="J258" s="70"/>
      <c r="K258" s="39">
        <f t="shared" si="16"/>
        <v>67</v>
      </c>
    </row>
    <row r="259" spans="1:14" ht="15" customHeight="1" x14ac:dyDescent="0.3">
      <c r="A259" s="81"/>
      <c r="B259" s="81" t="s">
        <v>685</v>
      </c>
      <c r="C259" s="85"/>
      <c r="D259" s="85"/>
      <c r="E259" s="78">
        <v>897</v>
      </c>
      <c r="F259" s="78"/>
      <c r="G259" s="85"/>
      <c r="H259" s="85"/>
      <c r="I259" s="162">
        <f t="shared" si="15"/>
        <v>897</v>
      </c>
      <c r="J259" s="70"/>
      <c r="K259" s="39">
        <f t="shared" si="16"/>
        <v>897</v>
      </c>
    </row>
    <row r="260" spans="1:14" ht="15" customHeight="1" x14ac:dyDescent="0.3">
      <c r="A260" s="81"/>
      <c r="B260" s="81" t="s">
        <v>23</v>
      </c>
      <c r="C260" s="85"/>
      <c r="D260" s="85"/>
      <c r="E260" s="85">
        <v>2191</v>
      </c>
      <c r="F260" s="85"/>
      <c r="G260" s="85"/>
      <c r="H260" s="85"/>
      <c r="I260" s="162">
        <f t="shared" si="15"/>
        <v>2191</v>
      </c>
      <c r="J260" s="70"/>
      <c r="K260" s="39">
        <f t="shared" si="16"/>
        <v>2191</v>
      </c>
    </row>
    <row r="261" spans="1:14" ht="15" customHeight="1" x14ac:dyDescent="0.3">
      <c r="A261" s="81"/>
      <c r="B261" s="81" t="s">
        <v>299</v>
      </c>
      <c r="C261" s="85"/>
      <c r="D261" s="85"/>
      <c r="E261" s="85">
        <v>850</v>
      </c>
      <c r="F261" s="85"/>
      <c r="G261" s="85"/>
      <c r="H261" s="85"/>
      <c r="I261" s="162">
        <f t="shared" si="15"/>
        <v>850</v>
      </c>
      <c r="J261" s="70"/>
      <c r="K261" s="39">
        <f t="shared" si="16"/>
        <v>850</v>
      </c>
    </row>
    <row r="262" spans="1:14" ht="34.950000000000003" customHeight="1" x14ac:dyDescent="0.3">
      <c r="A262" s="81"/>
      <c r="B262" s="80" t="s">
        <v>131</v>
      </c>
      <c r="C262" s="85"/>
      <c r="D262" s="85"/>
      <c r="E262" s="85">
        <v>1825</v>
      </c>
      <c r="F262" s="85"/>
      <c r="G262" s="85"/>
      <c r="H262" s="85"/>
      <c r="I262" s="162">
        <f t="shared" ref="I262:J293" si="17">E262</f>
        <v>1825</v>
      </c>
      <c r="J262" s="70"/>
      <c r="K262" s="39">
        <f t="shared" si="16"/>
        <v>1825</v>
      </c>
    </row>
    <row r="263" spans="1:14" ht="20.25" customHeight="1" x14ac:dyDescent="0.3">
      <c r="A263" s="81"/>
      <c r="B263" s="81" t="s">
        <v>130</v>
      </c>
      <c r="C263" s="85"/>
      <c r="D263" s="85"/>
      <c r="E263" s="85">
        <v>3590</v>
      </c>
      <c r="F263" s="85"/>
      <c r="G263" s="85"/>
      <c r="H263" s="85"/>
      <c r="I263" s="162">
        <f t="shared" si="17"/>
        <v>3590</v>
      </c>
      <c r="J263" s="70"/>
      <c r="K263" s="39">
        <f t="shared" si="16"/>
        <v>3590</v>
      </c>
    </row>
    <row r="264" spans="1:14" ht="15" customHeight="1" x14ac:dyDescent="0.3">
      <c r="A264" s="81"/>
      <c r="B264" s="81" t="s">
        <v>301</v>
      </c>
      <c r="C264" s="85"/>
      <c r="D264" s="85"/>
      <c r="E264" s="85">
        <v>240</v>
      </c>
      <c r="F264" s="85"/>
      <c r="G264" s="85"/>
      <c r="H264" s="85"/>
      <c r="I264" s="162">
        <f t="shared" si="17"/>
        <v>240</v>
      </c>
      <c r="J264" s="70"/>
      <c r="K264" s="39">
        <f t="shared" si="16"/>
        <v>240</v>
      </c>
    </row>
    <row r="265" spans="1:14" ht="15" customHeight="1" x14ac:dyDescent="0.3">
      <c r="A265" s="81"/>
      <c r="B265" s="80" t="s">
        <v>177</v>
      </c>
      <c r="C265" s="85"/>
      <c r="D265" s="85"/>
      <c r="E265" s="85">
        <v>200</v>
      </c>
      <c r="F265" s="85"/>
      <c r="G265" s="85"/>
      <c r="H265" s="85"/>
      <c r="I265" s="162">
        <f t="shared" si="17"/>
        <v>200</v>
      </c>
      <c r="J265" s="70"/>
      <c r="K265" s="39">
        <f t="shared" si="16"/>
        <v>200</v>
      </c>
    </row>
    <row r="266" spans="1:14" ht="15" customHeight="1" x14ac:dyDescent="0.3">
      <c r="A266" s="81"/>
      <c r="B266" s="81" t="s">
        <v>109</v>
      </c>
      <c r="C266" s="85"/>
      <c r="D266" s="85"/>
      <c r="E266" s="85">
        <v>7500</v>
      </c>
      <c r="F266" s="85"/>
      <c r="G266" s="85"/>
      <c r="H266" s="85"/>
      <c r="I266" s="162">
        <f t="shared" si="17"/>
        <v>7500</v>
      </c>
      <c r="J266" s="70"/>
      <c r="K266" s="39">
        <f t="shared" si="16"/>
        <v>7500</v>
      </c>
    </row>
    <row r="267" spans="1:14" ht="15" customHeight="1" x14ac:dyDescent="0.3">
      <c r="A267" s="81"/>
      <c r="B267" s="81" t="s">
        <v>115</v>
      </c>
      <c r="C267" s="85"/>
      <c r="D267" s="85"/>
      <c r="E267" s="85">
        <v>1000</v>
      </c>
      <c r="F267" s="85"/>
      <c r="G267" s="85"/>
      <c r="H267" s="85"/>
      <c r="I267" s="162">
        <f t="shared" si="17"/>
        <v>1000</v>
      </c>
      <c r="J267" s="70"/>
      <c r="K267" s="39">
        <f t="shared" si="16"/>
        <v>1000</v>
      </c>
    </row>
    <row r="268" spans="1:14" ht="14.25" customHeight="1" x14ac:dyDescent="0.3">
      <c r="A268" s="81"/>
      <c r="B268" s="81" t="s">
        <v>110</v>
      </c>
      <c r="C268" s="85"/>
      <c r="D268" s="85"/>
      <c r="E268" s="85">
        <v>2100</v>
      </c>
      <c r="F268" s="85"/>
      <c r="G268" s="85"/>
      <c r="H268" s="85"/>
      <c r="I268" s="162">
        <f t="shared" si="17"/>
        <v>2100</v>
      </c>
      <c r="J268" s="70"/>
      <c r="K268" s="39">
        <f t="shared" si="16"/>
        <v>2100</v>
      </c>
    </row>
    <row r="269" spans="1:14" ht="15" customHeight="1" x14ac:dyDescent="0.3">
      <c r="A269" s="81"/>
      <c r="B269" s="81" t="s">
        <v>497</v>
      </c>
      <c r="C269" s="85"/>
      <c r="D269" s="85"/>
      <c r="E269" s="85">
        <v>3200</v>
      </c>
      <c r="F269" s="85"/>
      <c r="G269" s="85"/>
      <c r="H269" s="85"/>
      <c r="I269" s="162">
        <f t="shared" si="17"/>
        <v>3200</v>
      </c>
      <c r="J269" s="70"/>
      <c r="K269" s="39">
        <f t="shared" si="16"/>
        <v>3200</v>
      </c>
    </row>
    <row r="270" spans="1:14" s="72" customFormat="1" ht="32.25" customHeight="1" x14ac:dyDescent="0.3">
      <c r="A270" s="82" t="s">
        <v>498</v>
      </c>
      <c r="B270" s="83" t="s">
        <v>499</v>
      </c>
      <c r="C270" s="84"/>
      <c r="D270" s="84"/>
      <c r="E270" s="84">
        <f>E271+E278+E288+E311+E394+E397</f>
        <v>4253218</v>
      </c>
      <c r="F270" s="84">
        <f>F271+F278+F288+F311+F394+F397</f>
        <v>18633</v>
      </c>
      <c r="G270" s="85"/>
      <c r="H270" s="111">
        <f>H271+H278+H288+H311+H394+H397</f>
        <v>0</v>
      </c>
      <c r="I270" s="161">
        <f t="shared" si="17"/>
        <v>4253218</v>
      </c>
      <c r="J270" s="161">
        <f t="shared" si="17"/>
        <v>18633</v>
      </c>
      <c r="K270" s="84">
        <f t="shared" si="16"/>
        <v>4271851</v>
      </c>
      <c r="L270" s="60"/>
    </row>
    <row r="271" spans="1:14" ht="32.25" customHeight="1" x14ac:dyDescent="0.3">
      <c r="A271" s="82" t="s">
        <v>500</v>
      </c>
      <c r="B271" s="83" t="s">
        <v>501</v>
      </c>
      <c r="C271" s="84"/>
      <c r="D271" s="84"/>
      <c r="E271" s="84">
        <f>SUM(E272:E277)</f>
        <v>1718129</v>
      </c>
      <c r="F271" s="84"/>
      <c r="G271" s="84"/>
      <c r="H271" s="84"/>
      <c r="I271" s="161">
        <f t="shared" si="17"/>
        <v>1718129</v>
      </c>
      <c r="J271" s="70"/>
      <c r="K271" s="175">
        <f t="shared" si="16"/>
        <v>1718129</v>
      </c>
      <c r="L271" s="72"/>
    </row>
    <row r="272" spans="1:14" ht="15" customHeight="1" x14ac:dyDescent="0.3">
      <c r="A272" s="81"/>
      <c r="B272" s="80" t="s">
        <v>53</v>
      </c>
      <c r="C272" s="85"/>
      <c r="D272" s="85"/>
      <c r="E272" s="78">
        <v>1161994</v>
      </c>
      <c r="F272" s="78"/>
      <c r="G272" s="85"/>
      <c r="H272" s="85"/>
      <c r="I272" s="162">
        <f t="shared" si="17"/>
        <v>1161994</v>
      </c>
      <c r="J272" s="166"/>
      <c r="K272" s="39">
        <f t="shared" si="16"/>
        <v>1161994</v>
      </c>
      <c r="M272" s="124"/>
      <c r="N272" s="124"/>
    </row>
    <row r="273" spans="1:12" ht="15" customHeight="1" x14ac:dyDescent="0.3">
      <c r="A273" s="81"/>
      <c r="B273" s="80" t="s">
        <v>84</v>
      </c>
      <c r="C273" s="85"/>
      <c r="D273" s="85"/>
      <c r="E273" s="85">
        <v>10796</v>
      </c>
      <c r="F273" s="85"/>
      <c r="G273" s="85"/>
      <c r="H273" s="85"/>
      <c r="I273" s="162">
        <f t="shared" si="17"/>
        <v>10796</v>
      </c>
      <c r="J273" s="70"/>
      <c r="K273" s="39">
        <f t="shared" si="16"/>
        <v>10796</v>
      </c>
    </row>
    <row r="274" spans="1:12" ht="15" customHeight="1" x14ac:dyDescent="0.3">
      <c r="A274" s="81"/>
      <c r="B274" s="80" t="s">
        <v>464</v>
      </c>
      <c r="C274" s="85"/>
      <c r="D274" s="85"/>
      <c r="E274" s="78">
        <v>164000</v>
      </c>
      <c r="F274" s="78"/>
      <c r="G274" s="85"/>
      <c r="H274" s="85"/>
      <c r="I274" s="162">
        <f t="shared" si="17"/>
        <v>164000</v>
      </c>
      <c r="J274" s="70"/>
      <c r="K274" s="39">
        <f t="shared" si="16"/>
        <v>164000</v>
      </c>
    </row>
    <row r="275" spans="1:12" ht="15" customHeight="1" x14ac:dyDescent="0.3">
      <c r="A275" s="81"/>
      <c r="B275" s="100" t="s">
        <v>118</v>
      </c>
      <c r="C275" s="85"/>
      <c r="D275" s="85"/>
      <c r="E275" s="85">
        <v>215220</v>
      </c>
      <c r="F275" s="85"/>
      <c r="G275" s="85"/>
      <c r="H275" s="85"/>
      <c r="I275" s="162">
        <f t="shared" si="17"/>
        <v>215220</v>
      </c>
      <c r="J275" s="70"/>
      <c r="K275" s="39">
        <f t="shared" si="16"/>
        <v>215220</v>
      </c>
    </row>
    <row r="276" spans="1:12" ht="15" customHeight="1" x14ac:dyDescent="0.3">
      <c r="A276" s="81"/>
      <c r="B276" s="100" t="s">
        <v>119</v>
      </c>
      <c r="C276" s="85"/>
      <c r="D276" s="85"/>
      <c r="E276" s="85">
        <v>155308</v>
      </c>
      <c r="F276" s="85"/>
      <c r="G276" s="85"/>
      <c r="H276" s="85"/>
      <c r="I276" s="162">
        <f t="shared" si="17"/>
        <v>155308</v>
      </c>
      <c r="J276" s="70"/>
      <c r="K276" s="39">
        <f t="shared" si="16"/>
        <v>155308</v>
      </c>
    </row>
    <row r="277" spans="1:12" ht="15" customHeight="1" x14ac:dyDescent="0.3">
      <c r="A277" s="81"/>
      <c r="B277" s="100" t="s">
        <v>408</v>
      </c>
      <c r="C277" s="85"/>
      <c r="D277" s="85"/>
      <c r="E277" s="85">
        <v>10811</v>
      </c>
      <c r="F277" s="85"/>
      <c r="G277" s="85"/>
      <c r="H277" s="85"/>
      <c r="I277" s="162">
        <f t="shared" si="17"/>
        <v>10811</v>
      </c>
      <c r="J277" s="70"/>
      <c r="K277" s="39">
        <f t="shared" si="16"/>
        <v>10811</v>
      </c>
    </row>
    <row r="278" spans="1:12" s="72" customFormat="1" ht="29.25" customHeight="1" x14ac:dyDescent="0.3">
      <c r="A278" s="82" t="s">
        <v>502</v>
      </c>
      <c r="B278" s="83" t="s">
        <v>503</v>
      </c>
      <c r="C278" s="84"/>
      <c r="D278" s="84"/>
      <c r="E278" s="84">
        <f>SUM(E279:E287)</f>
        <v>510</v>
      </c>
      <c r="F278" s="84"/>
      <c r="G278" s="84"/>
      <c r="H278" s="84"/>
      <c r="I278" s="161">
        <f t="shared" si="17"/>
        <v>510</v>
      </c>
      <c r="J278" s="69"/>
      <c r="K278" s="175">
        <f t="shared" si="16"/>
        <v>510</v>
      </c>
      <c r="L278" s="60"/>
    </row>
    <row r="279" spans="1:12" ht="15" customHeight="1" x14ac:dyDescent="0.3">
      <c r="A279" s="81"/>
      <c r="B279" s="100" t="s">
        <v>30</v>
      </c>
      <c r="C279" s="85"/>
      <c r="D279" s="85"/>
      <c r="E279" s="85">
        <v>150</v>
      </c>
      <c r="F279" s="85"/>
      <c r="G279" s="85"/>
      <c r="H279" s="85"/>
      <c r="I279" s="162">
        <f t="shared" si="17"/>
        <v>150</v>
      </c>
      <c r="J279" s="70"/>
      <c r="K279" s="39">
        <f t="shared" si="16"/>
        <v>150</v>
      </c>
      <c r="L279" s="72"/>
    </row>
    <row r="280" spans="1:12" ht="15" customHeight="1" x14ac:dyDescent="0.3">
      <c r="A280" s="81"/>
      <c r="B280" s="100" t="s">
        <v>504</v>
      </c>
      <c r="C280" s="85"/>
      <c r="D280" s="85"/>
      <c r="E280" s="85">
        <v>50</v>
      </c>
      <c r="F280" s="85"/>
      <c r="G280" s="85"/>
      <c r="H280" s="85"/>
      <c r="I280" s="162">
        <f t="shared" si="17"/>
        <v>50</v>
      </c>
      <c r="J280" s="70"/>
      <c r="K280" s="39">
        <f t="shared" si="16"/>
        <v>50</v>
      </c>
    </row>
    <row r="281" spans="1:12" ht="15" customHeight="1" x14ac:dyDescent="0.3">
      <c r="A281" s="81"/>
      <c r="B281" s="100" t="s">
        <v>134</v>
      </c>
      <c r="C281" s="85"/>
      <c r="D281" s="85"/>
      <c r="E281" s="85">
        <v>10</v>
      </c>
      <c r="F281" s="85"/>
      <c r="G281" s="85"/>
      <c r="H281" s="85"/>
      <c r="I281" s="162">
        <f t="shared" si="17"/>
        <v>10</v>
      </c>
      <c r="J281" s="70"/>
      <c r="K281" s="39">
        <f t="shared" si="16"/>
        <v>10</v>
      </c>
    </row>
    <row r="282" spans="1:12" ht="15" customHeight="1" x14ac:dyDescent="0.3">
      <c r="A282" s="81"/>
      <c r="B282" s="100" t="s">
        <v>505</v>
      </c>
      <c r="C282" s="85"/>
      <c r="D282" s="85"/>
      <c r="E282" s="85">
        <v>50</v>
      </c>
      <c r="F282" s="85"/>
      <c r="G282" s="85"/>
      <c r="H282" s="85"/>
      <c r="I282" s="162">
        <f t="shared" si="17"/>
        <v>50</v>
      </c>
      <c r="J282" s="70"/>
      <c r="K282" s="39">
        <f t="shared" si="16"/>
        <v>50</v>
      </c>
    </row>
    <row r="283" spans="1:12" ht="15" customHeight="1" x14ac:dyDescent="0.3">
      <c r="A283" s="81"/>
      <c r="B283" s="100" t="s">
        <v>447</v>
      </c>
      <c r="C283" s="85"/>
      <c r="D283" s="85"/>
      <c r="E283" s="85">
        <v>50</v>
      </c>
      <c r="F283" s="85"/>
      <c r="G283" s="85"/>
      <c r="H283" s="85"/>
      <c r="I283" s="162">
        <f t="shared" si="17"/>
        <v>50</v>
      </c>
      <c r="J283" s="70"/>
      <c r="K283" s="39">
        <f t="shared" si="16"/>
        <v>50</v>
      </c>
    </row>
    <row r="284" spans="1:12" ht="15" customHeight="1" x14ac:dyDescent="0.3">
      <c r="A284" s="81"/>
      <c r="B284" s="100" t="s">
        <v>506</v>
      </c>
      <c r="C284" s="85"/>
      <c r="D284" s="85"/>
      <c r="E284" s="85">
        <v>50</v>
      </c>
      <c r="F284" s="85"/>
      <c r="G284" s="85"/>
      <c r="H284" s="85"/>
      <c r="I284" s="162">
        <f t="shared" si="17"/>
        <v>50</v>
      </c>
      <c r="J284" s="70"/>
      <c r="K284" s="39">
        <f t="shared" si="16"/>
        <v>50</v>
      </c>
    </row>
    <row r="285" spans="1:12" ht="15" customHeight="1" x14ac:dyDescent="0.3">
      <c r="A285" s="81"/>
      <c r="B285" s="100" t="s">
        <v>116</v>
      </c>
      <c r="C285" s="85"/>
      <c r="D285" s="85"/>
      <c r="E285" s="85">
        <v>50</v>
      </c>
      <c r="F285" s="85"/>
      <c r="G285" s="85"/>
      <c r="H285" s="85"/>
      <c r="I285" s="162">
        <f t="shared" si="17"/>
        <v>50</v>
      </c>
      <c r="J285" s="70"/>
      <c r="K285" s="39">
        <f t="shared" si="16"/>
        <v>50</v>
      </c>
    </row>
    <row r="286" spans="1:12" ht="15" customHeight="1" x14ac:dyDescent="0.3">
      <c r="A286" s="81"/>
      <c r="B286" s="100" t="s">
        <v>507</v>
      </c>
      <c r="C286" s="85"/>
      <c r="D286" s="85"/>
      <c r="E286" s="85">
        <v>50</v>
      </c>
      <c r="F286" s="85"/>
      <c r="G286" s="85"/>
      <c r="H286" s="85"/>
      <c r="I286" s="162">
        <f t="shared" si="17"/>
        <v>50</v>
      </c>
      <c r="J286" s="70"/>
      <c r="K286" s="39">
        <f t="shared" si="16"/>
        <v>50</v>
      </c>
    </row>
    <row r="287" spans="1:12" ht="15" customHeight="1" x14ac:dyDescent="0.3">
      <c r="A287" s="81"/>
      <c r="B287" s="100" t="s">
        <v>508</v>
      </c>
      <c r="C287" s="85"/>
      <c r="D287" s="85"/>
      <c r="E287" s="85">
        <v>50</v>
      </c>
      <c r="F287" s="85"/>
      <c r="G287" s="85"/>
      <c r="H287" s="85"/>
      <c r="I287" s="162">
        <f t="shared" si="17"/>
        <v>50</v>
      </c>
      <c r="J287" s="70"/>
      <c r="K287" s="39">
        <f t="shared" si="16"/>
        <v>50</v>
      </c>
    </row>
    <row r="288" spans="1:12" ht="15" customHeight="1" x14ac:dyDescent="0.3">
      <c r="A288" s="82" t="s">
        <v>509</v>
      </c>
      <c r="B288" s="82" t="s">
        <v>510</v>
      </c>
      <c r="C288" s="84"/>
      <c r="D288" s="84"/>
      <c r="E288" s="84">
        <f>SUM(E289:E310)</f>
        <v>81938</v>
      </c>
      <c r="F288" s="84">
        <f>SUM(F289:F310)</f>
        <v>1133</v>
      </c>
      <c r="G288" s="84"/>
      <c r="H288" s="84"/>
      <c r="I288" s="161">
        <f t="shared" si="17"/>
        <v>81938</v>
      </c>
      <c r="J288" s="161">
        <f t="shared" si="17"/>
        <v>1133</v>
      </c>
      <c r="K288" s="175">
        <f t="shared" si="16"/>
        <v>83071</v>
      </c>
    </row>
    <row r="289" spans="1:12" ht="15" customHeight="1" x14ac:dyDescent="0.3">
      <c r="A289" s="81"/>
      <c r="B289" s="102" t="s">
        <v>686</v>
      </c>
      <c r="C289" s="85"/>
      <c r="D289" s="85"/>
      <c r="E289" s="85">
        <v>37736</v>
      </c>
      <c r="F289" s="85"/>
      <c r="G289" s="85"/>
      <c r="H289" s="85"/>
      <c r="I289" s="162">
        <f t="shared" si="17"/>
        <v>37736</v>
      </c>
      <c r="J289" s="70"/>
      <c r="K289" s="39">
        <f t="shared" si="16"/>
        <v>37736</v>
      </c>
    </row>
    <row r="290" spans="1:12" ht="15" customHeight="1" x14ac:dyDescent="0.3">
      <c r="A290" s="81"/>
      <c r="B290" s="102" t="s">
        <v>687</v>
      </c>
      <c r="C290" s="85"/>
      <c r="D290" s="85"/>
      <c r="E290" s="85">
        <v>1800</v>
      </c>
      <c r="F290" s="85"/>
      <c r="G290" s="85"/>
      <c r="H290" s="85"/>
      <c r="I290" s="162">
        <f t="shared" si="17"/>
        <v>1800</v>
      </c>
      <c r="J290" s="70"/>
      <c r="K290" s="39">
        <f t="shared" si="16"/>
        <v>1800</v>
      </c>
    </row>
    <row r="291" spans="1:12" ht="15" customHeight="1" x14ac:dyDescent="0.3">
      <c r="A291" s="81"/>
      <c r="B291" s="102" t="s">
        <v>511</v>
      </c>
      <c r="C291" s="85"/>
      <c r="D291" s="85"/>
      <c r="E291" s="85">
        <v>2800</v>
      </c>
      <c r="F291" s="85">
        <v>1133</v>
      </c>
      <c r="G291" s="85"/>
      <c r="H291" s="85"/>
      <c r="I291" s="162">
        <f t="shared" si="17"/>
        <v>2800</v>
      </c>
      <c r="J291" s="39">
        <f>F291</f>
        <v>1133</v>
      </c>
      <c r="K291" s="39">
        <f t="shared" si="16"/>
        <v>3933</v>
      </c>
    </row>
    <row r="292" spans="1:12" ht="15" customHeight="1" x14ac:dyDescent="0.3">
      <c r="A292" s="81"/>
      <c r="B292" s="102" t="s">
        <v>274</v>
      </c>
      <c r="C292" s="85"/>
      <c r="D292" s="85"/>
      <c r="E292" s="85">
        <v>400</v>
      </c>
      <c r="F292" s="85"/>
      <c r="G292" s="85"/>
      <c r="H292" s="85"/>
      <c r="I292" s="162">
        <f t="shared" si="17"/>
        <v>400</v>
      </c>
      <c r="J292" s="70"/>
      <c r="K292" s="39">
        <f t="shared" si="16"/>
        <v>400</v>
      </c>
    </row>
    <row r="293" spans="1:12" ht="15" customHeight="1" x14ac:dyDescent="0.3">
      <c r="A293" s="81"/>
      <c r="B293" s="102" t="s">
        <v>39</v>
      </c>
      <c r="C293" s="85"/>
      <c r="D293" s="85"/>
      <c r="E293" s="85">
        <v>200</v>
      </c>
      <c r="F293" s="85"/>
      <c r="G293" s="85"/>
      <c r="H293" s="85"/>
      <c r="I293" s="162">
        <f t="shared" si="17"/>
        <v>200</v>
      </c>
      <c r="J293" s="70"/>
      <c r="K293" s="39">
        <f t="shared" si="16"/>
        <v>200</v>
      </c>
    </row>
    <row r="294" spans="1:12" ht="15" customHeight="1" x14ac:dyDescent="0.3">
      <c r="A294" s="81"/>
      <c r="B294" s="102" t="s">
        <v>512</v>
      </c>
      <c r="C294" s="85"/>
      <c r="D294" s="85"/>
      <c r="E294" s="85">
        <v>2467</v>
      </c>
      <c r="F294" s="85"/>
      <c r="G294" s="85"/>
      <c r="H294" s="85"/>
      <c r="I294" s="162">
        <f t="shared" ref="I294:I327" si="18">E294</f>
        <v>2467</v>
      </c>
      <c r="J294" s="70"/>
      <c r="K294" s="39">
        <f t="shared" si="16"/>
        <v>2467</v>
      </c>
    </row>
    <row r="295" spans="1:12" ht="15" customHeight="1" x14ac:dyDescent="0.3">
      <c r="A295" s="81"/>
      <c r="B295" s="102" t="s">
        <v>429</v>
      </c>
      <c r="C295" s="85"/>
      <c r="D295" s="85"/>
      <c r="E295" s="85">
        <v>6000</v>
      </c>
      <c r="F295" s="85"/>
      <c r="G295" s="85"/>
      <c r="H295" s="85"/>
      <c r="I295" s="162">
        <f t="shared" si="18"/>
        <v>6000</v>
      </c>
      <c r="J295" s="70"/>
      <c r="K295" s="39">
        <f t="shared" si="16"/>
        <v>6000</v>
      </c>
    </row>
    <row r="296" spans="1:12" ht="15" customHeight="1" x14ac:dyDescent="0.3">
      <c r="A296" s="81"/>
      <c r="B296" s="102" t="s">
        <v>615</v>
      </c>
      <c r="C296" s="85"/>
      <c r="D296" s="85"/>
      <c r="E296" s="85">
        <v>200</v>
      </c>
      <c r="F296" s="85"/>
      <c r="G296" s="85"/>
      <c r="H296" s="85"/>
      <c r="I296" s="162">
        <f t="shared" si="18"/>
        <v>200</v>
      </c>
      <c r="J296" s="70"/>
      <c r="K296" s="39">
        <f t="shared" si="16"/>
        <v>200</v>
      </c>
    </row>
    <row r="297" spans="1:12" ht="15" customHeight="1" x14ac:dyDescent="0.3">
      <c r="A297" s="81"/>
      <c r="B297" s="102" t="s">
        <v>139</v>
      </c>
      <c r="C297" s="85"/>
      <c r="D297" s="85"/>
      <c r="E297" s="85">
        <v>4900</v>
      </c>
      <c r="F297" s="85"/>
      <c r="G297" s="85"/>
      <c r="H297" s="85"/>
      <c r="I297" s="162">
        <f t="shared" si="18"/>
        <v>4900</v>
      </c>
      <c r="J297" s="70"/>
      <c r="K297" s="39">
        <f t="shared" ref="K297:K360" si="19">I297+J297</f>
        <v>4900</v>
      </c>
    </row>
    <row r="298" spans="1:12" ht="15" customHeight="1" x14ac:dyDescent="0.3">
      <c r="A298" s="81"/>
      <c r="B298" s="102" t="s">
        <v>185</v>
      </c>
      <c r="C298" s="85"/>
      <c r="D298" s="85"/>
      <c r="E298" s="85">
        <v>560</v>
      </c>
      <c r="F298" s="85"/>
      <c r="G298" s="85"/>
      <c r="H298" s="85"/>
      <c r="I298" s="162">
        <f t="shared" si="18"/>
        <v>560</v>
      </c>
      <c r="J298" s="70"/>
      <c r="K298" s="39">
        <f t="shared" si="19"/>
        <v>560</v>
      </c>
    </row>
    <row r="299" spans="1:12" ht="15" customHeight="1" x14ac:dyDescent="0.3">
      <c r="A299" s="81"/>
      <c r="B299" s="102" t="s">
        <v>659</v>
      </c>
      <c r="C299" s="85"/>
      <c r="D299" s="85"/>
      <c r="E299" s="85">
        <v>50</v>
      </c>
      <c r="F299" s="85"/>
      <c r="G299" s="85"/>
      <c r="H299" s="85"/>
      <c r="I299" s="162">
        <f t="shared" si="18"/>
        <v>50</v>
      </c>
      <c r="J299" s="70"/>
      <c r="K299" s="39">
        <f t="shared" si="19"/>
        <v>50</v>
      </c>
    </row>
    <row r="300" spans="1:12" ht="15" customHeight="1" x14ac:dyDescent="0.3">
      <c r="A300" s="81"/>
      <c r="B300" s="102" t="s">
        <v>513</v>
      </c>
      <c r="C300" s="85"/>
      <c r="D300" s="85"/>
      <c r="E300" s="85">
        <v>2500</v>
      </c>
      <c r="F300" s="85"/>
      <c r="G300" s="85"/>
      <c r="H300" s="85"/>
      <c r="I300" s="162">
        <f t="shared" si="18"/>
        <v>2500</v>
      </c>
      <c r="J300" s="70"/>
      <c r="K300" s="39">
        <f t="shared" si="19"/>
        <v>2500</v>
      </c>
    </row>
    <row r="301" spans="1:12" s="72" customFormat="1" ht="24" customHeight="1" x14ac:dyDescent="0.3">
      <c r="A301" s="81"/>
      <c r="B301" s="102" t="s">
        <v>195</v>
      </c>
      <c r="C301" s="85"/>
      <c r="D301" s="85"/>
      <c r="E301" s="85">
        <v>2740</v>
      </c>
      <c r="F301" s="85"/>
      <c r="G301" s="85"/>
      <c r="H301" s="85"/>
      <c r="I301" s="162">
        <f t="shared" si="18"/>
        <v>2740</v>
      </c>
      <c r="J301" s="70"/>
      <c r="K301" s="39">
        <f t="shared" si="19"/>
        <v>2740</v>
      </c>
      <c r="L301" s="60"/>
    </row>
    <row r="302" spans="1:12" s="72" customFormat="1" ht="15" customHeight="1" x14ac:dyDescent="0.3">
      <c r="A302" s="81"/>
      <c r="B302" s="102" t="s">
        <v>434</v>
      </c>
      <c r="C302" s="85"/>
      <c r="D302" s="85"/>
      <c r="E302" s="85">
        <v>765</v>
      </c>
      <c r="F302" s="85"/>
      <c r="G302" s="85"/>
      <c r="H302" s="85"/>
      <c r="I302" s="162">
        <f t="shared" si="18"/>
        <v>765</v>
      </c>
      <c r="J302" s="70"/>
      <c r="K302" s="39">
        <f t="shared" si="19"/>
        <v>765</v>
      </c>
    </row>
    <row r="303" spans="1:12" s="73" customFormat="1" ht="15" customHeight="1" x14ac:dyDescent="0.3">
      <c r="A303" s="81"/>
      <c r="B303" s="102" t="s">
        <v>41</v>
      </c>
      <c r="C303" s="85"/>
      <c r="D303" s="85"/>
      <c r="E303" s="85">
        <v>500</v>
      </c>
      <c r="F303" s="85"/>
      <c r="G303" s="85"/>
      <c r="H303" s="85"/>
      <c r="I303" s="162">
        <f t="shared" si="18"/>
        <v>500</v>
      </c>
      <c r="J303" s="70"/>
      <c r="K303" s="39">
        <f t="shared" si="19"/>
        <v>500</v>
      </c>
      <c r="L303" s="72"/>
    </row>
    <row r="304" spans="1:12" ht="24.75" customHeight="1" x14ac:dyDescent="0.3">
      <c r="A304" s="81"/>
      <c r="B304" s="102" t="s">
        <v>138</v>
      </c>
      <c r="C304" s="85"/>
      <c r="D304" s="85"/>
      <c r="E304" s="85">
        <v>9200</v>
      </c>
      <c r="F304" s="85"/>
      <c r="G304" s="85"/>
      <c r="H304" s="85"/>
      <c r="I304" s="162">
        <f t="shared" si="18"/>
        <v>9200</v>
      </c>
      <c r="J304" s="70"/>
      <c r="K304" s="39">
        <f t="shared" si="19"/>
        <v>9200</v>
      </c>
      <c r="L304" s="73"/>
    </row>
    <row r="305" spans="1:11" ht="15" customHeight="1" x14ac:dyDescent="0.3">
      <c r="A305" s="81"/>
      <c r="B305" s="102" t="s">
        <v>137</v>
      </c>
      <c r="C305" s="85"/>
      <c r="D305" s="85"/>
      <c r="E305" s="85">
        <v>3500</v>
      </c>
      <c r="F305" s="85"/>
      <c r="G305" s="85"/>
      <c r="H305" s="85"/>
      <c r="I305" s="162">
        <f t="shared" si="18"/>
        <v>3500</v>
      </c>
      <c r="J305" s="70"/>
      <c r="K305" s="39">
        <f t="shared" si="19"/>
        <v>3500</v>
      </c>
    </row>
    <row r="306" spans="1:11" ht="15" customHeight="1" x14ac:dyDescent="0.3">
      <c r="A306" s="81"/>
      <c r="B306" s="102" t="s">
        <v>82</v>
      </c>
      <c r="C306" s="85"/>
      <c r="D306" s="85"/>
      <c r="E306" s="85">
        <v>1800</v>
      </c>
      <c r="F306" s="85"/>
      <c r="G306" s="85"/>
      <c r="H306" s="85"/>
      <c r="I306" s="162">
        <f t="shared" si="18"/>
        <v>1800</v>
      </c>
      <c r="J306" s="70"/>
      <c r="K306" s="39">
        <f t="shared" si="19"/>
        <v>1800</v>
      </c>
    </row>
    <row r="307" spans="1:11" ht="15" customHeight="1" x14ac:dyDescent="0.3">
      <c r="A307" s="81"/>
      <c r="B307" s="102" t="s">
        <v>135</v>
      </c>
      <c r="C307" s="85"/>
      <c r="D307" s="85"/>
      <c r="E307" s="85">
        <v>150</v>
      </c>
      <c r="F307" s="85"/>
      <c r="G307" s="85"/>
      <c r="H307" s="85"/>
      <c r="I307" s="162">
        <f t="shared" si="18"/>
        <v>150</v>
      </c>
      <c r="J307" s="70"/>
      <c r="K307" s="39">
        <f t="shared" si="19"/>
        <v>150</v>
      </c>
    </row>
    <row r="308" spans="1:11" ht="15" customHeight="1" x14ac:dyDescent="0.3">
      <c r="A308" s="81"/>
      <c r="B308" s="102" t="s">
        <v>123</v>
      </c>
      <c r="C308" s="85"/>
      <c r="D308" s="85"/>
      <c r="E308" s="85">
        <v>370</v>
      </c>
      <c r="F308" s="85"/>
      <c r="G308" s="85"/>
      <c r="H308" s="85"/>
      <c r="I308" s="162">
        <f t="shared" si="18"/>
        <v>370</v>
      </c>
      <c r="J308" s="70"/>
      <c r="K308" s="39">
        <f t="shared" si="19"/>
        <v>370</v>
      </c>
    </row>
    <row r="309" spans="1:11" ht="19.5" customHeight="1" x14ac:dyDescent="0.3">
      <c r="A309" s="81"/>
      <c r="B309" s="102" t="s">
        <v>140</v>
      </c>
      <c r="C309" s="85"/>
      <c r="D309" s="85"/>
      <c r="E309" s="85">
        <v>1500</v>
      </c>
      <c r="F309" s="85"/>
      <c r="G309" s="85"/>
      <c r="H309" s="85"/>
      <c r="I309" s="162">
        <f t="shared" si="18"/>
        <v>1500</v>
      </c>
      <c r="J309" s="70"/>
      <c r="K309" s="39">
        <f t="shared" si="19"/>
        <v>1500</v>
      </c>
    </row>
    <row r="310" spans="1:11" ht="15" customHeight="1" x14ac:dyDescent="0.3">
      <c r="A310" s="81"/>
      <c r="B310" s="102" t="s">
        <v>514</v>
      </c>
      <c r="C310" s="85"/>
      <c r="D310" s="85"/>
      <c r="E310" s="85">
        <v>1800</v>
      </c>
      <c r="F310" s="85"/>
      <c r="G310" s="85"/>
      <c r="H310" s="85"/>
      <c r="I310" s="162">
        <f t="shared" si="18"/>
        <v>1800</v>
      </c>
      <c r="J310" s="70"/>
      <c r="K310" s="39">
        <f t="shared" si="19"/>
        <v>1800</v>
      </c>
    </row>
    <row r="311" spans="1:11" ht="33" customHeight="1" x14ac:dyDescent="0.3">
      <c r="A311" s="82" t="s">
        <v>515</v>
      </c>
      <c r="B311" s="83" t="s">
        <v>516</v>
      </c>
      <c r="C311" s="84"/>
      <c r="D311" s="84"/>
      <c r="E311" s="84">
        <f>E312+E385</f>
        <v>2108586</v>
      </c>
      <c r="F311" s="84">
        <f>F312+F385</f>
        <v>17500</v>
      </c>
      <c r="G311" s="84"/>
      <c r="H311" s="84">
        <f>H312+H385</f>
        <v>0</v>
      </c>
      <c r="I311" s="161">
        <f>E311</f>
        <v>2108586</v>
      </c>
      <c r="J311" s="49">
        <f>F311+H311</f>
        <v>17500</v>
      </c>
      <c r="K311" s="175">
        <f t="shared" si="19"/>
        <v>2126086</v>
      </c>
    </row>
    <row r="312" spans="1:11" ht="30" customHeight="1" x14ac:dyDescent="0.3">
      <c r="A312" s="82" t="s">
        <v>519</v>
      </c>
      <c r="B312" s="83" t="s">
        <v>520</v>
      </c>
      <c r="C312" s="84"/>
      <c r="D312" s="84"/>
      <c r="E312" s="84">
        <f>SUM(E313:E384)</f>
        <v>1322579</v>
      </c>
      <c r="F312" s="84">
        <f>SUM(F313:F384)</f>
        <v>17500</v>
      </c>
      <c r="G312" s="84"/>
      <c r="H312" s="84">
        <f>H384</f>
        <v>0</v>
      </c>
      <c r="I312" s="161">
        <f>E312</f>
        <v>1322579</v>
      </c>
      <c r="J312" s="175">
        <f>F312+H312</f>
        <v>17500</v>
      </c>
      <c r="K312" s="175">
        <f>I312+J312</f>
        <v>1340079</v>
      </c>
    </row>
    <row r="313" spans="1:11" ht="20.25" customHeight="1" x14ac:dyDescent="0.3">
      <c r="A313" s="81"/>
      <c r="B313" s="80" t="s">
        <v>517</v>
      </c>
      <c r="C313" s="85"/>
      <c r="D313" s="85"/>
      <c r="E313" s="85">
        <v>7240</v>
      </c>
      <c r="F313" s="85"/>
      <c r="G313" s="85"/>
      <c r="H313" s="85"/>
      <c r="I313" s="162">
        <f t="shared" si="18"/>
        <v>7240</v>
      </c>
      <c r="J313" s="166"/>
      <c r="K313" s="39">
        <f t="shared" si="19"/>
        <v>7240</v>
      </c>
    </row>
    <row r="314" spans="1:11" ht="15" customHeight="1" x14ac:dyDescent="0.3">
      <c r="A314" s="81"/>
      <c r="B314" s="100" t="s">
        <v>488</v>
      </c>
      <c r="C314" s="85"/>
      <c r="D314" s="85"/>
      <c r="E314" s="85">
        <v>4200</v>
      </c>
      <c r="F314" s="85"/>
      <c r="G314" s="85"/>
      <c r="H314" s="85"/>
      <c r="I314" s="162">
        <f t="shared" si="18"/>
        <v>4200</v>
      </c>
      <c r="J314" s="70"/>
      <c r="K314" s="39">
        <f t="shared" si="19"/>
        <v>4200</v>
      </c>
    </row>
    <row r="315" spans="1:11" ht="15" customHeight="1" x14ac:dyDescent="0.3">
      <c r="A315" s="81"/>
      <c r="B315" s="100" t="s">
        <v>689</v>
      </c>
      <c r="C315" s="85"/>
      <c r="D315" s="85"/>
      <c r="E315" s="85">
        <f>226432+282536+217219</f>
        <v>726187</v>
      </c>
      <c r="F315" s="85"/>
      <c r="G315" s="85"/>
      <c r="H315" s="85"/>
      <c r="I315" s="162">
        <f t="shared" si="18"/>
        <v>726187</v>
      </c>
      <c r="J315" s="70"/>
      <c r="K315" s="39">
        <f t="shared" si="19"/>
        <v>726187</v>
      </c>
    </row>
    <row r="316" spans="1:11" ht="15" customHeight="1" x14ac:dyDescent="0.3">
      <c r="A316" s="81"/>
      <c r="B316" s="100" t="s">
        <v>686</v>
      </c>
      <c r="C316" s="85"/>
      <c r="D316" s="85"/>
      <c r="E316" s="85">
        <v>365</v>
      </c>
      <c r="F316" s="85"/>
      <c r="G316" s="85"/>
      <c r="H316" s="85"/>
      <c r="I316" s="162">
        <f t="shared" si="18"/>
        <v>365</v>
      </c>
      <c r="J316" s="166"/>
      <c r="K316" s="39">
        <f t="shared" si="19"/>
        <v>365</v>
      </c>
    </row>
    <row r="317" spans="1:11" ht="15" customHeight="1" x14ac:dyDescent="0.3">
      <c r="A317" s="81"/>
      <c r="B317" s="100" t="s">
        <v>688</v>
      </c>
      <c r="C317" s="85"/>
      <c r="D317" s="85"/>
      <c r="E317" s="85">
        <v>5500</v>
      </c>
      <c r="F317" s="85"/>
      <c r="G317" s="85"/>
      <c r="H317" s="85"/>
      <c r="I317" s="162">
        <f t="shared" si="18"/>
        <v>5500</v>
      </c>
      <c r="J317" s="70"/>
      <c r="K317" s="39">
        <f t="shared" si="19"/>
        <v>5500</v>
      </c>
    </row>
    <row r="318" spans="1:11" ht="15" customHeight="1" x14ac:dyDescent="0.3">
      <c r="A318" s="81"/>
      <c r="B318" s="100" t="s">
        <v>48</v>
      </c>
      <c r="C318" s="85"/>
      <c r="D318" s="85"/>
      <c r="E318" s="85">
        <v>3000</v>
      </c>
      <c r="F318" s="85"/>
      <c r="G318" s="85"/>
      <c r="H318" s="85"/>
      <c r="I318" s="162">
        <f t="shared" si="18"/>
        <v>3000</v>
      </c>
      <c r="J318" s="70"/>
      <c r="K318" s="39">
        <f t="shared" si="19"/>
        <v>3000</v>
      </c>
    </row>
    <row r="319" spans="1:11" ht="15" customHeight="1" x14ac:dyDescent="0.3">
      <c r="A319" s="81"/>
      <c r="B319" s="100" t="s">
        <v>644</v>
      </c>
      <c r="C319" s="85"/>
      <c r="D319" s="85"/>
      <c r="E319" s="85">
        <v>180</v>
      </c>
      <c r="F319" s="85"/>
      <c r="G319" s="85"/>
      <c r="H319" s="85"/>
      <c r="I319" s="162">
        <f t="shared" si="18"/>
        <v>180</v>
      </c>
      <c r="J319" s="70"/>
      <c r="K319" s="39">
        <f t="shared" si="19"/>
        <v>180</v>
      </c>
    </row>
    <row r="320" spans="1:11" ht="30" customHeight="1" x14ac:dyDescent="0.3">
      <c r="A320" s="81"/>
      <c r="B320" s="100" t="s">
        <v>650</v>
      </c>
      <c r="C320" s="85"/>
      <c r="D320" s="85"/>
      <c r="E320" s="85">
        <v>950</v>
      </c>
      <c r="F320" s="85"/>
      <c r="G320" s="85"/>
      <c r="H320" s="85"/>
      <c r="I320" s="162">
        <f t="shared" si="18"/>
        <v>950</v>
      </c>
      <c r="J320" s="70"/>
      <c r="K320" s="39">
        <f t="shared" si="19"/>
        <v>950</v>
      </c>
    </row>
    <row r="321" spans="1:11" ht="30" customHeight="1" x14ac:dyDescent="0.3">
      <c r="A321" s="81"/>
      <c r="B321" s="100" t="s">
        <v>692</v>
      </c>
      <c r="C321" s="85"/>
      <c r="D321" s="85"/>
      <c r="E321" s="85">
        <v>13500</v>
      </c>
      <c r="F321" s="85"/>
      <c r="G321" s="85"/>
      <c r="H321" s="85"/>
      <c r="I321" s="162">
        <f t="shared" si="18"/>
        <v>13500</v>
      </c>
      <c r="J321" s="70"/>
      <c r="K321" s="39">
        <f t="shared" si="19"/>
        <v>13500</v>
      </c>
    </row>
    <row r="322" spans="1:11" ht="26.25" customHeight="1" x14ac:dyDescent="0.3">
      <c r="A322" s="81"/>
      <c r="B322" s="100" t="s">
        <v>691</v>
      </c>
      <c r="C322" s="85"/>
      <c r="D322" s="85"/>
      <c r="E322" s="85">
        <v>9100</v>
      </c>
      <c r="F322" s="85"/>
      <c r="G322" s="85"/>
      <c r="H322" s="85"/>
      <c r="I322" s="162">
        <f t="shared" si="18"/>
        <v>9100</v>
      </c>
      <c r="J322" s="70"/>
      <c r="K322" s="39">
        <f t="shared" si="19"/>
        <v>9100</v>
      </c>
    </row>
    <row r="323" spans="1:11" ht="15" customHeight="1" x14ac:dyDescent="0.3">
      <c r="A323" s="81"/>
      <c r="B323" s="100" t="s">
        <v>690</v>
      </c>
      <c r="C323" s="85"/>
      <c r="D323" s="85"/>
      <c r="E323" s="85">
        <v>10600</v>
      </c>
      <c r="F323" s="85"/>
      <c r="G323" s="85"/>
      <c r="H323" s="85"/>
      <c r="I323" s="162">
        <f t="shared" si="18"/>
        <v>10600</v>
      </c>
      <c r="J323" s="70"/>
      <c r="K323" s="39">
        <f t="shared" si="19"/>
        <v>10600</v>
      </c>
    </row>
    <row r="324" spans="1:11" ht="15" customHeight="1" x14ac:dyDescent="0.3">
      <c r="A324" s="81"/>
      <c r="B324" s="100" t="s">
        <v>670</v>
      </c>
      <c r="C324" s="85"/>
      <c r="D324" s="85"/>
      <c r="E324" s="85">
        <v>12000</v>
      </c>
      <c r="F324" s="85"/>
      <c r="G324" s="85"/>
      <c r="H324" s="85"/>
      <c r="I324" s="162">
        <f t="shared" si="18"/>
        <v>12000</v>
      </c>
      <c r="J324" s="70"/>
      <c r="K324" s="39">
        <f t="shared" si="19"/>
        <v>12000</v>
      </c>
    </row>
    <row r="325" spans="1:11" ht="34.5" customHeight="1" x14ac:dyDescent="0.3">
      <c r="A325" s="81"/>
      <c r="B325" s="100" t="s">
        <v>5</v>
      </c>
      <c r="C325" s="85"/>
      <c r="D325" s="85"/>
      <c r="E325" s="85">
        <v>600</v>
      </c>
      <c r="F325" s="85"/>
      <c r="G325" s="85"/>
      <c r="H325" s="85"/>
      <c r="I325" s="162">
        <f t="shared" si="18"/>
        <v>600</v>
      </c>
      <c r="J325" s="70"/>
      <c r="K325" s="39">
        <f t="shared" si="19"/>
        <v>600</v>
      </c>
    </row>
    <row r="326" spans="1:11" ht="20.25" customHeight="1" x14ac:dyDescent="0.3">
      <c r="A326" s="81"/>
      <c r="B326" s="102" t="s">
        <v>93</v>
      </c>
      <c r="C326" s="85"/>
      <c r="D326" s="85"/>
      <c r="E326" s="78">
        <v>700</v>
      </c>
      <c r="F326" s="78"/>
      <c r="G326" s="85"/>
      <c r="H326" s="85"/>
      <c r="I326" s="162">
        <f t="shared" si="18"/>
        <v>700</v>
      </c>
      <c r="J326" s="70"/>
      <c r="K326" s="39">
        <f t="shared" si="19"/>
        <v>700</v>
      </c>
    </row>
    <row r="327" spans="1:11" ht="20.25" customHeight="1" x14ac:dyDescent="0.3">
      <c r="A327" s="81"/>
      <c r="B327" s="102" t="s">
        <v>137</v>
      </c>
      <c r="C327" s="85"/>
      <c r="D327" s="85"/>
      <c r="E327" s="78">
        <v>70</v>
      </c>
      <c r="F327" s="78"/>
      <c r="G327" s="85"/>
      <c r="H327" s="85"/>
      <c r="I327" s="162">
        <f t="shared" si="18"/>
        <v>70</v>
      </c>
      <c r="J327" s="70"/>
      <c r="K327" s="39">
        <f t="shared" si="19"/>
        <v>70</v>
      </c>
    </row>
    <row r="328" spans="1:11" ht="36" customHeight="1" x14ac:dyDescent="0.3">
      <c r="A328" s="81"/>
      <c r="B328" s="100" t="s">
        <v>276</v>
      </c>
      <c r="C328" s="85"/>
      <c r="D328" s="85"/>
      <c r="E328" s="78">
        <v>450</v>
      </c>
      <c r="F328" s="78"/>
      <c r="G328" s="85"/>
      <c r="H328" s="85"/>
      <c r="I328" s="162"/>
      <c r="J328" s="70"/>
      <c r="K328" s="39">
        <f t="shared" si="19"/>
        <v>0</v>
      </c>
    </row>
    <row r="329" spans="1:11" ht="32.25" customHeight="1" x14ac:dyDescent="0.3">
      <c r="A329" s="81"/>
      <c r="B329" s="100" t="s">
        <v>693</v>
      </c>
      <c r="C329" s="85"/>
      <c r="D329" s="85"/>
      <c r="E329" s="78">
        <v>2280</v>
      </c>
      <c r="F329" s="78"/>
      <c r="G329" s="85"/>
      <c r="H329" s="85"/>
      <c r="I329" s="162">
        <f t="shared" ref="I329:I360" si="20">E329</f>
        <v>2280</v>
      </c>
      <c r="J329" s="70"/>
      <c r="K329" s="39">
        <f t="shared" si="19"/>
        <v>2280</v>
      </c>
    </row>
    <row r="330" spans="1:11" ht="30.75" customHeight="1" x14ac:dyDescent="0.3">
      <c r="A330" s="81"/>
      <c r="B330" s="100" t="s">
        <v>694</v>
      </c>
      <c r="C330" s="85"/>
      <c r="D330" s="85"/>
      <c r="E330" s="85">
        <v>56675</v>
      </c>
      <c r="F330" s="85"/>
      <c r="G330" s="85"/>
      <c r="H330" s="85"/>
      <c r="I330" s="162">
        <f t="shared" si="20"/>
        <v>56675</v>
      </c>
      <c r="J330" s="70"/>
      <c r="K330" s="39">
        <f t="shared" si="19"/>
        <v>56675</v>
      </c>
    </row>
    <row r="331" spans="1:11" ht="25.2" customHeight="1" x14ac:dyDescent="0.3">
      <c r="A331" s="81"/>
      <c r="B331" s="100" t="s">
        <v>831</v>
      </c>
      <c r="C331" s="85"/>
      <c r="D331" s="85"/>
      <c r="E331" s="85">
        <v>2850</v>
      </c>
      <c r="F331" s="85"/>
      <c r="G331" s="85"/>
      <c r="H331" s="85"/>
      <c r="I331" s="162">
        <f t="shared" si="20"/>
        <v>2850</v>
      </c>
      <c r="J331" s="70"/>
      <c r="K331" s="39">
        <f t="shared" si="19"/>
        <v>2850</v>
      </c>
    </row>
    <row r="332" spans="1:11" ht="29.25" customHeight="1" x14ac:dyDescent="0.3">
      <c r="A332" s="81"/>
      <c r="B332" s="100" t="s">
        <v>695</v>
      </c>
      <c r="C332" s="85"/>
      <c r="D332" s="85"/>
      <c r="E332" s="85">
        <v>2590</v>
      </c>
      <c r="F332" s="85"/>
      <c r="G332" s="85"/>
      <c r="H332" s="85"/>
      <c r="I332" s="162">
        <f t="shared" si="20"/>
        <v>2590</v>
      </c>
      <c r="J332" s="70"/>
      <c r="K332" s="39">
        <f t="shared" si="19"/>
        <v>2590</v>
      </c>
    </row>
    <row r="333" spans="1:11" ht="15.75" customHeight="1" x14ac:dyDescent="0.3">
      <c r="A333" s="81"/>
      <c r="B333" s="100" t="s">
        <v>672</v>
      </c>
      <c r="C333" s="85"/>
      <c r="D333" s="85"/>
      <c r="E333" s="85">
        <v>10804</v>
      </c>
      <c r="F333" s="85"/>
      <c r="G333" s="85"/>
      <c r="H333" s="85"/>
      <c r="I333" s="162">
        <f t="shared" si="20"/>
        <v>10804</v>
      </c>
      <c r="J333" s="70"/>
      <c r="K333" s="39">
        <f t="shared" si="19"/>
        <v>10804</v>
      </c>
    </row>
    <row r="334" spans="1:11" ht="15" customHeight="1" x14ac:dyDescent="0.3">
      <c r="A334" s="81"/>
      <c r="B334" s="100" t="s">
        <v>696</v>
      </c>
      <c r="C334" s="85"/>
      <c r="D334" s="85"/>
      <c r="E334" s="85">
        <v>1200</v>
      </c>
      <c r="F334" s="85"/>
      <c r="G334" s="85"/>
      <c r="H334" s="85"/>
      <c r="I334" s="162">
        <f t="shared" si="20"/>
        <v>1200</v>
      </c>
      <c r="J334" s="70"/>
      <c r="K334" s="39">
        <f t="shared" si="19"/>
        <v>1200</v>
      </c>
    </row>
    <row r="335" spans="1:11" ht="15" customHeight="1" x14ac:dyDescent="0.3">
      <c r="A335" s="81"/>
      <c r="B335" s="100" t="s">
        <v>113</v>
      </c>
      <c r="C335" s="85"/>
      <c r="D335" s="85"/>
      <c r="E335" s="85">
        <v>900</v>
      </c>
      <c r="F335" s="85"/>
      <c r="G335" s="85"/>
      <c r="H335" s="85"/>
      <c r="I335" s="162">
        <f t="shared" si="20"/>
        <v>900</v>
      </c>
      <c r="J335" s="70"/>
      <c r="K335" s="39">
        <f t="shared" si="19"/>
        <v>900</v>
      </c>
    </row>
    <row r="336" spans="1:11" ht="15" customHeight="1" x14ac:dyDescent="0.3">
      <c r="A336" s="81"/>
      <c r="B336" s="100" t="s">
        <v>811</v>
      </c>
      <c r="C336" s="85"/>
      <c r="D336" s="85"/>
      <c r="E336" s="85">
        <v>35161</v>
      </c>
      <c r="F336" s="85"/>
      <c r="G336" s="85" t="s">
        <v>521</v>
      </c>
      <c r="H336" s="85"/>
      <c r="I336" s="162">
        <f t="shared" si="20"/>
        <v>35161</v>
      </c>
      <c r="J336" s="70"/>
      <c r="K336" s="39">
        <f t="shared" si="19"/>
        <v>35161</v>
      </c>
    </row>
    <row r="337" spans="1:11" ht="15" customHeight="1" x14ac:dyDescent="0.3">
      <c r="A337" s="81"/>
      <c r="B337" s="100" t="s">
        <v>812</v>
      </c>
      <c r="C337" s="85"/>
      <c r="D337" s="85"/>
      <c r="E337" s="85">
        <v>21857</v>
      </c>
      <c r="F337" s="85"/>
      <c r="G337" s="85" t="s">
        <v>521</v>
      </c>
      <c r="H337" s="85"/>
      <c r="I337" s="162">
        <f t="shared" si="20"/>
        <v>21857</v>
      </c>
      <c r="J337" s="70"/>
      <c r="K337" s="39">
        <f t="shared" si="19"/>
        <v>21857</v>
      </c>
    </row>
    <row r="338" spans="1:11" ht="15" customHeight="1" x14ac:dyDescent="0.3">
      <c r="A338" s="81"/>
      <c r="B338" s="100" t="s">
        <v>813</v>
      </c>
      <c r="C338" s="85"/>
      <c r="D338" s="85"/>
      <c r="E338" s="85">
        <v>9000</v>
      </c>
      <c r="F338" s="85"/>
      <c r="G338" s="85"/>
      <c r="H338" s="85"/>
      <c r="I338" s="162">
        <f t="shared" si="20"/>
        <v>9000</v>
      </c>
      <c r="J338" s="70"/>
      <c r="K338" s="39">
        <f t="shared" si="19"/>
        <v>9000</v>
      </c>
    </row>
    <row r="339" spans="1:11" ht="15" customHeight="1" x14ac:dyDescent="0.3">
      <c r="A339" s="81"/>
      <c r="B339" s="100" t="s">
        <v>814</v>
      </c>
      <c r="C339" s="85"/>
      <c r="D339" s="85"/>
      <c r="E339" s="85">
        <v>69000</v>
      </c>
      <c r="F339" s="85"/>
      <c r="G339" s="85"/>
      <c r="H339" s="85"/>
      <c r="I339" s="162">
        <f t="shared" si="20"/>
        <v>69000</v>
      </c>
      <c r="J339" s="70"/>
      <c r="K339" s="39">
        <f t="shared" si="19"/>
        <v>69000</v>
      </c>
    </row>
    <row r="340" spans="1:11" ht="15" customHeight="1" x14ac:dyDescent="0.3">
      <c r="A340" s="81"/>
      <c r="B340" s="100" t="s">
        <v>832</v>
      </c>
      <c r="C340" s="85"/>
      <c r="D340" s="85"/>
      <c r="E340" s="85">
        <v>13500</v>
      </c>
      <c r="F340" s="85"/>
      <c r="G340" s="85"/>
      <c r="H340" s="85"/>
      <c r="I340" s="162">
        <f t="shared" si="20"/>
        <v>13500</v>
      </c>
      <c r="J340" s="70"/>
      <c r="K340" s="39">
        <f t="shared" si="19"/>
        <v>13500</v>
      </c>
    </row>
    <row r="341" spans="1:11" ht="15" customHeight="1" x14ac:dyDescent="0.3">
      <c r="A341" s="81"/>
      <c r="B341" s="100" t="s">
        <v>833</v>
      </c>
      <c r="C341" s="85"/>
      <c r="D341" s="85"/>
      <c r="E341" s="85">
        <v>28967</v>
      </c>
      <c r="F341" s="85"/>
      <c r="G341" s="85"/>
      <c r="H341" s="85"/>
      <c r="I341" s="162">
        <f t="shared" si="20"/>
        <v>28967</v>
      </c>
      <c r="J341" s="70"/>
      <c r="K341" s="39">
        <f t="shared" si="19"/>
        <v>28967</v>
      </c>
    </row>
    <row r="342" spans="1:11" ht="15" customHeight="1" x14ac:dyDescent="0.3">
      <c r="A342" s="81"/>
      <c r="B342" s="100" t="s">
        <v>815</v>
      </c>
      <c r="C342" s="85"/>
      <c r="D342" s="85"/>
      <c r="E342" s="85">
        <v>59000</v>
      </c>
      <c r="F342" s="85"/>
      <c r="G342" s="85"/>
      <c r="H342" s="85"/>
      <c r="I342" s="162">
        <f t="shared" si="20"/>
        <v>59000</v>
      </c>
      <c r="J342" s="70"/>
      <c r="K342" s="39">
        <f t="shared" si="19"/>
        <v>59000</v>
      </c>
    </row>
    <row r="343" spans="1:11" ht="15" customHeight="1" x14ac:dyDescent="0.3">
      <c r="A343" s="81"/>
      <c r="B343" s="100" t="s">
        <v>816</v>
      </c>
      <c r="C343" s="85"/>
      <c r="D343" s="85"/>
      <c r="E343" s="85">
        <v>2840</v>
      </c>
      <c r="F343" s="85"/>
      <c r="G343" s="85"/>
      <c r="H343" s="85"/>
      <c r="I343" s="162">
        <f t="shared" si="20"/>
        <v>2840</v>
      </c>
      <c r="J343" s="70"/>
      <c r="K343" s="39">
        <f t="shared" si="19"/>
        <v>2840</v>
      </c>
    </row>
    <row r="344" spans="1:11" ht="15" customHeight="1" x14ac:dyDescent="0.3">
      <c r="A344" s="81"/>
      <c r="B344" s="100" t="s">
        <v>817</v>
      </c>
      <c r="C344" s="85"/>
      <c r="D344" s="85"/>
      <c r="E344" s="85">
        <v>11605</v>
      </c>
      <c r="F344" s="85"/>
      <c r="G344" s="85"/>
      <c r="H344" s="85"/>
      <c r="I344" s="162">
        <f t="shared" si="20"/>
        <v>11605</v>
      </c>
      <c r="J344" s="70"/>
      <c r="K344" s="39">
        <f t="shared" si="19"/>
        <v>11605</v>
      </c>
    </row>
    <row r="345" spans="1:11" ht="15" customHeight="1" x14ac:dyDescent="0.3">
      <c r="A345" s="81"/>
      <c r="B345" s="100" t="s">
        <v>818</v>
      </c>
      <c r="C345" s="85"/>
      <c r="D345" s="85"/>
      <c r="E345" s="78">
        <v>2500</v>
      </c>
      <c r="F345" s="78"/>
      <c r="G345" s="85"/>
      <c r="H345" s="85"/>
      <c r="I345" s="162">
        <f t="shared" si="20"/>
        <v>2500</v>
      </c>
      <c r="J345" s="70"/>
      <c r="K345" s="39">
        <f t="shared" si="19"/>
        <v>2500</v>
      </c>
    </row>
    <row r="346" spans="1:11" ht="15" customHeight="1" x14ac:dyDescent="0.3">
      <c r="A346" s="81"/>
      <c r="B346" s="100" t="s">
        <v>819</v>
      </c>
      <c r="C346" s="85"/>
      <c r="D346" s="85"/>
      <c r="E346" s="85">
        <v>4268</v>
      </c>
      <c r="F346" s="85"/>
      <c r="G346" s="85"/>
      <c r="H346" s="85"/>
      <c r="I346" s="162">
        <f t="shared" si="20"/>
        <v>4268</v>
      </c>
      <c r="J346" s="70"/>
      <c r="K346" s="39">
        <f t="shared" si="19"/>
        <v>4268</v>
      </c>
    </row>
    <row r="347" spans="1:11" ht="15" customHeight="1" x14ac:dyDescent="0.3">
      <c r="A347" s="81"/>
      <c r="B347" s="100" t="s">
        <v>820</v>
      </c>
      <c r="C347" s="85"/>
      <c r="D347" s="85"/>
      <c r="E347" s="85">
        <v>2391</v>
      </c>
      <c r="F347" s="85"/>
      <c r="G347" s="85"/>
      <c r="H347" s="85"/>
      <c r="I347" s="162">
        <f t="shared" si="20"/>
        <v>2391</v>
      </c>
      <c r="J347" s="70"/>
      <c r="K347" s="39">
        <f t="shared" si="19"/>
        <v>2391</v>
      </c>
    </row>
    <row r="348" spans="1:11" ht="15" customHeight="1" x14ac:dyDescent="0.3">
      <c r="A348" s="81"/>
      <c r="B348" s="100" t="s">
        <v>821</v>
      </c>
      <c r="C348" s="85"/>
      <c r="D348" s="85"/>
      <c r="E348" s="85">
        <v>4516</v>
      </c>
      <c r="F348" s="85"/>
      <c r="G348" s="85"/>
      <c r="H348" s="85"/>
      <c r="I348" s="162">
        <f t="shared" si="20"/>
        <v>4516</v>
      </c>
      <c r="J348" s="70"/>
      <c r="K348" s="39">
        <f t="shared" si="19"/>
        <v>4516</v>
      </c>
    </row>
    <row r="349" spans="1:11" ht="15" customHeight="1" x14ac:dyDescent="0.3">
      <c r="A349" s="81"/>
      <c r="B349" s="100" t="s">
        <v>822</v>
      </c>
      <c r="C349" s="85"/>
      <c r="D349" s="85"/>
      <c r="E349" s="85">
        <v>5348</v>
      </c>
      <c r="F349" s="85"/>
      <c r="G349" s="85"/>
      <c r="H349" s="85"/>
      <c r="I349" s="162">
        <f t="shared" si="20"/>
        <v>5348</v>
      </c>
      <c r="J349" s="70"/>
      <c r="K349" s="39">
        <f t="shared" si="19"/>
        <v>5348</v>
      </c>
    </row>
    <row r="350" spans="1:11" ht="15" customHeight="1" x14ac:dyDescent="0.3">
      <c r="A350" s="81"/>
      <c r="B350" s="100" t="s">
        <v>823</v>
      </c>
      <c r="C350" s="85"/>
      <c r="D350" s="85"/>
      <c r="E350" s="85">
        <v>5000</v>
      </c>
      <c r="F350" s="85"/>
      <c r="G350" s="85"/>
      <c r="H350" s="85"/>
      <c r="I350" s="162">
        <f t="shared" si="20"/>
        <v>5000</v>
      </c>
      <c r="J350" s="70"/>
      <c r="K350" s="39">
        <f t="shared" si="19"/>
        <v>5000</v>
      </c>
    </row>
    <row r="351" spans="1:11" ht="15" customHeight="1" x14ac:dyDescent="0.3">
      <c r="A351" s="81"/>
      <c r="B351" s="100" t="s">
        <v>824</v>
      </c>
      <c r="C351" s="85"/>
      <c r="D351" s="85"/>
      <c r="E351" s="85">
        <v>3422</v>
      </c>
      <c r="F351" s="85"/>
      <c r="G351" s="85"/>
      <c r="H351" s="85"/>
      <c r="I351" s="162">
        <f t="shared" si="20"/>
        <v>3422</v>
      </c>
      <c r="J351" s="70"/>
      <c r="K351" s="39">
        <f t="shared" si="19"/>
        <v>3422</v>
      </c>
    </row>
    <row r="352" spans="1:11" ht="15" customHeight="1" x14ac:dyDescent="0.3">
      <c r="A352" s="81"/>
      <c r="B352" s="100" t="s">
        <v>825</v>
      </c>
      <c r="C352" s="85"/>
      <c r="D352" s="85"/>
      <c r="E352" s="85">
        <v>3193</v>
      </c>
      <c r="F352" s="85"/>
      <c r="G352" s="85"/>
      <c r="H352" s="85"/>
      <c r="I352" s="162">
        <f t="shared" si="20"/>
        <v>3193</v>
      </c>
      <c r="J352" s="70"/>
      <c r="K352" s="39">
        <f t="shared" si="19"/>
        <v>3193</v>
      </c>
    </row>
    <row r="353" spans="1:11" ht="15" customHeight="1" x14ac:dyDescent="0.3">
      <c r="A353" s="81"/>
      <c r="B353" s="100" t="s">
        <v>834</v>
      </c>
      <c r="C353" s="85"/>
      <c r="D353" s="85"/>
      <c r="E353" s="85">
        <v>7036</v>
      </c>
      <c r="F353" s="85"/>
      <c r="G353" s="85"/>
      <c r="H353" s="85"/>
      <c r="I353" s="162">
        <f t="shared" si="20"/>
        <v>7036</v>
      </c>
      <c r="J353" s="70"/>
      <c r="K353" s="39">
        <f t="shared" si="19"/>
        <v>7036</v>
      </c>
    </row>
    <row r="354" spans="1:11" ht="15.75" customHeight="1" x14ac:dyDescent="0.3">
      <c r="A354" s="81"/>
      <c r="B354" s="100" t="s">
        <v>835</v>
      </c>
      <c r="C354" s="85"/>
      <c r="D354" s="85"/>
      <c r="E354" s="85">
        <v>2127</v>
      </c>
      <c r="F354" s="85"/>
      <c r="G354" s="85"/>
      <c r="H354" s="85"/>
      <c r="I354" s="162">
        <f t="shared" si="20"/>
        <v>2127</v>
      </c>
      <c r="J354" s="70"/>
      <c r="K354" s="39">
        <f t="shared" si="19"/>
        <v>2127</v>
      </c>
    </row>
    <row r="355" spans="1:11" ht="19.5" customHeight="1" x14ac:dyDescent="0.3">
      <c r="A355" s="81"/>
      <c r="B355" s="100" t="s">
        <v>836</v>
      </c>
      <c r="C355" s="85"/>
      <c r="D355" s="85"/>
      <c r="E355" s="85">
        <v>2977</v>
      </c>
      <c r="F355" s="85"/>
      <c r="G355" s="85"/>
      <c r="H355" s="85"/>
      <c r="I355" s="162">
        <f t="shared" si="20"/>
        <v>2977</v>
      </c>
      <c r="J355" s="70"/>
      <c r="K355" s="39">
        <f t="shared" si="19"/>
        <v>2977</v>
      </c>
    </row>
    <row r="356" spans="1:11" ht="18" customHeight="1" x14ac:dyDescent="0.3">
      <c r="A356" s="81"/>
      <c r="B356" s="100" t="s">
        <v>826</v>
      </c>
      <c r="C356" s="85"/>
      <c r="D356" s="85"/>
      <c r="E356" s="85">
        <v>6650</v>
      </c>
      <c r="F356" s="85"/>
      <c r="G356" s="85"/>
      <c r="H356" s="85"/>
      <c r="I356" s="162">
        <f t="shared" si="20"/>
        <v>6650</v>
      </c>
      <c r="J356" s="70"/>
      <c r="K356" s="39">
        <f t="shared" si="19"/>
        <v>6650</v>
      </c>
    </row>
    <row r="357" spans="1:11" ht="30" customHeight="1" x14ac:dyDescent="0.3">
      <c r="A357" s="81"/>
      <c r="B357" s="100" t="s">
        <v>837</v>
      </c>
      <c r="C357" s="85"/>
      <c r="D357" s="85"/>
      <c r="E357" s="85">
        <v>6463</v>
      </c>
      <c r="F357" s="85"/>
      <c r="G357" s="85"/>
      <c r="H357" s="85"/>
      <c r="I357" s="162">
        <f t="shared" si="20"/>
        <v>6463</v>
      </c>
      <c r="J357" s="70"/>
      <c r="K357" s="39">
        <f t="shared" si="19"/>
        <v>6463</v>
      </c>
    </row>
    <row r="358" spans="1:11" ht="30" customHeight="1" x14ac:dyDescent="0.3">
      <c r="A358" s="81"/>
      <c r="B358" s="100" t="s">
        <v>838</v>
      </c>
      <c r="C358" s="85"/>
      <c r="D358" s="85"/>
      <c r="E358" s="85">
        <v>4189</v>
      </c>
      <c r="F358" s="85"/>
      <c r="G358" s="85"/>
      <c r="H358" s="85"/>
      <c r="I358" s="162">
        <f t="shared" si="20"/>
        <v>4189</v>
      </c>
      <c r="J358" s="70"/>
      <c r="K358" s="39">
        <f t="shared" si="19"/>
        <v>4189</v>
      </c>
    </row>
    <row r="359" spans="1:11" ht="30" customHeight="1" x14ac:dyDescent="0.3">
      <c r="A359" s="81"/>
      <c r="B359" s="100" t="s">
        <v>839</v>
      </c>
      <c r="C359" s="85"/>
      <c r="D359" s="85"/>
      <c r="E359" s="85">
        <v>3605</v>
      </c>
      <c r="F359" s="85"/>
      <c r="G359" s="85"/>
      <c r="H359" s="85"/>
      <c r="I359" s="162">
        <f t="shared" si="20"/>
        <v>3605</v>
      </c>
      <c r="J359" s="70"/>
      <c r="K359" s="39">
        <f t="shared" si="19"/>
        <v>3605</v>
      </c>
    </row>
    <row r="360" spans="1:11" ht="30" customHeight="1" x14ac:dyDescent="0.3">
      <c r="A360" s="81"/>
      <c r="B360" s="100" t="s">
        <v>827</v>
      </c>
      <c r="C360" s="85"/>
      <c r="D360" s="85"/>
      <c r="E360" s="85">
        <v>2400</v>
      </c>
      <c r="F360" s="85"/>
      <c r="G360" s="85"/>
      <c r="H360" s="85"/>
      <c r="I360" s="162">
        <f t="shared" si="20"/>
        <v>2400</v>
      </c>
      <c r="J360" s="70"/>
      <c r="K360" s="39">
        <f t="shared" si="19"/>
        <v>2400</v>
      </c>
    </row>
    <row r="361" spans="1:11" ht="30" customHeight="1" x14ac:dyDescent="0.3">
      <c r="A361" s="81"/>
      <c r="B361" s="100" t="s">
        <v>828</v>
      </c>
      <c r="C361" s="85"/>
      <c r="D361" s="85"/>
      <c r="E361" s="85">
        <v>15900</v>
      </c>
      <c r="F361" s="85"/>
      <c r="G361" s="85"/>
      <c r="H361" s="85"/>
      <c r="I361" s="162">
        <f t="shared" ref="I361:I393" si="21">E361</f>
        <v>15900</v>
      </c>
      <c r="J361" s="70"/>
      <c r="K361" s="39">
        <f t="shared" ref="K361:K426" si="22">I361+J361</f>
        <v>15900</v>
      </c>
    </row>
    <row r="362" spans="1:11" ht="30" customHeight="1" x14ac:dyDescent="0.3">
      <c r="A362" s="81"/>
      <c r="B362" s="100" t="s">
        <v>829</v>
      </c>
      <c r="C362" s="85"/>
      <c r="D362" s="85"/>
      <c r="E362" s="85">
        <v>2560</v>
      </c>
      <c r="F362" s="85"/>
      <c r="G362" s="85"/>
      <c r="H362" s="85"/>
      <c r="I362" s="162">
        <f t="shared" si="21"/>
        <v>2560</v>
      </c>
      <c r="J362" s="70"/>
      <c r="K362" s="39">
        <f t="shared" si="22"/>
        <v>2560</v>
      </c>
    </row>
    <row r="363" spans="1:11" ht="30" customHeight="1" x14ac:dyDescent="0.3">
      <c r="A363" s="81"/>
      <c r="B363" s="100" t="s">
        <v>830</v>
      </c>
      <c r="C363" s="85"/>
      <c r="D363" s="85"/>
      <c r="E363" s="85">
        <v>8308</v>
      </c>
      <c r="F363" s="85"/>
      <c r="G363" s="85"/>
      <c r="H363" s="85"/>
      <c r="I363" s="162">
        <f t="shared" si="21"/>
        <v>8308</v>
      </c>
      <c r="J363" s="70"/>
      <c r="K363" s="39">
        <f t="shared" si="22"/>
        <v>8308</v>
      </c>
    </row>
    <row r="364" spans="1:11" ht="30" customHeight="1" x14ac:dyDescent="0.3">
      <c r="A364" s="81"/>
      <c r="B364" s="100" t="s">
        <v>845</v>
      </c>
      <c r="C364" s="85"/>
      <c r="D364" s="85"/>
      <c r="E364" s="85">
        <v>7712</v>
      </c>
      <c r="F364" s="85"/>
      <c r="G364" s="85"/>
      <c r="H364" s="85"/>
      <c r="I364" s="162">
        <f t="shared" si="21"/>
        <v>7712</v>
      </c>
      <c r="J364" s="70"/>
      <c r="K364" s="39">
        <f t="shared" si="22"/>
        <v>7712</v>
      </c>
    </row>
    <row r="365" spans="1:11" ht="30" customHeight="1" x14ac:dyDescent="0.3">
      <c r="A365" s="81"/>
      <c r="B365" s="100" t="s">
        <v>846</v>
      </c>
      <c r="C365" s="85"/>
      <c r="D365" s="85"/>
      <c r="E365" s="78">
        <v>2845</v>
      </c>
      <c r="F365" s="78"/>
      <c r="G365" s="85"/>
      <c r="H365" s="85"/>
      <c r="I365" s="162">
        <f t="shared" si="21"/>
        <v>2845</v>
      </c>
      <c r="J365" s="70"/>
      <c r="K365" s="39">
        <f t="shared" si="22"/>
        <v>2845</v>
      </c>
    </row>
    <row r="366" spans="1:11" ht="30" customHeight="1" x14ac:dyDescent="0.3">
      <c r="A366" s="81"/>
      <c r="B366" s="100" t="s">
        <v>847</v>
      </c>
      <c r="C366" s="85"/>
      <c r="D366" s="85"/>
      <c r="E366" s="85">
        <v>4230</v>
      </c>
      <c r="F366" s="85"/>
      <c r="G366" s="85"/>
      <c r="H366" s="85"/>
      <c r="I366" s="162">
        <f t="shared" si="21"/>
        <v>4230</v>
      </c>
      <c r="J366" s="70"/>
      <c r="K366" s="39">
        <f t="shared" si="22"/>
        <v>4230</v>
      </c>
    </row>
    <row r="367" spans="1:11" ht="30" customHeight="1" x14ac:dyDescent="0.3">
      <c r="A367" s="81"/>
      <c r="B367" s="100" t="s">
        <v>848</v>
      </c>
      <c r="C367" s="85"/>
      <c r="D367" s="85"/>
      <c r="E367" s="85">
        <v>3572</v>
      </c>
      <c r="F367" s="85"/>
      <c r="G367" s="85"/>
      <c r="H367" s="85"/>
      <c r="I367" s="162">
        <f t="shared" si="21"/>
        <v>3572</v>
      </c>
      <c r="J367" s="70"/>
      <c r="K367" s="39">
        <f t="shared" si="22"/>
        <v>3572</v>
      </c>
    </row>
    <row r="368" spans="1:11" ht="30" customHeight="1" x14ac:dyDescent="0.3">
      <c r="A368" s="81"/>
      <c r="B368" s="100" t="s">
        <v>849</v>
      </c>
      <c r="C368" s="85"/>
      <c r="D368" s="85"/>
      <c r="E368" s="85">
        <v>6752</v>
      </c>
      <c r="F368" s="85"/>
      <c r="G368" s="85"/>
      <c r="H368" s="85"/>
      <c r="I368" s="162">
        <f t="shared" si="21"/>
        <v>6752</v>
      </c>
      <c r="J368" s="70"/>
      <c r="K368" s="39">
        <f t="shared" si="22"/>
        <v>6752</v>
      </c>
    </row>
    <row r="369" spans="1:12" ht="30" customHeight="1" x14ac:dyDescent="0.3">
      <c r="A369" s="81"/>
      <c r="B369" s="100" t="s">
        <v>850</v>
      </c>
      <c r="C369" s="85"/>
      <c r="D369" s="85"/>
      <c r="E369" s="85">
        <v>4700</v>
      </c>
      <c r="F369" s="85"/>
      <c r="G369" s="85"/>
      <c r="H369" s="85"/>
      <c r="I369" s="162">
        <f t="shared" si="21"/>
        <v>4700</v>
      </c>
      <c r="J369" s="70"/>
      <c r="K369" s="39">
        <f t="shared" si="22"/>
        <v>4700</v>
      </c>
    </row>
    <row r="370" spans="1:12" ht="30" customHeight="1" x14ac:dyDescent="0.3">
      <c r="A370" s="81"/>
      <c r="B370" s="100" t="s">
        <v>851</v>
      </c>
      <c r="C370" s="85"/>
      <c r="D370" s="85"/>
      <c r="E370" s="85">
        <v>2718</v>
      </c>
      <c r="F370" s="85"/>
      <c r="G370" s="85"/>
      <c r="H370" s="85"/>
      <c r="I370" s="162">
        <f t="shared" si="21"/>
        <v>2718</v>
      </c>
      <c r="J370" s="70"/>
      <c r="K370" s="39">
        <f t="shared" si="22"/>
        <v>2718</v>
      </c>
    </row>
    <row r="371" spans="1:12" ht="30" customHeight="1" x14ac:dyDescent="0.3">
      <c r="A371" s="81"/>
      <c r="B371" s="100" t="s">
        <v>852</v>
      </c>
      <c r="C371" s="85"/>
      <c r="D371" s="85"/>
      <c r="E371" s="85">
        <v>8550</v>
      </c>
      <c r="F371" s="85"/>
      <c r="G371" s="85"/>
      <c r="H371" s="85"/>
      <c r="I371" s="162">
        <f t="shared" si="21"/>
        <v>8550</v>
      </c>
      <c r="J371" s="70"/>
      <c r="K371" s="39">
        <f t="shared" si="22"/>
        <v>8550</v>
      </c>
    </row>
    <row r="372" spans="1:12" ht="30" customHeight="1" x14ac:dyDescent="0.3">
      <c r="A372" s="81"/>
      <c r="B372" s="100" t="s">
        <v>853</v>
      </c>
      <c r="C372" s="85"/>
      <c r="D372" s="85"/>
      <c r="E372" s="85">
        <v>1270</v>
      </c>
      <c r="F372" s="85"/>
      <c r="G372" s="85"/>
      <c r="H372" s="85"/>
      <c r="I372" s="162">
        <f t="shared" si="21"/>
        <v>1270</v>
      </c>
      <c r="J372" s="70"/>
      <c r="K372" s="39">
        <f t="shared" si="22"/>
        <v>1270</v>
      </c>
    </row>
    <row r="373" spans="1:12" ht="15" customHeight="1" x14ac:dyDescent="0.3">
      <c r="A373" s="81"/>
      <c r="B373" s="100" t="s">
        <v>854</v>
      </c>
      <c r="C373" s="85"/>
      <c r="D373" s="85"/>
      <c r="E373" s="85">
        <v>6780</v>
      </c>
      <c r="F373" s="85"/>
      <c r="G373" s="85"/>
      <c r="H373" s="85"/>
      <c r="I373" s="162">
        <f t="shared" si="21"/>
        <v>6780</v>
      </c>
      <c r="J373" s="70"/>
      <c r="K373" s="39">
        <f t="shared" si="22"/>
        <v>6780</v>
      </c>
    </row>
    <row r="374" spans="1:12" s="72" customFormat="1" ht="15" customHeight="1" x14ac:dyDescent="0.3">
      <c r="A374" s="81"/>
      <c r="B374" s="100" t="s">
        <v>840</v>
      </c>
      <c r="C374" s="85"/>
      <c r="D374" s="85"/>
      <c r="E374" s="85">
        <v>1010</v>
      </c>
      <c r="F374" s="85"/>
      <c r="G374" s="85"/>
      <c r="H374" s="85"/>
      <c r="I374" s="162">
        <f t="shared" si="21"/>
        <v>1010</v>
      </c>
      <c r="J374" s="70"/>
      <c r="K374" s="39">
        <f t="shared" si="22"/>
        <v>1010</v>
      </c>
      <c r="L374" s="60"/>
    </row>
    <row r="375" spans="1:12" ht="15" customHeight="1" x14ac:dyDescent="0.3">
      <c r="A375" s="81"/>
      <c r="B375" s="100" t="s">
        <v>855</v>
      </c>
      <c r="C375" s="85"/>
      <c r="D375" s="85"/>
      <c r="E375" s="85">
        <v>6273</v>
      </c>
      <c r="F375" s="85"/>
      <c r="G375" s="85"/>
      <c r="H375" s="85"/>
      <c r="I375" s="162">
        <f t="shared" si="21"/>
        <v>6273</v>
      </c>
      <c r="J375" s="70"/>
      <c r="K375" s="39">
        <f t="shared" si="22"/>
        <v>6273</v>
      </c>
      <c r="L375" s="72"/>
    </row>
    <row r="376" spans="1:12" ht="15" customHeight="1" x14ac:dyDescent="0.3">
      <c r="A376" s="81"/>
      <c r="B376" s="100" t="s">
        <v>841</v>
      </c>
      <c r="C376" s="85"/>
      <c r="D376" s="85"/>
      <c r="E376" s="85">
        <v>4286</v>
      </c>
      <c r="F376" s="85"/>
      <c r="G376" s="85"/>
      <c r="H376" s="85"/>
      <c r="I376" s="162">
        <f t="shared" si="21"/>
        <v>4286</v>
      </c>
      <c r="J376" s="70"/>
      <c r="K376" s="39">
        <f t="shared" si="22"/>
        <v>4286</v>
      </c>
    </row>
    <row r="377" spans="1:12" ht="15" customHeight="1" x14ac:dyDescent="0.3">
      <c r="A377" s="81"/>
      <c r="B377" s="100" t="s">
        <v>842</v>
      </c>
      <c r="C377" s="85"/>
      <c r="D377" s="85"/>
      <c r="E377" s="85">
        <v>720</v>
      </c>
      <c r="F377" s="85"/>
      <c r="G377" s="85"/>
      <c r="H377" s="85"/>
      <c r="I377" s="162">
        <f t="shared" si="21"/>
        <v>720</v>
      </c>
      <c r="J377" s="70"/>
      <c r="K377" s="39">
        <f t="shared" si="22"/>
        <v>720</v>
      </c>
    </row>
    <row r="378" spans="1:12" ht="15" customHeight="1" x14ac:dyDescent="0.3">
      <c r="A378" s="81"/>
      <c r="B378" s="100" t="s">
        <v>856</v>
      </c>
      <c r="C378" s="85"/>
      <c r="D378" s="85"/>
      <c r="E378" s="85">
        <v>2000</v>
      </c>
      <c r="F378" s="85"/>
      <c r="G378" s="85"/>
      <c r="H378" s="85"/>
      <c r="I378" s="162">
        <f t="shared" si="21"/>
        <v>2000</v>
      </c>
      <c r="J378" s="70"/>
      <c r="K378" s="39">
        <f t="shared" si="22"/>
        <v>2000</v>
      </c>
    </row>
    <row r="379" spans="1:12" ht="15" customHeight="1" x14ac:dyDescent="0.3">
      <c r="A379" s="81"/>
      <c r="B379" s="100" t="s">
        <v>857</v>
      </c>
      <c r="C379" s="85"/>
      <c r="D379" s="85"/>
      <c r="E379" s="85">
        <v>17550</v>
      </c>
      <c r="F379" s="85"/>
      <c r="G379" s="85"/>
      <c r="H379" s="85"/>
      <c r="I379" s="162">
        <f t="shared" si="21"/>
        <v>17550</v>
      </c>
      <c r="J379" s="70"/>
      <c r="K379" s="39">
        <f t="shared" si="22"/>
        <v>17550</v>
      </c>
    </row>
    <row r="380" spans="1:12" ht="15" customHeight="1" x14ac:dyDescent="0.3">
      <c r="A380" s="81"/>
      <c r="B380" s="100" t="s">
        <v>843</v>
      </c>
      <c r="C380" s="85"/>
      <c r="D380" s="85"/>
      <c r="E380" s="85">
        <v>6665</v>
      </c>
      <c r="F380" s="85"/>
      <c r="G380" s="85"/>
      <c r="H380" s="85"/>
      <c r="I380" s="162">
        <f t="shared" si="21"/>
        <v>6665</v>
      </c>
      <c r="J380" s="70"/>
      <c r="K380" s="39">
        <f t="shared" si="22"/>
        <v>6665</v>
      </c>
    </row>
    <row r="381" spans="1:12" ht="15" customHeight="1" x14ac:dyDescent="0.3">
      <c r="A381" s="81"/>
      <c r="B381" s="100" t="s">
        <v>858</v>
      </c>
      <c r="C381" s="85"/>
      <c r="D381" s="85"/>
      <c r="E381" s="85">
        <v>7985</v>
      </c>
      <c r="F381" s="85"/>
      <c r="G381" s="85"/>
      <c r="H381" s="85"/>
      <c r="I381" s="162">
        <f t="shared" si="21"/>
        <v>7985</v>
      </c>
      <c r="J381" s="70"/>
      <c r="K381" s="39">
        <f t="shared" si="22"/>
        <v>7985</v>
      </c>
    </row>
    <row r="382" spans="1:12" ht="15" customHeight="1" x14ac:dyDescent="0.3">
      <c r="A382" s="81"/>
      <c r="B382" s="100" t="s">
        <v>859</v>
      </c>
      <c r="C382" s="85"/>
      <c r="D382" s="85"/>
      <c r="E382" s="85">
        <v>3510</v>
      </c>
      <c r="F382" s="85"/>
      <c r="G382" s="85"/>
      <c r="H382" s="85"/>
      <c r="I382" s="162">
        <f t="shared" si="21"/>
        <v>3510</v>
      </c>
      <c r="J382" s="70"/>
      <c r="K382" s="39">
        <f t="shared" si="22"/>
        <v>3510</v>
      </c>
    </row>
    <row r="383" spans="1:12" ht="15" customHeight="1" x14ac:dyDescent="0.3">
      <c r="A383" s="81"/>
      <c r="B383" s="100" t="s">
        <v>110</v>
      </c>
      <c r="C383" s="85"/>
      <c r="D383" s="85"/>
      <c r="E383" s="85">
        <v>7727</v>
      </c>
      <c r="F383" s="85"/>
      <c r="G383" s="85"/>
      <c r="H383" s="85"/>
      <c r="I383" s="162">
        <f t="shared" si="21"/>
        <v>7727</v>
      </c>
      <c r="J383" s="70"/>
      <c r="K383" s="39">
        <f t="shared" si="22"/>
        <v>7727</v>
      </c>
    </row>
    <row r="384" spans="1:12" ht="15" customHeight="1" x14ac:dyDescent="0.3">
      <c r="A384" s="81"/>
      <c r="B384" s="100" t="s">
        <v>213</v>
      </c>
      <c r="C384" s="85"/>
      <c r="D384" s="85"/>
      <c r="E384" s="85">
        <v>0</v>
      </c>
      <c r="F384" s="85">
        <v>17500</v>
      </c>
      <c r="G384" s="85"/>
      <c r="H384" s="85"/>
      <c r="I384" s="162">
        <f t="shared" si="21"/>
        <v>0</v>
      </c>
      <c r="J384" s="39">
        <f>F384+H384</f>
        <v>17500</v>
      </c>
      <c r="K384" s="39">
        <f t="shared" si="22"/>
        <v>17500</v>
      </c>
    </row>
    <row r="385" spans="1:12" ht="15" customHeight="1" x14ac:dyDescent="0.3">
      <c r="A385" s="82" t="s">
        <v>522</v>
      </c>
      <c r="B385" s="82" t="s">
        <v>523</v>
      </c>
      <c r="C385" s="84"/>
      <c r="D385" s="84"/>
      <c r="E385" s="84">
        <f>SUM(E386:E393)</f>
        <v>786007</v>
      </c>
      <c r="F385" s="84"/>
      <c r="G385" s="84"/>
      <c r="H385" s="84"/>
      <c r="I385" s="161">
        <f t="shared" si="21"/>
        <v>786007</v>
      </c>
      <c r="J385" s="69"/>
      <c r="K385" s="175">
        <f t="shared" si="22"/>
        <v>786007</v>
      </c>
    </row>
    <row r="386" spans="1:12" ht="15" customHeight="1" x14ac:dyDescent="0.3">
      <c r="A386" s="81"/>
      <c r="B386" s="100" t="s">
        <v>518</v>
      </c>
      <c r="C386" s="85"/>
      <c r="D386" s="85"/>
      <c r="E386" s="78">
        <v>781492</v>
      </c>
      <c r="F386" s="78"/>
      <c r="G386" s="85"/>
      <c r="H386" s="85"/>
      <c r="I386" s="162">
        <f t="shared" si="21"/>
        <v>781492</v>
      </c>
      <c r="J386" s="70"/>
      <c r="K386" s="39">
        <f t="shared" si="22"/>
        <v>781492</v>
      </c>
    </row>
    <row r="387" spans="1:12" ht="15" customHeight="1" x14ac:dyDescent="0.3">
      <c r="A387" s="81"/>
      <c r="B387" s="102" t="s">
        <v>21</v>
      </c>
      <c r="C387" s="85"/>
      <c r="D387" s="85"/>
      <c r="E387" s="78">
        <v>170</v>
      </c>
      <c r="F387" s="78"/>
      <c r="G387" s="85"/>
      <c r="H387" s="85"/>
      <c r="I387" s="162">
        <f t="shared" si="21"/>
        <v>170</v>
      </c>
      <c r="J387" s="70"/>
      <c r="K387" s="39">
        <f t="shared" si="22"/>
        <v>170</v>
      </c>
    </row>
    <row r="388" spans="1:12" ht="15" customHeight="1" x14ac:dyDescent="0.3">
      <c r="A388" s="81"/>
      <c r="B388" s="100" t="s">
        <v>22</v>
      </c>
      <c r="C388" s="85"/>
      <c r="D388" s="85"/>
      <c r="E388" s="78">
        <v>941</v>
      </c>
      <c r="F388" s="78"/>
      <c r="G388" s="85"/>
      <c r="H388" s="85"/>
      <c r="I388" s="162">
        <f t="shared" si="21"/>
        <v>941</v>
      </c>
      <c r="J388" s="70"/>
      <c r="K388" s="39">
        <f t="shared" si="22"/>
        <v>941</v>
      </c>
    </row>
    <row r="389" spans="1:12" ht="15" customHeight="1" x14ac:dyDescent="0.3">
      <c r="A389" s="81"/>
      <c r="B389" s="100" t="s">
        <v>24</v>
      </c>
      <c r="C389" s="85"/>
      <c r="D389" s="85"/>
      <c r="E389" s="78">
        <v>225</v>
      </c>
      <c r="F389" s="78"/>
      <c r="G389" s="85"/>
      <c r="H389" s="85"/>
      <c r="I389" s="162">
        <f t="shared" si="21"/>
        <v>225</v>
      </c>
      <c r="J389" s="70"/>
      <c r="K389" s="39">
        <f t="shared" si="22"/>
        <v>225</v>
      </c>
    </row>
    <row r="390" spans="1:12" ht="15" customHeight="1" x14ac:dyDescent="0.3">
      <c r="A390" s="81"/>
      <c r="B390" s="100" t="s">
        <v>23</v>
      </c>
      <c r="C390" s="85"/>
      <c r="D390" s="85"/>
      <c r="E390" s="78">
        <v>2191</v>
      </c>
      <c r="F390" s="78"/>
      <c r="G390" s="85"/>
      <c r="H390" s="85"/>
      <c r="I390" s="162">
        <f t="shared" si="21"/>
        <v>2191</v>
      </c>
      <c r="J390" s="70"/>
      <c r="K390" s="39">
        <f t="shared" si="22"/>
        <v>2191</v>
      </c>
    </row>
    <row r="391" spans="1:12" ht="15" customHeight="1" x14ac:dyDescent="0.3">
      <c r="A391" s="81"/>
      <c r="B391" s="100" t="s">
        <v>25</v>
      </c>
      <c r="C391" s="85"/>
      <c r="D391" s="85"/>
      <c r="E391" s="78">
        <v>295</v>
      </c>
      <c r="F391" s="78"/>
      <c r="G391" s="85"/>
      <c r="H391" s="85"/>
      <c r="I391" s="162">
        <f t="shared" si="21"/>
        <v>295</v>
      </c>
      <c r="J391" s="70"/>
      <c r="K391" s="39">
        <f t="shared" si="22"/>
        <v>295</v>
      </c>
    </row>
    <row r="392" spans="1:12" ht="15" customHeight="1" x14ac:dyDescent="0.3">
      <c r="A392" s="81"/>
      <c r="B392" s="100" t="s">
        <v>26</v>
      </c>
      <c r="C392" s="85"/>
      <c r="D392" s="85"/>
      <c r="E392" s="78">
        <v>627</v>
      </c>
      <c r="F392" s="78"/>
      <c r="G392" s="85"/>
      <c r="H392" s="85"/>
      <c r="I392" s="162">
        <f t="shared" si="21"/>
        <v>627</v>
      </c>
      <c r="J392" s="70"/>
      <c r="K392" s="39">
        <f t="shared" si="22"/>
        <v>627</v>
      </c>
    </row>
    <row r="393" spans="1:12" ht="15" customHeight="1" x14ac:dyDescent="0.3">
      <c r="A393" s="81"/>
      <c r="B393" s="100" t="s">
        <v>28</v>
      </c>
      <c r="C393" s="85"/>
      <c r="D393" s="85"/>
      <c r="E393" s="78">
        <v>66</v>
      </c>
      <c r="F393" s="78"/>
      <c r="G393" s="85"/>
      <c r="H393" s="85"/>
      <c r="I393" s="162">
        <f t="shared" si="21"/>
        <v>66</v>
      </c>
      <c r="J393" s="70"/>
      <c r="K393" s="39">
        <f t="shared" si="22"/>
        <v>66</v>
      </c>
    </row>
    <row r="394" spans="1:12" ht="54.75" customHeight="1" x14ac:dyDescent="0.3">
      <c r="A394" s="82" t="s">
        <v>660</v>
      </c>
      <c r="B394" s="83" t="s">
        <v>661</v>
      </c>
      <c r="C394" s="85"/>
      <c r="D394" s="85"/>
      <c r="E394" s="84">
        <f>SUM(E395:E396)</f>
        <v>6094</v>
      </c>
      <c r="F394" s="84">
        <f>SUM(F395:F396)</f>
        <v>0</v>
      </c>
      <c r="G394" s="85"/>
      <c r="H394" s="84">
        <f>H395</f>
        <v>0</v>
      </c>
      <c r="I394" s="161">
        <f>SUM(I395:I396)</f>
        <v>6094</v>
      </c>
      <c r="J394" s="161">
        <f>SUM(J395:J396)</f>
        <v>0</v>
      </c>
      <c r="K394" s="84">
        <f>I394+J394</f>
        <v>6094</v>
      </c>
    </row>
    <row r="395" spans="1:12" ht="24.75" customHeight="1" x14ac:dyDescent="0.3">
      <c r="A395" s="82"/>
      <c r="B395" s="109" t="s">
        <v>767</v>
      </c>
      <c r="C395" s="85"/>
      <c r="D395" s="85"/>
      <c r="E395" s="85">
        <v>3669</v>
      </c>
      <c r="F395" s="85"/>
      <c r="G395" s="85"/>
      <c r="H395" s="85"/>
      <c r="I395" s="162">
        <f>E395</f>
        <v>3669</v>
      </c>
      <c r="J395" s="39">
        <f>F395</f>
        <v>0</v>
      </c>
      <c r="K395" s="39">
        <f>I395+J395</f>
        <v>3669</v>
      </c>
    </row>
    <row r="396" spans="1:12" ht="26.25" customHeight="1" x14ac:dyDescent="0.3">
      <c r="A396" s="82"/>
      <c r="B396" s="100" t="s">
        <v>662</v>
      </c>
      <c r="C396" s="85"/>
      <c r="D396" s="85"/>
      <c r="E396" s="85">
        <v>2425</v>
      </c>
      <c r="F396" s="85"/>
      <c r="G396" s="85"/>
      <c r="H396" s="85"/>
      <c r="I396" s="162">
        <f>E396</f>
        <v>2425</v>
      </c>
      <c r="J396" s="70"/>
      <c r="K396" s="39">
        <f>I396+J396</f>
        <v>2425</v>
      </c>
    </row>
    <row r="397" spans="1:12" s="73" customFormat="1" ht="15" customHeight="1" x14ac:dyDescent="0.3">
      <c r="A397" s="82" t="s">
        <v>524</v>
      </c>
      <c r="B397" s="83" t="s">
        <v>525</v>
      </c>
      <c r="C397" s="84"/>
      <c r="D397" s="84"/>
      <c r="E397" s="84">
        <f>E398+E405+E406+E434</f>
        <v>337961</v>
      </c>
      <c r="F397" s="84">
        <f>F398+F405+F406+F434</f>
        <v>0</v>
      </c>
      <c r="G397" s="84"/>
      <c r="H397" s="84"/>
      <c r="I397" s="161">
        <f t="shared" ref="I397:J427" si="23">E397</f>
        <v>337961</v>
      </c>
      <c r="J397" s="161">
        <f t="shared" si="23"/>
        <v>0</v>
      </c>
      <c r="K397" s="84">
        <f t="shared" si="22"/>
        <v>337961</v>
      </c>
      <c r="L397" s="60"/>
    </row>
    <row r="398" spans="1:12" ht="15" customHeight="1" x14ac:dyDescent="0.3">
      <c r="A398" s="82" t="s">
        <v>526</v>
      </c>
      <c r="B398" s="83" t="s">
        <v>527</v>
      </c>
      <c r="C398" s="84"/>
      <c r="D398" s="84"/>
      <c r="E398" s="84">
        <f>SUM(E399:E404)</f>
        <v>21419</v>
      </c>
      <c r="F398" s="84">
        <f>SUM(F399:F404)</f>
        <v>0</v>
      </c>
      <c r="G398" s="84"/>
      <c r="H398" s="84"/>
      <c r="I398" s="161">
        <f t="shared" si="23"/>
        <v>21419</v>
      </c>
      <c r="J398" s="161">
        <f t="shared" si="23"/>
        <v>0</v>
      </c>
      <c r="K398" s="175">
        <f t="shared" si="22"/>
        <v>21419</v>
      </c>
      <c r="L398" s="73"/>
    </row>
    <row r="399" spans="1:12" ht="15" customHeight="1" x14ac:dyDescent="0.35">
      <c r="A399" s="81"/>
      <c r="B399" s="100" t="s">
        <v>83</v>
      </c>
      <c r="C399" s="85"/>
      <c r="D399" s="85"/>
      <c r="E399" s="85">
        <v>6047</v>
      </c>
      <c r="F399" s="85"/>
      <c r="G399" s="85"/>
      <c r="H399" s="85"/>
      <c r="I399" s="162">
        <f t="shared" si="23"/>
        <v>6047</v>
      </c>
      <c r="J399" s="169"/>
      <c r="K399" s="39">
        <f t="shared" si="22"/>
        <v>6047</v>
      </c>
    </row>
    <row r="400" spans="1:12" ht="15" customHeight="1" x14ac:dyDescent="0.3">
      <c r="A400" s="81"/>
      <c r="B400" s="100" t="s">
        <v>153</v>
      </c>
      <c r="C400" s="85"/>
      <c r="D400" s="85"/>
      <c r="E400" s="85">
        <v>6156</v>
      </c>
      <c r="F400" s="85"/>
      <c r="G400" s="85"/>
      <c r="H400" s="85"/>
      <c r="I400" s="162">
        <f t="shared" si="23"/>
        <v>6156</v>
      </c>
      <c r="J400" s="70"/>
      <c r="K400" s="39">
        <f t="shared" si="22"/>
        <v>6156</v>
      </c>
    </row>
    <row r="401" spans="1:11" ht="15" customHeight="1" x14ac:dyDescent="0.3">
      <c r="A401" s="81"/>
      <c r="B401" s="100" t="s">
        <v>213</v>
      </c>
      <c r="C401" s="85"/>
      <c r="D401" s="85"/>
      <c r="E401" s="85">
        <v>1688</v>
      </c>
      <c r="F401" s="85"/>
      <c r="G401" s="85"/>
      <c r="H401" s="85"/>
      <c r="I401" s="162">
        <f t="shared" si="23"/>
        <v>1688</v>
      </c>
      <c r="J401" s="70"/>
      <c r="K401" s="39">
        <f t="shared" si="22"/>
        <v>1688</v>
      </c>
    </row>
    <row r="402" spans="1:11" ht="16.5" customHeight="1" x14ac:dyDescent="0.3">
      <c r="A402" s="81"/>
      <c r="B402" s="102" t="s">
        <v>148</v>
      </c>
      <c r="C402" s="85"/>
      <c r="D402" s="85"/>
      <c r="E402" s="85">
        <v>2550</v>
      </c>
      <c r="F402" s="85"/>
      <c r="G402" s="85"/>
      <c r="H402" s="85"/>
      <c r="I402" s="162">
        <f t="shared" si="23"/>
        <v>2550</v>
      </c>
      <c r="J402" s="70"/>
      <c r="K402" s="39">
        <f t="shared" si="22"/>
        <v>2550</v>
      </c>
    </row>
    <row r="403" spans="1:11" ht="15" customHeight="1" x14ac:dyDescent="0.3">
      <c r="A403" s="81"/>
      <c r="B403" s="102" t="s">
        <v>143</v>
      </c>
      <c r="C403" s="85"/>
      <c r="D403" s="85"/>
      <c r="E403" s="85">
        <v>1560</v>
      </c>
      <c r="F403" s="85"/>
      <c r="G403" s="85"/>
      <c r="H403" s="85"/>
      <c r="I403" s="162">
        <f t="shared" si="23"/>
        <v>1560</v>
      </c>
      <c r="J403" s="70"/>
      <c r="K403" s="39">
        <f t="shared" si="22"/>
        <v>1560</v>
      </c>
    </row>
    <row r="404" spans="1:11" ht="15" customHeight="1" x14ac:dyDescent="0.3">
      <c r="A404" s="81"/>
      <c r="B404" s="102" t="s">
        <v>154</v>
      </c>
      <c r="C404" s="85"/>
      <c r="D404" s="85"/>
      <c r="E404" s="85">
        <f>1660+1758</f>
        <v>3418</v>
      </c>
      <c r="F404" s="85"/>
      <c r="G404" s="85"/>
      <c r="H404" s="85"/>
      <c r="I404" s="162">
        <f t="shared" si="23"/>
        <v>3418</v>
      </c>
      <c r="J404" s="39"/>
      <c r="K404" s="39">
        <f t="shared" si="22"/>
        <v>3418</v>
      </c>
    </row>
    <row r="405" spans="1:11" ht="15" customHeight="1" x14ac:dyDescent="0.3">
      <c r="A405" s="82" t="s">
        <v>528</v>
      </c>
      <c r="B405" s="153" t="s">
        <v>529</v>
      </c>
      <c r="C405" s="84"/>
      <c r="D405" s="84"/>
      <c r="E405" s="84">
        <v>75000</v>
      </c>
      <c r="F405" s="84"/>
      <c r="G405" s="84"/>
      <c r="H405" s="84"/>
      <c r="I405" s="161">
        <f t="shared" si="23"/>
        <v>75000</v>
      </c>
      <c r="J405" s="70"/>
      <c r="K405" s="175">
        <f t="shared" si="22"/>
        <v>75000</v>
      </c>
    </row>
    <row r="406" spans="1:11" ht="15" customHeight="1" x14ac:dyDescent="0.3">
      <c r="A406" s="82" t="s">
        <v>530</v>
      </c>
      <c r="B406" s="82" t="s">
        <v>531</v>
      </c>
      <c r="C406" s="84"/>
      <c r="D406" s="84"/>
      <c r="E406" s="84">
        <f>SUM(E407:E433)</f>
        <v>190728</v>
      </c>
      <c r="F406" s="84">
        <f>SUM(F407:F433)</f>
        <v>0</v>
      </c>
      <c r="G406" s="84"/>
      <c r="H406" s="84"/>
      <c r="I406" s="161">
        <f t="shared" si="23"/>
        <v>190728</v>
      </c>
      <c r="J406" s="161">
        <f t="shared" si="23"/>
        <v>0</v>
      </c>
      <c r="K406" s="175">
        <f t="shared" si="22"/>
        <v>190728</v>
      </c>
    </row>
    <row r="407" spans="1:11" ht="15" customHeight="1" x14ac:dyDescent="0.3">
      <c r="A407" s="81"/>
      <c r="B407" s="102" t="s">
        <v>168</v>
      </c>
      <c r="C407" s="85"/>
      <c r="D407" s="85"/>
      <c r="E407" s="85">
        <v>21000</v>
      </c>
      <c r="F407" s="85"/>
      <c r="G407" s="85"/>
      <c r="H407" s="85"/>
      <c r="I407" s="162">
        <f t="shared" si="23"/>
        <v>21000</v>
      </c>
      <c r="J407" s="166"/>
      <c r="K407" s="39">
        <f t="shared" si="22"/>
        <v>21000</v>
      </c>
    </row>
    <row r="408" spans="1:11" ht="15" customHeight="1" x14ac:dyDescent="0.3">
      <c r="A408" s="81"/>
      <c r="B408" s="102" t="s">
        <v>15</v>
      </c>
      <c r="C408" s="85"/>
      <c r="D408" s="85"/>
      <c r="E408" s="85">
        <v>1200</v>
      </c>
      <c r="F408" s="85"/>
      <c r="G408" s="85"/>
      <c r="H408" s="85"/>
      <c r="I408" s="162">
        <f t="shared" si="23"/>
        <v>1200</v>
      </c>
      <c r="J408" s="70"/>
      <c r="K408" s="39">
        <f t="shared" si="22"/>
        <v>1200</v>
      </c>
    </row>
    <row r="409" spans="1:11" ht="15" customHeight="1" x14ac:dyDescent="0.3">
      <c r="A409" s="81"/>
      <c r="B409" s="102" t="s">
        <v>532</v>
      </c>
      <c r="C409" s="85"/>
      <c r="D409" s="85"/>
      <c r="E409" s="85">
        <v>18500</v>
      </c>
      <c r="F409" s="85"/>
      <c r="G409" s="85"/>
      <c r="H409" s="85"/>
      <c r="I409" s="162">
        <f t="shared" si="23"/>
        <v>18500</v>
      </c>
      <c r="J409" s="70"/>
      <c r="K409" s="39">
        <f t="shared" si="22"/>
        <v>18500</v>
      </c>
    </row>
    <row r="410" spans="1:11" ht="15" customHeight="1" x14ac:dyDescent="0.3">
      <c r="A410" s="81"/>
      <c r="B410" s="102" t="s">
        <v>518</v>
      </c>
      <c r="C410" s="85"/>
      <c r="D410" s="85"/>
      <c r="E410" s="85">
        <f>5186+95100+9380</f>
        <v>109666</v>
      </c>
      <c r="F410" s="85"/>
      <c r="G410" s="85"/>
      <c r="H410" s="85"/>
      <c r="I410" s="162">
        <f t="shared" si="23"/>
        <v>109666</v>
      </c>
      <c r="J410" s="70"/>
      <c r="K410" s="39">
        <f t="shared" si="22"/>
        <v>109666</v>
      </c>
    </row>
    <row r="411" spans="1:11" ht="15" customHeight="1" x14ac:dyDescent="0.3">
      <c r="A411" s="81"/>
      <c r="B411" s="103" t="s">
        <v>697</v>
      </c>
      <c r="C411" s="85"/>
      <c r="D411" s="85"/>
      <c r="E411" s="85">
        <v>600</v>
      </c>
      <c r="F411" s="85"/>
      <c r="G411" s="85"/>
      <c r="H411" s="85"/>
      <c r="I411" s="162">
        <f t="shared" si="23"/>
        <v>600</v>
      </c>
      <c r="J411" s="70"/>
      <c r="K411" s="39">
        <f t="shared" si="22"/>
        <v>600</v>
      </c>
    </row>
    <row r="412" spans="1:11" ht="19.5" customHeight="1" x14ac:dyDescent="0.3">
      <c r="A412" s="81"/>
      <c r="B412" s="100" t="s">
        <v>715</v>
      </c>
      <c r="C412" s="85"/>
      <c r="D412" s="85"/>
      <c r="E412" s="85">
        <v>1510</v>
      </c>
      <c r="F412" s="85"/>
      <c r="G412" s="85"/>
      <c r="H412" s="85"/>
      <c r="I412" s="162">
        <f t="shared" si="23"/>
        <v>1510</v>
      </c>
      <c r="J412" s="70"/>
      <c r="K412" s="39">
        <f t="shared" si="22"/>
        <v>1510</v>
      </c>
    </row>
    <row r="413" spans="1:11" ht="15" customHeight="1" x14ac:dyDescent="0.3">
      <c r="A413" s="81"/>
      <c r="B413" s="102" t="s">
        <v>614</v>
      </c>
      <c r="C413" s="85"/>
      <c r="D413" s="85"/>
      <c r="E413" s="85">
        <v>367</v>
      </c>
      <c r="F413" s="85"/>
      <c r="G413" s="85"/>
      <c r="H413" s="85"/>
      <c r="I413" s="162">
        <f t="shared" si="23"/>
        <v>367</v>
      </c>
      <c r="J413" s="70"/>
      <c r="K413" s="39">
        <f t="shared" si="22"/>
        <v>367</v>
      </c>
    </row>
    <row r="414" spans="1:11" ht="15" customHeight="1" x14ac:dyDescent="0.3">
      <c r="A414" s="81"/>
      <c r="B414" s="103" t="s">
        <v>152</v>
      </c>
      <c r="C414" s="85"/>
      <c r="D414" s="85"/>
      <c r="E414" s="85">
        <v>600</v>
      </c>
      <c r="F414" s="85"/>
      <c r="G414" s="85"/>
      <c r="H414" s="85"/>
      <c r="I414" s="162">
        <f t="shared" si="23"/>
        <v>600</v>
      </c>
      <c r="J414" s="70"/>
      <c r="K414" s="39">
        <f t="shared" si="22"/>
        <v>600</v>
      </c>
    </row>
    <row r="415" spans="1:11" ht="21.75" customHeight="1" x14ac:dyDescent="0.3">
      <c r="A415" s="81"/>
      <c r="B415" s="102" t="s">
        <v>670</v>
      </c>
      <c r="C415" s="85"/>
      <c r="D415" s="85"/>
      <c r="E415" s="85">
        <v>1500</v>
      </c>
      <c r="F415" s="85"/>
      <c r="G415" s="85"/>
      <c r="H415" s="85"/>
      <c r="I415" s="162">
        <f t="shared" si="23"/>
        <v>1500</v>
      </c>
      <c r="J415" s="70"/>
      <c r="K415" s="39">
        <f t="shared" si="22"/>
        <v>1500</v>
      </c>
    </row>
    <row r="416" spans="1:11" ht="30" customHeight="1" x14ac:dyDescent="0.3">
      <c r="A416" s="81"/>
      <c r="B416" s="102" t="s">
        <v>698</v>
      </c>
      <c r="C416" s="85"/>
      <c r="D416" s="85"/>
      <c r="E416" s="85">
        <v>1800</v>
      </c>
      <c r="F416" s="85"/>
      <c r="G416" s="85"/>
      <c r="H416" s="85"/>
      <c r="I416" s="162">
        <f t="shared" si="23"/>
        <v>1800</v>
      </c>
      <c r="J416" s="70"/>
      <c r="K416" s="39">
        <f t="shared" si="22"/>
        <v>1800</v>
      </c>
    </row>
    <row r="417" spans="1:11" ht="30" customHeight="1" x14ac:dyDescent="0.3">
      <c r="A417" s="81"/>
      <c r="B417" s="100" t="s">
        <v>699</v>
      </c>
      <c r="C417" s="85"/>
      <c r="D417" s="85"/>
      <c r="E417" s="85">
        <v>400</v>
      </c>
      <c r="F417" s="85"/>
      <c r="G417" s="85"/>
      <c r="H417" s="85"/>
      <c r="I417" s="162">
        <f t="shared" si="23"/>
        <v>400</v>
      </c>
      <c r="J417" s="70"/>
      <c r="K417" s="39">
        <f t="shared" si="22"/>
        <v>400</v>
      </c>
    </row>
    <row r="418" spans="1:11" ht="30" customHeight="1" x14ac:dyDescent="0.3">
      <c r="A418" s="81"/>
      <c r="B418" s="100" t="s">
        <v>291</v>
      </c>
      <c r="C418" s="85"/>
      <c r="D418" s="85"/>
      <c r="E418" s="85">
        <v>1800</v>
      </c>
      <c r="F418" s="85"/>
      <c r="G418" s="85"/>
      <c r="H418" s="85"/>
      <c r="I418" s="162">
        <f t="shared" si="23"/>
        <v>1800</v>
      </c>
      <c r="J418" s="70"/>
      <c r="K418" s="39">
        <f t="shared" si="22"/>
        <v>1800</v>
      </c>
    </row>
    <row r="419" spans="1:11" ht="30" customHeight="1" x14ac:dyDescent="0.3">
      <c r="A419" s="81"/>
      <c r="B419" s="103" t="s">
        <v>688</v>
      </c>
      <c r="C419" s="85"/>
      <c r="D419" s="85"/>
      <c r="E419" s="85">
        <v>100</v>
      </c>
      <c r="F419" s="85"/>
      <c r="G419" s="85"/>
      <c r="H419" s="85"/>
      <c r="I419" s="162">
        <f t="shared" si="23"/>
        <v>100</v>
      </c>
      <c r="J419" s="70"/>
      <c r="K419" s="39">
        <f t="shared" si="22"/>
        <v>100</v>
      </c>
    </row>
    <row r="420" spans="1:11" ht="30" customHeight="1" x14ac:dyDescent="0.3">
      <c r="A420" s="81"/>
      <c r="B420" s="102" t="s">
        <v>708</v>
      </c>
      <c r="C420" s="85"/>
      <c r="D420" s="85"/>
      <c r="E420" s="85">
        <v>200</v>
      </c>
      <c r="F420" s="85"/>
      <c r="G420" s="85"/>
      <c r="H420" s="85"/>
      <c r="I420" s="162">
        <f t="shared" si="23"/>
        <v>200</v>
      </c>
      <c r="J420" s="70"/>
      <c r="K420" s="39">
        <f t="shared" si="22"/>
        <v>200</v>
      </c>
    </row>
    <row r="421" spans="1:11" ht="30" customHeight="1" x14ac:dyDescent="0.3">
      <c r="A421" s="81"/>
      <c r="B421" s="103" t="s">
        <v>707</v>
      </c>
      <c r="C421" s="85"/>
      <c r="D421" s="85"/>
      <c r="E421" s="78">
        <v>1000</v>
      </c>
      <c r="F421" s="78"/>
      <c r="G421" s="85"/>
      <c r="H421" s="85"/>
      <c r="I421" s="162">
        <f t="shared" si="23"/>
        <v>1000</v>
      </c>
      <c r="J421" s="70"/>
      <c r="K421" s="39">
        <f t="shared" si="22"/>
        <v>1000</v>
      </c>
    </row>
    <row r="422" spans="1:11" ht="30" customHeight="1" x14ac:dyDescent="0.3">
      <c r="A422" s="81"/>
      <c r="B422" s="103" t="s">
        <v>706</v>
      </c>
      <c r="C422" s="85"/>
      <c r="D422" s="85"/>
      <c r="E422" s="85">
        <f>5000+500</f>
        <v>5500</v>
      </c>
      <c r="F422" s="85"/>
      <c r="G422" s="85"/>
      <c r="H422" s="85"/>
      <c r="I422" s="162">
        <f t="shared" si="23"/>
        <v>5500</v>
      </c>
      <c r="J422" s="70"/>
      <c r="K422" s="39">
        <f t="shared" si="22"/>
        <v>5500</v>
      </c>
    </row>
    <row r="423" spans="1:11" ht="30" customHeight="1" x14ac:dyDescent="0.3">
      <c r="A423" s="81"/>
      <c r="B423" s="103" t="s">
        <v>700</v>
      </c>
      <c r="C423" s="85"/>
      <c r="D423" s="85"/>
      <c r="E423" s="85">
        <v>1300</v>
      </c>
      <c r="F423" s="85"/>
      <c r="G423" s="85"/>
      <c r="H423" s="85"/>
      <c r="I423" s="162">
        <f t="shared" si="23"/>
        <v>1300</v>
      </c>
      <c r="J423" s="70"/>
      <c r="K423" s="39">
        <f t="shared" si="22"/>
        <v>1300</v>
      </c>
    </row>
    <row r="424" spans="1:11" ht="15" customHeight="1" x14ac:dyDescent="0.3">
      <c r="A424" s="81"/>
      <c r="B424" s="100" t="s">
        <v>627</v>
      </c>
      <c r="C424" s="85"/>
      <c r="D424" s="85"/>
      <c r="E424" s="85">
        <v>300</v>
      </c>
      <c r="F424" s="85"/>
      <c r="G424" s="85"/>
      <c r="H424" s="85"/>
      <c r="I424" s="162">
        <f t="shared" si="23"/>
        <v>300</v>
      </c>
      <c r="J424" s="70"/>
      <c r="K424" s="39">
        <f t="shared" si="22"/>
        <v>300</v>
      </c>
    </row>
    <row r="425" spans="1:11" ht="20.25" customHeight="1" x14ac:dyDescent="0.3">
      <c r="A425" s="81"/>
      <c r="B425" s="100" t="s">
        <v>84</v>
      </c>
      <c r="C425" s="85"/>
      <c r="D425" s="85"/>
      <c r="E425" s="85">
        <v>8691</v>
      </c>
      <c r="F425" s="85"/>
      <c r="G425" s="85"/>
      <c r="H425" s="85"/>
      <c r="I425" s="162">
        <f t="shared" si="23"/>
        <v>8691</v>
      </c>
      <c r="J425" s="70"/>
      <c r="K425" s="39">
        <f t="shared" si="22"/>
        <v>8691</v>
      </c>
    </row>
    <row r="426" spans="1:11" ht="30.75" customHeight="1" x14ac:dyDescent="0.3">
      <c r="A426" s="81"/>
      <c r="B426" s="100" t="s">
        <v>701</v>
      </c>
      <c r="C426" s="85"/>
      <c r="D426" s="85"/>
      <c r="E426" s="85">
        <v>200</v>
      </c>
      <c r="F426" s="85"/>
      <c r="G426" s="85"/>
      <c r="H426" s="85"/>
      <c r="I426" s="162">
        <f t="shared" si="23"/>
        <v>200</v>
      </c>
      <c r="J426" s="70"/>
      <c r="K426" s="39">
        <f t="shared" si="22"/>
        <v>200</v>
      </c>
    </row>
    <row r="427" spans="1:11" ht="28.5" customHeight="1" x14ac:dyDescent="0.3">
      <c r="A427" s="81"/>
      <c r="B427" s="100" t="s">
        <v>702</v>
      </c>
      <c r="C427" s="85"/>
      <c r="D427" s="85"/>
      <c r="E427" s="85">
        <v>900</v>
      </c>
      <c r="F427" s="85"/>
      <c r="G427" s="85"/>
      <c r="H427" s="85"/>
      <c r="I427" s="162">
        <f t="shared" si="23"/>
        <v>900</v>
      </c>
      <c r="J427" s="70"/>
      <c r="K427" s="39">
        <f t="shared" ref="K427:K458" si="24">I427+J427</f>
        <v>900</v>
      </c>
    </row>
    <row r="428" spans="1:11" ht="33" customHeight="1" x14ac:dyDescent="0.3">
      <c r="A428" s="81"/>
      <c r="B428" s="100" t="s">
        <v>703</v>
      </c>
      <c r="C428" s="85"/>
      <c r="D428" s="85"/>
      <c r="E428" s="85">
        <v>300</v>
      </c>
      <c r="F428" s="85"/>
      <c r="G428" s="85"/>
      <c r="H428" s="85"/>
      <c r="I428" s="162">
        <f t="shared" ref="I428:J458" si="25">E428</f>
        <v>300</v>
      </c>
      <c r="J428" s="70"/>
      <c r="K428" s="39">
        <f t="shared" si="24"/>
        <v>300</v>
      </c>
    </row>
    <row r="429" spans="1:11" ht="15" customHeight="1" x14ac:dyDescent="0.3">
      <c r="A429" s="81"/>
      <c r="B429" s="100" t="s">
        <v>630</v>
      </c>
      <c r="C429" s="85"/>
      <c r="D429" s="85"/>
      <c r="E429" s="85">
        <v>1000</v>
      </c>
      <c r="F429" s="85"/>
      <c r="G429" s="85"/>
      <c r="H429" s="85"/>
      <c r="I429" s="162">
        <f t="shared" si="25"/>
        <v>1000</v>
      </c>
      <c r="J429" s="70"/>
      <c r="K429" s="39">
        <f t="shared" si="24"/>
        <v>1000</v>
      </c>
    </row>
    <row r="430" spans="1:11" ht="15" customHeight="1" x14ac:dyDescent="0.3">
      <c r="A430" s="81"/>
      <c r="B430" s="100" t="s">
        <v>154</v>
      </c>
      <c r="C430" s="85"/>
      <c r="D430" s="85"/>
      <c r="E430" s="78">
        <f>1000+8494</f>
        <v>9494</v>
      </c>
      <c r="F430" s="78"/>
      <c r="G430" s="85"/>
      <c r="H430" s="85"/>
      <c r="I430" s="162">
        <f t="shared" si="25"/>
        <v>9494</v>
      </c>
      <c r="J430" s="39">
        <f>F430</f>
        <v>0</v>
      </c>
      <c r="K430" s="39">
        <f t="shared" si="24"/>
        <v>9494</v>
      </c>
    </row>
    <row r="431" spans="1:11" x14ac:dyDescent="0.3">
      <c r="A431" s="81"/>
      <c r="B431" s="103" t="s">
        <v>704</v>
      </c>
      <c r="C431" s="85"/>
      <c r="D431" s="85"/>
      <c r="E431" s="85">
        <v>1000</v>
      </c>
      <c r="F431" s="85"/>
      <c r="G431" s="85"/>
      <c r="H431" s="85"/>
      <c r="I431" s="162">
        <f t="shared" si="25"/>
        <v>1000</v>
      </c>
      <c r="J431" s="70"/>
      <c r="K431" s="39">
        <f t="shared" si="24"/>
        <v>1000</v>
      </c>
    </row>
    <row r="432" spans="1:11" ht="33.6" customHeight="1" x14ac:dyDescent="0.3">
      <c r="A432" s="81"/>
      <c r="B432" s="100" t="s">
        <v>705</v>
      </c>
      <c r="C432" s="85"/>
      <c r="D432" s="85"/>
      <c r="E432" s="85">
        <v>1400</v>
      </c>
      <c r="F432" s="85"/>
      <c r="G432" s="85"/>
      <c r="H432" s="85"/>
      <c r="I432" s="162">
        <f t="shared" si="25"/>
        <v>1400</v>
      </c>
      <c r="J432" s="70"/>
      <c r="K432" s="39">
        <f t="shared" si="24"/>
        <v>1400</v>
      </c>
    </row>
    <row r="433" spans="1:11" ht="30.6" customHeight="1" x14ac:dyDescent="0.3">
      <c r="A433" s="81"/>
      <c r="B433" s="100" t="s">
        <v>678</v>
      </c>
      <c r="C433" s="85"/>
      <c r="D433" s="85"/>
      <c r="E433" s="78">
        <v>400</v>
      </c>
      <c r="F433" s="78"/>
      <c r="G433" s="85"/>
      <c r="H433" s="85"/>
      <c r="I433" s="162">
        <f t="shared" si="25"/>
        <v>400</v>
      </c>
      <c r="J433" s="70"/>
      <c r="K433" s="39">
        <f t="shared" si="24"/>
        <v>400</v>
      </c>
    </row>
    <row r="434" spans="1:11" ht="15" customHeight="1" x14ac:dyDescent="0.3">
      <c r="A434" s="82" t="s">
        <v>533</v>
      </c>
      <c r="B434" s="82" t="s">
        <v>534</v>
      </c>
      <c r="C434" s="84"/>
      <c r="D434" s="84"/>
      <c r="E434" s="84">
        <f>SUM(E435:E455)</f>
        <v>50814</v>
      </c>
      <c r="F434" s="84">
        <f>SUM(F435:F455)</f>
        <v>0</v>
      </c>
      <c r="G434" s="84"/>
      <c r="H434" s="84"/>
      <c r="I434" s="161">
        <f t="shared" si="25"/>
        <v>50814</v>
      </c>
      <c r="J434" s="161">
        <f t="shared" si="25"/>
        <v>0</v>
      </c>
      <c r="K434" s="175">
        <f t="shared" si="24"/>
        <v>50814</v>
      </c>
    </row>
    <row r="435" spans="1:11" ht="15" customHeight="1" x14ac:dyDescent="0.3">
      <c r="A435" s="81"/>
      <c r="B435" s="102" t="s">
        <v>43</v>
      </c>
      <c r="C435" s="85"/>
      <c r="D435" s="85"/>
      <c r="E435" s="85">
        <v>2200</v>
      </c>
      <c r="F435" s="85"/>
      <c r="G435" s="85"/>
      <c r="H435" s="85"/>
      <c r="I435" s="162">
        <f t="shared" si="25"/>
        <v>2200</v>
      </c>
      <c r="J435" s="70"/>
      <c r="K435" s="39">
        <f t="shared" si="24"/>
        <v>2200</v>
      </c>
    </row>
    <row r="436" spans="1:11" ht="15" customHeight="1" x14ac:dyDescent="0.3">
      <c r="A436" s="81"/>
      <c r="B436" s="102" t="s">
        <v>44</v>
      </c>
      <c r="C436" s="85"/>
      <c r="D436" s="85"/>
      <c r="E436" s="85">
        <v>3000</v>
      </c>
      <c r="F436" s="85"/>
      <c r="G436" s="85"/>
      <c r="H436" s="85"/>
      <c r="I436" s="162">
        <f t="shared" si="25"/>
        <v>3000</v>
      </c>
      <c r="J436" s="70"/>
      <c r="K436" s="39">
        <f t="shared" si="24"/>
        <v>3000</v>
      </c>
    </row>
    <row r="437" spans="1:11" ht="15" customHeight="1" x14ac:dyDescent="0.3">
      <c r="A437" s="81"/>
      <c r="B437" s="102" t="s">
        <v>616</v>
      </c>
      <c r="C437" s="85"/>
      <c r="D437" s="85"/>
      <c r="E437" s="85">
        <v>1875</v>
      </c>
      <c r="F437" s="85"/>
      <c r="G437" s="85"/>
      <c r="H437" s="85"/>
      <c r="I437" s="162">
        <f t="shared" si="25"/>
        <v>1875</v>
      </c>
      <c r="J437" s="70"/>
      <c r="K437" s="39">
        <f t="shared" si="24"/>
        <v>1875</v>
      </c>
    </row>
    <row r="438" spans="1:11" ht="15" customHeight="1" x14ac:dyDescent="0.3">
      <c r="A438" s="81"/>
      <c r="B438" s="102" t="s">
        <v>535</v>
      </c>
      <c r="C438" s="85"/>
      <c r="D438" s="85"/>
      <c r="E438" s="85">
        <v>1200</v>
      </c>
      <c r="F438" s="85"/>
      <c r="G438" s="85"/>
      <c r="H438" s="85"/>
      <c r="I438" s="162">
        <f t="shared" si="25"/>
        <v>1200</v>
      </c>
      <c r="J438" s="70"/>
      <c r="K438" s="39">
        <f t="shared" si="24"/>
        <v>1200</v>
      </c>
    </row>
    <row r="439" spans="1:11" ht="15" customHeight="1" x14ac:dyDescent="0.3">
      <c r="A439" s="81"/>
      <c r="B439" s="102" t="s">
        <v>477</v>
      </c>
      <c r="C439" s="85"/>
      <c r="D439" s="85"/>
      <c r="E439" s="85">
        <v>550</v>
      </c>
      <c r="F439" s="85"/>
      <c r="G439" s="85"/>
      <c r="H439" s="85"/>
      <c r="I439" s="162">
        <f t="shared" si="25"/>
        <v>550</v>
      </c>
      <c r="J439" s="70"/>
      <c r="K439" s="39">
        <f t="shared" si="24"/>
        <v>550</v>
      </c>
    </row>
    <row r="440" spans="1:11" ht="15" customHeight="1" x14ac:dyDescent="0.3">
      <c r="A440" s="81"/>
      <c r="B440" s="102" t="s">
        <v>478</v>
      </c>
      <c r="C440" s="85"/>
      <c r="D440" s="85"/>
      <c r="E440" s="85">
        <v>1300</v>
      </c>
      <c r="F440" s="85"/>
      <c r="G440" s="85"/>
      <c r="H440" s="85"/>
      <c r="I440" s="162">
        <f t="shared" si="25"/>
        <v>1300</v>
      </c>
      <c r="J440" s="70"/>
      <c r="K440" s="39">
        <f t="shared" si="24"/>
        <v>1300</v>
      </c>
    </row>
    <row r="441" spans="1:11" ht="15" customHeight="1" x14ac:dyDescent="0.3">
      <c r="A441" s="81"/>
      <c r="B441" s="102" t="s">
        <v>153</v>
      </c>
      <c r="C441" s="85"/>
      <c r="D441" s="85"/>
      <c r="E441" s="85">
        <v>1318</v>
      </c>
      <c r="F441" s="85"/>
      <c r="G441" s="85"/>
      <c r="H441" s="85"/>
      <c r="I441" s="162">
        <f t="shared" si="25"/>
        <v>1318</v>
      </c>
      <c r="J441" s="70"/>
      <c r="K441" s="39">
        <f t="shared" si="24"/>
        <v>1318</v>
      </c>
    </row>
    <row r="442" spans="1:11" ht="15" customHeight="1" x14ac:dyDescent="0.3">
      <c r="A442" s="81"/>
      <c r="B442" s="102" t="s">
        <v>148</v>
      </c>
      <c r="C442" s="85"/>
      <c r="D442" s="85"/>
      <c r="E442" s="85">
        <v>3500</v>
      </c>
      <c r="F442" s="85"/>
      <c r="G442" s="85"/>
      <c r="H442" s="85"/>
      <c r="I442" s="162">
        <f t="shared" si="25"/>
        <v>3500</v>
      </c>
      <c r="J442" s="70"/>
      <c r="K442" s="39">
        <f t="shared" si="24"/>
        <v>3500</v>
      </c>
    </row>
    <row r="443" spans="1:11" ht="15" customHeight="1" x14ac:dyDescent="0.3">
      <c r="A443" s="81"/>
      <c r="B443" s="102" t="s">
        <v>47</v>
      </c>
      <c r="C443" s="85"/>
      <c r="D443" s="85"/>
      <c r="E443" s="85">
        <v>2574</v>
      </c>
      <c r="F443" s="85"/>
      <c r="G443" s="85"/>
      <c r="H443" s="85"/>
      <c r="I443" s="162">
        <f t="shared" si="25"/>
        <v>2574</v>
      </c>
      <c r="J443" s="70"/>
      <c r="K443" s="39">
        <f t="shared" si="24"/>
        <v>2574</v>
      </c>
    </row>
    <row r="444" spans="1:11" ht="15" customHeight="1" x14ac:dyDescent="0.3">
      <c r="A444" s="81"/>
      <c r="B444" s="102" t="s">
        <v>213</v>
      </c>
      <c r="C444" s="85"/>
      <c r="D444" s="85"/>
      <c r="E444" s="85">
        <v>6300</v>
      </c>
      <c r="F444" s="85"/>
      <c r="G444" s="85"/>
      <c r="H444" s="85"/>
      <c r="I444" s="162">
        <f t="shared" si="25"/>
        <v>6300</v>
      </c>
      <c r="J444" s="70"/>
      <c r="K444" s="39">
        <f t="shared" si="24"/>
        <v>6300</v>
      </c>
    </row>
    <row r="445" spans="1:11" ht="19.5" customHeight="1" x14ac:dyDescent="0.3">
      <c r="A445" s="81"/>
      <c r="B445" s="102" t="s">
        <v>628</v>
      </c>
      <c r="C445" s="85"/>
      <c r="D445" s="85"/>
      <c r="E445" s="85">
        <v>1456</v>
      </c>
      <c r="F445" s="85"/>
      <c r="G445" s="85"/>
      <c r="H445" s="85"/>
      <c r="I445" s="162">
        <f t="shared" si="25"/>
        <v>1456</v>
      </c>
      <c r="J445" s="70"/>
      <c r="K445" s="39">
        <f t="shared" si="24"/>
        <v>1456</v>
      </c>
    </row>
    <row r="446" spans="1:11" ht="18.75" customHeight="1" x14ac:dyDescent="0.3">
      <c r="A446" s="81"/>
      <c r="B446" s="102" t="s">
        <v>629</v>
      </c>
      <c r="C446" s="85"/>
      <c r="D446" s="85"/>
      <c r="E446" s="85">
        <v>500</v>
      </c>
      <c r="F446" s="85"/>
      <c r="G446" s="85"/>
      <c r="H446" s="85"/>
      <c r="I446" s="162">
        <f t="shared" si="25"/>
        <v>500</v>
      </c>
      <c r="J446" s="70"/>
      <c r="K446" s="39">
        <f t="shared" si="24"/>
        <v>500</v>
      </c>
    </row>
    <row r="447" spans="1:11" ht="15" customHeight="1" x14ac:dyDescent="0.3">
      <c r="A447" s="81"/>
      <c r="B447" s="102" t="s">
        <v>144</v>
      </c>
      <c r="C447" s="85"/>
      <c r="D447" s="85"/>
      <c r="E447" s="85">
        <v>2500</v>
      </c>
      <c r="F447" s="85"/>
      <c r="G447" s="85"/>
      <c r="H447" s="85"/>
      <c r="I447" s="162">
        <f t="shared" si="25"/>
        <v>2500</v>
      </c>
      <c r="J447" s="70"/>
      <c r="K447" s="39">
        <f t="shared" si="24"/>
        <v>2500</v>
      </c>
    </row>
    <row r="448" spans="1:11" ht="15" customHeight="1" x14ac:dyDescent="0.3">
      <c r="A448" s="81"/>
      <c r="B448" s="102" t="s">
        <v>228</v>
      </c>
      <c r="C448" s="85"/>
      <c r="D448" s="85"/>
      <c r="E448" s="85">
        <v>110</v>
      </c>
      <c r="F448" s="85"/>
      <c r="G448" s="85"/>
      <c r="H448" s="85"/>
      <c r="I448" s="162">
        <f t="shared" si="25"/>
        <v>110</v>
      </c>
      <c r="J448" s="70"/>
      <c r="K448" s="39">
        <f t="shared" si="24"/>
        <v>110</v>
      </c>
    </row>
    <row r="449" spans="1:13" ht="15" customHeight="1" x14ac:dyDescent="0.3">
      <c r="A449" s="81"/>
      <c r="B449" s="102" t="s">
        <v>151</v>
      </c>
      <c r="C449" s="85"/>
      <c r="D449" s="85"/>
      <c r="E449" s="85">
        <v>1700</v>
      </c>
      <c r="F449" s="85"/>
      <c r="G449" s="85"/>
      <c r="H449" s="85"/>
      <c r="I449" s="162">
        <f t="shared" si="25"/>
        <v>1700</v>
      </c>
      <c r="J449" s="70"/>
      <c r="K449" s="39">
        <f t="shared" si="24"/>
        <v>1700</v>
      </c>
    </row>
    <row r="450" spans="1:13" ht="15" customHeight="1" x14ac:dyDescent="0.3">
      <c r="A450" s="81"/>
      <c r="B450" s="102" t="s">
        <v>143</v>
      </c>
      <c r="C450" s="85"/>
      <c r="D450" s="85"/>
      <c r="E450" s="85">
        <v>5440</v>
      </c>
      <c r="F450" s="85"/>
      <c r="G450" s="85"/>
      <c r="H450" s="85"/>
      <c r="I450" s="162">
        <f>E450</f>
        <v>5440</v>
      </c>
      <c r="J450" s="70"/>
      <c r="K450" s="39">
        <f>I450+J450</f>
        <v>5440</v>
      </c>
    </row>
    <row r="451" spans="1:13" ht="15" customHeight="1" x14ac:dyDescent="0.3">
      <c r="A451" s="81"/>
      <c r="B451" s="102" t="s">
        <v>154</v>
      </c>
      <c r="C451" s="85"/>
      <c r="D451" s="85"/>
      <c r="E451" s="85">
        <f>2000+2494</f>
        <v>4494</v>
      </c>
      <c r="F451" s="85"/>
      <c r="G451" s="85"/>
      <c r="H451" s="85"/>
      <c r="I451" s="162">
        <f t="shared" si="25"/>
        <v>4494</v>
      </c>
      <c r="J451" s="162"/>
      <c r="K451" s="39">
        <f t="shared" si="24"/>
        <v>4494</v>
      </c>
    </row>
    <row r="452" spans="1:13" ht="21" customHeight="1" x14ac:dyDescent="0.3">
      <c r="A452" s="81"/>
      <c r="B452" s="102" t="s">
        <v>644</v>
      </c>
      <c r="C452" s="85"/>
      <c r="D452" s="85"/>
      <c r="E452" s="85">
        <v>5300</v>
      </c>
      <c r="F452" s="85"/>
      <c r="G452" s="85"/>
      <c r="H452" s="85"/>
      <c r="I452" s="162">
        <f t="shared" si="25"/>
        <v>5300</v>
      </c>
      <c r="J452" s="70"/>
      <c r="K452" s="39">
        <f t="shared" si="24"/>
        <v>5300</v>
      </c>
    </row>
    <row r="453" spans="1:13" x14ac:dyDescent="0.3">
      <c r="A453" s="81"/>
      <c r="B453" s="102" t="s">
        <v>464</v>
      </c>
      <c r="C453" s="85"/>
      <c r="D453" s="85"/>
      <c r="E453" s="78">
        <v>2314</v>
      </c>
      <c r="F453" s="78"/>
      <c r="G453" s="85"/>
      <c r="H453" s="85"/>
      <c r="I453" s="162">
        <f t="shared" si="25"/>
        <v>2314</v>
      </c>
      <c r="J453" s="70"/>
      <c r="K453" s="39">
        <f t="shared" si="24"/>
        <v>2314</v>
      </c>
    </row>
    <row r="454" spans="1:13" x14ac:dyDescent="0.3">
      <c r="A454" s="81"/>
      <c r="B454" s="103" t="s">
        <v>118</v>
      </c>
      <c r="C454" s="85"/>
      <c r="D454" s="85"/>
      <c r="E454" s="85">
        <v>1363</v>
      </c>
      <c r="F454" s="85"/>
      <c r="G454" s="85"/>
      <c r="H454" s="85"/>
      <c r="I454" s="162">
        <f t="shared" si="25"/>
        <v>1363</v>
      </c>
      <c r="J454" s="70"/>
      <c r="K454" s="39">
        <f t="shared" si="24"/>
        <v>1363</v>
      </c>
    </row>
    <row r="455" spans="1:13" x14ac:dyDescent="0.3">
      <c r="A455" s="81"/>
      <c r="B455" s="100" t="s">
        <v>119</v>
      </c>
      <c r="C455" s="85"/>
      <c r="D455" s="85"/>
      <c r="E455" s="85">
        <v>1820</v>
      </c>
      <c r="F455" s="85"/>
      <c r="G455" s="85"/>
      <c r="H455" s="85"/>
      <c r="I455" s="162">
        <f t="shared" si="25"/>
        <v>1820</v>
      </c>
      <c r="J455" s="70"/>
      <c r="K455" s="39">
        <f t="shared" si="24"/>
        <v>1820</v>
      </c>
    </row>
    <row r="456" spans="1:13" ht="46.8" x14ac:dyDescent="0.3">
      <c r="A456" s="82" t="s">
        <v>536</v>
      </c>
      <c r="B456" s="83" t="s">
        <v>537</v>
      </c>
      <c r="C456" s="84"/>
      <c r="D456" s="84"/>
      <c r="E456" s="84">
        <f>E457+E459</f>
        <v>181813</v>
      </c>
      <c r="F456" s="84">
        <f>F457+F459</f>
        <v>0</v>
      </c>
      <c r="G456" s="85"/>
      <c r="H456" s="84">
        <f>H461</f>
        <v>7792</v>
      </c>
      <c r="I456" s="161">
        <f>E456</f>
        <v>181813</v>
      </c>
      <c r="J456" s="112">
        <f>H456</f>
        <v>7792</v>
      </c>
      <c r="K456" s="175">
        <f>I456+J456</f>
        <v>189605</v>
      </c>
    </row>
    <row r="457" spans="1:13" ht="31.2" x14ac:dyDescent="0.3">
      <c r="A457" s="82" t="s">
        <v>538</v>
      </c>
      <c r="B457" s="83" t="s">
        <v>539</v>
      </c>
      <c r="C457" s="84"/>
      <c r="D457" s="84"/>
      <c r="E457" s="84">
        <f>SUM(E458:E458)</f>
        <v>5000</v>
      </c>
      <c r="F457" s="84"/>
      <c r="G457" s="84"/>
      <c r="H457" s="84"/>
      <c r="I457" s="161">
        <f t="shared" si="25"/>
        <v>5000</v>
      </c>
      <c r="J457" s="70"/>
      <c r="K457" s="175">
        <f>I457+J457</f>
        <v>5000</v>
      </c>
    </row>
    <row r="458" spans="1:13" x14ac:dyDescent="0.3">
      <c r="A458" s="81"/>
      <c r="B458" s="100" t="s">
        <v>844</v>
      </c>
      <c r="C458" s="85"/>
      <c r="D458" s="85"/>
      <c r="E458" s="85">
        <v>5000</v>
      </c>
      <c r="F458" s="85"/>
      <c r="G458" s="85"/>
      <c r="H458" s="85"/>
      <c r="I458" s="162">
        <f t="shared" si="25"/>
        <v>5000</v>
      </c>
      <c r="J458" s="70"/>
      <c r="K458" s="39">
        <f t="shared" si="24"/>
        <v>5000</v>
      </c>
    </row>
    <row r="459" spans="1:13" x14ac:dyDescent="0.3">
      <c r="A459" s="82" t="s">
        <v>540</v>
      </c>
      <c r="B459" s="82" t="s">
        <v>541</v>
      </c>
      <c r="C459" s="84"/>
      <c r="D459" s="84"/>
      <c r="E459" s="84">
        <f>SUM(E460:E461)</f>
        <v>176813</v>
      </c>
      <c r="F459" s="84">
        <f>SUM(F460:F461)</f>
        <v>0</v>
      </c>
      <c r="G459" s="84"/>
      <c r="H459" s="84"/>
      <c r="I459" s="161">
        <f>E459</f>
        <v>176813</v>
      </c>
      <c r="J459" s="69">
        <f>J461</f>
        <v>7792</v>
      </c>
      <c r="K459" s="175">
        <f t="shared" ref="K459:K466" si="26">I459+J459</f>
        <v>184605</v>
      </c>
    </row>
    <row r="460" spans="1:13" x14ac:dyDescent="0.3">
      <c r="A460" s="81"/>
      <c r="B460" s="81" t="s">
        <v>611</v>
      </c>
      <c r="C460" s="85"/>
      <c r="D460" s="85"/>
      <c r="E460" s="78">
        <v>70000</v>
      </c>
      <c r="F460" s="78"/>
      <c r="G460" s="85"/>
      <c r="H460" s="85"/>
      <c r="I460" s="161">
        <f t="shared" ref="I460:I468" si="27">E460</f>
        <v>70000</v>
      </c>
      <c r="J460" s="70"/>
      <c r="K460" s="39">
        <f t="shared" si="26"/>
        <v>70000</v>
      </c>
    </row>
    <row r="461" spans="1:13" x14ac:dyDescent="0.3">
      <c r="A461" s="177" t="s">
        <v>736</v>
      </c>
      <c r="B461" s="195" t="s">
        <v>737</v>
      </c>
      <c r="C461" s="81"/>
      <c r="D461" s="81"/>
      <c r="E461" s="82">
        <f>E466+E467+E468+E464+E462+E465+E463</f>
        <v>106813</v>
      </c>
      <c r="F461" s="84">
        <f>F466+F467+F468+F464+F462+F465</f>
        <v>0</v>
      </c>
      <c r="G461" s="81"/>
      <c r="H461" s="84">
        <f>SUM(H462:H468)</f>
        <v>7792</v>
      </c>
      <c r="I461" s="161">
        <f>E461</f>
        <v>106813</v>
      </c>
      <c r="J461" s="161">
        <f>H461</f>
        <v>7792</v>
      </c>
      <c r="K461" s="175">
        <f>I461+J461</f>
        <v>114605</v>
      </c>
      <c r="L461" s="62"/>
      <c r="M461" s="62"/>
    </row>
    <row r="462" spans="1:13" ht="27.75" customHeight="1" x14ac:dyDescent="0.3">
      <c r="A462" s="177"/>
      <c r="B462" s="225" t="s">
        <v>776</v>
      </c>
      <c r="C462" s="81"/>
      <c r="D462" s="81"/>
      <c r="E462" s="81">
        <v>23808</v>
      </c>
      <c r="F462" s="85"/>
      <c r="G462" s="81"/>
      <c r="H462" s="85"/>
      <c r="I462" s="162">
        <f>E462</f>
        <v>23808</v>
      </c>
      <c r="J462" s="39"/>
      <c r="K462" s="39">
        <f t="shared" si="26"/>
        <v>23808</v>
      </c>
      <c r="L462" s="62"/>
      <c r="M462" s="62"/>
    </row>
    <row r="463" spans="1:13" ht="39.75" customHeight="1" x14ac:dyDescent="0.3">
      <c r="A463" s="177"/>
      <c r="B463" s="226" t="s">
        <v>779</v>
      </c>
      <c r="C463" s="81"/>
      <c r="D463" s="81"/>
      <c r="E463" s="81"/>
      <c r="F463" s="227"/>
      <c r="G463" s="81"/>
      <c r="H463" s="85">
        <v>7792</v>
      </c>
      <c r="I463" s="162">
        <f>E463</f>
        <v>0</v>
      </c>
      <c r="J463" s="39">
        <f>H463</f>
        <v>7792</v>
      </c>
      <c r="K463" s="39">
        <f t="shared" si="26"/>
        <v>7792</v>
      </c>
      <c r="L463" s="62"/>
      <c r="M463" s="62"/>
    </row>
    <row r="464" spans="1:13" ht="28.2" x14ac:dyDescent="0.3">
      <c r="A464" s="177"/>
      <c r="B464" s="226" t="s">
        <v>772</v>
      </c>
      <c r="C464" s="81"/>
      <c r="D464" s="81"/>
      <c r="E464" s="81">
        <v>70887</v>
      </c>
      <c r="F464" s="85"/>
      <c r="G464" s="81"/>
      <c r="H464" s="85"/>
      <c r="I464" s="162">
        <f>E464</f>
        <v>70887</v>
      </c>
      <c r="J464" s="39"/>
      <c r="K464" s="39">
        <f t="shared" si="26"/>
        <v>70887</v>
      </c>
      <c r="L464" s="62"/>
      <c r="M464" s="62"/>
    </row>
    <row r="465" spans="1:13" ht="36.75" customHeight="1" x14ac:dyDescent="0.3">
      <c r="A465" s="177"/>
      <c r="B465" s="226" t="s">
        <v>768</v>
      </c>
      <c r="C465" s="81"/>
      <c r="D465" s="81"/>
      <c r="E465" s="81">
        <v>3118</v>
      </c>
      <c r="F465" s="85"/>
      <c r="G465" s="81"/>
      <c r="H465" s="85"/>
      <c r="I465" s="162">
        <f>E465</f>
        <v>3118</v>
      </c>
      <c r="J465" s="39"/>
      <c r="K465" s="39">
        <f t="shared" si="26"/>
        <v>3118</v>
      </c>
      <c r="L465" s="62"/>
      <c r="M465" s="62"/>
    </row>
    <row r="466" spans="1:13" ht="31.2" x14ac:dyDescent="0.3">
      <c r="A466" s="177"/>
      <c r="B466" s="194" t="s">
        <v>860</v>
      </c>
      <c r="C466" s="81"/>
      <c r="D466" s="81"/>
      <c r="E466" s="81">
        <v>3500</v>
      </c>
      <c r="F466" s="81"/>
      <c r="G466" s="81"/>
      <c r="H466" s="70"/>
      <c r="I466" s="162">
        <f t="shared" si="27"/>
        <v>3500</v>
      </c>
      <c r="J466" s="70"/>
      <c r="K466" s="39">
        <f t="shared" si="26"/>
        <v>3500</v>
      </c>
      <c r="L466" s="62"/>
      <c r="M466" s="62"/>
    </row>
    <row r="467" spans="1:13" ht="31.2" x14ac:dyDescent="0.3">
      <c r="A467" s="177"/>
      <c r="B467" s="57" t="s">
        <v>735</v>
      </c>
      <c r="C467" s="81"/>
      <c r="D467" s="81"/>
      <c r="E467" s="81">
        <v>2000</v>
      </c>
      <c r="F467" s="81"/>
      <c r="G467" s="81"/>
      <c r="H467" s="70"/>
      <c r="I467" s="162">
        <f t="shared" si="27"/>
        <v>2000</v>
      </c>
      <c r="J467" s="70"/>
      <c r="K467" s="39">
        <f t="shared" ref="K467:K468" si="28">I467+J467</f>
        <v>2000</v>
      </c>
      <c r="L467" s="62"/>
      <c r="M467" s="62"/>
    </row>
    <row r="468" spans="1:13" ht="22.5" customHeight="1" x14ac:dyDescent="0.3">
      <c r="A468" s="177"/>
      <c r="B468" s="57" t="s">
        <v>664</v>
      </c>
      <c r="C468" s="81"/>
      <c r="D468" s="81"/>
      <c r="E468" s="81">
        <v>3500</v>
      </c>
      <c r="F468" s="81"/>
      <c r="G468" s="81"/>
      <c r="H468" s="70"/>
      <c r="I468" s="162">
        <f t="shared" si="27"/>
        <v>3500</v>
      </c>
      <c r="J468" s="70"/>
      <c r="K468" s="39">
        <f t="shared" si="28"/>
        <v>3500</v>
      </c>
      <c r="L468" s="62"/>
      <c r="M468" s="62"/>
    </row>
    <row r="470" spans="1:13" ht="18" customHeight="1" x14ac:dyDescent="0.3">
      <c r="A470" s="271" t="s">
        <v>788</v>
      </c>
      <c r="B470" s="271"/>
      <c r="C470" s="271"/>
      <c r="D470" s="271"/>
      <c r="E470" s="271"/>
      <c r="F470" s="271"/>
      <c r="G470" s="271"/>
      <c r="H470" s="271"/>
      <c r="I470" s="271"/>
      <c r="J470" s="271"/>
      <c r="K470" s="271"/>
    </row>
  </sheetData>
  <mergeCells count="8">
    <mergeCell ref="A470:K470"/>
    <mergeCell ref="J15:J16"/>
    <mergeCell ref="K15:K16"/>
    <mergeCell ref="A13:I13"/>
    <mergeCell ref="A15:A16"/>
    <mergeCell ref="B15:B16"/>
    <mergeCell ref="I15:I16"/>
    <mergeCell ref="C15:H15"/>
  </mergeCells>
  <pageMargins left="0.7" right="0.7" top="0.75" bottom="0.75" header="0.3" footer="0.3"/>
  <pageSetup paperSize="9" scale="35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R386"/>
  <sheetViews>
    <sheetView topLeftCell="B1" workbookViewId="0">
      <selection activeCell="I11" sqref="I11"/>
    </sheetView>
  </sheetViews>
  <sheetFormatPr defaultRowHeight="15.6" x14ac:dyDescent="0.3"/>
  <cols>
    <col min="1" max="1" width="14.44140625" customWidth="1"/>
    <col min="2" max="2" width="38.88671875" style="60" customWidth="1"/>
    <col min="3" max="3" width="18.33203125" style="10" customWidth="1"/>
    <col min="4" max="4" width="18.5546875" customWidth="1"/>
    <col min="5" max="5" width="15.6640625" customWidth="1"/>
    <col min="6" max="6" width="18.33203125" customWidth="1"/>
    <col min="7" max="7" width="17.33203125" customWidth="1"/>
    <col min="8" max="8" width="17.6640625" style="107" customWidth="1"/>
    <col min="9" max="9" width="14.44140625" customWidth="1"/>
    <col min="10" max="10" width="12" customWidth="1"/>
    <col min="13" max="13" width="9.88671875" bestFit="1" customWidth="1"/>
    <col min="15" max="15" width="9.44140625" bestFit="1" customWidth="1"/>
  </cols>
  <sheetData>
    <row r="1" spans="1:8" ht="15" customHeight="1" x14ac:dyDescent="0.3">
      <c r="A1" s="5"/>
      <c r="B1" s="62"/>
      <c r="C1" s="5"/>
      <c r="D1" s="6"/>
      <c r="E1" s="6"/>
      <c r="F1" s="5"/>
      <c r="G1" s="6"/>
    </row>
    <row r="2" spans="1:8" ht="15" customHeight="1" x14ac:dyDescent="0.3">
      <c r="A2" s="5"/>
      <c r="B2" s="62"/>
      <c r="C2" s="5"/>
      <c r="E2" s="4"/>
      <c r="F2" s="5"/>
      <c r="G2" s="4"/>
      <c r="H2" s="108" t="s">
        <v>888</v>
      </c>
    </row>
    <row r="3" spans="1:8" ht="15" customHeight="1" x14ac:dyDescent="0.3">
      <c r="A3" s="5"/>
      <c r="B3" s="62"/>
      <c r="C3" s="5"/>
      <c r="D3" s="4"/>
      <c r="E3" s="4"/>
      <c r="F3" s="5"/>
      <c r="G3" s="4"/>
      <c r="H3" s="108" t="s">
        <v>723</v>
      </c>
    </row>
    <row r="4" spans="1:8" ht="15" customHeight="1" x14ac:dyDescent="0.3">
      <c r="A4" s="5"/>
      <c r="B4" s="62"/>
      <c r="C4" s="5"/>
      <c r="D4" s="4"/>
      <c r="E4" s="4"/>
      <c r="F4" s="5"/>
      <c r="G4" s="4"/>
      <c r="H4" s="108" t="s">
        <v>796</v>
      </c>
    </row>
    <row r="5" spans="1:8" ht="15" customHeight="1" x14ac:dyDescent="0.3">
      <c r="A5" s="5"/>
      <c r="B5" s="62"/>
      <c r="C5" s="5"/>
      <c r="D5" s="5"/>
      <c r="E5" s="5"/>
      <c r="F5" s="5"/>
      <c r="G5" s="5"/>
      <c r="H5" s="108" t="s">
        <v>861</v>
      </c>
    </row>
    <row r="6" spans="1:8" ht="15" customHeight="1" x14ac:dyDescent="0.3">
      <c r="A6" s="5"/>
      <c r="B6" s="62"/>
      <c r="C6" s="5"/>
      <c r="D6" s="5"/>
      <c r="E6" s="5"/>
      <c r="F6" s="5"/>
      <c r="G6" s="5"/>
      <c r="H6" s="108" t="s">
        <v>797</v>
      </c>
    </row>
    <row r="7" spans="1:8" ht="15" customHeight="1" x14ac:dyDescent="0.3">
      <c r="A7" s="5"/>
      <c r="B7" s="62"/>
      <c r="C7" s="5"/>
      <c r="D7" s="5"/>
      <c r="E7" s="5"/>
      <c r="F7" s="5"/>
      <c r="G7" s="5"/>
      <c r="H7" s="108"/>
    </row>
    <row r="8" spans="1:8" ht="15" customHeight="1" x14ac:dyDescent="0.3">
      <c r="A8" s="5"/>
      <c r="B8" s="62"/>
      <c r="C8" s="5"/>
      <c r="D8" s="5"/>
      <c r="E8" s="5"/>
      <c r="F8" s="5"/>
      <c r="G8" s="5"/>
      <c r="H8" s="108" t="s">
        <v>888</v>
      </c>
    </row>
    <row r="9" spans="1:8" ht="15" customHeight="1" x14ac:dyDescent="0.3">
      <c r="A9" s="5"/>
      <c r="B9" s="62"/>
      <c r="C9" s="5"/>
      <c r="D9" s="5"/>
      <c r="E9" s="5"/>
      <c r="F9" s="5"/>
      <c r="G9" s="5"/>
      <c r="H9" s="108" t="s">
        <v>723</v>
      </c>
    </row>
    <row r="10" spans="1:8" ht="15" customHeight="1" x14ac:dyDescent="0.3">
      <c r="A10" s="5"/>
      <c r="B10" s="62"/>
      <c r="C10" s="5"/>
      <c r="D10" s="5"/>
      <c r="E10" s="5"/>
      <c r="F10" s="5"/>
      <c r="G10" s="5"/>
      <c r="H10" s="108" t="s">
        <v>792</v>
      </c>
    </row>
    <row r="11" spans="1:8" ht="15" customHeight="1" x14ac:dyDescent="0.3">
      <c r="A11" s="5"/>
      <c r="B11" s="62"/>
      <c r="C11" s="5"/>
      <c r="D11" s="5"/>
      <c r="E11" s="5"/>
      <c r="F11" s="5"/>
      <c r="G11" s="5"/>
      <c r="H11" s="108" t="s">
        <v>793</v>
      </c>
    </row>
    <row r="12" spans="1:8" ht="15" customHeight="1" x14ac:dyDescent="0.3">
      <c r="A12" s="4"/>
      <c r="B12" s="135"/>
      <c r="C12" s="135"/>
      <c r="D12" s="135"/>
      <c r="E12" s="135"/>
      <c r="F12" s="135"/>
      <c r="G12" s="135"/>
      <c r="H12" s="109"/>
    </row>
    <row r="13" spans="1:8" ht="15" customHeight="1" x14ac:dyDescent="0.3">
      <c r="A13" s="5"/>
      <c r="B13" s="136"/>
      <c r="C13" s="136" t="s">
        <v>887</v>
      </c>
      <c r="D13" s="136"/>
      <c r="E13" s="136"/>
      <c r="F13" s="136"/>
      <c r="G13" s="136"/>
      <c r="H13" s="109"/>
    </row>
    <row r="14" spans="1:8" ht="15" customHeight="1" x14ac:dyDescent="0.3">
      <c r="A14" s="5"/>
      <c r="B14" s="87"/>
      <c r="C14" s="7"/>
      <c r="D14" s="8"/>
      <c r="E14" s="8"/>
      <c r="F14" s="8"/>
      <c r="G14" s="8"/>
      <c r="H14" s="110"/>
    </row>
    <row r="15" spans="1:8" ht="15" customHeight="1" x14ac:dyDescent="0.3">
      <c r="A15" s="263" t="s">
        <v>230</v>
      </c>
      <c r="B15" s="262" t="s">
        <v>231</v>
      </c>
      <c r="C15" s="3"/>
      <c r="D15" s="156" t="s">
        <v>232</v>
      </c>
      <c r="E15" s="157"/>
      <c r="F15" s="157"/>
      <c r="G15" s="158"/>
      <c r="H15" s="261" t="s">
        <v>233</v>
      </c>
    </row>
    <row r="16" spans="1:8" ht="45" customHeight="1" x14ac:dyDescent="0.3">
      <c r="A16" s="264"/>
      <c r="B16" s="262"/>
      <c r="C16" s="47" t="s">
        <v>610</v>
      </c>
      <c r="D16" s="47" t="s">
        <v>234</v>
      </c>
      <c r="E16" s="47" t="s">
        <v>235</v>
      </c>
      <c r="F16" s="47" t="s">
        <v>236</v>
      </c>
      <c r="G16" s="47" t="s">
        <v>237</v>
      </c>
      <c r="H16" s="261"/>
    </row>
    <row r="17" spans="1:10" ht="15" customHeight="1" x14ac:dyDescent="0.3">
      <c r="A17" s="3"/>
      <c r="B17" s="1"/>
      <c r="C17" s="48">
        <f t="shared" ref="C17:G17" si="0">C18+C51+C55+C112+C182+C193+C248+C322+C89</f>
        <v>938499</v>
      </c>
      <c r="D17" s="48">
        <f>D18+D51+D55+D112+D182+D193+D248+D322+D89</f>
        <v>21238217.98</v>
      </c>
      <c r="E17" s="48">
        <f t="shared" si="0"/>
        <v>4953566</v>
      </c>
      <c r="F17" s="48">
        <f t="shared" si="0"/>
        <v>10330591</v>
      </c>
      <c r="G17" s="48">
        <f t="shared" si="0"/>
        <v>974992</v>
      </c>
      <c r="H17" s="38">
        <f>H18+H51+H55+H112+H182+H193+H248+H322+H89</f>
        <v>38627588.210000001</v>
      </c>
      <c r="I17" s="61"/>
      <c r="J17" s="228"/>
    </row>
    <row r="18" spans="1:10" ht="15" customHeight="1" x14ac:dyDescent="0.3">
      <c r="A18" s="2" t="s">
        <v>238</v>
      </c>
      <c r="B18" s="69" t="s">
        <v>239</v>
      </c>
      <c r="C18" s="49">
        <f>SUM(C19:C49)</f>
        <v>5614</v>
      </c>
      <c r="D18" s="49">
        <f>SUM(D19:D49)</f>
        <v>3708712</v>
      </c>
      <c r="E18" s="49">
        <f t="shared" ref="E18:G18" si="1">SUM(E19:E49)</f>
        <v>12862</v>
      </c>
      <c r="F18" s="49">
        <f t="shared" si="1"/>
        <v>130710</v>
      </c>
      <c r="G18" s="49">
        <f t="shared" si="1"/>
        <v>0</v>
      </c>
      <c r="H18" s="38">
        <f>SUM(H19:H50)</f>
        <v>3930407</v>
      </c>
      <c r="I18" s="61"/>
    </row>
    <row r="19" spans="1:10" ht="15" customHeight="1" x14ac:dyDescent="0.3">
      <c r="A19" s="42"/>
      <c r="B19" s="70" t="s">
        <v>1</v>
      </c>
      <c r="C19" s="50"/>
      <c r="D19" s="40">
        <f>H19-E19-G19-F19-C19</f>
        <v>1522773</v>
      </c>
      <c r="E19" s="40"/>
      <c r="F19" s="40"/>
      <c r="G19" s="40"/>
      <c r="H19" s="38">
        <f>'4.pielikums'!B18</f>
        <v>1522773</v>
      </c>
      <c r="I19" s="61"/>
    </row>
    <row r="20" spans="1:10" ht="15" customHeight="1" x14ac:dyDescent="0.3">
      <c r="A20" s="42"/>
      <c r="B20" s="70" t="s">
        <v>2</v>
      </c>
      <c r="C20" s="50"/>
      <c r="D20" s="40">
        <f t="shared" ref="D20:D82" si="2">H20-E20-G20-F20-C20</f>
        <v>127701</v>
      </c>
      <c r="E20" s="40"/>
      <c r="F20" s="40"/>
      <c r="G20" s="40"/>
      <c r="H20" s="38">
        <f>'4.pielikums'!B19</f>
        <v>127701</v>
      </c>
      <c r="I20" s="61"/>
    </row>
    <row r="21" spans="1:10" ht="30" customHeight="1" x14ac:dyDescent="0.3">
      <c r="A21" s="42"/>
      <c r="B21" s="80" t="s">
        <v>159</v>
      </c>
      <c r="C21" s="45"/>
      <c r="D21" s="40">
        <f t="shared" si="2"/>
        <v>255015</v>
      </c>
      <c r="E21" s="40"/>
      <c r="F21" s="40"/>
      <c r="G21" s="40"/>
      <c r="H21" s="38">
        <f>'4.pielikums'!B20</f>
        <v>255015</v>
      </c>
      <c r="I21" s="61"/>
    </row>
    <row r="22" spans="1:10" ht="15" customHeight="1" x14ac:dyDescent="0.3">
      <c r="A22" s="42"/>
      <c r="B22" s="80" t="s">
        <v>191</v>
      </c>
      <c r="C22" s="45"/>
      <c r="D22" s="40">
        <f t="shared" si="2"/>
        <v>30000</v>
      </c>
      <c r="E22" s="40"/>
      <c r="F22" s="40"/>
      <c r="G22" s="40"/>
      <c r="H22" s="38">
        <f>'4.pielikums'!B21</f>
        <v>30000</v>
      </c>
      <c r="I22" s="61"/>
    </row>
    <row r="23" spans="1:10" ht="15" customHeight="1" x14ac:dyDescent="0.3">
      <c r="A23" s="42"/>
      <c r="B23" s="80" t="s">
        <v>184</v>
      </c>
      <c r="C23" s="45"/>
      <c r="D23" s="40">
        <f>H23-E23-G23-F23-C23</f>
        <v>46653</v>
      </c>
      <c r="E23" s="40"/>
      <c r="F23" s="40"/>
      <c r="G23" s="40"/>
      <c r="H23" s="38">
        <f>'4.pielikums'!B23</f>
        <v>46653</v>
      </c>
      <c r="I23" s="61"/>
    </row>
    <row r="24" spans="1:10" ht="15" customHeight="1" x14ac:dyDescent="0.3">
      <c r="A24" s="42"/>
      <c r="B24" s="81" t="s">
        <v>3</v>
      </c>
      <c r="C24" s="50"/>
      <c r="D24" s="40">
        <f t="shared" si="2"/>
        <v>37935</v>
      </c>
      <c r="E24" s="40">
        <v>115</v>
      </c>
      <c r="F24" s="40"/>
      <c r="G24" s="40"/>
      <c r="H24" s="38">
        <f>'4.pielikums'!B25</f>
        <v>38050</v>
      </c>
      <c r="I24" s="61"/>
    </row>
    <row r="25" spans="1:10" ht="15" customHeight="1" x14ac:dyDescent="0.3">
      <c r="A25" s="42"/>
      <c r="B25" s="81" t="s">
        <v>95</v>
      </c>
      <c r="C25" s="50"/>
      <c r="D25" s="40">
        <f t="shared" si="2"/>
        <v>59813</v>
      </c>
      <c r="E25" s="40">
        <v>305</v>
      </c>
      <c r="F25" s="40"/>
      <c r="G25" s="40"/>
      <c r="H25" s="38">
        <f>'4.pielikums'!B26</f>
        <v>60118</v>
      </c>
      <c r="I25" s="61"/>
    </row>
    <row r="26" spans="1:10" ht="15" customHeight="1" x14ac:dyDescent="0.3">
      <c r="A26" s="42"/>
      <c r="B26" s="81" t="s">
        <v>4</v>
      </c>
      <c r="C26" s="50"/>
      <c r="D26" s="40">
        <f t="shared" si="2"/>
        <v>26739</v>
      </c>
      <c r="E26" s="40"/>
      <c r="F26" s="40"/>
      <c r="G26" s="40"/>
      <c r="H26" s="38">
        <f>'4.pielikums'!B27</f>
        <v>26739</v>
      </c>
      <c r="I26" s="61"/>
    </row>
    <row r="27" spans="1:10" ht="15" customHeight="1" x14ac:dyDescent="0.3">
      <c r="A27" s="42"/>
      <c r="B27" s="81" t="s">
        <v>5</v>
      </c>
      <c r="C27" s="50"/>
      <c r="D27" s="40">
        <f t="shared" si="2"/>
        <v>39943</v>
      </c>
      <c r="E27" s="39">
        <v>910</v>
      </c>
      <c r="F27" s="40"/>
      <c r="G27" s="40"/>
      <c r="H27" s="38">
        <f>'4.pielikums'!B28</f>
        <v>40853</v>
      </c>
      <c r="I27" s="61"/>
    </row>
    <row r="28" spans="1:10" ht="15" customHeight="1" x14ac:dyDescent="0.3">
      <c r="A28" s="42"/>
      <c r="B28" s="81" t="s">
        <v>6</v>
      </c>
      <c r="C28" s="50"/>
      <c r="D28" s="40">
        <f t="shared" si="2"/>
        <v>24622</v>
      </c>
      <c r="E28" s="40"/>
      <c r="F28" s="40"/>
      <c r="G28" s="40"/>
      <c r="H28" s="38">
        <f>'4.pielikums'!B30</f>
        <v>24622</v>
      </c>
      <c r="I28" s="61"/>
    </row>
    <row r="29" spans="1:10" ht="15" customHeight="1" x14ac:dyDescent="0.3">
      <c r="A29" s="42"/>
      <c r="B29" s="81" t="s">
        <v>7</v>
      </c>
      <c r="C29" s="50"/>
      <c r="D29" s="40">
        <f t="shared" si="2"/>
        <v>32263</v>
      </c>
      <c r="E29" s="40">
        <v>85</v>
      </c>
      <c r="F29" s="40"/>
      <c r="G29" s="40"/>
      <c r="H29" s="38">
        <f>'4.pielikums'!B31</f>
        <v>32348</v>
      </c>
      <c r="I29" s="61"/>
    </row>
    <row r="30" spans="1:10" ht="15" customHeight="1" x14ac:dyDescent="0.3">
      <c r="A30" s="42"/>
      <c r="B30" s="81" t="s">
        <v>8</v>
      </c>
      <c r="C30" s="50"/>
      <c r="D30" s="40">
        <f t="shared" si="2"/>
        <v>40674</v>
      </c>
      <c r="E30" s="40">
        <v>0</v>
      </c>
      <c r="F30" s="40"/>
      <c r="G30" s="40"/>
      <c r="H30" s="38">
        <f>'4.pielikums'!B33</f>
        <v>40674</v>
      </c>
      <c r="I30" s="61"/>
    </row>
    <row r="31" spans="1:10" ht="15" customHeight="1" x14ac:dyDescent="0.3">
      <c r="A31" s="42"/>
      <c r="B31" s="81" t="s">
        <v>96</v>
      </c>
      <c r="C31" s="50"/>
      <c r="D31" s="40">
        <f t="shared" si="2"/>
        <v>44556</v>
      </c>
      <c r="E31" s="40">
        <v>0</v>
      </c>
      <c r="F31" s="40"/>
      <c r="G31" s="40"/>
      <c r="H31" s="38">
        <f>'4.pielikums'!B34</f>
        <v>44556</v>
      </c>
      <c r="I31" s="61"/>
    </row>
    <row r="32" spans="1:10" ht="15" customHeight="1" x14ac:dyDescent="0.3">
      <c r="A32" s="42"/>
      <c r="B32" s="81" t="s">
        <v>125</v>
      </c>
      <c r="C32" s="50"/>
      <c r="D32" s="40">
        <f t="shared" si="2"/>
        <v>30856</v>
      </c>
      <c r="E32" s="40"/>
      <c r="F32" s="40"/>
      <c r="G32" s="40"/>
      <c r="H32" s="38">
        <f>'4.pielikums'!B35</f>
        <v>30856</v>
      </c>
      <c r="I32" s="61"/>
    </row>
    <row r="33" spans="1:9" ht="15" customHeight="1" x14ac:dyDescent="0.3">
      <c r="A33" s="42"/>
      <c r="B33" s="81" t="s">
        <v>9</v>
      </c>
      <c r="C33" s="50"/>
      <c r="D33" s="40">
        <f>H33-E33-G33-F33-C33</f>
        <v>20735</v>
      </c>
      <c r="E33" s="40"/>
      <c r="F33" s="40"/>
      <c r="G33" s="40"/>
      <c r="H33" s="38">
        <f>'4.pielikums'!B37</f>
        <v>20735</v>
      </c>
      <c r="I33" s="61"/>
    </row>
    <row r="34" spans="1:9" ht="15" customHeight="1" x14ac:dyDescent="0.3">
      <c r="A34" s="42"/>
      <c r="B34" s="80" t="s">
        <v>97</v>
      </c>
      <c r="C34" s="45"/>
      <c r="D34" s="40">
        <f t="shared" si="2"/>
        <v>34119</v>
      </c>
      <c r="E34" s="75"/>
      <c r="F34" s="40"/>
      <c r="G34" s="40"/>
      <c r="H34" s="38">
        <f>'4.pielikums'!B38</f>
        <v>34119</v>
      </c>
      <c r="I34" s="61"/>
    </row>
    <row r="35" spans="1:9" ht="15" customHeight="1" x14ac:dyDescent="0.3">
      <c r="A35" s="42"/>
      <c r="B35" s="80" t="s">
        <v>240</v>
      </c>
      <c r="C35" s="45"/>
      <c r="D35" s="40">
        <f t="shared" si="2"/>
        <v>37292</v>
      </c>
      <c r="E35" s="40">
        <v>1200</v>
      </c>
      <c r="F35" s="40"/>
      <c r="G35" s="40"/>
      <c r="H35" s="38">
        <f>'4.pielikums'!B39</f>
        <v>38492</v>
      </c>
      <c r="I35" s="61"/>
    </row>
    <row r="36" spans="1:9" ht="15" customHeight="1" x14ac:dyDescent="0.3">
      <c r="A36" s="42"/>
      <c r="B36" s="80" t="s">
        <v>98</v>
      </c>
      <c r="C36" s="45"/>
      <c r="D36" s="40">
        <f t="shared" si="2"/>
        <v>20500</v>
      </c>
      <c r="E36" s="40"/>
      <c r="F36" s="40"/>
      <c r="G36" s="40"/>
      <c r="H36" s="38">
        <f>'4.pielikums'!B41</f>
        <v>20500</v>
      </c>
      <c r="I36" s="61"/>
    </row>
    <row r="37" spans="1:9" ht="15" customHeight="1" x14ac:dyDescent="0.3">
      <c r="A37" s="42"/>
      <c r="B37" s="80" t="s">
        <v>99</v>
      </c>
      <c r="C37" s="45"/>
      <c r="D37" s="40">
        <f t="shared" si="2"/>
        <v>44173</v>
      </c>
      <c r="E37" s="40"/>
      <c r="F37" s="40"/>
      <c r="G37" s="40"/>
      <c r="H37" s="38">
        <f>'4.pielikums'!B42</f>
        <v>44173</v>
      </c>
      <c r="I37" s="61"/>
    </row>
    <row r="38" spans="1:9" ht="15" customHeight="1" x14ac:dyDescent="0.3">
      <c r="A38" s="42"/>
      <c r="B38" s="81" t="s">
        <v>10</v>
      </c>
      <c r="C38" s="50"/>
      <c r="D38" s="40">
        <f t="shared" si="2"/>
        <v>35893</v>
      </c>
      <c r="E38" s="40">
        <f>500</f>
        <v>500</v>
      </c>
      <c r="F38" s="40"/>
      <c r="G38" s="40"/>
      <c r="H38" s="38">
        <f>'4.pielikums'!B43</f>
        <v>36393</v>
      </c>
      <c r="I38" s="61"/>
    </row>
    <row r="39" spans="1:9" ht="15" customHeight="1" x14ac:dyDescent="0.3">
      <c r="A39" s="42"/>
      <c r="B39" s="81" t="s">
        <v>11</v>
      </c>
      <c r="C39" s="50"/>
      <c r="D39" s="40">
        <f t="shared" si="2"/>
        <v>45010</v>
      </c>
      <c r="E39" s="40"/>
      <c r="F39" s="40"/>
      <c r="G39" s="40"/>
      <c r="H39" s="38">
        <f>'4.pielikums'!B44</f>
        <v>45010</v>
      </c>
      <c r="I39" s="61"/>
    </row>
    <row r="40" spans="1:9" ht="15" customHeight="1" x14ac:dyDescent="0.3">
      <c r="A40" s="42"/>
      <c r="B40" s="81" t="s">
        <v>100</v>
      </c>
      <c r="C40" s="50"/>
      <c r="D40" s="40">
        <f t="shared" si="2"/>
        <v>31242</v>
      </c>
      <c r="E40" s="40"/>
      <c r="F40" s="40"/>
      <c r="G40" s="40"/>
      <c r="H40" s="38">
        <f>'4.pielikums'!B46</f>
        <v>31242</v>
      </c>
      <c r="I40" s="61"/>
    </row>
    <row r="41" spans="1:9" ht="15" customHeight="1" x14ac:dyDescent="0.3">
      <c r="A41" s="42"/>
      <c r="B41" s="81" t="s">
        <v>12</v>
      </c>
      <c r="C41" s="50"/>
      <c r="D41" s="40">
        <f t="shared" si="2"/>
        <v>39006</v>
      </c>
      <c r="E41" s="40">
        <f>67</f>
        <v>67</v>
      </c>
      <c r="F41" s="40"/>
      <c r="G41" s="40"/>
      <c r="H41" s="38">
        <f>'4.pielikums'!B47</f>
        <v>39073</v>
      </c>
      <c r="I41" s="61"/>
    </row>
    <row r="42" spans="1:9" ht="15" customHeight="1" x14ac:dyDescent="0.3">
      <c r="A42" s="42"/>
      <c r="B42" s="80" t="s">
        <v>93</v>
      </c>
      <c r="C42" s="45"/>
      <c r="D42" s="40">
        <f t="shared" si="2"/>
        <v>50449</v>
      </c>
      <c r="E42" s="40">
        <v>1130</v>
      </c>
      <c r="F42" s="40"/>
      <c r="G42" s="40"/>
      <c r="H42" s="38">
        <f>'4.pielikums'!B48</f>
        <v>51579</v>
      </c>
      <c r="I42" s="61"/>
    </row>
    <row r="43" spans="1:9" ht="15" customHeight="1" x14ac:dyDescent="0.3">
      <c r="A43" s="42"/>
      <c r="B43" s="80" t="s">
        <v>101</v>
      </c>
      <c r="C43" s="45"/>
      <c r="D43" s="40">
        <f t="shared" si="2"/>
        <v>34189</v>
      </c>
      <c r="E43" s="40"/>
      <c r="F43" s="40"/>
      <c r="G43" s="40"/>
      <c r="H43" s="38">
        <f>'4.pielikums'!B49</f>
        <v>34189</v>
      </c>
      <c r="I43" s="61"/>
    </row>
    <row r="44" spans="1:9" ht="30" customHeight="1" x14ac:dyDescent="0.3">
      <c r="A44" s="42"/>
      <c r="B44" s="80" t="s">
        <v>94</v>
      </c>
      <c r="C44" s="45"/>
      <c r="D44" s="40">
        <f t="shared" si="2"/>
        <v>62491</v>
      </c>
      <c r="E44" s="40">
        <v>8550</v>
      </c>
      <c r="F44" s="40">
        <v>26000</v>
      </c>
      <c r="G44" s="40"/>
      <c r="H44" s="38">
        <f>'4.pielikums'!B50</f>
        <v>97041</v>
      </c>
      <c r="I44" s="61"/>
    </row>
    <row r="45" spans="1:9" ht="30" customHeight="1" x14ac:dyDescent="0.3">
      <c r="A45" s="42"/>
      <c r="B45" s="80" t="s">
        <v>162</v>
      </c>
      <c r="C45" s="45"/>
      <c r="D45" s="40">
        <f t="shared" si="2"/>
        <v>881967</v>
      </c>
      <c r="E45" s="40"/>
      <c r="F45" s="40"/>
      <c r="G45" s="40"/>
      <c r="H45" s="38">
        <f>'4.pielikums'!B53</f>
        <v>881967</v>
      </c>
      <c r="I45" s="61"/>
    </row>
    <row r="46" spans="1:9" ht="15" customHeight="1" x14ac:dyDescent="0.3">
      <c r="A46" s="42"/>
      <c r="B46" s="58" t="s">
        <v>13</v>
      </c>
      <c r="C46" s="45"/>
      <c r="D46" s="40">
        <f>H46-E46-G46-F46-C46</f>
        <v>5700</v>
      </c>
      <c r="E46" s="40"/>
      <c r="F46" s="40"/>
      <c r="G46" s="40"/>
      <c r="H46" s="38">
        <f>'4.pielikums'!B51</f>
        <v>5700</v>
      </c>
      <c r="I46" s="61"/>
    </row>
    <row r="47" spans="1:9" ht="15" customHeight="1" x14ac:dyDescent="0.3">
      <c r="A47" s="42"/>
      <c r="B47" s="70" t="s">
        <v>14</v>
      </c>
      <c r="C47" s="50"/>
      <c r="D47" s="40">
        <f t="shared" si="2"/>
        <v>41674</v>
      </c>
      <c r="E47" s="40"/>
      <c r="F47" s="40"/>
      <c r="G47" s="40"/>
      <c r="H47" s="38">
        <f>'4.pielikums'!B52</f>
        <v>41674</v>
      </c>
      <c r="I47" s="61"/>
    </row>
    <row r="48" spans="1:9" ht="15" customHeight="1" x14ac:dyDescent="0.3">
      <c r="A48" s="42"/>
      <c r="B48" s="70" t="s">
        <v>710</v>
      </c>
      <c r="C48" s="50"/>
      <c r="D48" s="40">
        <f t="shared" si="2"/>
        <v>4729</v>
      </c>
      <c r="E48" s="40"/>
      <c r="F48" s="40">
        <v>104710</v>
      </c>
      <c r="G48" s="40"/>
      <c r="H48" s="38">
        <f>'4.pielikums'!B22</f>
        <v>109439</v>
      </c>
      <c r="I48" s="61"/>
    </row>
    <row r="49" spans="1:10" ht="15" customHeight="1" x14ac:dyDescent="0.3">
      <c r="A49" s="42"/>
      <c r="B49" s="70" t="s">
        <v>676</v>
      </c>
      <c r="C49" s="50">
        <v>5614</v>
      </c>
      <c r="D49" s="40"/>
      <c r="E49" s="40"/>
      <c r="F49" s="40"/>
      <c r="G49" s="40"/>
      <c r="H49" s="38">
        <f>'4.pielikums'!B351</f>
        <v>5614</v>
      </c>
      <c r="I49" s="61"/>
    </row>
    <row r="50" spans="1:10" ht="47.25" customHeight="1" x14ac:dyDescent="0.3">
      <c r="A50" s="42"/>
      <c r="B50" s="248" t="s">
        <v>780</v>
      </c>
      <c r="C50" s="50"/>
      <c r="D50" s="40"/>
      <c r="E50" s="40"/>
      <c r="F50" s="40"/>
      <c r="G50" s="40"/>
      <c r="H50" s="38">
        <f>'4.pielikums'!B372</f>
        <v>72509</v>
      </c>
      <c r="I50" s="61"/>
    </row>
    <row r="51" spans="1:10" ht="15" customHeight="1" x14ac:dyDescent="0.3">
      <c r="A51" s="2" t="s">
        <v>241</v>
      </c>
      <c r="B51" s="71" t="s">
        <v>242</v>
      </c>
      <c r="C51" s="49">
        <f>SUM(C52:C54)</f>
        <v>0</v>
      </c>
      <c r="D51" s="49">
        <f t="shared" ref="D51:G51" si="3">SUM(D52:D54)</f>
        <v>292974</v>
      </c>
      <c r="E51" s="49">
        <f t="shared" si="3"/>
        <v>24440</v>
      </c>
      <c r="F51" s="49">
        <f t="shared" si="3"/>
        <v>5280</v>
      </c>
      <c r="G51" s="49">
        <f t="shared" si="3"/>
        <v>0</v>
      </c>
      <c r="H51" s="38">
        <f>SUM(H52:H54)</f>
        <v>322694</v>
      </c>
      <c r="I51" s="61"/>
    </row>
    <row r="52" spans="1:10" ht="15" customHeight="1" x14ac:dyDescent="0.3">
      <c r="A52" s="51"/>
      <c r="B52" s="70" t="s">
        <v>15</v>
      </c>
      <c r="C52" s="50"/>
      <c r="D52" s="40">
        <f t="shared" si="2"/>
        <v>71921</v>
      </c>
      <c r="E52" s="78">
        <f>1400+1340+1200</f>
        <v>3940</v>
      </c>
      <c r="F52" s="40"/>
      <c r="G52" s="40"/>
      <c r="H52" s="38">
        <f>'4.pielikums'!B54</f>
        <v>75861</v>
      </c>
      <c r="I52" s="61"/>
    </row>
    <row r="53" spans="1:10" ht="15" customHeight="1" x14ac:dyDescent="0.3">
      <c r="A53" s="42"/>
      <c r="B53" s="70" t="s">
        <v>16</v>
      </c>
      <c r="C53" s="50"/>
      <c r="D53" s="40">
        <f t="shared" si="2"/>
        <v>179947</v>
      </c>
      <c r="E53" s="78">
        <v>2000</v>
      </c>
      <c r="F53" s="40"/>
      <c r="G53" s="40"/>
      <c r="H53" s="38">
        <f>'4.pielikums'!B55</f>
        <v>181947</v>
      </c>
      <c r="I53" s="61"/>
    </row>
    <row r="54" spans="1:10" ht="15" customHeight="1" x14ac:dyDescent="0.3">
      <c r="A54" s="42"/>
      <c r="B54" s="70" t="s">
        <v>60</v>
      </c>
      <c r="C54" s="50"/>
      <c r="D54" s="40">
        <f t="shared" si="2"/>
        <v>41106</v>
      </c>
      <c r="E54" s="78">
        <v>18500</v>
      </c>
      <c r="F54" s="40">
        <v>5280</v>
      </c>
      <c r="G54" s="40"/>
      <c r="H54" s="38">
        <f>'4.pielikums'!B56</f>
        <v>64886</v>
      </c>
      <c r="I54" s="61"/>
    </row>
    <row r="55" spans="1:10" ht="15" customHeight="1" x14ac:dyDescent="0.3">
      <c r="A55" s="2" t="s">
        <v>243</v>
      </c>
      <c r="B55" s="69" t="s">
        <v>244</v>
      </c>
      <c r="C55" s="54">
        <f>SUM(C56:C87)</f>
        <v>469913</v>
      </c>
      <c r="D55" s="54">
        <f t="shared" ref="D55:E55" si="4">SUM(D56:D87)</f>
        <v>300909</v>
      </c>
      <c r="E55" s="54">
        <f t="shared" si="4"/>
        <v>19750</v>
      </c>
      <c r="F55" s="54">
        <f>SUM(F56:F88)</f>
        <v>1117982</v>
      </c>
      <c r="G55" s="54">
        <f>SUM(G56:G87)</f>
        <v>310704</v>
      </c>
      <c r="H55" s="38">
        <f>SUM(H56:H88)</f>
        <v>2219258</v>
      </c>
      <c r="I55" s="61"/>
    </row>
    <row r="56" spans="1:10" ht="15" customHeight="1" x14ac:dyDescent="0.3">
      <c r="A56" s="51"/>
      <c r="B56" s="70" t="s">
        <v>245</v>
      </c>
      <c r="C56" s="50"/>
      <c r="D56" s="40">
        <f t="shared" si="2"/>
        <v>49824</v>
      </c>
      <c r="E56" s="78">
        <f>10000</f>
        <v>10000</v>
      </c>
      <c r="F56" s="40"/>
      <c r="G56" s="40"/>
      <c r="H56" s="38">
        <f>'4.pielikums'!B57</f>
        <v>59824</v>
      </c>
      <c r="I56" s="61"/>
    </row>
    <row r="57" spans="1:10" ht="30" customHeight="1" x14ac:dyDescent="0.3">
      <c r="A57" s="42"/>
      <c r="B57" s="58" t="s">
        <v>246</v>
      </c>
      <c r="C57" s="45"/>
      <c r="D57" s="40">
        <f t="shared" si="2"/>
        <v>89707</v>
      </c>
      <c r="E57" s="40">
        <v>4000</v>
      </c>
      <c r="F57" s="75"/>
      <c r="G57" s="40"/>
      <c r="H57" s="38">
        <f>'4.pielikums'!B60</f>
        <v>93707</v>
      </c>
      <c r="I57" s="61"/>
    </row>
    <row r="58" spans="1:10" ht="23.25" customHeight="1" x14ac:dyDescent="0.3">
      <c r="A58" s="42"/>
      <c r="B58" s="58" t="s">
        <v>127</v>
      </c>
      <c r="C58" s="45">
        <v>9632</v>
      </c>
      <c r="D58" s="40">
        <f t="shared" si="2"/>
        <v>743</v>
      </c>
      <c r="E58" s="40"/>
      <c r="F58" s="39">
        <v>60100</v>
      </c>
      <c r="G58" s="40"/>
      <c r="H58" s="38">
        <f>'4.pielikums'!B84</f>
        <v>70475</v>
      </c>
      <c r="I58" s="61"/>
    </row>
    <row r="59" spans="1:10" ht="15" customHeight="1" x14ac:dyDescent="0.3">
      <c r="A59" s="52"/>
      <c r="B59" s="57" t="s">
        <v>68</v>
      </c>
      <c r="C59" s="45"/>
      <c r="D59" s="40">
        <f>H59-E59-G59-F59-C59</f>
        <v>0</v>
      </c>
      <c r="E59" s="40"/>
      <c r="F59" s="40">
        <v>104110</v>
      </c>
      <c r="G59" s="40"/>
      <c r="H59" s="38">
        <f>'4.pielikums'!B62</f>
        <v>104110</v>
      </c>
      <c r="I59" s="61"/>
      <c r="J59" s="66"/>
    </row>
    <row r="60" spans="1:10" ht="30" customHeight="1" x14ac:dyDescent="0.3">
      <c r="A60" s="52"/>
      <c r="B60" s="57" t="s">
        <v>200</v>
      </c>
      <c r="C60" s="45">
        <v>8828</v>
      </c>
      <c r="D60" s="40">
        <f t="shared" si="2"/>
        <v>0</v>
      </c>
      <c r="E60" s="40"/>
      <c r="F60" s="40">
        <v>56751</v>
      </c>
      <c r="G60" s="40"/>
      <c r="H60" s="38">
        <f>'4.pielikums'!B63</f>
        <v>65579</v>
      </c>
      <c r="I60" s="61"/>
    </row>
    <row r="61" spans="1:10" ht="30" customHeight="1" x14ac:dyDescent="0.3">
      <c r="A61" s="52"/>
      <c r="B61" s="57" t="s">
        <v>69</v>
      </c>
      <c r="C61" s="44">
        <v>649</v>
      </c>
      <c r="D61" s="40">
        <f t="shared" si="2"/>
        <v>0</v>
      </c>
      <c r="E61" s="40"/>
      <c r="F61" s="40">
        <v>27900</v>
      </c>
      <c r="G61" s="40"/>
      <c r="H61" s="38">
        <f>'4.pielikums'!B64</f>
        <v>28549</v>
      </c>
      <c r="I61" s="61"/>
    </row>
    <row r="62" spans="1:10" ht="30" customHeight="1" x14ac:dyDescent="0.3">
      <c r="A62" s="52"/>
      <c r="B62" s="57" t="s">
        <v>70</v>
      </c>
      <c r="C62" s="44">
        <v>4366</v>
      </c>
      <c r="D62" s="40">
        <f t="shared" si="2"/>
        <v>0</v>
      </c>
      <c r="E62" s="40"/>
      <c r="F62" s="40">
        <v>20386</v>
      </c>
      <c r="G62" s="40"/>
      <c r="H62" s="38">
        <f>'4.pielikums'!B65</f>
        <v>24752</v>
      </c>
      <c r="I62" s="61"/>
    </row>
    <row r="63" spans="1:10" ht="30" customHeight="1" x14ac:dyDescent="0.3">
      <c r="A63" s="52"/>
      <c r="B63" s="57" t="s">
        <v>71</v>
      </c>
      <c r="C63" s="44">
        <v>25610</v>
      </c>
      <c r="D63" s="40">
        <f t="shared" si="2"/>
        <v>0</v>
      </c>
      <c r="E63" s="40"/>
      <c r="F63" s="40">
        <v>44096</v>
      </c>
      <c r="G63" s="40"/>
      <c r="H63" s="38">
        <f>'4.pielikums'!B66</f>
        <v>69706</v>
      </c>
      <c r="I63" s="61"/>
    </row>
    <row r="64" spans="1:10" ht="30" customHeight="1" x14ac:dyDescent="0.3">
      <c r="A64" s="52"/>
      <c r="B64" s="57" t="s">
        <v>72</v>
      </c>
      <c r="C64" s="44">
        <v>14147</v>
      </c>
      <c r="D64" s="40">
        <f t="shared" si="2"/>
        <v>0</v>
      </c>
      <c r="E64" s="40"/>
      <c r="F64" s="40">
        <v>23821</v>
      </c>
      <c r="G64" s="40"/>
      <c r="H64" s="38">
        <f>'4.pielikums'!B67</f>
        <v>37968</v>
      </c>
      <c r="I64" s="61"/>
    </row>
    <row r="65" spans="1:11" ht="30" customHeight="1" x14ac:dyDescent="0.3">
      <c r="A65" s="52"/>
      <c r="B65" s="57" t="s">
        <v>73</v>
      </c>
      <c r="C65" s="44">
        <v>6916</v>
      </c>
      <c r="D65" s="40">
        <f>H65-E65-G65-F65-C65</f>
        <v>0</v>
      </c>
      <c r="E65" s="40"/>
      <c r="F65" s="40">
        <v>18272</v>
      </c>
      <c r="G65" s="40"/>
      <c r="H65" s="38">
        <f>'4.pielikums'!B68</f>
        <v>25188</v>
      </c>
      <c r="I65" s="61"/>
    </row>
    <row r="66" spans="1:11" ht="30" customHeight="1" x14ac:dyDescent="0.3">
      <c r="A66" s="52"/>
      <c r="B66" s="57" t="s">
        <v>74</v>
      </c>
      <c r="C66" s="44"/>
      <c r="D66" s="40">
        <f t="shared" si="2"/>
        <v>0</v>
      </c>
      <c r="E66" s="40"/>
      <c r="F66" s="40">
        <v>34470</v>
      </c>
      <c r="G66" s="40"/>
      <c r="H66" s="38">
        <f>'4.pielikums'!B69</f>
        <v>34470</v>
      </c>
      <c r="I66" s="61"/>
    </row>
    <row r="67" spans="1:11" ht="30" customHeight="1" x14ac:dyDescent="0.3">
      <c r="A67" s="52"/>
      <c r="B67" s="57" t="s">
        <v>198</v>
      </c>
      <c r="C67" s="44">
        <v>5988</v>
      </c>
      <c r="D67" s="40">
        <f t="shared" si="2"/>
        <v>0</v>
      </c>
      <c r="E67" s="40"/>
      <c r="F67" s="40">
        <v>11227</v>
      </c>
      <c r="G67" s="40"/>
      <c r="H67" s="38">
        <f>'4.pielikums'!B70</f>
        <v>17215</v>
      </c>
      <c r="I67" s="61"/>
    </row>
    <row r="68" spans="1:11" ht="30" customHeight="1" x14ac:dyDescent="0.3">
      <c r="A68" s="52"/>
      <c r="B68" s="57" t="s">
        <v>75</v>
      </c>
      <c r="C68" s="44">
        <v>624</v>
      </c>
      <c r="D68" s="40">
        <f t="shared" si="2"/>
        <v>0</v>
      </c>
      <c r="E68" s="40"/>
      <c r="F68" s="40">
        <v>14851</v>
      </c>
      <c r="G68" s="40"/>
      <c r="H68" s="38">
        <f>'4.pielikums'!B71</f>
        <v>15475</v>
      </c>
      <c r="I68" s="61"/>
    </row>
    <row r="69" spans="1:11" ht="30" customHeight="1" x14ac:dyDescent="0.3">
      <c r="A69" s="52"/>
      <c r="B69" s="57" t="s">
        <v>196</v>
      </c>
      <c r="C69" s="44">
        <v>21204</v>
      </c>
      <c r="D69" s="40">
        <f>H69-E69-G69-F69-C69</f>
        <v>0</v>
      </c>
      <c r="E69" s="40"/>
      <c r="F69" s="40">
        <v>48840</v>
      </c>
      <c r="G69" s="40"/>
      <c r="H69" s="38">
        <f>'4.pielikums'!B72</f>
        <v>70044</v>
      </c>
      <c r="I69" s="61"/>
    </row>
    <row r="70" spans="1:11" ht="30" customHeight="1" x14ac:dyDescent="0.3">
      <c r="A70" s="52"/>
      <c r="B70" s="57" t="s">
        <v>197</v>
      </c>
      <c r="C70" s="44">
        <v>4426</v>
      </c>
      <c r="D70" s="40">
        <f t="shared" si="2"/>
        <v>0</v>
      </c>
      <c r="E70" s="40"/>
      <c r="F70" s="40">
        <v>35064</v>
      </c>
      <c r="G70" s="40"/>
      <c r="H70" s="38">
        <f>'4.pielikums'!B73</f>
        <v>39490</v>
      </c>
      <c r="I70" s="61"/>
    </row>
    <row r="71" spans="1:11" ht="30" customHeight="1" x14ac:dyDescent="0.3">
      <c r="A71" s="52"/>
      <c r="B71" s="57" t="s">
        <v>199</v>
      </c>
      <c r="C71" s="44">
        <v>202031</v>
      </c>
      <c r="D71" s="40">
        <f t="shared" si="2"/>
        <v>0</v>
      </c>
      <c r="E71" s="40"/>
      <c r="F71" s="40">
        <v>70422</v>
      </c>
      <c r="G71" s="40"/>
      <c r="H71" s="38">
        <f>'4.pielikums'!B74</f>
        <v>272453</v>
      </c>
      <c r="I71" s="61"/>
    </row>
    <row r="72" spans="1:11" ht="30" customHeight="1" x14ac:dyDescent="0.3">
      <c r="A72" s="52"/>
      <c r="B72" s="57" t="s">
        <v>201</v>
      </c>
      <c r="C72" s="44">
        <v>21990</v>
      </c>
      <c r="D72" s="40">
        <f>H72-E72-G72-F72-C72</f>
        <v>0</v>
      </c>
      <c r="E72" s="40"/>
      <c r="F72" s="40">
        <v>30329</v>
      </c>
      <c r="G72" s="40"/>
      <c r="H72" s="38">
        <f>'4.pielikums'!B75</f>
        <v>52319</v>
      </c>
      <c r="I72" s="61"/>
    </row>
    <row r="73" spans="1:11" ht="30" customHeight="1" x14ac:dyDescent="0.3">
      <c r="A73" s="52"/>
      <c r="B73" s="57" t="s">
        <v>202</v>
      </c>
      <c r="C73" s="44">
        <v>31095</v>
      </c>
      <c r="D73" s="40">
        <f t="shared" si="2"/>
        <v>0</v>
      </c>
      <c r="E73" s="40"/>
      <c r="F73" s="40">
        <v>52426</v>
      </c>
      <c r="G73" s="40"/>
      <c r="H73" s="38">
        <f>'4.pielikums'!B76</f>
        <v>83521</v>
      </c>
      <c r="I73" s="61"/>
    </row>
    <row r="74" spans="1:11" ht="30" customHeight="1" x14ac:dyDescent="0.3">
      <c r="A74" s="52"/>
      <c r="B74" s="57" t="s">
        <v>76</v>
      </c>
      <c r="C74" s="44">
        <v>10270</v>
      </c>
      <c r="D74" s="40">
        <f t="shared" si="2"/>
        <v>0</v>
      </c>
      <c r="E74" s="40"/>
      <c r="F74" s="40">
        <v>38359</v>
      </c>
      <c r="G74" s="40"/>
      <c r="H74" s="38">
        <f>'4.pielikums'!B77</f>
        <v>48629</v>
      </c>
      <c r="I74" s="61"/>
    </row>
    <row r="75" spans="1:11" ht="30" customHeight="1" x14ac:dyDescent="0.3">
      <c r="A75" s="52"/>
      <c r="B75" s="57" t="s">
        <v>77</v>
      </c>
      <c r="C75" s="44">
        <v>6493</v>
      </c>
      <c r="D75" s="40">
        <f t="shared" si="2"/>
        <v>0</v>
      </c>
      <c r="E75" s="40"/>
      <c r="F75" s="40">
        <v>13853</v>
      </c>
      <c r="G75" s="40"/>
      <c r="H75" s="38">
        <f>'4.pielikums'!B78</f>
        <v>20346</v>
      </c>
      <c r="I75" s="61"/>
    </row>
    <row r="76" spans="1:11" ht="30" customHeight="1" x14ac:dyDescent="0.3">
      <c r="A76" s="52"/>
      <c r="B76" s="57" t="s">
        <v>205</v>
      </c>
      <c r="C76" s="45">
        <v>7757</v>
      </c>
      <c r="D76" s="40">
        <f t="shared" si="2"/>
        <v>0</v>
      </c>
      <c r="E76" s="40"/>
      <c r="F76" s="40">
        <v>23929</v>
      </c>
      <c r="G76" s="40"/>
      <c r="H76" s="38">
        <f>'4.pielikums'!B79</f>
        <v>31686</v>
      </c>
      <c r="I76" s="61"/>
    </row>
    <row r="77" spans="1:11" ht="30" customHeight="1" x14ac:dyDescent="0.3">
      <c r="A77" s="52"/>
      <c r="B77" s="57" t="s">
        <v>78</v>
      </c>
      <c r="C77" s="44">
        <v>6092</v>
      </c>
      <c r="D77" s="40">
        <f t="shared" si="2"/>
        <v>0</v>
      </c>
      <c r="E77" s="40"/>
      <c r="F77" s="40">
        <v>23719</v>
      </c>
      <c r="G77" s="40"/>
      <c r="H77" s="38">
        <f>'4.pielikums'!B80</f>
        <v>29811</v>
      </c>
      <c r="I77" s="61"/>
    </row>
    <row r="78" spans="1:11" ht="30" customHeight="1" x14ac:dyDescent="0.3">
      <c r="A78" s="52"/>
      <c r="B78" s="57" t="s">
        <v>203</v>
      </c>
      <c r="C78" s="44">
        <v>411</v>
      </c>
      <c r="D78" s="40">
        <f t="shared" si="2"/>
        <v>0</v>
      </c>
      <c r="E78" s="40"/>
      <c r="F78" s="40">
        <v>9382</v>
      </c>
      <c r="G78" s="40"/>
      <c r="H78" s="38">
        <f>'4.pielikums'!B81</f>
        <v>9793</v>
      </c>
      <c r="I78" s="61"/>
    </row>
    <row r="79" spans="1:11" ht="30" customHeight="1" x14ac:dyDescent="0.3">
      <c r="A79" s="52"/>
      <c r="B79" s="57" t="s">
        <v>204</v>
      </c>
      <c r="C79" s="76"/>
      <c r="D79" s="40">
        <f t="shared" si="2"/>
        <v>0</v>
      </c>
      <c r="E79" s="40"/>
      <c r="F79" s="40">
        <v>24565</v>
      </c>
      <c r="G79" s="40"/>
      <c r="H79" s="38">
        <f>'4.pielikums'!B82</f>
        <v>24565</v>
      </c>
      <c r="I79" s="61"/>
      <c r="J79" s="61"/>
    </row>
    <row r="80" spans="1:11" ht="30" customHeight="1" x14ac:dyDescent="0.3">
      <c r="A80" s="52"/>
      <c r="B80" s="88" t="s">
        <v>637</v>
      </c>
      <c r="C80" s="45">
        <f>81384-18861</f>
        <v>62523</v>
      </c>
      <c r="D80" s="40">
        <f>H80-E80-G80-F80-C80</f>
        <v>0</v>
      </c>
      <c r="E80" s="40"/>
      <c r="F80" s="40">
        <v>236363</v>
      </c>
      <c r="G80" s="40"/>
      <c r="H80" s="38">
        <f>'4.pielikums'!B83</f>
        <v>298886</v>
      </c>
      <c r="I80" s="61"/>
      <c r="J80" s="61"/>
      <c r="K80" s="61"/>
    </row>
    <row r="81" spans="1:9" ht="15" customHeight="1" x14ac:dyDescent="0.3">
      <c r="A81" s="52"/>
      <c r="B81" s="89" t="s">
        <v>128</v>
      </c>
      <c r="C81" s="45"/>
      <c r="D81" s="40">
        <f t="shared" si="2"/>
        <v>12914</v>
      </c>
      <c r="E81" s="78">
        <v>5750</v>
      </c>
      <c r="F81" s="40"/>
      <c r="G81" s="40"/>
      <c r="H81" s="38">
        <f>'4.pielikums'!B85</f>
        <v>18664</v>
      </c>
      <c r="I81" s="61"/>
    </row>
    <row r="82" spans="1:9" ht="30" customHeight="1" x14ac:dyDescent="0.3">
      <c r="A82" s="42"/>
      <c r="B82" s="58" t="s">
        <v>63</v>
      </c>
      <c r="C82" s="45"/>
      <c r="D82" s="40">
        <f t="shared" si="2"/>
        <v>3721</v>
      </c>
      <c r="E82" s="40"/>
      <c r="F82" s="40"/>
      <c r="G82" s="40"/>
      <c r="H82" s="38">
        <f>'4.pielikums'!B59</f>
        <v>3721</v>
      </c>
      <c r="I82" s="61"/>
    </row>
    <row r="83" spans="1:9" ht="15" customHeight="1" x14ac:dyDescent="0.3">
      <c r="A83" s="42"/>
      <c r="B83" s="58" t="s">
        <v>18</v>
      </c>
      <c r="C83" s="45"/>
      <c r="D83" s="40">
        <f t="shared" ref="D83:D111" si="5">H83-E83-G83-F83-C83</f>
        <v>90000</v>
      </c>
      <c r="E83" s="40"/>
      <c r="F83" s="40"/>
      <c r="G83" s="40"/>
      <c r="H83" s="38">
        <f>'4.pielikums'!B58</f>
        <v>90000</v>
      </c>
      <c r="I83" s="61"/>
    </row>
    <row r="84" spans="1:9" ht="18" customHeight="1" x14ac:dyDescent="0.3">
      <c r="A84" s="42"/>
      <c r="B84" s="58" t="s">
        <v>247</v>
      </c>
      <c r="C84" s="45"/>
      <c r="D84" s="40">
        <f t="shared" si="5"/>
        <v>50000</v>
      </c>
      <c r="E84" s="40"/>
      <c r="F84" s="40"/>
      <c r="G84" s="40"/>
      <c r="H84" s="38">
        <f>'4.pielikums'!B61</f>
        <v>50000</v>
      </c>
      <c r="I84" s="61"/>
    </row>
    <row r="85" spans="1:9" ht="19.5" customHeight="1" x14ac:dyDescent="0.3">
      <c r="A85" s="42"/>
      <c r="B85" s="58" t="s">
        <v>665</v>
      </c>
      <c r="C85" s="45">
        <v>18861</v>
      </c>
      <c r="D85" s="40">
        <f t="shared" si="5"/>
        <v>0</v>
      </c>
      <c r="E85" s="40"/>
      <c r="F85" s="40"/>
      <c r="G85" s="40">
        <v>169752</v>
      </c>
      <c r="H85" s="38">
        <f>'4.pielikums'!B346</f>
        <v>188613</v>
      </c>
      <c r="I85" s="61"/>
    </row>
    <row r="86" spans="1:9" ht="33" customHeight="1" x14ac:dyDescent="0.3">
      <c r="A86" s="42"/>
      <c r="B86" s="58" t="s">
        <v>886</v>
      </c>
      <c r="C86" s="45"/>
      <c r="D86" s="40">
        <f t="shared" si="5"/>
        <v>4000</v>
      </c>
      <c r="E86" s="40"/>
      <c r="F86" s="40">
        <v>8000</v>
      </c>
      <c r="G86" s="40"/>
      <c r="H86" s="38">
        <f>'4.pielikums'!B350</f>
        <v>12000</v>
      </c>
      <c r="I86" s="61"/>
    </row>
    <row r="87" spans="1:9" ht="59.4" customHeight="1" x14ac:dyDescent="0.3">
      <c r="A87" s="46"/>
      <c r="B87" s="90" t="s">
        <v>226</v>
      </c>
      <c r="C87" s="44"/>
      <c r="D87" s="40">
        <f t="shared" si="5"/>
        <v>0</v>
      </c>
      <c r="E87" s="40"/>
      <c r="F87" s="40">
        <v>46467</v>
      </c>
      <c r="G87" s="40">
        <v>140952</v>
      </c>
      <c r="H87" s="38">
        <f>'4.pielikums'!B86</f>
        <v>187419</v>
      </c>
      <c r="I87" s="61"/>
    </row>
    <row r="88" spans="1:9" ht="23.4" customHeight="1" x14ac:dyDescent="0.3">
      <c r="A88" s="46"/>
      <c r="B88" s="90" t="s">
        <v>753</v>
      </c>
      <c r="C88" s="44"/>
      <c r="D88" s="40"/>
      <c r="E88" s="40"/>
      <c r="F88" s="40">
        <v>40280</v>
      </c>
      <c r="G88" s="40"/>
      <c r="H88" s="38">
        <f>'4.pielikums'!B364</f>
        <v>40280</v>
      </c>
      <c r="I88" s="61"/>
    </row>
    <row r="89" spans="1:9" ht="15" customHeight="1" x14ac:dyDescent="0.3">
      <c r="A89" s="2" t="s">
        <v>248</v>
      </c>
      <c r="B89" s="71" t="s">
        <v>249</v>
      </c>
      <c r="C89" s="49">
        <f t="shared" ref="C89:G89" si="6">SUM(C90:C111)</f>
        <v>28093</v>
      </c>
      <c r="D89" s="49">
        <f t="shared" si="6"/>
        <v>24103</v>
      </c>
      <c r="E89" s="49">
        <f t="shared" si="6"/>
        <v>140128</v>
      </c>
      <c r="F89" s="49">
        <f t="shared" si="6"/>
        <v>0</v>
      </c>
      <c r="G89" s="49">
        <f t="shared" si="6"/>
        <v>0</v>
      </c>
      <c r="H89" s="38">
        <f>SUM(H90:H111)</f>
        <v>192324</v>
      </c>
      <c r="I89" s="61"/>
    </row>
    <row r="90" spans="1:9" ht="30" customHeight="1" x14ac:dyDescent="0.3">
      <c r="A90" s="42"/>
      <c r="B90" s="58" t="s">
        <v>79</v>
      </c>
      <c r="C90" s="45">
        <v>28093</v>
      </c>
      <c r="D90" s="40">
        <f>H90-E90-G90-F90-C90</f>
        <v>0</v>
      </c>
      <c r="E90" s="40">
        <v>38000</v>
      </c>
      <c r="F90" s="40"/>
      <c r="G90" s="40"/>
      <c r="H90" s="38">
        <f>'4.pielikums'!B87</f>
        <v>66093</v>
      </c>
      <c r="I90" s="61"/>
    </row>
    <row r="91" spans="1:9" ht="30" customHeight="1" x14ac:dyDescent="0.3">
      <c r="A91" s="42"/>
      <c r="B91" s="91" t="s">
        <v>864</v>
      </c>
      <c r="C91" s="45"/>
      <c r="D91" s="40">
        <f>H91-E91-G91-F91-C91</f>
        <v>0</v>
      </c>
      <c r="E91" s="78">
        <v>7712</v>
      </c>
      <c r="F91" s="40"/>
      <c r="G91" s="40"/>
      <c r="H91" s="38">
        <f>'4.pielikums'!B88</f>
        <v>7712</v>
      </c>
      <c r="I91" s="61"/>
    </row>
    <row r="92" spans="1:9" s="60" customFormat="1" ht="30" customHeight="1" x14ac:dyDescent="0.3">
      <c r="A92" s="65"/>
      <c r="B92" s="91" t="s">
        <v>865</v>
      </c>
      <c r="C92" s="44"/>
      <c r="D92" s="39">
        <f t="shared" si="5"/>
        <v>0</v>
      </c>
      <c r="E92" s="78">
        <v>2845</v>
      </c>
      <c r="F92" s="39"/>
      <c r="G92" s="39"/>
      <c r="H92" s="111">
        <f>'4.pielikums'!B89</f>
        <v>2845</v>
      </c>
      <c r="I92" s="61"/>
    </row>
    <row r="93" spans="1:9" ht="30" customHeight="1" x14ac:dyDescent="0.3">
      <c r="A93" s="42"/>
      <c r="B93" s="89" t="s">
        <v>885</v>
      </c>
      <c r="C93" s="45"/>
      <c r="D93" s="40">
        <f t="shared" si="5"/>
        <v>62</v>
      </c>
      <c r="E93" s="78">
        <v>4230</v>
      </c>
      <c r="F93" s="40"/>
      <c r="G93" s="40"/>
      <c r="H93" s="38">
        <f>'4.pielikums'!B90</f>
        <v>4292</v>
      </c>
      <c r="I93" s="61"/>
    </row>
    <row r="94" spans="1:9" s="60" customFormat="1" ht="30" customHeight="1" x14ac:dyDescent="0.3">
      <c r="A94" s="65"/>
      <c r="B94" s="91" t="s">
        <v>866</v>
      </c>
      <c r="C94" s="44"/>
      <c r="D94" s="39">
        <f t="shared" si="5"/>
        <v>687</v>
      </c>
      <c r="E94" s="85">
        <v>3572</v>
      </c>
      <c r="F94" s="39"/>
      <c r="G94" s="39"/>
      <c r="H94" s="111">
        <f>'4.pielikums'!B92</f>
        <v>4259</v>
      </c>
      <c r="I94" s="61"/>
    </row>
    <row r="95" spans="1:9" ht="30" customHeight="1" x14ac:dyDescent="0.3">
      <c r="A95" s="42"/>
      <c r="B95" s="89" t="s">
        <v>884</v>
      </c>
      <c r="C95" s="45"/>
      <c r="D95" s="40">
        <f t="shared" si="5"/>
        <v>950</v>
      </c>
      <c r="E95" s="78">
        <v>2718</v>
      </c>
      <c r="F95" s="40"/>
      <c r="G95" s="40"/>
      <c r="H95" s="38">
        <f>'4.pielikums'!B93</f>
        <v>3668</v>
      </c>
      <c r="I95" s="61"/>
    </row>
    <row r="96" spans="1:9" ht="30" customHeight="1" x14ac:dyDescent="0.3">
      <c r="A96" s="42"/>
      <c r="B96" s="89" t="s">
        <v>883</v>
      </c>
      <c r="C96" s="45"/>
      <c r="D96" s="40">
        <f t="shared" si="5"/>
        <v>0</v>
      </c>
      <c r="E96" s="78">
        <v>6752</v>
      </c>
      <c r="F96" s="40"/>
      <c r="G96" s="40"/>
      <c r="H96" s="38">
        <f>'4.pielikums'!B95</f>
        <v>6752</v>
      </c>
      <c r="I96" s="61"/>
    </row>
    <row r="97" spans="1:9" ht="30" customHeight="1" x14ac:dyDescent="0.3">
      <c r="A97" s="42"/>
      <c r="B97" s="89" t="s">
        <v>882</v>
      </c>
      <c r="C97" s="45"/>
      <c r="D97" s="40">
        <f t="shared" si="5"/>
        <v>0</v>
      </c>
      <c r="E97" s="78">
        <v>4700</v>
      </c>
      <c r="F97" s="40"/>
      <c r="G97" s="40"/>
      <c r="H97" s="38">
        <f>'4.pielikums'!B96</f>
        <v>4700</v>
      </c>
      <c r="I97" s="61"/>
    </row>
    <row r="98" spans="1:9" ht="30" customHeight="1" x14ac:dyDescent="0.3">
      <c r="A98" s="42"/>
      <c r="B98" s="57" t="s">
        <v>867</v>
      </c>
      <c r="C98" s="45"/>
      <c r="D98" s="40">
        <f>H98-E98-G98-F98-C98</f>
        <v>0</v>
      </c>
      <c r="E98" s="78">
        <v>8550</v>
      </c>
      <c r="F98" s="40"/>
      <c r="G98" s="40"/>
      <c r="H98" s="38">
        <f>'4.pielikums'!B97</f>
        <v>8550</v>
      </c>
      <c r="I98" s="61"/>
    </row>
    <row r="99" spans="1:9" s="60" customFormat="1" ht="30" customHeight="1" x14ac:dyDescent="0.3">
      <c r="A99" s="65"/>
      <c r="B99" s="57" t="s">
        <v>868</v>
      </c>
      <c r="C99" s="44"/>
      <c r="D99" s="39">
        <f t="shared" si="5"/>
        <v>1732</v>
      </c>
      <c r="E99" s="85">
        <v>1270</v>
      </c>
      <c r="F99" s="39"/>
      <c r="G99" s="39"/>
      <c r="H99" s="111">
        <f>'4.pielikums'!B99</f>
        <v>3002</v>
      </c>
      <c r="I99" s="61"/>
    </row>
    <row r="100" spans="1:9" ht="30" customHeight="1" x14ac:dyDescent="0.3">
      <c r="A100" s="42"/>
      <c r="B100" s="89" t="s">
        <v>881</v>
      </c>
      <c r="C100" s="45"/>
      <c r="D100" s="40">
        <f t="shared" si="5"/>
        <v>3306</v>
      </c>
      <c r="E100" s="85">
        <v>6780</v>
      </c>
      <c r="F100" s="40"/>
      <c r="G100" s="40"/>
      <c r="H100" s="38">
        <f>'4.pielikums'!B100</f>
        <v>10086</v>
      </c>
      <c r="I100" s="61"/>
    </row>
    <row r="101" spans="1:9" ht="30" customHeight="1" x14ac:dyDescent="0.3">
      <c r="A101" s="42"/>
      <c r="B101" s="89" t="s">
        <v>840</v>
      </c>
      <c r="C101" s="45"/>
      <c r="D101" s="40">
        <f t="shared" si="5"/>
        <v>0</v>
      </c>
      <c r="E101" s="78">
        <v>1010</v>
      </c>
      <c r="F101" s="40"/>
      <c r="G101" s="40"/>
      <c r="H101" s="38">
        <f>'4.pielikums'!B101</f>
        <v>1010</v>
      </c>
      <c r="I101" s="61"/>
    </row>
    <row r="102" spans="1:9" ht="30" customHeight="1" x14ac:dyDescent="0.3">
      <c r="A102" s="42"/>
      <c r="B102" s="57" t="s">
        <v>869</v>
      </c>
      <c r="C102" s="44"/>
      <c r="D102" s="40">
        <f t="shared" si="5"/>
        <v>2437</v>
      </c>
      <c r="E102" s="78">
        <v>6273</v>
      </c>
      <c r="F102" s="40"/>
      <c r="G102" s="40"/>
      <c r="H102" s="38">
        <f>'4.pielikums'!B102</f>
        <v>8710</v>
      </c>
      <c r="I102" s="61"/>
    </row>
    <row r="103" spans="1:9" ht="30" customHeight="1" x14ac:dyDescent="0.3">
      <c r="A103" s="42"/>
      <c r="B103" s="89" t="s">
        <v>841</v>
      </c>
      <c r="C103" s="45"/>
      <c r="D103" s="40">
        <f t="shared" si="5"/>
        <v>6370</v>
      </c>
      <c r="E103" s="78">
        <v>4286</v>
      </c>
      <c r="F103" s="40"/>
      <c r="G103" s="40"/>
      <c r="H103" s="38">
        <f>'4.pielikums'!B104</f>
        <v>10656</v>
      </c>
      <c r="I103" s="61"/>
    </row>
    <row r="104" spans="1:9" ht="30" customHeight="1" x14ac:dyDescent="0.3">
      <c r="A104" s="42"/>
      <c r="B104" s="89" t="s">
        <v>842</v>
      </c>
      <c r="C104" s="45"/>
      <c r="D104" s="40">
        <f t="shared" si="5"/>
        <v>0</v>
      </c>
      <c r="E104" s="78">
        <v>720</v>
      </c>
      <c r="F104" s="40"/>
      <c r="G104" s="40"/>
      <c r="H104" s="38">
        <f>'4.pielikums'!B105</f>
        <v>720</v>
      </c>
      <c r="I104" s="61"/>
    </row>
    <row r="105" spans="1:9" ht="30" customHeight="1" x14ac:dyDescent="0.3">
      <c r="A105" s="42"/>
      <c r="B105" s="89" t="s">
        <v>856</v>
      </c>
      <c r="C105" s="45"/>
      <c r="D105" s="40">
        <f t="shared" si="5"/>
        <v>1508</v>
      </c>
      <c r="E105" s="78">
        <v>2000</v>
      </c>
      <c r="F105" s="40"/>
      <c r="G105" s="40"/>
      <c r="H105" s="38">
        <f>'4.pielikums'!B106</f>
        <v>3508</v>
      </c>
      <c r="I105" s="61"/>
    </row>
    <row r="106" spans="1:9" ht="30" customHeight="1" x14ac:dyDescent="0.3">
      <c r="A106" s="42"/>
      <c r="B106" s="89" t="s">
        <v>880</v>
      </c>
      <c r="C106" s="45"/>
      <c r="D106" s="40">
        <f t="shared" si="5"/>
        <v>719</v>
      </c>
      <c r="E106" s="78">
        <f>17550</f>
        <v>17550</v>
      </c>
      <c r="F106" s="40"/>
      <c r="G106" s="40"/>
      <c r="H106" s="38">
        <f>'4.pielikums'!B107</f>
        <v>18269</v>
      </c>
      <c r="I106" s="61"/>
    </row>
    <row r="107" spans="1:9" s="60" customFormat="1" ht="30" customHeight="1" x14ac:dyDescent="0.3">
      <c r="A107" s="65"/>
      <c r="B107" s="89" t="s">
        <v>879</v>
      </c>
      <c r="C107" s="44"/>
      <c r="D107" s="39">
        <f t="shared" si="5"/>
        <v>0</v>
      </c>
      <c r="E107" s="85">
        <v>6665</v>
      </c>
      <c r="F107" s="39"/>
      <c r="G107" s="39"/>
      <c r="H107" s="111">
        <f>'4.pielikums'!B108</f>
        <v>6665</v>
      </c>
      <c r="I107" s="61"/>
    </row>
    <row r="108" spans="1:9" ht="30" customHeight="1" x14ac:dyDescent="0.3">
      <c r="A108" s="42"/>
      <c r="B108" s="89" t="s">
        <v>878</v>
      </c>
      <c r="C108" s="45"/>
      <c r="D108" s="40">
        <f t="shared" si="5"/>
        <v>376</v>
      </c>
      <c r="E108" s="78">
        <v>7985</v>
      </c>
      <c r="F108" s="40"/>
      <c r="G108" s="40"/>
      <c r="H108" s="38">
        <f>'4.pielikums'!B109</f>
        <v>8361</v>
      </c>
      <c r="I108" s="61"/>
    </row>
    <row r="109" spans="1:9" ht="30" customHeight="1" x14ac:dyDescent="0.3">
      <c r="A109" s="42"/>
      <c r="B109" s="89" t="s">
        <v>859</v>
      </c>
      <c r="C109" s="45"/>
      <c r="D109" s="40">
        <f t="shared" si="5"/>
        <v>0</v>
      </c>
      <c r="E109" s="78">
        <f>3510</f>
        <v>3510</v>
      </c>
      <c r="F109" s="40"/>
      <c r="G109" s="40"/>
      <c r="H109" s="38">
        <f>'4.pielikums'!B110</f>
        <v>3510</v>
      </c>
      <c r="I109" s="61"/>
    </row>
    <row r="110" spans="1:9" ht="51.6" customHeight="1" x14ac:dyDescent="0.3">
      <c r="A110" s="42"/>
      <c r="B110" s="89" t="s">
        <v>647</v>
      </c>
      <c r="C110" s="45"/>
      <c r="D110" s="40">
        <f t="shared" si="5"/>
        <v>5956</v>
      </c>
      <c r="E110" s="78"/>
      <c r="F110" s="40"/>
      <c r="G110" s="40"/>
      <c r="H110" s="38">
        <f>'4.pielikums'!B348</f>
        <v>5956</v>
      </c>
      <c r="I110" s="61"/>
    </row>
    <row r="111" spans="1:9" ht="51.6" customHeight="1" x14ac:dyDescent="0.3">
      <c r="A111" s="42"/>
      <c r="B111" s="89" t="s">
        <v>653</v>
      </c>
      <c r="C111" s="45"/>
      <c r="D111" s="40">
        <f t="shared" si="5"/>
        <v>0</v>
      </c>
      <c r="E111" s="40">
        <v>3000</v>
      </c>
      <c r="F111" s="40"/>
      <c r="G111" s="40"/>
      <c r="H111" s="38">
        <f>'4.pielikums'!B345</f>
        <v>3000</v>
      </c>
      <c r="I111" s="61"/>
    </row>
    <row r="112" spans="1:9" ht="30" customHeight="1" x14ac:dyDescent="0.3">
      <c r="A112" s="53" t="s">
        <v>250</v>
      </c>
      <c r="B112" s="71" t="s">
        <v>251</v>
      </c>
      <c r="C112" s="49">
        <f t="shared" ref="C112:G112" si="7">C113+C115</f>
        <v>115000</v>
      </c>
      <c r="D112" s="49">
        <f t="shared" si="7"/>
        <v>2614216</v>
      </c>
      <c r="E112" s="49">
        <f t="shared" si="7"/>
        <v>2159895</v>
      </c>
      <c r="F112" s="49">
        <f t="shared" si="7"/>
        <v>6296</v>
      </c>
      <c r="G112" s="49">
        <f t="shared" si="7"/>
        <v>380947</v>
      </c>
      <c r="H112" s="38">
        <f>H113+H115</f>
        <v>5277432</v>
      </c>
      <c r="I112" s="61"/>
    </row>
    <row r="113" spans="1:9" ht="15" customHeight="1" x14ac:dyDescent="0.3">
      <c r="A113" s="51"/>
      <c r="B113" s="69" t="s">
        <v>252</v>
      </c>
      <c r="C113" s="49">
        <f t="shared" ref="C113:G113" si="8">SUM(C114:C114)</f>
        <v>0</v>
      </c>
      <c r="D113" s="49">
        <f t="shared" si="8"/>
        <v>116173</v>
      </c>
      <c r="E113" s="49">
        <f t="shared" si="8"/>
        <v>3669</v>
      </c>
      <c r="F113" s="49">
        <f t="shared" si="8"/>
        <v>0</v>
      </c>
      <c r="G113" s="49">
        <f t="shared" si="8"/>
        <v>0</v>
      </c>
      <c r="H113" s="38">
        <f>SUM(H114:H114)</f>
        <v>119842</v>
      </c>
      <c r="I113" s="61"/>
    </row>
    <row r="114" spans="1:9" ht="15" customHeight="1" x14ac:dyDescent="0.3">
      <c r="A114" s="2"/>
      <c r="B114" s="81" t="s">
        <v>19</v>
      </c>
      <c r="C114" s="50"/>
      <c r="D114" s="40">
        <f t="shared" ref="D114:D184" si="9">H114-E114-G114-F114-C114</f>
        <v>116173</v>
      </c>
      <c r="E114" s="78">
        <v>3669</v>
      </c>
      <c r="F114" s="40"/>
      <c r="G114" s="40"/>
      <c r="H114" s="38">
        <f>'4.pielikums'!B111</f>
        <v>119842</v>
      </c>
      <c r="I114" s="61"/>
    </row>
    <row r="115" spans="1:9" ht="31.2" x14ac:dyDescent="0.3">
      <c r="A115" s="42"/>
      <c r="B115" s="71" t="s">
        <v>253</v>
      </c>
      <c r="C115" s="49">
        <f t="shared" ref="C115:G115" si="10">SUM(C116:C180)</f>
        <v>115000</v>
      </c>
      <c r="D115" s="49">
        <f t="shared" si="10"/>
        <v>2498043</v>
      </c>
      <c r="E115" s="49">
        <f t="shared" si="10"/>
        <v>2156226</v>
      </c>
      <c r="F115" s="49">
        <f>SUM(F116:F180)</f>
        <v>6296</v>
      </c>
      <c r="G115" s="49">
        <f t="shared" si="10"/>
        <v>380947</v>
      </c>
      <c r="H115" s="38">
        <f>SUM(H116:H181)</f>
        <v>5157590</v>
      </c>
      <c r="I115" s="61"/>
    </row>
    <row r="116" spans="1:9" s="60" customFormat="1" ht="15" customHeight="1" x14ac:dyDescent="0.3">
      <c r="A116" s="68"/>
      <c r="B116" s="58" t="s">
        <v>168</v>
      </c>
      <c r="C116" s="44"/>
      <c r="D116" s="39">
        <f t="shared" si="9"/>
        <v>74682</v>
      </c>
      <c r="E116" s="39">
        <v>21000</v>
      </c>
      <c r="F116" s="39"/>
      <c r="G116" s="39"/>
      <c r="H116" s="111">
        <f>'4.pielikums'!B112</f>
        <v>95682</v>
      </c>
      <c r="I116" s="61"/>
    </row>
    <row r="117" spans="1:9" s="60" customFormat="1" ht="15" customHeight="1" x14ac:dyDescent="0.3">
      <c r="A117" s="68"/>
      <c r="B117" s="58" t="s">
        <v>172</v>
      </c>
      <c r="C117" s="44"/>
      <c r="D117" s="39">
        <f>H117-E117-G117-F117-C117</f>
        <v>58549</v>
      </c>
      <c r="E117" s="39"/>
      <c r="F117" s="39"/>
      <c r="G117" s="39"/>
      <c r="H117" s="111">
        <f>'4.pielikums'!B113</f>
        <v>58549</v>
      </c>
      <c r="I117" s="61"/>
    </row>
    <row r="118" spans="1:9" s="60" customFormat="1" ht="17.25" customHeight="1" x14ac:dyDescent="0.3">
      <c r="A118" s="68"/>
      <c r="B118" s="58" t="s">
        <v>652</v>
      </c>
      <c r="C118" s="44"/>
      <c r="D118" s="39">
        <f>H118-E118-G118-F118-C118</f>
        <v>368209</v>
      </c>
      <c r="E118" s="39"/>
      <c r="F118" s="39"/>
      <c r="G118" s="39"/>
      <c r="H118" s="111">
        <f>'4.pielikums'!B140</f>
        <v>368209</v>
      </c>
      <c r="I118" s="61"/>
    </row>
    <row r="119" spans="1:9" ht="15" customHeight="1" x14ac:dyDescent="0.3">
      <c r="A119" s="42"/>
      <c r="B119" s="81" t="s">
        <v>255</v>
      </c>
      <c r="C119" s="50">
        <v>115000</v>
      </c>
      <c r="D119" s="40">
        <f t="shared" si="9"/>
        <v>0</v>
      </c>
      <c r="E119" s="40">
        <f>231618+282536+217219+908592+9380</f>
        <v>1649345</v>
      </c>
      <c r="F119" s="40"/>
      <c r="G119" s="40"/>
      <c r="H119" s="38">
        <f>'4.pielikums'!B134</f>
        <v>1764345</v>
      </c>
      <c r="I119" s="61"/>
    </row>
    <row r="120" spans="1:9" ht="21.75" customHeight="1" x14ac:dyDescent="0.3">
      <c r="A120" s="46"/>
      <c r="B120" s="80" t="s">
        <v>20</v>
      </c>
      <c r="C120" s="45"/>
      <c r="D120" s="40">
        <f>H120-E120-G120-F120-C120</f>
        <v>29040</v>
      </c>
      <c r="E120" s="78">
        <v>510</v>
      </c>
      <c r="F120" s="40"/>
      <c r="G120" s="40"/>
      <c r="H120" s="38">
        <f>'4.pielikums'!B114</f>
        <v>29550</v>
      </c>
      <c r="I120" s="61"/>
    </row>
    <row r="121" spans="1:9" ht="30" customHeight="1" x14ac:dyDescent="0.3">
      <c r="A121" s="42"/>
      <c r="B121" s="80" t="s">
        <v>254</v>
      </c>
      <c r="C121" s="45"/>
      <c r="D121" s="40">
        <f t="shared" si="9"/>
        <v>73044</v>
      </c>
      <c r="E121" s="78">
        <f>2280</f>
        <v>2280</v>
      </c>
      <c r="F121" s="40"/>
      <c r="G121" s="40"/>
      <c r="H121" s="38">
        <f>'4.pielikums'!B115</f>
        <v>75324</v>
      </c>
      <c r="I121" s="61"/>
    </row>
    <row r="122" spans="1:9" ht="28.2" customHeight="1" x14ac:dyDescent="0.3">
      <c r="A122" s="42"/>
      <c r="B122" s="80" t="s">
        <v>21</v>
      </c>
      <c r="C122" s="45"/>
      <c r="D122" s="40">
        <f>H122-E122-G122-F122-C122</f>
        <v>31505</v>
      </c>
      <c r="E122" s="85">
        <f>170</f>
        <v>170</v>
      </c>
      <c r="F122" s="40">
        <v>450</v>
      </c>
      <c r="G122" s="40"/>
      <c r="H122" s="38">
        <f>'4.pielikums'!B116</f>
        <v>32125</v>
      </c>
      <c r="I122" s="61"/>
    </row>
    <row r="123" spans="1:9" ht="30" customHeight="1" x14ac:dyDescent="0.3">
      <c r="A123" s="42"/>
      <c r="B123" s="80" t="s">
        <v>22</v>
      </c>
      <c r="C123" s="45"/>
      <c r="D123" s="40">
        <f t="shared" si="9"/>
        <v>60017</v>
      </c>
      <c r="E123" s="78">
        <v>1838</v>
      </c>
      <c r="F123" s="40"/>
      <c r="G123" s="40"/>
      <c r="H123" s="38">
        <f>'4.pielikums'!B118</f>
        <v>61855</v>
      </c>
      <c r="I123" s="61"/>
    </row>
    <row r="124" spans="1:9" ht="32.4" customHeight="1" x14ac:dyDescent="0.3">
      <c r="A124" s="42"/>
      <c r="B124" s="80" t="s">
        <v>23</v>
      </c>
      <c r="C124" s="45"/>
      <c r="D124" s="40">
        <f t="shared" si="9"/>
        <v>25350</v>
      </c>
      <c r="E124" s="78">
        <f>2491+2191</f>
        <v>4682</v>
      </c>
      <c r="F124" s="40"/>
      <c r="G124" s="40"/>
      <c r="H124" s="38">
        <f>'4.pielikums'!B119</f>
        <v>30032</v>
      </c>
      <c r="I124" s="61"/>
    </row>
    <row r="125" spans="1:9" ht="29.4" customHeight="1" x14ac:dyDescent="0.3">
      <c r="A125" s="42"/>
      <c r="B125" s="80" t="s">
        <v>24</v>
      </c>
      <c r="C125" s="45"/>
      <c r="D125" s="40">
        <f t="shared" si="9"/>
        <v>74171</v>
      </c>
      <c r="E125" s="78">
        <v>225</v>
      </c>
      <c r="F125" s="40"/>
      <c r="G125" s="40"/>
      <c r="H125" s="38">
        <f>'4.pielikums'!B121</f>
        <v>74396</v>
      </c>
      <c r="I125" s="61"/>
    </row>
    <row r="126" spans="1:9" ht="30" customHeight="1" x14ac:dyDescent="0.3">
      <c r="A126" s="42"/>
      <c r="B126" s="92" t="s">
        <v>299</v>
      </c>
      <c r="C126" s="45"/>
      <c r="D126" s="40">
        <f t="shared" si="9"/>
        <v>34907</v>
      </c>
      <c r="E126" s="78">
        <v>59525</v>
      </c>
      <c r="F126" s="40"/>
      <c r="G126" s="40"/>
      <c r="H126" s="38">
        <f>'4.pielikums'!B122</f>
        <v>94432</v>
      </c>
      <c r="I126" s="61"/>
    </row>
    <row r="127" spans="1:9" ht="30" customHeight="1" x14ac:dyDescent="0.3">
      <c r="A127" s="42"/>
      <c r="B127" s="93" t="s">
        <v>130</v>
      </c>
      <c r="C127" s="45"/>
      <c r="D127" s="40">
        <f>H127-E127-G127-F127-C127</f>
        <v>83769</v>
      </c>
      <c r="E127" s="78">
        <v>3590</v>
      </c>
      <c r="F127" s="40"/>
      <c r="G127" s="40"/>
      <c r="H127" s="38">
        <f>'4.pielikums'!B123</f>
        <v>87359</v>
      </c>
      <c r="I127" s="61"/>
    </row>
    <row r="128" spans="1:9" ht="30" customHeight="1" x14ac:dyDescent="0.3">
      <c r="A128" s="42"/>
      <c r="B128" s="80" t="s">
        <v>25</v>
      </c>
      <c r="C128" s="45"/>
      <c r="D128" s="40">
        <f t="shared" si="9"/>
        <v>54015</v>
      </c>
      <c r="E128" s="78">
        <v>3145</v>
      </c>
      <c r="F128" s="40"/>
      <c r="G128" s="40"/>
      <c r="H128" s="38">
        <f>'4.pielikums'!B125</f>
        <v>57160</v>
      </c>
      <c r="I128" s="61"/>
    </row>
    <row r="129" spans="1:9" ht="30" customHeight="1" x14ac:dyDescent="0.3">
      <c r="A129" s="42"/>
      <c r="B129" s="92" t="s">
        <v>300</v>
      </c>
      <c r="C129" s="45"/>
      <c r="D129" s="40">
        <f t="shared" si="9"/>
        <v>10119</v>
      </c>
      <c r="E129" s="78"/>
      <c r="F129" s="40"/>
      <c r="G129" s="40"/>
      <c r="H129" s="38">
        <f>'4.pielikums'!B126</f>
        <v>10119</v>
      </c>
      <c r="I129" s="61"/>
    </row>
    <row r="130" spans="1:9" ht="15" customHeight="1" x14ac:dyDescent="0.3">
      <c r="A130" s="42"/>
      <c r="B130" s="93" t="s">
        <v>131</v>
      </c>
      <c r="C130" s="45"/>
      <c r="D130" s="40">
        <f t="shared" si="9"/>
        <v>155416</v>
      </c>
      <c r="E130" s="78">
        <v>3341</v>
      </c>
      <c r="F130" s="40"/>
      <c r="G130" s="40"/>
      <c r="H130" s="38">
        <f>'4.pielikums'!B127</f>
        <v>158757</v>
      </c>
      <c r="I130" s="61"/>
    </row>
    <row r="131" spans="1:9" ht="34.200000000000003" customHeight="1" x14ac:dyDescent="0.3">
      <c r="A131" s="42"/>
      <c r="B131" s="92" t="s">
        <v>301</v>
      </c>
      <c r="C131" s="45"/>
      <c r="D131" s="40">
        <f t="shared" si="9"/>
        <v>3815</v>
      </c>
      <c r="E131" s="78">
        <v>3530</v>
      </c>
      <c r="F131" s="40"/>
      <c r="G131" s="40"/>
      <c r="H131" s="38">
        <f>'4.pielikums'!B129</f>
        <v>7345</v>
      </c>
      <c r="I131" s="61"/>
    </row>
    <row r="132" spans="1:9" ht="29.4" customHeight="1" x14ac:dyDescent="0.3">
      <c r="A132" s="42"/>
      <c r="B132" s="80" t="s">
        <v>26</v>
      </c>
      <c r="C132" s="45"/>
      <c r="D132" s="40">
        <f t="shared" si="9"/>
        <v>103536</v>
      </c>
      <c r="E132" s="78">
        <v>14016</v>
      </c>
      <c r="F132" s="40"/>
      <c r="G132" s="40"/>
      <c r="H132" s="38">
        <f>'4.pielikums'!B130</f>
        <v>117552</v>
      </c>
      <c r="I132" s="61"/>
    </row>
    <row r="133" spans="1:9" s="60" customFormat="1" ht="30" customHeight="1" x14ac:dyDescent="0.3">
      <c r="A133" s="65"/>
      <c r="B133" s="80" t="s">
        <v>27</v>
      </c>
      <c r="C133" s="44"/>
      <c r="D133" s="39">
        <f t="shared" si="9"/>
        <v>45339</v>
      </c>
      <c r="E133" s="85"/>
      <c r="F133" s="39"/>
      <c r="G133" s="39"/>
      <c r="H133" s="111">
        <f>'4.pielikums'!B131</f>
        <v>45339</v>
      </c>
      <c r="I133" s="61"/>
    </row>
    <row r="134" spans="1:9" ht="33.6" customHeight="1" x14ac:dyDescent="0.3">
      <c r="A134" s="42"/>
      <c r="B134" s="92" t="s">
        <v>177</v>
      </c>
      <c r="C134" s="45"/>
      <c r="D134" s="40">
        <f t="shared" si="9"/>
        <v>41260</v>
      </c>
      <c r="E134" s="78">
        <v>1400</v>
      </c>
      <c r="F134" s="40"/>
      <c r="G134" s="40"/>
      <c r="H134" s="38">
        <f>'4.pielikums'!B132</f>
        <v>42660</v>
      </c>
      <c r="I134" s="61"/>
    </row>
    <row r="135" spans="1:9" ht="31.95" customHeight="1" x14ac:dyDescent="0.3">
      <c r="A135" s="42"/>
      <c r="B135" s="80" t="s">
        <v>28</v>
      </c>
      <c r="C135" s="45"/>
      <c r="D135" s="40">
        <f t="shared" si="9"/>
        <v>102295</v>
      </c>
      <c r="E135" s="78">
        <v>586</v>
      </c>
      <c r="F135" s="40"/>
      <c r="G135" s="40"/>
      <c r="H135" s="38">
        <f>'4.pielikums'!B133</f>
        <v>102881</v>
      </c>
      <c r="I135" s="61"/>
    </row>
    <row r="136" spans="1:9" ht="30" customHeight="1" x14ac:dyDescent="0.3">
      <c r="A136" s="42"/>
      <c r="B136" s="92" t="s">
        <v>161</v>
      </c>
      <c r="C136" s="45"/>
      <c r="D136" s="40">
        <f>H136-E136-G136-F136-C136</f>
        <v>65807</v>
      </c>
      <c r="E136" s="78">
        <v>17000</v>
      </c>
      <c r="F136" s="40"/>
      <c r="G136" s="40"/>
      <c r="H136" s="38">
        <f>'4.pielikums'!B135</f>
        <v>82807</v>
      </c>
      <c r="I136" s="61"/>
    </row>
    <row r="137" spans="1:9" ht="30" customHeight="1" x14ac:dyDescent="0.3">
      <c r="A137" s="42"/>
      <c r="B137" s="92" t="s">
        <v>109</v>
      </c>
      <c r="C137" s="45"/>
      <c r="D137" s="40">
        <f t="shared" si="9"/>
        <v>0</v>
      </c>
      <c r="E137" s="78">
        <v>7500</v>
      </c>
      <c r="F137" s="40"/>
      <c r="G137" s="40"/>
      <c r="H137" s="38">
        <f>'4.pielikums'!B136</f>
        <v>7500</v>
      </c>
      <c r="I137" s="61"/>
    </row>
    <row r="138" spans="1:9" ht="30" customHeight="1" x14ac:dyDescent="0.3">
      <c r="A138" s="42"/>
      <c r="B138" s="92" t="s">
        <v>115</v>
      </c>
      <c r="C138" s="45"/>
      <c r="D138" s="40">
        <f t="shared" si="9"/>
        <v>0</v>
      </c>
      <c r="E138" s="78">
        <v>1000</v>
      </c>
      <c r="F138" s="40"/>
      <c r="G138" s="40"/>
      <c r="H138" s="38">
        <f>'4.pielikums'!B137</f>
        <v>1000</v>
      </c>
      <c r="I138" s="61"/>
    </row>
    <row r="139" spans="1:9" ht="30" customHeight="1" x14ac:dyDescent="0.3">
      <c r="A139" s="42"/>
      <c r="B139" s="92" t="s">
        <v>110</v>
      </c>
      <c r="C139" s="45"/>
      <c r="D139" s="40">
        <f t="shared" si="9"/>
        <v>0</v>
      </c>
      <c r="E139" s="78">
        <f>2100+7727</f>
        <v>9827</v>
      </c>
      <c r="F139" s="40"/>
      <c r="G139" s="40"/>
      <c r="H139" s="38">
        <f>'4.pielikums'!B138</f>
        <v>9827</v>
      </c>
      <c r="I139" s="61"/>
    </row>
    <row r="140" spans="1:9" ht="30" customHeight="1" x14ac:dyDescent="0.3">
      <c r="A140" s="42"/>
      <c r="B140" s="89" t="s">
        <v>112</v>
      </c>
      <c r="C140" s="45"/>
      <c r="D140" s="40">
        <f t="shared" si="9"/>
        <v>0</v>
      </c>
      <c r="E140" s="78">
        <v>3200</v>
      </c>
      <c r="F140" s="40"/>
      <c r="G140" s="40"/>
      <c r="H140" s="38">
        <f>'4.pielikums'!B139</f>
        <v>3200</v>
      </c>
      <c r="I140" s="61"/>
    </row>
    <row r="141" spans="1:9" ht="30" customHeight="1" x14ac:dyDescent="0.3">
      <c r="A141" s="42"/>
      <c r="B141" s="58" t="s">
        <v>639</v>
      </c>
      <c r="C141" s="45"/>
      <c r="D141" s="40">
        <f t="shared" si="9"/>
        <v>118153</v>
      </c>
      <c r="E141" s="78"/>
      <c r="F141" s="40"/>
      <c r="G141" s="40"/>
      <c r="H141" s="38">
        <f>'4.pielikums'!B141</f>
        <v>118153</v>
      </c>
      <c r="I141" s="61"/>
    </row>
    <row r="142" spans="1:9" ht="30" customHeight="1" x14ac:dyDescent="0.3">
      <c r="A142" s="42"/>
      <c r="B142" s="89" t="s">
        <v>105</v>
      </c>
      <c r="C142" s="45"/>
      <c r="D142" s="40">
        <f t="shared" si="9"/>
        <v>16115</v>
      </c>
      <c r="E142" s="78"/>
      <c r="F142" s="40"/>
      <c r="G142" s="40"/>
      <c r="H142" s="38">
        <f>'4.pielikums'!B142</f>
        <v>16115</v>
      </c>
      <c r="I142" s="61"/>
    </row>
    <row r="143" spans="1:9" ht="30" customHeight="1" x14ac:dyDescent="0.3">
      <c r="A143" s="42"/>
      <c r="B143" s="89" t="s">
        <v>102</v>
      </c>
      <c r="C143" s="45"/>
      <c r="D143" s="40">
        <f t="shared" si="9"/>
        <v>16093</v>
      </c>
      <c r="E143" s="78"/>
      <c r="F143" s="40"/>
      <c r="G143" s="40"/>
      <c r="H143" s="38">
        <f>'4.pielikums'!B143</f>
        <v>16093</v>
      </c>
      <c r="I143" s="61"/>
    </row>
    <row r="144" spans="1:9" ht="30" customHeight="1" x14ac:dyDescent="0.3">
      <c r="A144" s="42"/>
      <c r="B144" s="89" t="s">
        <v>106</v>
      </c>
      <c r="C144" s="45"/>
      <c r="D144" s="40">
        <f t="shared" si="9"/>
        <v>17528</v>
      </c>
      <c r="E144" s="78">
        <v>255</v>
      </c>
      <c r="F144" s="40"/>
      <c r="G144" s="40"/>
      <c r="H144" s="38">
        <f>'4.pielikums'!B144</f>
        <v>17783</v>
      </c>
      <c r="I144" s="61"/>
    </row>
    <row r="145" spans="1:9" ht="30" customHeight="1" x14ac:dyDescent="0.3">
      <c r="A145" s="42"/>
      <c r="B145" s="89" t="s">
        <v>302</v>
      </c>
      <c r="C145" s="45"/>
      <c r="D145" s="40">
        <f t="shared" si="9"/>
        <v>19011</v>
      </c>
      <c r="E145" s="40"/>
      <c r="F145" s="40"/>
      <c r="G145" s="40"/>
      <c r="H145" s="38">
        <f>'4.pielikums'!B145</f>
        <v>19011</v>
      </c>
      <c r="I145" s="61"/>
    </row>
    <row r="146" spans="1:9" ht="30" customHeight="1" x14ac:dyDescent="0.3">
      <c r="A146" s="42"/>
      <c r="B146" s="89" t="s">
        <v>108</v>
      </c>
      <c r="C146" s="45"/>
      <c r="D146" s="40">
        <f t="shared" ref="D146" si="11">H146-E146-G146-F146-C146</f>
        <v>24027</v>
      </c>
      <c r="E146" s="40"/>
      <c r="F146" s="40"/>
      <c r="G146" s="40"/>
      <c r="H146" s="38">
        <f>'4.pielikums'!B146</f>
        <v>24027</v>
      </c>
      <c r="I146" s="61"/>
    </row>
    <row r="147" spans="1:9" ht="15" customHeight="1" x14ac:dyDescent="0.3">
      <c r="A147" s="42"/>
      <c r="B147" s="89" t="s">
        <v>113</v>
      </c>
      <c r="C147" s="45"/>
      <c r="D147" s="40">
        <f t="shared" si="9"/>
        <v>205018</v>
      </c>
      <c r="E147" s="78">
        <f>900+1400</f>
        <v>2300</v>
      </c>
      <c r="F147" s="40"/>
      <c r="G147" s="40"/>
      <c r="H147" s="38">
        <f>'4.pielikums'!B147</f>
        <v>207318</v>
      </c>
      <c r="I147" s="61"/>
    </row>
    <row r="148" spans="1:9" ht="30" customHeight="1" x14ac:dyDescent="0.3">
      <c r="A148" s="42"/>
      <c r="B148" s="89" t="s">
        <v>870</v>
      </c>
      <c r="C148" s="45"/>
      <c r="D148" s="40">
        <f t="shared" si="9"/>
        <v>45890</v>
      </c>
      <c r="E148" s="78">
        <v>21857</v>
      </c>
      <c r="F148" s="40"/>
      <c r="G148" s="40"/>
      <c r="H148" s="38">
        <f>'4.pielikums'!B148</f>
        <v>67747</v>
      </c>
      <c r="I148" s="61"/>
    </row>
    <row r="149" spans="1:9" ht="30" customHeight="1" x14ac:dyDescent="0.3">
      <c r="A149" s="42"/>
      <c r="B149" s="89" t="s">
        <v>871</v>
      </c>
      <c r="C149" s="45"/>
      <c r="D149" s="40">
        <f t="shared" si="9"/>
        <v>150211</v>
      </c>
      <c r="E149" s="78">
        <v>35161</v>
      </c>
      <c r="F149" s="40"/>
      <c r="G149" s="40"/>
      <c r="H149" s="38">
        <f>'4.pielikums'!B149</f>
        <v>185372</v>
      </c>
      <c r="I149" s="61"/>
    </row>
    <row r="150" spans="1:9" ht="30" customHeight="1" x14ac:dyDescent="0.3">
      <c r="A150" s="42"/>
      <c r="B150" s="89" t="s">
        <v>832</v>
      </c>
      <c r="C150" s="45"/>
      <c r="D150" s="40">
        <f t="shared" si="9"/>
        <v>32104</v>
      </c>
      <c r="E150" s="78">
        <v>13500</v>
      </c>
      <c r="F150" s="40"/>
      <c r="G150" s="40"/>
      <c r="H150" s="38">
        <f>'4.pielikums'!B151</f>
        <v>45604</v>
      </c>
      <c r="I150" s="61"/>
    </row>
    <row r="151" spans="1:9" ht="15" customHeight="1" x14ac:dyDescent="0.3">
      <c r="A151" s="42"/>
      <c r="B151" s="89" t="s">
        <v>833</v>
      </c>
      <c r="C151" s="45"/>
      <c r="D151" s="40">
        <f t="shared" si="9"/>
        <v>29697</v>
      </c>
      <c r="E151" s="78">
        <v>28967</v>
      </c>
      <c r="F151" s="40"/>
      <c r="G151" s="40"/>
      <c r="H151" s="38">
        <f>'4.pielikums'!B152</f>
        <v>58664</v>
      </c>
      <c r="I151" s="61"/>
    </row>
    <row r="152" spans="1:9" ht="30" customHeight="1" x14ac:dyDescent="0.3">
      <c r="A152" s="42"/>
      <c r="B152" s="89" t="s">
        <v>813</v>
      </c>
      <c r="C152" s="45"/>
      <c r="D152" s="40">
        <f t="shared" si="9"/>
        <v>22471</v>
      </c>
      <c r="E152" s="78">
        <v>9000</v>
      </c>
      <c r="F152" s="40"/>
      <c r="G152" s="40"/>
      <c r="H152" s="38">
        <f>'4.pielikums'!B153</f>
        <v>31471</v>
      </c>
      <c r="I152" s="61"/>
    </row>
    <row r="153" spans="1:9" ht="30" customHeight="1" x14ac:dyDescent="0.3">
      <c r="A153" s="42"/>
      <c r="B153" s="89" t="s">
        <v>814</v>
      </c>
      <c r="C153" s="45"/>
      <c r="D153" s="40">
        <f t="shared" si="9"/>
        <v>15365</v>
      </c>
      <c r="E153" s="78">
        <v>69000</v>
      </c>
      <c r="F153" s="40"/>
      <c r="G153" s="40"/>
      <c r="H153" s="38">
        <f>'4.pielikums'!B154</f>
        <v>84365</v>
      </c>
      <c r="I153" s="61"/>
    </row>
    <row r="154" spans="1:9" ht="15" customHeight="1" x14ac:dyDescent="0.3">
      <c r="A154" s="42"/>
      <c r="B154" s="89" t="s">
        <v>872</v>
      </c>
      <c r="C154" s="45"/>
      <c r="D154" s="40">
        <f t="shared" si="9"/>
        <v>68880</v>
      </c>
      <c r="E154" s="78">
        <f>59000</f>
        <v>59000</v>
      </c>
      <c r="F154" s="40"/>
      <c r="G154" s="40"/>
      <c r="H154" s="38">
        <f>'4.pielikums'!B155</f>
        <v>127880</v>
      </c>
      <c r="I154" s="61"/>
    </row>
    <row r="155" spans="1:9" ht="15" customHeight="1" x14ac:dyDescent="0.3">
      <c r="A155" s="42"/>
      <c r="B155" s="91" t="s">
        <v>183</v>
      </c>
      <c r="C155" s="45"/>
      <c r="D155" s="40">
        <f t="shared" si="9"/>
        <v>0</v>
      </c>
      <c r="E155" s="78">
        <v>2840</v>
      </c>
      <c r="F155" s="40"/>
      <c r="G155" s="40"/>
      <c r="H155" s="38">
        <f>'4.pielikums'!B157</f>
        <v>2840</v>
      </c>
      <c r="I155" s="61"/>
    </row>
    <row r="156" spans="1:9" ht="15" customHeight="1" x14ac:dyDescent="0.3">
      <c r="A156" s="42"/>
      <c r="B156" s="91" t="s">
        <v>182</v>
      </c>
      <c r="C156" s="45"/>
      <c r="D156" s="40">
        <f t="shared" si="9"/>
        <v>5778</v>
      </c>
      <c r="E156" s="78">
        <v>11605</v>
      </c>
      <c r="F156" s="40"/>
      <c r="G156" s="40"/>
      <c r="H156" s="38">
        <f>'4.pielikums'!B158</f>
        <v>17383</v>
      </c>
      <c r="I156" s="61"/>
    </row>
    <row r="157" spans="1:9" s="60" customFormat="1" ht="30" customHeight="1" x14ac:dyDescent="0.3">
      <c r="A157" s="65"/>
      <c r="B157" s="89" t="s">
        <v>818</v>
      </c>
      <c r="C157" s="44"/>
      <c r="D157" s="39">
        <f t="shared" si="9"/>
        <v>1794</v>
      </c>
      <c r="E157" s="85">
        <v>2500</v>
      </c>
      <c r="F157" s="39"/>
      <c r="G157" s="39"/>
      <c r="H157" s="111">
        <f>'4.pielikums'!B159</f>
        <v>4294</v>
      </c>
      <c r="I157" s="61"/>
    </row>
    <row r="158" spans="1:9" ht="15" customHeight="1" x14ac:dyDescent="0.3">
      <c r="A158" s="42"/>
      <c r="B158" s="89" t="s">
        <v>819</v>
      </c>
      <c r="C158" s="45"/>
      <c r="D158" s="40">
        <f>H158-E158-G158-F158-C158</f>
        <v>894</v>
      </c>
      <c r="E158" s="78">
        <v>4268</v>
      </c>
      <c r="F158" s="40"/>
      <c r="G158" s="40"/>
      <c r="H158" s="38">
        <f>'4.pielikums'!B160</f>
        <v>5162</v>
      </c>
      <c r="I158" s="61"/>
    </row>
    <row r="159" spans="1:9" s="60" customFormat="1" ht="30" customHeight="1" x14ac:dyDescent="0.3">
      <c r="A159" s="65"/>
      <c r="B159" s="89" t="s">
        <v>820</v>
      </c>
      <c r="C159" s="44"/>
      <c r="D159" s="39">
        <f>H159-E159-G159-F159-C159</f>
        <v>745</v>
      </c>
      <c r="E159" s="85">
        <v>2391</v>
      </c>
      <c r="F159" s="39"/>
      <c r="G159" s="39"/>
      <c r="H159" s="111">
        <f>'4.pielikums'!B162</f>
        <v>3136</v>
      </c>
      <c r="I159" s="61"/>
    </row>
    <row r="160" spans="1:9" ht="15" customHeight="1" x14ac:dyDescent="0.3">
      <c r="A160" s="42"/>
      <c r="B160" s="94" t="s">
        <v>873</v>
      </c>
      <c r="C160" s="45"/>
      <c r="D160" s="40">
        <f t="shared" si="9"/>
        <v>1585</v>
      </c>
      <c r="E160" s="78">
        <v>4516</v>
      </c>
      <c r="F160" s="40"/>
      <c r="G160" s="40"/>
      <c r="H160" s="38">
        <f>'4.pielikums'!B163</f>
        <v>6101</v>
      </c>
      <c r="I160" s="61"/>
    </row>
    <row r="161" spans="1:9" ht="15" customHeight="1" x14ac:dyDescent="0.3">
      <c r="A161" s="42"/>
      <c r="B161" s="89" t="s">
        <v>874</v>
      </c>
      <c r="C161" s="45"/>
      <c r="D161" s="40">
        <f t="shared" si="9"/>
        <v>0</v>
      </c>
      <c r="E161" s="78">
        <v>5348</v>
      </c>
      <c r="F161" s="40"/>
      <c r="G161" s="40"/>
      <c r="H161" s="38">
        <f>'4.pielikums'!B165</f>
        <v>5348</v>
      </c>
      <c r="I161" s="61"/>
    </row>
    <row r="162" spans="1:9" ht="30" customHeight="1" x14ac:dyDescent="0.3">
      <c r="A162" s="42"/>
      <c r="B162" s="89" t="s">
        <v>875</v>
      </c>
      <c r="C162" s="45"/>
      <c r="D162" s="40">
        <f t="shared" si="9"/>
        <v>0</v>
      </c>
      <c r="E162" s="78">
        <v>5000</v>
      </c>
      <c r="F162" s="40"/>
      <c r="G162" s="40"/>
      <c r="H162" s="38">
        <f>'4.pielikums'!B166</f>
        <v>5000</v>
      </c>
      <c r="I162" s="61"/>
    </row>
    <row r="163" spans="1:9" ht="15" customHeight="1" x14ac:dyDescent="0.3">
      <c r="A163" s="42"/>
      <c r="B163" s="90" t="s">
        <v>132</v>
      </c>
      <c r="C163" s="45"/>
      <c r="D163" s="40">
        <f>H163-E163-G163-F163-C163</f>
        <v>900</v>
      </c>
      <c r="E163" s="78">
        <v>5600</v>
      </c>
      <c r="F163" s="40"/>
      <c r="G163" s="40"/>
      <c r="H163" s="38">
        <f>'4.pielikums'!B167</f>
        <v>6500</v>
      </c>
      <c r="I163" s="61"/>
    </row>
    <row r="164" spans="1:9" s="60" customFormat="1" ht="30" customHeight="1" x14ac:dyDescent="0.3">
      <c r="A164" s="65"/>
      <c r="B164" s="89" t="s">
        <v>876</v>
      </c>
      <c r="C164" s="44"/>
      <c r="D164" s="39">
        <f t="shared" si="9"/>
        <v>0</v>
      </c>
      <c r="E164" s="85">
        <v>3193</v>
      </c>
      <c r="F164" s="39"/>
      <c r="G164" s="39"/>
      <c r="H164" s="111">
        <f>'4.pielikums'!B169</f>
        <v>3193</v>
      </c>
      <c r="I164" s="61"/>
    </row>
    <row r="165" spans="1:9" ht="30" customHeight="1" x14ac:dyDescent="0.3">
      <c r="A165" s="42"/>
      <c r="B165" s="89" t="s">
        <v>834</v>
      </c>
      <c r="C165" s="45"/>
      <c r="D165" s="40">
        <f t="shared" si="9"/>
        <v>0</v>
      </c>
      <c r="E165" s="78">
        <v>7036</v>
      </c>
      <c r="F165" s="40"/>
      <c r="G165" s="40"/>
      <c r="H165" s="38">
        <f>'4.pielikums'!B170</f>
        <v>7036</v>
      </c>
      <c r="I165" s="61"/>
    </row>
    <row r="166" spans="1:9" ht="15" customHeight="1" x14ac:dyDescent="0.3">
      <c r="A166" s="42"/>
      <c r="B166" s="89" t="s">
        <v>836</v>
      </c>
      <c r="C166" s="45"/>
      <c r="D166" s="40">
        <f t="shared" si="9"/>
        <v>0</v>
      </c>
      <c r="E166" s="78">
        <v>2977</v>
      </c>
      <c r="F166" s="40"/>
      <c r="G166" s="40"/>
      <c r="H166" s="38">
        <f>'4.pielikums'!B171</f>
        <v>2977</v>
      </c>
      <c r="I166" s="61"/>
    </row>
    <row r="167" spans="1:9" ht="15" customHeight="1" x14ac:dyDescent="0.3">
      <c r="A167" s="42"/>
      <c r="B167" s="90" t="s">
        <v>133</v>
      </c>
      <c r="C167" s="45"/>
      <c r="D167" s="40">
        <f t="shared" si="9"/>
        <v>0</v>
      </c>
      <c r="E167" s="78">
        <v>6650</v>
      </c>
      <c r="F167" s="40"/>
      <c r="G167" s="40"/>
      <c r="H167" s="38">
        <f>'4.pielikums'!B172</f>
        <v>6650</v>
      </c>
      <c r="I167" s="61"/>
    </row>
    <row r="168" spans="1:9" ht="15" customHeight="1" x14ac:dyDescent="0.3">
      <c r="A168" s="42"/>
      <c r="B168" s="89" t="s">
        <v>835</v>
      </c>
      <c r="C168" s="45"/>
      <c r="D168" s="40">
        <f t="shared" si="9"/>
        <v>0</v>
      </c>
      <c r="E168" s="78">
        <v>2127</v>
      </c>
      <c r="F168" s="40"/>
      <c r="G168" s="40"/>
      <c r="H168" s="38">
        <f>'4.pielikums'!B173</f>
        <v>2127</v>
      </c>
      <c r="I168" s="61"/>
    </row>
    <row r="169" spans="1:9" ht="15" customHeight="1" x14ac:dyDescent="0.3">
      <c r="A169" s="42"/>
      <c r="B169" s="89" t="s">
        <v>837</v>
      </c>
      <c r="C169" s="45"/>
      <c r="D169" s="40">
        <f t="shared" si="9"/>
        <v>2942</v>
      </c>
      <c r="E169" s="78">
        <v>6463</v>
      </c>
      <c r="F169" s="40"/>
      <c r="G169" s="40"/>
      <c r="H169" s="38">
        <f>'4.pielikums'!B174</f>
        <v>9405</v>
      </c>
      <c r="I169" s="61"/>
    </row>
    <row r="170" spans="1:9" s="60" customFormat="1" ht="15" customHeight="1" x14ac:dyDescent="0.3">
      <c r="A170" s="65"/>
      <c r="B170" s="89" t="s">
        <v>838</v>
      </c>
      <c r="C170" s="44"/>
      <c r="D170" s="39">
        <f t="shared" si="9"/>
        <v>1470</v>
      </c>
      <c r="E170" s="85">
        <v>4189</v>
      </c>
      <c r="F170" s="39"/>
      <c r="G170" s="39"/>
      <c r="H170" s="111">
        <f>'4.pielikums'!B176</f>
        <v>5659</v>
      </c>
      <c r="I170" s="61"/>
    </row>
    <row r="171" spans="1:9" ht="15" customHeight="1" x14ac:dyDescent="0.3">
      <c r="A171" s="42"/>
      <c r="B171" s="89" t="s">
        <v>839</v>
      </c>
      <c r="C171" s="45"/>
      <c r="D171" s="40">
        <f t="shared" si="9"/>
        <v>0</v>
      </c>
      <c r="E171" s="85">
        <v>3605</v>
      </c>
      <c r="F171" s="40"/>
      <c r="G171" s="40"/>
      <c r="H171" s="38">
        <f>'4.pielikums'!B175</f>
        <v>3605</v>
      </c>
      <c r="I171" s="61"/>
    </row>
    <row r="172" spans="1:9" ht="15" customHeight="1" x14ac:dyDescent="0.3">
      <c r="A172" s="42"/>
      <c r="B172" s="89" t="s">
        <v>827</v>
      </c>
      <c r="C172" s="45"/>
      <c r="D172" s="40">
        <f t="shared" si="9"/>
        <v>1574</v>
      </c>
      <c r="E172" s="78">
        <v>2400</v>
      </c>
      <c r="F172" s="40"/>
      <c r="G172" s="40"/>
      <c r="H172" s="38">
        <f>'4.pielikums'!B177</f>
        <v>3974</v>
      </c>
      <c r="I172" s="61"/>
    </row>
    <row r="173" spans="1:9" ht="30" customHeight="1" x14ac:dyDescent="0.3">
      <c r="A173" s="42"/>
      <c r="B173" s="89" t="s">
        <v>828</v>
      </c>
      <c r="C173" s="45"/>
      <c r="D173" s="40">
        <f t="shared" si="9"/>
        <v>14895</v>
      </c>
      <c r="E173" s="78">
        <f>15900</f>
        <v>15900</v>
      </c>
      <c r="F173" s="40"/>
      <c r="G173" s="40"/>
      <c r="H173" s="38">
        <f>'4.pielikums'!B178</f>
        <v>30795</v>
      </c>
      <c r="I173" s="61"/>
    </row>
    <row r="174" spans="1:9" ht="30" customHeight="1" x14ac:dyDescent="0.3">
      <c r="A174" s="42"/>
      <c r="B174" s="89" t="s">
        <v>829</v>
      </c>
      <c r="C174" s="45"/>
      <c r="D174" s="40">
        <f t="shared" si="9"/>
        <v>0</v>
      </c>
      <c r="E174" s="78">
        <v>2560</v>
      </c>
      <c r="F174" s="40"/>
      <c r="G174" s="40"/>
      <c r="H174" s="38">
        <f>'4.pielikums'!B179</f>
        <v>2560</v>
      </c>
      <c r="I174" s="61"/>
    </row>
    <row r="175" spans="1:9" ht="15" customHeight="1" x14ac:dyDescent="0.3">
      <c r="A175" s="42"/>
      <c r="B175" s="89" t="s">
        <v>877</v>
      </c>
      <c r="C175" s="45"/>
      <c r="D175" s="40">
        <f t="shared" si="9"/>
        <v>4058</v>
      </c>
      <c r="E175" s="78">
        <f>8308</f>
        <v>8308</v>
      </c>
      <c r="F175" s="40"/>
      <c r="G175" s="40"/>
      <c r="H175" s="38">
        <f>'4.pielikums'!B180</f>
        <v>12366</v>
      </c>
      <c r="I175" s="61"/>
    </row>
    <row r="176" spans="1:9" ht="30" customHeight="1" x14ac:dyDescent="0.3">
      <c r="A176" s="42"/>
      <c r="B176" s="89" t="s">
        <v>219</v>
      </c>
      <c r="C176" s="45"/>
      <c r="D176" s="40">
        <f>H176-E176-G176-F176-C176</f>
        <v>0</v>
      </c>
      <c r="E176" s="78"/>
      <c r="F176" s="40"/>
      <c r="G176" s="40">
        <f>252621+128326</f>
        <v>380947</v>
      </c>
      <c r="H176" s="38">
        <f>'4.pielikums'!B343</f>
        <v>380947</v>
      </c>
      <c r="I176" s="61"/>
    </row>
    <row r="177" spans="1:9" ht="30" customHeight="1" x14ac:dyDescent="0.3">
      <c r="A177" s="42"/>
      <c r="B177" s="59" t="s">
        <v>129</v>
      </c>
      <c r="C177" s="45"/>
      <c r="D177" s="40">
        <f t="shared" si="9"/>
        <v>26000</v>
      </c>
      <c r="E177" s="78"/>
      <c r="F177" s="40"/>
      <c r="G177" s="40"/>
      <c r="H177" s="38">
        <f>'4.pielikums'!B181</f>
        <v>26000</v>
      </c>
      <c r="I177" s="61"/>
    </row>
    <row r="178" spans="1:9" ht="30" customHeight="1" x14ac:dyDescent="0.3">
      <c r="A178" s="42"/>
      <c r="B178" s="59" t="s">
        <v>613</v>
      </c>
      <c r="C178" s="45"/>
      <c r="D178" s="40">
        <f t="shared" si="9"/>
        <v>0</v>
      </c>
      <c r="E178" s="78"/>
      <c r="F178" s="40">
        <f>2000+3846</f>
        <v>5846</v>
      </c>
      <c r="G178" s="40"/>
      <c r="H178" s="38">
        <f>'4.pielikums'!B340</f>
        <v>5846</v>
      </c>
      <c r="I178" s="61"/>
    </row>
    <row r="179" spans="1:9" ht="30" customHeight="1" x14ac:dyDescent="0.3">
      <c r="A179" s="42"/>
      <c r="B179" s="59" t="s">
        <v>651</v>
      </c>
      <c r="C179" s="45"/>
      <c r="D179" s="40">
        <f t="shared" si="9"/>
        <v>60000</v>
      </c>
      <c r="E179" s="78"/>
      <c r="F179" s="40"/>
      <c r="G179" s="40"/>
      <c r="H179" s="38">
        <f>'4.pielikums'!B344</f>
        <v>60000</v>
      </c>
      <c r="I179" s="61"/>
    </row>
    <row r="180" spans="1:9" s="60" customFormat="1" ht="15" customHeight="1" x14ac:dyDescent="0.3">
      <c r="A180" s="65"/>
      <c r="B180" s="59" t="s">
        <v>163</v>
      </c>
      <c r="C180" s="44"/>
      <c r="D180" s="39">
        <f t="shared" si="9"/>
        <v>100000</v>
      </c>
      <c r="E180" s="85"/>
      <c r="F180" s="39"/>
      <c r="G180" s="39"/>
      <c r="H180" s="111">
        <f>'4.pielikums'!B341</f>
        <v>100000</v>
      </c>
      <c r="I180" s="61"/>
    </row>
    <row r="181" spans="1:9" s="60" customFormat="1" ht="60" customHeight="1" x14ac:dyDescent="0.3">
      <c r="A181" s="65"/>
      <c r="B181" s="93" t="s">
        <v>762</v>
      </c>
      <c r="C181" s="44"/>
      <c r="D181" s="39"/>
      <c r="E181" s="85"/>
      <c r="F181" s="85">
        <v>1078</v>
      </c>
      <c r="G181" s="39"/>
      <c r="H181" s="111">
        <f>'4.pielikums'!B366</f>
        <v>1078</v>
      </c>
      <c r="I181" s="61"/>
    </row>
    <row r="182" spans="1:9" ht="15" customHeight="1" x14ac:dyDescent="0.3">
      <c r="A182" s="2" t="s">
        <v>256</v>
      </c>
      <c r="B182" s="69" t="s">
        <v>257</v>
      </c>
      <c r="C182" s="49">
        <f>SUM(C183:C192)</f>
        <v>0</v>
      </c>
      <c r="D182" s="49">
        <f t="shared" ref="D182:G182" si="12">SUM(D183:D192)</f>
        <v>14303</v>
      </c>
      <c r="E182" s="49">
        <f t="shared" si="12"/>
        <v>510</v>
      </c>
      <c r="F182" s="49">
        <f t="shared" si="12"/>
        <v>135263</v>
      </c>
      <c r="G182" s="49">
        <f t="shared" si="12"/>
        <v>0</v>
      </c>
      <c r="H182" s="38">
        <f>SUM(H183:H192)</f>
        <v>150076</v>
      </c>
      <c r="I182" s="61"/>
    </row>
    <row r="183" spans="1:9" ht="15" customHeight="1" x14ac:dyDescent="0.3">
      <c r="A183" s="42"/>
      <c r="B183" s="58" t="s">
        <v>258</v>
      </c>
      <c r="C183" s="45"/>
      <c r="D183" s="40">
        <f>H183-E183-G183-F183-C183</f>
        <v>897</v>
      </c>
      <c r="E183" s="78">
        <v>150</v>
      </c>
      <c r="F183" s="78">
        <v>12896</v>
      </c>
      <c r="G183" s="40"/>
      <c r="H183" s="38">
        <f>'4.pielikums'!B182</f>
        <v>13943</v>
      </c>
      <c r="I183" s="61"/>
    </row>
    <row r="184" spans="1:9" ht="15" customHeight="1" x14ac:dyDescent="0.3">
      <c r="A184" s="42"/>
      <c r="B184" s="58" t="s">
        <v>259</v>
      </c>
      <c r="C184" s="45"/>
      <c r="D184" s="40">
        <f t="shared" si="9"/>
        <v>2773</v>
      </c>
      <c r="E184" s="78">
        <v>50</v>
      </c>
      <c r="F184" s="78">
        <v>12266</v>
      </c>
      <c r="G184" s="40"/>
      <c r="H184" s="38">
        <f>'4.pielikums'!B183</f>
        <v>15089</v>
      </c>
      <c r="I184" s="61"/>
    </row>
    <row r="185" spans="1:9" ht="15" customHeight="1" x14ac:dyDescent="0.3">
      <c r="A185" s="42"/>
      <c r="B185" s="58" t="s">
        <v>260</v>
      </c>
      <c r="C185" s="45"/>
      <c r="D185" s="40">
        <f t="shared" ref="D185:D192" si="13">H185-E185-G185-F185-C185</f>
        <v>965</v>
      </c>
      <c r="E185" s="78">
        <v>50</v>
      </c>
      <c r="F185" s="78">
        <v>12896</v>
      </c>
      <c r="G185" s="40"/>
      <c r="H185" s="38">
        <f>'4.pielikums'!B184</f>
        <v>13911</v>
      </c>
      <c r="I185" s="61"/>
    </row>
    <row r="186" spans="1:9" ht="15" customHeight="1" x14ac:dyDescent="0.3">
      <c r="A186" s="42"/>
      <c r="B186" s="58" t="s">
        <v>134</v>
      </c>
      <c r="C186" s="45"/>
      <c r="D186" s="40">
        <f t="shared" si="13"/>
        <v>-10</v>
      </c>
      <c r="E186" s="78">
        <v>10</v>
      </c>
      <c r="F186" s="78">
        <v>12896</v>
      </c>
      <c r="G186" s="40"/>
      <c r="H186" s="38">
        <f>'4.pielikums'!B185</f>
        <v>12896</v>
      </c>
      <c r="I186" s="61"/>
    </row>
    <row r="187" spans="1:9" ht="15" customHeight="1" x14ac:dyDescent="0.3">
      <c r="A187" s="42"/>
      <c r="B187" s="58" t="s">
        <v>261</v>
      </c>
      <c r="C187" s="45"/>
      <c r="D187" s="40">
        <f t="shared" si="13"/>
        <v>78</v>
      </c>
      <c r="E187" s="78">
        <v>50</v>
      </c>
      <c r="F187" s="78">
        <v>12896</v>
      </c>
      <c r="G187" s="40"/>
      <c r="H187" s="38">
        <f>'4.pielikums'!B186</f>
        <v>13024</v>
      </c>
      <c r="I187" s="61"/>
    </row>
    <row r="188" spans="1:9" ht="15" customHeight="1" x14ac:dyDescent="0.3">
      <c r="A188" s="42"/>
      <c r="B188" s="58" t="s">
        <v>262</v>
      </c>
      <c r="C188" s="45"/>
      <c r="D188" s="40">
        <f t="shared" si="13"/>
        <v>2968</v>
      </c>
      <c r="E188" s="78">
        <v>50</v>
      </c>
      <c r="F188" s="78">
        <v>12896</v>
      </c>
      <c r="G188" s="40"/>
      <c r="H188" s="38">
        <f>'4.pielikums'!B187</f>
        <v>15914</v>
      </c>
      <c r="I188" s="61"/>
    </row>
    <row r="189" spans="1:9" ht="15" customHeight="1" x14ac:dyDescent="0.3">
      <c r="A189" s="42"/>
      <c r="B189" s="89" t="s">
        <v>263</v>
      </c>
      <c r="C189" s="45"/>
      <c r="D189" s="40">
        <f t="shared" si="13"/>
        <v>2674</v>
      </c>
      <c r="E189" s="78">
        <v>50</v>
      </c>
      <c r="F189" s="78">
        <v>12896</v>
      </c>
      <c r="G189" s="40"/>
      <c r="H189" s="38">
        <f>'4.pielikums'!B188</f>
        <v>15620</v>
      </c>
      <c r="I189" s="61"/>
    </row>
    <row r="190" spans="1:9" ht="15" customHeight="1" x14ac:dyDescent="0.3">
      <c r="A190" s="42"/>
      <c r="B190" s="58" t="s">
        <v>264</v>
      </c>
      <c r="C190" s="45"/>
      <c r="D190" s="40">
        <f t="shared" si="13"/>
        <v>3880</v>
      </c>
      <c r="E190" s="78">
        <v>50</v>
      </c>
      <c r="F190" s="78">
        <v>12896</v>
      </c>
      <c r="G190" s="40"/>
      <c r="H190" s="38">
        <f>'4.pielikums'!B189</f>
        <v>16826</v>
      </c>
      <c r="I190" s="61"/>
    </row>
    <row r="191" spans="1:9" ht="15" customHeight="1" x14ac:dyDescent="0.3">
      <c r="A191" s="42"/>
      <c r="B191" s="58" t="s">
        <v>265</v>
      </c>
      <c r="C191" s="45"/>
      <c r="D191" s="40">
        <f t="shared" si="13"/>
        <v>78</v>
      </c>
      <c r="E191" s="78">
        <v>50</v>
      </c>
      <c r="F191" s="78">
        <v>12896</v>
      </c>
      <c r="G191" s="40"/>
      <c r="H191" s="38">
        <f>'4.pielikums'!B190</f>
        <v>13024</v>
      </c>
      <c r="I191" s="61"/>
    </row>
    <row r="192" spans="1:9" ht="15" customHeight="1" x14ac:dyDescent="0.3">
      <c r="A192" s="42"/>
      <c r="B192" s="57" t="s">
        <v>266</v>
      </c>
      <c r="C192" s="45"/>
      <c r="D192" s="40">
        <f t="shared" si="13"/>
        <v>0</v>
      </c>
      <c r="E192" s="78"/>
      <c r="F192" s="78">
        <v>19829</v>
      </c>
      <c r="G192" s="40"/>
      <c r="H192" s="38">
        <f>'4.pielikums'!B191</f>
        <v>19829</v>
      </c>
      <c r="I192" s="61"/>
    </row>
    <row r="193" spans="1:9" ht="15" customHeight="1" x14ac:dyDescent="0.3">
      <c r="A193" s="2" t="s">
        <v>267</v>
      </c>
      <c r="B193" s="69" t="s">
        <v>581</v>
      </c>
      <c r="C193" s="49">
        <f t="shared" ref="C193:G193" si="14">C194+C201+C203+C209+C230</f>
        <v>112700</v>
      </c>
      <c r="D193" s="49">
        <f t="shared" si="14"/>
        <v>2210757</v>
      </c>
      <c r="E193" s="49">
        <f t="shared" si="14"/>
        <v>113291</v>
      </c>
      <c r="F193" s="49">
        <f>F194+F201+F203+F209+F230</f>
        <v>76696</v>
      </c>
      <c r="G193" s="49">
        <f t="shared" si="14"/>
        <v>283341</v>
      </c>
      <c r="H193" s="38">
        <f>H194+H201+H203+H209+H230</f>
        <v>2796785.23</v>
      </c>
      <c r="I193" s="61"/>
    </row>
    <row r="194" spans="1:9" ht="15" customHeight="1" x14ac:dyDescent="0.3">
      <c r="A194" s="2"/>
      <c r="B194" s="69" t="s">
        <v>268</v>
      </c>
      <c r="C194" s="49">
        <f>SUM(C195:C199)</f>
        <v>0</v>
      </c>
      <c r="D194" s="49">
        <f>SUM(D195:D199)</f>
        <v>180881</v>
      </c>
      <c r="E194" s="49">
        <f t="shared" ref="E194:G194" si="15">SUM(E195:E199)</f>
        <v>3120</v>
      </c>
      <c r="F194" s="49">
        <f t="shared" si="15"/>
        <v>0</v>
      </c>
      <c r="G194" s="49">
        <f t="shared" si="15"/>
        <v>0</v>
      </c>
      <c r="H194" s="38">
        <f>SUM(H195:H199)</f>
        <v>184001</v>
      </c>
      <c r="I194" s="61"/>
    </row>
    <row r="195" spans="1:9" ht="15" customHeight="1" x14ac:dyDescent="0.3">
      <c r="A195" s="42"/>
      <c r="B195" s="70" t="s">
        <v>155</v>
      </c>
      <c r="C195" s="50"/>
      <c r="D195" s="40">
        <f t="shared" ref="D195:D234" si="16">H195-E195-G195-F195-C195</f>
        <v>76922</v>
      </c>
      <c r="E195" s="40"/>
      <c r="F195" s="40"/>
      <c r="G195" s="40"/>
      <c r="H195" s="38">
        <f>'4.pielikums'!B192</f>
        <v>76922</v>
      </c>
      <c r="I195" s="61"/>
    </row>
    <row r="196" spans="1:9" ht="15" customHeight="1" x14ac:dyDescent="0.3">
      <c r="A196" s="42"/>
      <c r="B196" s="58" t="s">
        <v>186</v>
      </c>
      <c r="C196" s="45"/>
      <c r="D196" s="40">
        <f t="shared" si="16"/>
        <v>30774</v>
      </c>
      <c r="E196" s="40">
        <v>2120</v>
      </c>
      <c r="F196" s="40"/>
      <c r="G196" s="40"/>
      <c r="H196" s="38">
        <f>'4.pielikums'!B193</f>
        <v>32894</v>
      </c>
      <c r="I196" s="61"/>
    </row>
    <row r="197" spans="1:9" ht="15" customHeight="1" x14ac:dyDescent="0.3">
      <c r="A197" s="42"/>
      <c r="B197" s="58" t="s">
        <v>207</v>
      </c>
      <c r="C197" s="45"/>
      <c r="D197" s="40">
        <f t="shared" si="16"/>
        <v>24492</v>
      </c>
      <c r="E197" s="40">
        <f>1000</f>
        <v>1000</v>
      </c>
      <c r="F197" s="40"/>
      <c r="G197" s="40"/>
      <c r="H197" s="38">
        <f>'4.pielikums'!B195</f>
        <v>25492</v>
      </c>
      <c r="I197" s="61"/>
    </row>
    <row r="198" spans="1:9" ht="15" customHeight="1" x14ac:dyDescent="0.3">
      <c r="A198" s="42"/>
      <c r="B198" s="58" t="s">
        <v>638</v>
      </c>
      <c r="C198" s="45"/>
      <c r="D198" s="40">
        <f t="shared" si="16"/>
        <v>29524</v>
      </c>
      <c r="E198" s="40"/>
      <c r="F198" s="40"/>
      <c r="G198" s="40"/>
      <c r="H198" s="38">
        <f>'4.pielikums'!B339</f>
        <v>29524</v>
      </c>
      <c r="I198" s="61"/>
    </row>
    <row r="199" spans="1:9" ht="15" customHeight="1" x14ac:dyDescent="0.3">
      <c r="A199" s="42"/>
      <c r="B199" s="58" t="s">
        <v>674</v>
      </c>
      <c r="C199" s="45"/>
      <c r="D199" s="40">
        <f t="shared" si="16"/>
        <v>19169</v>
      </c>
      <c r="E199" s="40"/>
      <c r="F199" s="40"/>
      <c r="G199" s="40"/>
      <c r="H199" s="38">
        <f>'4.pielikums'!B194</f>
        <v>19169</v>
      </c>
      <c r="I199" s="61"/>
    </row>
    <row r="200" spans="1:9" ht="15" customHeight="1" x14ac:dyDescent="0.3">
      <c r="A200" s="2"/>
      <c r="B200" s="69" t="s">
        <v>269</v>
      </c>
      <c r="C200" s="54"/>
      <c r="D200" s="40"/>
      <c r="E200" s="49"/>
      <c r="F200" s="49"/>
      <c r="G200" s="49"/>
      <c r="H200" s="38"/>
      <c r="I200" s="61"/>
    </row>
    <row r="201" spans="1:9" ht="15" customHeight="1" x14ac:dyDescent="0.3">
      <c r="A201" s="2"/>
      <c r="B201" s="69" t="s">
        <v>270</v>
      </c>
      <c r="C201" s="49">
        <f t="shared" ref="C201:G201" si="17">SUM(C202:C202)</f>
        <v>0</v>
      </c>
      <c r="D201" s="49">
        <f t="shared" si="17"/>
        <v>484515</v>
      </c>
      <c r="E201" s="49">
        <f t="shared" si="17"/>
        <v>1800</v>
      </c>
      <c r="F201" s="49">
        <f t="shared" si="17"/>
        <v>18531</v>
      </c>
      <c r="G201" s="49">
        <f t="shared" si="17"/>
        <v>0</v>
      </c>
      <c r="H201" s="38">
        <f>SUM(H202:H202)</f>
        <v>504846</v>
      </c>
      <c r="I201" s="61"/>
    </row>
    <row r="202" spans="1:9" ht="15" customHeight="1" x14ac:dyDescent="0.3">
      <c r="A202" s="42"/>
      <c r="B202" s="70" t="s">
        <v>36</v>
      </c>
      <c r="C202" s="50"/>
      <c r="D202" s="40">
        <f t="shared" si="16"/>
        <v>484515</v>
      </c>
      <c r="E202" s="40">
        <v>1800</v>
      </c>
      <c r="F202" s="39">
        <v>18531</v>
      </c>
      <c r="G202" s="40"/>
      <c r="H202" s="38">
        <f>'4.pielikums'!B196</f>
        <v>504846</v>
      </c>
      <c r="I202" s="61"/>
    </row>
    <row r="203" spans="1:9" ht="15" customHeight="1" x14ac:dyDescent="0.3">
      <c r="A203" s="2"/>
      <c r="B203" s="69" t="s">
        <v>271</v>
      </c>
      <c r="C203" s="49">
        <f>SUM(C204:C208)</f>
        <v>0</v>
      </c>
      <c r="D203" s="49">
        <f t="shared" ref="D203:G203" si="18">SUM(D204:D208)</f>
        <v>228117</v>
      </c>
      <c r="E203" s="49">
        <f t="shared" si="18"/>
        <v>13760</v>
      </c>
      <c r="F203" s="49">
        <f t="shared" si="18"/>
        <v>0</v>
      </c>
      <c r="G203" s="49">
        <f t="shared" si="18"/>
        <v>0</v>
      </c>
      <c r="H203" s="38">
        <f>SUM(H204:H208)</f>
        <v>241877</v>
      </c>
      <c r="I203" s="61"/>
    </row>
    <row r="204" spans="1:9" ht="15" customHeight="1" x14ac:dyDescent="0.3">
      <c r="A204" s="42"/>
      <c r="B204" s="70" t="s">
        <v>272</v>
      </c>
      <c r="C204" s="50"/>
      <c r="D204" s="40">
        <f t="shared" si="16"/>
        <v>117136</v>
      </c>
      <c r="E204" s="40">
        <v>10740</v>
      </c>
      <c r="F204" s="40"/>
      <c r="G204" s="40"/>
      <c r="H204" s="38">
        <f>'4.pielikums'!B198</f>
        <v>127876</v>
      </c>
      <c r="I204" s="61"/>
    </row>
    <row r="205" spans="1:9" ht="15" customHeight="1" x14ac:dyDescent="0.3">
      <c r="A205" s="42"/>
      <c r="B205" s="70" t="s">
        <v>135</v>
      </c>
      <c r="C205" s="50"/>
      <c r="D205" s="40">
        <f t="shared" si="16"/>
        <v>48951</v>
      </c>
      <c r="E205" s="40">
        <v>350</v>
      </c>
      <c r="F205" s="40"/>
      <c r="G205" s="40"/>
      <c r="H205" s="38">
        <f>'4.pielikums'!B199</f>
        <v>49301</v>
      </c>
      <c r="I205" s="61"/>
    </row>
    <row r="206" spans="1:9" ht="15" customHeight="1" x14ac:dyDescent="0.3">
      <c r="A206" s="42"/>
      <c r="B206" s="59" t="s">
        <v>124</v>
      </c>
      <c r="C206" s="45"/>
      <c r="D206" s="40">
        <f t="shared" si="16"/>
        <v>10051</v>
      </c>
      <c r="E206" s="40"/>
      <c r="F206" s="40"/>
      <c r="G206" s="40"/>
      <c r="H206" s="38">
        <f>'4.pielikums'!B200</f>
        <v>10051</v>
      </c>
      <c r="I206" s="61"/>
    </row>
    <row r="207" spans="1:9" ht="15" customHeight="1" x14ac:dyDescent="0.3">
      <c r="A207" s="42"/>
      <c r="B207" s="89" t="s">
        <v>123</v>
      </c>
      <c r="C207" s="45"/>
      <c r="D207" s="40">
        <f t="shared" si="16"/>
        <v>39374</v>
      </c>
      <c r="E207" s="40">
        <v>1370</v>
      </c>
      <c r="F207" s="40"/>
      <c r="G207" s="40"/>
      <c r="H207" s="38">
        <f>'4.pielikums'!B201</f>
        <v>40744</v>
      </c>
      <c r="I207" s="61"/>
    </row>
    <row r="208" spans="1:9" ht="30" customHeight="1" x14ac:dyDescent="0.3">
      <c r="A208" s="42"/>
      <c r="B208" s="89" t="s">
        <v>122</v>
      </c>
      <c r="C208" s="45"/>
      <c r="D208" s="40">
        <f t="shared" si="16"/>
        <v>12605</v>
      </c>
      <c r="E208" s="40">
        <v>1300</v>
      </c>
      <c r="F208" s="40"/>
      <c r="G208" s="40"/>
      <c r="H208" s="38">
        <f>'4.pielikums'!B202</f>
        <v>13905</v>
      </c>
      <c r="I208" s="61"/>
    </row>
    <row r="209" spans="1:9" ht="15" customHeight="1" x14ac:dyDescent="0.3">
      <c r="A209" s="2"/>
      <c r="B209" s="69" t="s">
        <v>273</v>
      </c>
      <c r="C209" s="49">
        <f>SUM(C210:C229)</f>
        <v>0</v>
      </c>
      <c r="D209" s="49">
        <f t="shared" ref="D209:G209" si="19">SUM(D210:D229)</f>
        <v>1020751</v>
      </c>
      <c r="E209" s="49">
        <f t="shared" si="19"/>
        <v>94611</v>
      </c>
      <c r="F209" s="49">
        <f t="shared" si="19"/>
        <v>27404</v>
      </c>
      <c r="G209" s="49">
        <f t="shared" si="19"/>
        <v>0</v>
      </c>
      <c r="H209" s="38">
        <f>SUM(H210:H229)</f>
        <v>1142766</v>
      </c>
      <c r="I209" s="61"/>
    </row>
    <row r="210" spans="1:9" ht="15" customHeight="1" x14ac:dyDescent="0.3">
      <c r="A210" s="42"/>
      <c r="B210" s="70" t="s">
        <v>80</v>
      </c>
      <c r="C210" s="50"/>
      <c r="D210" s="40">
        <f t="shared" si="16"/>
        <v>232660</v>
      </c>
      <c r="E210" s="40">
        <v>8194</v>
      </c>
      <c r="F210" s="40">
        <v>6851</v>
      </c>
      <c r="G210" s="40"/>
      <c r="H210" s="38">
        <f>'4.pielikums'!B203</f>
        <v>247705</v>
      </c>
      <c r="I210" s="61"/>
    </row>
    <row r="211" spans="1:9" ht="30" customHeight="1" x14ac:dyDescent="0.3">
      <c r="A211" s="42"/>
      <c r="B211" s="58" t="s">
        <v>277</v>
      </c>
      <c r="C211" s="45"/>
      <c r="D211" s="40">
        <f t="shared" si="16"/>
        <v>23920</v>
      </c>
      <c r="E211" s="40">
        <v>38136</v>
      </c>
      <c r="F211" s="40">
        <v>0</v>
      </c>
      <c r="G211" s="40"/>
      <c r="H211" s="38">
        <f>'4.pielikums'!B204</f>
        <v>62056</v>
      </c>
      <c r="I211" s="61"/>
    </row>
    <row r="212" spans="1:9" ht="15" customHeight="1" x14ac:dyDescent="0.3">
      <c r="A212" s="42"/>
      <c r="B212" s="58" t="s">
        <v>136</v>
      </c>
      <c r="C212" s="45"/>
      <c r="D212" s="40">
        <f t="shared" si="16"/>
        <v>41869</v>
      </c>
      <c r="E212" s="78">
        <f>130+1800</f>
        <v>1930</v>
      </c>
      <c r="F212" s="78">
        <v>2015</v>
      </c>
      <c r="G212" s="40"/>
      <c r="H212" s="38">
        <f>'4.pielikums'!B205</f>
        <v>45814</v>
      </c>
      <c r="I212" s="61"/>
    </row>
    <row r="213" spans="1:9" ht="15" customHeight="1" x14ac:dyDescent="0.3">
      <c r="A213" s="42"/>
      <c r="B213" s="81" t="s">
        <v>179</v>
      </c>
      <c r="C213" s="50"/>
      <c r="D213" s="40">
        <f>H213-E213-G213-F213-C213</f>
        <v>43091</v>
      </c>
      <c r="E213" s="78">
        <f>2850+1250</f>
        <v>4100</v>
      </c>
      <c r="F213" s="78">
        <v>403</v>
      </c>
      <c r="G213" s="40"/>
      <c r="H213" s="38">
        <f>'4.pielikums'!B206</f>
        <v>47594</v>
      </c>
      <c r="I213" s="61"/>
    </row>
    <row r="214" spans="1:9" ht="15" customHeight="1" x14ac:dyDescent="0.3">
      <c r="A214" s="42"/>
      <c r="B214" s="58" t="s">
        <v>274</v>
      </c>
      <c r="C214" s="45"/>
      <c r="D214" s="40">
        <f t="shared" si="16"/>
        <v>39483</v>
      </c>
      <c r="E214" s="78">
        <v>450</v>
      </c>
      <c r="F214" s="78">
        <v>2015</v>
      </c>
      <c r="G214" s="40"/>
      <c r="H214" s="38">
        <f>'4.pielikums'!B208</f>
        <v>41948</v>
      </c>
      <c r="I214" s="61"/>
    </row>
    <row r="215" spans="1:9" ht="15" customHeight="1" x14ac:dyDescent="0.3">
      <c r="A215" s="42"/>
      <c r="B215" s="70" t="s">
        <v>39</v>
      </c>
      <c r="C215" s="50"/>
      <c r="D215" s="40">
        <f t="shared" si="16"/>
        <v>30556</v>
      </c>
      <c r="E215" s="78">
        <v>282</v>
      </c>
      <c r="F215" s="78">
        <v>806</v>
      </c>
      <c r="G215" s="40"/>
      <c r="H215" s="38">
        <f>'4.pielikums'!B209</f>
        <v>31644</v>
      </c>
      <c r="I215" s="61"/>
    </row>
    <row r="216" spans="1:9" ht="15" customHeight="1" x14ac:dyDescent="0.3">
      <c r="A216" s="42"/>
      <c r="B216" s="70" t="s">
        <v>40</v>
      </c>
      <c r="C216" s="50"/>
      <c r="D216" s="40">
        <f t="shared" si="16"/>
        <v>54583</v>
      </c>
      <c r="E216" s="78">
        <f>350+2467</f>
        <v>2817</v>
      </c>
      <c r="F216" s="79"/>
      <c r="G216" s="40"/>
      <c r="H216" s="38">
        <f>'4.pielikums'!B210</f>
        <v>57400</v>
      </c>
      <c r="I216" s="61"/>
    </row>
    <row r="217" spans="1:9" ht="15" customHeight="1" x14ac:dyDescent="0.3">
      <c r="A217" s="42"/>
      <c r="B217" s="58" t="s">
        <v>120</v>
      </c>
      <c r="C217" s="45"/>
      <c r="D217" s="40">
        <f t="shared" si="16"/>
        <v>40811</v>
      </c>
      <c r="E217" s="78">
        <v>6100</v>
      </c>
      <c r="F217" s="78">
        <v>403</v>
      </c>
      <c r="G217" s="40"/>
      <c r="H217" s="38">
        <f>'4.pielikums'!B211</f>
        <v>47314</v>
      </c>
      <c r="I217" s="61"/>
    </row>
    <row r="218" spans="1:9" ht="15" customHeight="1" x14ac:dyDescent="0.3">
      <c r="A218" s="42"/>
      <c r="B218" s="70" t="s">
        <v>275</v>
      </c>
      <c r="C218" s="50"/>
      <c r="D218" s="40">
        <f t="shared" si="16"/>
        <v>11889</v>
      </c>
      <c r="E218" s="78">
        <f>25+200</f>
        <v>225</v>
      </c>
      <c r="F218" s="79"/>
      <c r="G218" s="40"/>
      <c r="H218" s="38">
        <f>'4.pielikums'!B212</f>
        <v>12114</v>
      </c>
      <c r="I218" s="61"/>
    </row>
    <row r="219" spans="1:9" ht="15" customHeight="1" x14ac:dyDescent="0.3">
      <c r="A219" s="42"/>
      <c r="B219" s="89" t="s">
        <v>139</v>
      </c>
      <c r="C219" s="45"/>
      <c r="D219" s="40">
        <f t="shared" si="16"/>
        <v>31241</v>
      </c>
      <c r="E219" s="78">
        <v>5000</v>
      </c>
      <c r="F219" s="78">
        <v>1209</v>
      </c>
      <c r="G219" s="40"/>
      <c r="H219" s="38">
        <f>'4.pielikums'!B213</f>
        <v>37450</v>
      </c>
      <c r="I219" s="61"/>
    </row>
    <row r="220" spans="1:9" ht="15" customHeight="1" x14ac:dyDescent="0.3">
      <c r="A220" s="42"/>
      <c r="B220" s="70" t="s">
        <v>185</v>
      </c>
      <c r="C220" s="50"/>
      <c r="D220" s="40">
        <f t="shared" si="16"/>
        <v>24684</v>
      </c>
      <c r="E220" s="78">
        <f>50+560</f>
        <v>610</v>
      </c>
      <c r="F220" s="78"/>
      <c r="G220" s="40"/>
      <c r="H220" s="38">
        <f>'4.pielikums'!B214</f>
        <v>25294</v>
      </c>
      <c r="I220" s="61"/>
    </row>
    <row r="221" spans="1:9" ht="15" customHeight="1" x14ac:dyDescent="0.3">
      <c r="A221" s="42"/>
      <c r="B221" s="70" t="s">
        <v>176</v>
      </c>
      <c r="C221" s="50"/>
      <c r="D221" s="40">
        <f t="shared" si="16"/>
        <v>18366</v>
      </c>
      <c r="E221" s="78">
        <v>100</v>
      </c>
      <c r="F221" s="78"/>
      <c r="G221" s="40"/>
      <c r="H221" s="38">
        <f>'4.pielikums'!B215</f>
        <v>18466</v>
      </c>
      <c r="I221" s="61"/>
    </row>
    <row r="222" spans="1:9" ht="15" customHeight="1" x14ac:dyDescent="0.3">
      <c r="A222" s="42"/>
      <c r="B222" s="58" t="s">
        <v>170</v>
      </c>
      <c r="C222" s="45"/>
      <c r="D222" s="40">
        <f t="shared" si="16"/>
        <v>59282</v>
      </c>
      <c r="E222" s="78">
        <v>2500</v>
      </c>
      <c r="F222" s="78">
        <v>3224</v>
      </c>
      <c r="G222" s="40"/>
      <c r="H222" s="38">
        <f>'4.pielikums'!B216</f>
        <v>65006</v>
      </c>
      <c r="I222" s="61"/>
    </row>
    <row r="223" spans="1:9" ht="15" customHeight="1" x14ac:dyDescent="0.3">
      <c r="A223" s="42"/>
      <c r="B223" s="70" t="s">
        <v>195</v>
      </c>
      <c r="C223" s="50"/>
      <c r="D223" s="40">
        <f t="shared" si="16"/>
        <v>43048</v>
      </c>
      <c r="E223" s="78">
        <v>2897</v>
      </c>
      <c r="F223" s="78">
        <v>1209</v>
      </c>
      <c r="G223" s="40"/>
      <c r="H223" s="38">
        <f>'4.pielikums'!B217</f>
        <v>47154</v>
      </c>
      <c r="I223" s="61"/>
    </row>
    <row r="224" spans="1:9" ht="15" customHeight="1" x14ac:dyDescent="0.3">
      <c r="A224" s="42"/>
      <c r="B224" s="57" t="s">
        <v>187</v>
      </c>
      <c r="C224" s="45"/>
      <c r="D224" s="40">
        <f t="shared" si="16"/>
        <v>34190</v>
      </c>
      <c r="E224" s="78">
        <f>160+765</f>
        <v>925</v>
      </c>
      <c r="F224" s="78">
        <v>403</v>
      </c>
      <c r="G224" s="40"/>
      <c r="H224" s="38">
        <f>'4.pielikums'!B218</f>
        <v>35518</v>
      </c>
      <c r="I224" s="61"/>
    </row>
    <row r="225" spans="1:9" ht="15" customHeight="1" x14ac:dyDescent="0.3">
      <c r="A225" s="42"/>
      <c r="B225" s="70" t="s">
        <v>41</v>
      </c>
      <c r="C225" s="50"/>
      <c r="D225" s="40">
        <f t="shared" si="16"/>
        <v>26276</v>
      </c>
      <c r="E225" s="78">
        <v>600</v>
      </c>
      <c r="F225" s="78">
        <v>1209</v>
      </c>
      <c r="G225" s="40"/>
      <c r="H225" s="38">
        <f>'4.pielikums'!B219</f>
        <v>28085</v>
      </c>
      <c r="I225" s="61"/>
    </row>
    <row r="226" spans="1:9" ht="15" customHeight="1" x14ac:dyDescent="0.3">
      <c r="A226" s="42"/>
      <c r="B226" s="89" t="s">
        <v>138</v>
      </c>
      <c r="C226" s="45"/>
      <c r="D226" s="40">
        <f t="shared" si="16"/>
        <v>101627</v>
      </c>
      <c r="E226" s="78">
        <v>9600</v>
      </c>
      <c r="F226" s="78">
        <v>4030</v>
      </c>
      <c r="G226" s="40"/>
      <c r="H226" s="38">
        <f>'4.pielikums'!B220</f>
        <v>115257</v>
      </c>
      <c r="I226" s="61"/>
    </row>
    <row r="227" spans="1:9" ht="15" customHeight="1" x14ac:dyDescent="0.3">
      <c r="A227" s="42"/>
      <c r="B227" s="92" t="s">
        <v>137</v>
      </c>
      <c r="C227" s="45"/>
      <c r="D227" s="40">
        <f t="shared" si="16"/>
        <v>51963</v>
      </c>
      <c r="E227" s="78">
        <v>3770</v>
      </c>
      <c r="F227" s="78">
        <v>403</v>
      </c>
      <c r="G227" s="40"/>
      <c r="H227" s="38">
        <f>'4.pielikums'!B221</f>
        <v>56136</v>
      </c>
      <c r="I227" s="61"/>
    </row>
    <row r="228" spans="1:9" ht="30" customHeight="1" x14ac:dyDescent="0.3">
      <c r="A228" s="42"/>
      <c r="B228" s="89" t="s">
        <v>140</v>
      </c>
      <c r="C228" s="45"/>
      <c r="D228" s="40">
        <f t="shared" si="16"/>
        <v>30662</v>
      </c>
      <c r="E228" s="78">
        <v>1700</v>
      </c>
      <c r="F228" s="78">
        <v>1612</v>
      </c>
      <c r="G228" s="40"/>
      <c r="H228" s="38">
        <f>'4.pielikums'!B223</f>
        <v>33974</v>
      </c>
      <c r="I228" s="61"/>
    </row>
    <row r="229" spans="1:9" ht="30" customHeight="1" x14ac:dyDescent="0.3">
      <c r="A229" s="42"/>
      <c r="B229" s="89" t="s">
        <v>276</v>
      </c>
      <c r="C229" s="45"/>
      <c r="D229" s="40">
        <f>H229-E229-G229-F229-C229</f>
        <v>80550</v>
      </c>
      <c r="E229" s="78">
        <v>4675</v>
      </c>
      <c r="F229" s="78">
        <v>1612</v>
      </c>
      <c r="G229" s="40"/>
      <c r="H229" s="38">
        <f>'4.pielikums'!B224+'4.pielikums'!B225+'4.pielikums'!B226</f>
        <v>86837</v>
      </c>
      <c r="I229" s="61"/>
    </row>
    <row r="230" spans="1:9" ht="15" customHeight="1" x14ac:dyDescent="0.3">
      <c r="A230" s="2" t="s">
        <v>278</v>
      </c>
      <c r="B230" s="71" t="s">
        <v>279</v>
      </c>
      <c r="C230" s="54">
        <f>SUM(C231:C238)</f>
        <v>112700</v>
      </c>
      <c r="D230" s="54">
        <f>SUM(D231:D238)</f>
        <v>296493</v>
      </c>
      <c r="E230" s="54">
        <f t="shared" ref="E230" si="20">SUM(E231:E238)</f>
        <v>0</v>
      </c>
      <c r="F230" s="54">
        <f>SUM(F231:F247)</f>
        <v>30761</v>
      </c>
      <c r="G230" s="54">
        <f>SUM(G231:G238)</f>
        <v>283341</v>
      </c>
      <c r="H230" s="38">
        <f>SUM(H231:H247)</f>
        <v>723295.23</v>
      </c>
      <c r="I230" s="61"/>
    </row>
    <row r="231" spans="1:9" ht="15" customHeight="1" x14ac:dyDescent="0.3">
      <c r="A231" s="42"/>
      <c r="B231" s="58" t="s">
        <v>157</v>
      </c>
      <c r="C231" s="45"/>
      <c r="D231" s="40">
        <f t="shared" si="16"/>
        <v>56506</v>
      </c>
      <c r="E231" s="78"/>
      <c r="F231" s="78"/>
      <c r="G231" s="40"/>
      <c r="H231" s="38">
        <f>'4.pielikums'!B228</f>
        <v>56506</v>
      </c>
      <c r="I231" s="61"/>
    </row>
    <row r="232" spans="1:9" ht="15" customHeight="1" x14ac:dyDescent="0.3">
      <c r="A232" s="42"/>
      <c r="B232" s="80" t="s">
        <v>158</v>
      </c>
      <c r="C232" s="45"/>
      <c r="D232" s="40">
        <f>H232-E232-G232-F232-C232</f>
        <v>36083</v>
      </c>
      <c r="E232" s="78"/>
      <c r="F232" s="78"/>
      <c r="G232" s="40"/>
      <c r="H232" s="38">
        <f>'4.pielikums'!B229</f>
        <v>36083</v>
      </c>
      <c r="I232" s="61"/>
    </row>
    <row r="233" spans="1:9" ht="30" customHeight="1" x14ac:dyDescent="0.3">
      <c r="A233" s="42"/>
      <c r="B233" s="57" t="s">
        <v>42</v>
      </c>
      <c r="C233" s="45"/>
      <c r="D233" s="40">
        <f t="shared" si="16"/>
        <v>62508</v>
      </c>
      <c r="E233" s="78"/>
      <c r="F233" s="78"/>
      <c r="G233" s="40"/>
      <c r="H233" s="38">
        <f>'4.pielikums'!B230</f>
        <v>62508</v>
      </c>
      <c r="I233" s="61"/>
    </row>
    <row r="234" spans="1:9" ht="45" customHeight="1" x14ac:dyDescent="0.3">
      <c r="A234" s="42"/>
      <c r="B234" s="89" t="s">
        <v>208</v>
      </c>
      <c r="C234" s="45"/>
      <c r="D234" s="40">
        <f t="shared" si="16"/>
        <v>7745</v>
      </c>
      <c r="E234" s="78"/>
      <c r="F234" s="78"/>
      <c r="G234" s="40"/>
      <c r="H234" s="38">
        <f>'4.pielikums'!B227</f>
        <v>7745</v>
      </c>
      <c r="I234" s="61"/>
    </row>
    <row r="235" spans="1:9" ht="33.75" customHeight="1" x14ac:dyDescent="0.3">
      <c r="A235" s="2"/>
      <c r="B235" s="57" t="s">
        <v>218</v>
      </c>
      <c r="C235" s="45"/>
      <c r="D235" s="40">
        <f>H235-E235-G235-F235-C235</f>
        <v>28301</v>
      </c>
      <c r="E235" s="78"/>
      <c r="F235" s="78">
        <v>0</v>
      </c>
      <c r="G235" s="40">
        <v>283341</v>
      </c>
      <c r="H235" s="38">
        <f>'4.pielikums'!B342</f>
        <v>311642</v>
      </c>
      <c r="I235" s="61"/>
    </row>
    <row r="236" spans="1:9" ht="33.75" customHeight="1" x14ac:dyDescent="0.3">
      <c r="A236" s="2"/>
      <c r="B236" s="57" t="s">
        <v>220</v>
      </c>
      <c r="C236" s="45">
        <v>112700</v>
      </c>
      <c r="D236" s="40">
        <f>H236-E236-G236-F236-C236</f>
        <v>75510</v>
      </c>
      <c r="E236" s="78"/>
      <c r="F236" s="78"/>
      <c r="G236" s="40"/>
      <c r="H236" s="38">
        <f>'4.pielikums'!B338</f>
        <v>188210</v>
      </c>
      <c r="I236" s="61"/>
    </row>
    <row r="237" spans="1:9" ht="24.75" customHeight="1" x14ac:dyDescent="0.3">
      <c r="A237" s="2"/>
      <c r="B237" s="57" t="s">
        <v>675</v>
      </c>
      <c r="C237" s="45"/>
      <c r="D237" s="40">
        <f>H237-E237-G237-F237-C237</f>
        <v>21130</v>
      </c>
      <c r="E237" s="40"/>
      <c r="F237" s="40"/>
      <c r="G237" s="40"/>
      <c r="H237" s="38">
        <f>'4.pielikums'!B349</f>
        <v>21130</v>
      </c>
      <c r="I237" s="61"/>
    </row>
    <row r="238" spans="1:9" ht="30" customHeight="1" x14ac:dyDescent="0.3">
      <c r="A238" s="2"/>
      <c r="B238" s="57" t="s">
        <v>664</v>
      </c>
      <c r="C238" s="45"/>
      <c r="D238" s="40">
        <f>H238-E238-G238-F238-C238</f>
        <v>8710</v>
      </c>
      <c r="E238" s="40"/>
      <c r="F238" s="40">
        <v>3500</v>
      </c>
      <c r="G238" s="40"/>
      <c r="H238" s="38">
        <f>'4.pielikums'!B347</f>
        <v>12210</v>
      </c>
      <c r="I238" s="61"/>
    </row>
    <row r="239" spans="1:9" ht="54.75" customHeight="1" x14ac:dyDescent="0.3">
      <c r="A239" s="2"/>
      <c r="B239" s="194" t="s">
        <v>860</v>
      </c>
      <c r="C239" s="45"/>
      <c r="D239" s="40">
        <f t="shared" ref="D239" si="21">H239-E239-G239-F239-C239</f>
        <v>0</v>
      </c>
      <c r="E239" s="40"/>
      <c r="F239" s="40">
        <v>3500</v>
      </c>
      <c r="G239" s="40"/>
      <c r="H239" s="38">
        <f>'4.pielikums'!B352</f>
        <v>3500</v>
      </c>
      <c r="I239" s="61"/>
    </row>
    <row r="240" spans="1:9" ht="37.5" customHeight="1" x14ac:dyDescent="0.3">
      <c r="A240" s="2"/>
      <c r="B240" s="57" t="s">
        <v>735</v>
      </c>
      <c r="C240" s="45"/>
      <c r="D240" s="40">
        <f>H240-E240-G240-F240-C240</f>
        <v>0</v>
      </c>
      <c r="E240" s="40"/>
      <c r="F240" s="40">
        <v>2000</v>
      </c>
      <c r="G240" s="40"/>
      <c r="H240" s="38">
        <f>'4.pielikums'!B353</f>
        <v>2000</v>
      </c>
      <c r="I240" s="61"/>
    </row>
    <row r="241" spans="1:15" ht="37.5" customHeight="1" x14ac:dyDescent="0.3">
      <c r="A241" s="2"/>
      <c r="B241" s="57" t="s">
        <v>739</v>
      </c>
      <c r="C241" s="45"/>
      <c r="D241" s="40">
        <f t="shared" ref="D241:D247" si="22">H241-E241-G241-F241-C241</f>
        <v>0</v>
      </c>
      <c r="E241" s="40"/>
      <c r="F241" s="40">
        <v>2400</v>
      </c>
      <c r="G241" s="40"/>
      <c r="H241" s="38">
        <f>'4.pielikums'!B354</f>
        <v>2400</v>
      </c>
      <c r="I241" s="61"/>
    </row>
    <row r="242" spans="1:15" ht="37.5" customHeight="1" x14ac:dyDescent="0.3">
      <c r="A242" s="2"/>
      <c r="B242" s="57" t="s">
        <v>805</v>
      </c>
      <c r="C242" s="45"/>
      <c r="D242" s="40">
        <f t="shared" si="22"/>
        <v>0</v>
      </c>
      <c r="E242" s="40"/>
      <c r="F242" s="40">
        <v>2000</v>
      </c>
      <c r="G242" s="40"/>
      <c r="H242" s="38">
        <f>'4.pielikums'!B355</f>
        <v>2000</v>
      </c>
      <c r="I242" s="61"/>
      <c r="J242" s="61"/>
    </row>
    <row r="243" spans="1:15" ht="37.5" customHeight="1" x14ac:dyDescent="0.3">
      <c r="A243" s="2"/>
      <c r="B243" s="57" t="s">
        <v>738</v>
      </c>
      <c r="C243" s="45"/>
      <c r="D243" s="40">
        <f t="shared" si="22"/>
        <v>0</v>
      </c>
      <c r="E243" s="40"/>
      <c r="F243" s="40">
        <v>1000</v>
      </c>
      <c r="G243" s="40"/>
      <c r="H243" s="38">
        <f>'4.pielikums'!B356</f>
        <v>1000</v>
      </c>
      <c r="I243" s="61"/>
    </row>
    <row r="244" spans="1:15" ht="37.5" customHeight="1" x14ac:dyDescent="0.3">
      <c r="A244" s="2"/>
      <c r="B244" s="57" t="s">
        <v>745</v>
      </c>
      <c r="C244" s="45"/>
      <c r="D244" s="40">
        <f t="shared" si="22"/>
        <v>0</v>
      </c>
      <c r="E244" s="40"/>
      <c r="F244" s="40">
        <v>400</v>
      </c>
      <c r="G244" s="40"/>
      <c r="H244" s="220">
        <f>'4.pielikums'!B357</f>
        <v>400</v>
      </c>
      <c r="I244" s="61"/>
    </row>
    <row r="245" spans="1:15" ht="37.5" customHeight="1" x14ac:dyDescent="0.3">
      <c r="A245" s="2"/>
      <c r="B245" s="57" t="s">
        <v>740</v>
      </c>
      <c r="C245" s="45"/>
      <c r="D245" s="40">
        <f t="shared" si="22"/>
        <v>0</v>
      </c>
      <c r="E245" s="40"/>
      <c r="F245" s="40">
        <v>5300</v>
      </c>
      <c r="G245" s="40"/>
      <c r="H245" s="38">
        <f>'4.pielikums'!B358</f>
        <v>5300</v>
      </c>
      <c r="I245" s="61"/>
    </row>
    <row r="246" spans="1:15" ht="56.25" customHeight="1" x14ac:dyDescent="0.3">
      <c r="A246" s="2"/>
      <c r="B246" s="57" t="s">
        <v>806</v>
      </c>
      <c r="C246" s="45"/>
      <c r="D246" s="40">
        <f t="shared" si="22"/>
        <v>0</v>
      </c>
      <c r="E246" s="40"/>
      <c r="F246" s="40">
        <v>10000</v>
      </c>
      <c r="G246" s="40"/>
      <c r="H246" s="38">
        <f>'4.pielikums'!B359</f>
        <v>10000</v>
      </c>
      <c r="I246" s="61"/>
    </row>
    <row r="247" spans="1:15" ht="18.75" customHeight="1" x14ac:dyDescent="0.3">
      <c r="A247" s="2"/>
      <c r="B247" s="57" t="s">
        <v>756</v>
      </c>
      <c r="C247" s="45"/>
      <c r="D247" s="40">
        <f t="shared" si="22"/>
        <v>0.23000000000001819</v>
      </c>
      <c r="E247" s="40"/>
      <c r="F247" s="40">
        <v>661</v>
      </c>
      <c r="G247" s="40"/>
      <c r="H247" s="38">
        <f>'4.pielikums'!B361</f>
        <v>661.23</v>
      </c>
      <c r="I247" s="61"/>
    </row>
    <row r="248" spans="1:15" ht="15" customHeight="1" x14ac:dyDescent="0.3">
      <c r="A248" s="2" t="s">
        <v>280</v>
      </c>
      <c r="B248" s="69" t="s">
        <v>281</v>
      </c>
      <c r="C248" s="49">
        <f t="shared" ref="C248:G248" si="23">C249+C257+C268+C276+C284+C286</f>
        <v>92019</v>
      </c>
      <c r="D248" s="49">
        <f t="shared" si="23"/>
        <v>8691553.9800000004</v>
      </c>
      <c r="E248" s="49">
        <f t="shared" si="23"/>
        <v>701103</v>
      </c>
      <c r="F248" s="49">
        <f>F249+F257+F268+F276+F284+F286</f>
        <v>7909871</v>
      </c>
      <c r="G248" s="49">
        <f t="shared" si="23"/>
        <v>0</v>
      </c>
      <c r="H248" s="38">
        <f>H249+H257+H268+H276+H284+H286</f>
        <v>17512681.98</v>
      </c>
      <c r="I248" s="61"/>
    </row>
    <row r="249" spans="1:15" ht="15" customHeight="1" x14ac:dyDescent="0.3">
      <c r="A249" s="2"/>
      <c r="B249" s="69" t="s">
        <v>282</v>
      </c>
      <c r="C249" s="49">
        <f>SUM(C250:C255)</f>
        <v>0</v>
      </c>
      <c r="D249" s="49">
        <f t="shared" ref="D249:G249" si="24">SUM(D250:D255)</f>
        <v>1774600</v>
      </c>
      <c r="E249" s="49">
        <f t="shared" si="24"/>
        <v>414194</v>
      </c>
      <c r="F249" s="49">
        <f>SUM(F250:F255)</f>
        <v>603156</v>
      </c>
      <c r="G249" s="49">
        <f t="shared" si="24"/>
        <v>0</v>
      </c>
      <c r="H249" s="38">
        <f>SUM(H250:H255)</f>
        <v>2791950</v>
      </c>
      <c r="I249" s="61"/>
    </row>
    <row r="250" spans="1:15" ht="15" customHeight="1" x14ac:dyDescent="0.3">
      <c r="A250" s="42"/>
      <c r="B250" s="81" t="s">
        <v>43</v>
      </c>
      <c r="C250" s="50"/>
      <c r="D250" s="40">
        <f t="shared" ref="D250:D255" si="25">H250-E250-G250-F250-C250</f>
        <v>522645</v>
      </c>
      <c r="E250" s="40">
        <f>41200+223168</f>
        <v>264368</v>
      </c>
      <c r="F250" s="40">
        <f>223168+3429+893+6896+92512</f>
        <v>326898</v>
      </c>
      <c r="G250" s="40"/>
      <c r="H250" s="38">
        <f>'4.pielikums'!B231</f>
        <v>1113911</v>
      </c>
      <c r="I250" s="61"/>
    </row>
    <row r="251" spans="1:15" ht="15" customHeight="1" x14ac:dyDescent="0.3">
      <c r="A251" s="42"/>
      <c r="B251" s="81" t="s">
        <v>44</v>
      </c>
      <c r="C251" s="50"/>
      <c r="D251" s="40">
        <f t="shared" si="25"/>
        <v>465223</v>
      </c>
      <c r="E251" s="40">
        <f>25000+81680</f>
        <v>106680</v>
      </c>
      <c r="F251" s="40">
        <f>81680+2030+1294+41544</f>
        <v>126548</v>
      </c>
      <c r="G251" s="40"/>
      <c r="H251" s="38">
        <f>'4.pielikums'!B233</f>
        <v>698451</v>
      </c>
      <c r="I251" s="61"/>
    </row>
    <row r="252" spans="1:15" ht="15" customHeight="1" x14ac:dyDescent="0.3">
      <c r="A252" s="42"/>
      <c r="B252" s="81" t="s">
        <v>45</v>
      </c>
      <c r="C252" s="50"/>
      <c r="D252" s="40">
        <f t="shared" si="25"/>
        <v>106566</v>
      </c>
      <c r="E252" s="78">
        <f>3700+12320</f>
        <v>16020</v>
      </c>
      <c r="F252" s="40">
        <f>12320+210+4224</f>
        <v>16754</v>
      </c>
      <c r="G252" s="40"/>
      <c r="H252" s="38">
        <f>'4.pielikums'!B235</f>
        <v>139340</v>
      </c>
      <c r="I252" s="61"/>
    </row>
    <row r="253" spans="1:15" ht="15" customHeight="1" x14ac:dyDescent="0.3">
      <c r="A253" s="42"/>
      <c r="B253" s="81" t="s">
        <v>46</v>
      </c>
      <c r="C253" s="50"/>
      <c r="D253" s="40">
        <f t="shared" si="25"/>
        <v>303934</v>
      </c>
      <c r="E253" s="78">
        <f>12551+1875</f>
        <v>14426</v>
      </c>
      <c r="F253" s="40">
        <f>36616+910+9860</f>
        <v>47386</v>
      </c>
      <c r="G253" s="40"/>
      <c r="H253" s="38">
        <f>'4.pielikums'!B237</f>
        <v>365746</v>
      </c>
      <c r="I253" s="61"/>
      <c r="O253" s="244"/>
    </row>
    <row r="254" spans="1:15" ht="30" customHeight="1" x14ac:dyDescent="0.3">
      <c r="A254" s="42"/>
      <c r="B254" s="92" t="s">
        <v>146</v>
      </c>
      <c r="C254" s="45"/>
      <c r="D254" s="40">
        <f t="shared" si="25"/>
        <v>244165</v>
      </c>
      <c r="E254" s="78">
        <v>8300</v>
      </c>
      <c r="F254" s="78">
        <f>41499+980+25700+487</f>
        <v>68666</v>
      </c>
      <c r="G254" s="40"/>
      <c r="H254" s="38">
        <f>'4.pielikums'!B239</f>
        <v>321131</v>
      </c>
      <c r="I254" s="61"/>
    </row>
    <row r="255" spans="1:15" ht="30" customHeight="1" x14ac:dyDescent="0.3">
      <c r="A255" s="42"/>
      <c r="B255" s="92" t="s">
        <v>147</v>
      </c>
      <c r="C255" s="45"/>
      <c r="D255" s="40">
        <f t="shared" si="25"/>
        <v>132067</v>
      </c>
      <c r="E255" s="78">
        <f>3850+550</f>
        <v>4400</v>
      </c>
      <c r="F255" s="78">
        <f>16904+420-420</f>
        <v>16904</v>
      </c>
      <c r="G255" s="40"/>
      <c r="H255" s="38">
        <f>'4.pielikums'!B241</f>
        <v>153371</v>
      </c>
      <c r="I255" s="61"/>
      <c r="M255" s="249"/>
    </row>
    <row r="256" spans="1:15" ht="31.2" x14ac:dyDescent="0.3">
      <c r="A256" s="2"/>
      <c r="B256" s="247" t="s">
        <v>283</v>
      </c>
      <c r="C256" s="48"/>
      <c r="D256" s="40"/>
      <c r="E256" s="78"/>
      <c r="F256" s="78"/>
      <c r="G256" s="40"/>
      <c r="H256" s="38"/>
      <c r="I256" s="61"/>
    </row>
    <row r="257" spans="1:18" ht="15" customHeight="1" x14ac:dyDescent="0.3">
      <c r="A257" s="2"/>
      <c r="B257" s="82" t="s">
        <v>284</v>
      </c>
      <c r="C257" s="49">
        <f t="shared" ref="C257:G257" si="26">SUM(C258:C267)</f>
        <v>0</v>
      </c>
      <c r="D257" s="49">
        <f t="shared" si="26"/>
        <v>2326903</v>
      </c>
      <c r="E257" s="49">
        <f t="shared" si="26"/>
        <v>79450</v>
      </c>
      <c r="F257" s="112">
        <f>SUM(F258:F267)</f>
        <v>2768740</v>
      </c>
      <c r="G257" s="49">
        <f t="shared" si="26"/>
        <v>0</v>
      </c>
      <c r="H257" s="38">
        <f>SUM(H258:H267)</f>
        <v>5175093</v>
      </c>
      <c r="I257" s="61"/>
    </row>
    <row r="258" spans="1:18" ht="15" customHeight="1" x14ac:dyDescent="0.3">
      <c r="A258" s="42"/>
      <c r="B258" s="81" t="s">
        <v>83</v>
      </c>
      <c r="C258" s="50"/>
      <c r="D258" s="40">
        <f t="shared" ref="D258:D326" si="27">H258-E258-G258-F258-C258</f>
        <v>488919</v>
      </c>
      <c r="E258" s="78">
        <f>1332+6047</f>
        <v>7379</v>
      </c>
      <c r="F258" s="85">
        <f>17416+657336+81018+16271+552+1930+318908+5208+3624+164+1944</f>
        <v>1104371</v>
      </c>
      <c r="G258" s="40"/>
      <c r="H258" s="38">
        <f>'4.pielikums'!B243</f>
        <v>1600669</v>
      </c>
      <c r="I258" s="61"/>
    </row>
    <row r="259" spans="1:18" ht="15" customHeight="1" x14ac:dyDescent="0.3">
      <c r="A259" s="42"/>
      <c r="B259" s="81" t="s">
        <v>153</v>
      </c>
      <c r="C259" s="50"/>
      <c r="D259" s="40">
        <f t="shared" si="27"/>
        <v>368614</v>
      </c>
      <c r="E259" s="78">
        <v>17074</v>
      </c>
      <c r="F259" s="78">
        <f>6605+105784+6096+16904+2309+3900+1810+7040+52040+3396-229</f>
        <v>205655</v>
      </c>
      <c r="G259" s="40"/>
      <c r="H259" s="38">
        <f>'4.pielikums'!B245</f>
        <v>591343</v>
      </c>
      <c r="I259" s="61"/>
    </row>
    <row r="260" spans="1:18" ht="30" customHeight="1" x14ac:dyDescent="0.3">
      <c r="A260" s="42"/>
      <c r="B260" s="80" t="s">
        <v>286</v>
      </c>
      <c r="C260" s="77"/>
      <c r="D260" s="78">
        <f t="shared" si="27"/>
        <v>27584</v>
      </c>
      <c r="E260" s="78">
        <v>100</v>
      </c>
      <c r="F260" s="78"/>
      <c r="G260" s="78"/>
      <c r="H260" s="38">
        <f>'4.pielikums'!B247</f>
        <v>27684</v>
      </c>
      <c r="I260" s="61"/>
    </row>
    <row r="261" spans="1:18" ht="15" customHeight="1" x14ac:dyDescent="0.3">
      <c r="A261" s="42"/>
      <c r="B261" s="81" t="s">
        <v>285</v>
      </c>
      <c r="C261" s="50"/>
      <c r="D261" s="40">
        <f t="shared" si="27"/>
        <v>227254</v>
      </c>
      <c r="E261" s="78">
        <v>7050</v>
      </c>
      <c r="F261" s="85">
        <f>5509+10912+214456+2176+55171+5509+2344+3900+15336+110432+1132+224-229</f>
        <v>426872</v>
      </c>
      <c r="G261" s="40"/>
      <c r="H261" s="38">
        <f>'4.pielikums'!B248</f>
        <v>661176</v>
      </c>
      <c r="I261" s="61"/>
    </row>
    <row r="262" spans="1:18" ht="15" customHeight="1" x14ac:dyDescent="0.3">
      <c r="A262" s="42"/>
      <c r="B262" s="81" t="s">
        <v>47</v>
      </c>
      <c r="C262" s="50"/>
      <c r="D262" s="40">
        <f t="shared" si="27"/>
        <v>206153</v>
      </c>
      <c r="E262" s="78">
        <f>2574</f>
        <v>2574</v>
      </c>
      <c r="F262" s="78">
        <f>6341+4352+189800+2030+106624+2036+680+229</f>
        <v>312092</v>
      </c>
      <c r="G262" s="40"/>
      <c r="H262" s="38">
        <f>'4.pielikums'!B250</f>
        <v>520819</v>
      </c>
      <c r="I262" s="61"/>
    </row>
    <row r="263" spans="1:18" ht="15" customHeight="1" x14ac:dyDescent="0.3">
      <c r="A263" s="42"/>
      <c r="B263" s="81" t="s">
        <v>213</v>
      </c>
      <c r="C263" s="50"/>
      <c r="D263" s="40">
        <f t="shared" si="27"/>
        <v>327062</v>
      </c>
      <c r="E263" s="78">
        <f>7988+17500+5000</f>
        <v>30488</v>
      </c>
      <c r="F263" s="78">
        <f>27585+10016+299232+11812+18304+7512+3989+7748+156792+3624+2264-229</f>
        <v>548649</v>
      </c>
      <c r="G263" s="40"/>
      <c r="H263" s="38">
        <f>'4.pielikums'!B252</f>
        <v>906199</v>
      </c>
      <c r="I263" s="61"/>
      <c r="R263" s="73"/>
    </row>
    <row r="264" spans="1:18" ht="30" customHeight="1" x14ac:dyDescent="0.3">
      <c r="A264" s="42"/>
      <c r="B264" s="80" t="s">
        <v>215</v>
      </c>
      <c r="C264" s="45"/>
      <c r="D264" s="40">
        <f t="shared" si="27"/>
        <v>143332</v>
      </c>
      <c r="E264" s="78">
        <v>7556</v>
      </c>
      <c r="F264" s="78"/>
      <c r="G264" s="40"/>
      <c r="H264" s="38">
        <f>'4.pielikums'!B254</f>
        <v>150888</v>
      </c>
      <c r="I264" s="61"/>
    </row>
    <row r="265" spans="1:18" ht="30" customHeight="1" x14ac:dyDescent="0.3">
      <c r="A265" s="42"/>
      <c r="B265" s="80" t="s">
        <v>214</v>
      </c>
      <c r="C265" s="45"/>
      <c r="D265" s="40">
        <f t="shared" si="27"/>
        <v>108097</v>
      </c>
      <c r="E265" s="78">
        <f>2819+500</f>
        <v>3319</v>
      </c>
      <c r="F265" s="78"/>
      <c r="G265" s="40"/>
      <c r="H265" s="38">
        <f>'4.pielikums'!B255</f>
        <v>111416</v>
      </c>
      <c r="I265" s="61"/>
    </row>
    <row r="266" spans="1:18" ht="15" customHeight="1" x14ac:dyDescent="0.3">
      <c r="A266" s="42"/>
      <c r="B266" s="92" t="s">
        <v>144</v>
      </c>
      <c r="C266" s="45"/>
      <c r="D266" s="40">
        <f t="shared" si="27"/>
        <v>297671</v>
      </c>
      <c r="E266" s="78">
        <v>2650</v>
      </c>
      <c r="F266" s="78">
        <f>2446+159280+4792+5640+2869-2536-1829</f>
        <v>170662</v>
      </c>
      <c r="G266" s="40"/>
      <c r="H266" s="38">
        <f>'4.pielikums'!B256</f>
        <v>470983</v>
      </c>
      <c r="I266" s="61"/>
    </row>
    <row r="267" spans="1:18" ht="15" customHeight="1" x14ac:dyDescent="0.3">
      <c r="A267" s="42"/>
      <c r="B267" s="81" t="s">
        <v>228</v>
      </c>
      <c r="C267" s="50"/>
      <c r="D267" s="40">
        <f t="shared" si="27"/>
        <v>132217</v>
      </c>
      <c r="E267" s="78">
        <f>1150+110</f>
        <v>1260</v>
      </c>
      <c r="F267" s="78">
        <f>1925-1486</f>
        <v>439</v>
      </c>
      <c r="G267" s="40"/>
      <c r="H267" s="38">
        <f>'4.pielikums'!B258</f>
        <v>133916</v>
      </c>
    </row>
    <row r="268" spans="1:18" ht="15" customHeight="1" x14ac:dyDescent="0.3">
      <c r="A268" s="2"/>
      <c r="B268" s="82" t="s">
        <v>287</v>
      </c>
      <c r="C268" s="49">
        <f>SUM(C269:C275)</f>
        <v>0</v>
      </c>
      <c r="D268" s="49">
        <f t="shared" ref="D268:G268" si="28">SUM(D269:D275)</f>
        <v>2478667</v>
      </c>
      <c r="E268" s="49">
        <f t="shared" si="28"/>
        <v>96278</v>
      </c>
      <c r="F268" s="112">
        <f>SUM(F269:F275)</f>
        <v>3137851</v>
      </c>
      <c r="G268" s="49">
        <f t="shared" si="28"/>
        <v>0</v>
      </c>
      <c r="H268" s="38">
        <f>SUM(H269:H275)</f>
        <v>5712796</v>
      </c>
    </row>
    <row r="269" spans="1:18" ht="15" customHeight="1" x14ac:dyDescent="0.3">
      <c r="A269" s="42"/>
      <c r="B269" s="81" t="s">
        <v>48</v>
      </c>
      <c r="C269" s="50"/>
      <c r="D269" s="40">
        <f t="shared" si="27"/>
        <v>471300</v>
      </c>
      <c r="E269" s="78">
        <v>18072</v>
      </c>
      <c r="F269" s="78">
        <f>10448+503312+9098+5273+245140+5884+1360</f>
        <v>780515</v>
      </c>
      <c r="G269" s="40"/>
      <c r="H269" s="38">
        <f>'4.pielikums'!B260</f>
        <v>1269887</v>
      </c>
    </row>
    <row r="270" spans="1:18" ht="15" customHeight="1" x14ac:dyDescent="0.3">
      <c r="A270" s="42"/>
      <c r="B270" s="81" t="s">
        <v>644</v>
      </c>
      <c r="C270" s="50"/>
      <c r="D270" s="40">
        <f t="shared" si="27"/>
        <v>341049</v>
      </c>
      <c r="E270" s="78">
        <v>8540</v>
      </c>
      <c r="F270" s="78">
        <f>11842+10448+259112+5249+3900+173128+4300+2268+1482+2058</f>
        <v>473787</v>
      </c>
      <c r="G270" s="40"/>
      <c r="H270" s="38">
        <f>'4.pielikums'!B262</f>
        <v>823376</v>
      </c>
    </row>
    <row r="271" spans="1:18" ht="30" customHeight="1" x14ac:dyDescent="0.3">
      <c r="A271" s="42"/>
      <c r="B271" s="80" t="s">
        <v>288</v>
      </c>
      <c r="C271" s="77"/>
      <c r="D271" s="40">
        <f t="shared" si="27"/>
        <v>470672</v>
      </c>
      <c r="E271" s="78">
        <v>9950</v>
      </c>
      <c r="F271" s="78">
        <f>10880+277968+182000+5459+2128+1188+125092+90452+1584+3172+41</f>
        <v>699964</v>
      </c>
      <c r="G271" s="40"/>
      <c r="H271" s="38">
        <f>'4.pielikums'!B264</f>
        <v>1180586</v>
      </c>
    </row>
    <row r="272" spans="1:18" ht="30" customHeight="1" x14ac:dyDescent="0.3">
      <c r="A272" s="42"/>
      <c r="B272" s="80" t="s">
        <v>634</v>
      </c>
      <c r="C272" s="45"/>
      <c r="D272" s="40">
        <f t="shared" si="27"/>
        <v>53796</v>
      </c>
      <c r="E272" s="78">
        <v>16000</v>
      </c>
      <c r="F272" s="78">
        <v>3000</v>
      </c>
      <c r="G272" s="40"/>
      <c r="H272" s="38">
        <f>'4.pielikums'!B266</f>
        <v>72796</v>
      </c>
    </row>
    <row r="273" spans="1:17" ht="15" customHeight="1" x14ac:dyDescent="0.3">
      <c r="A273" s="42"/>
      <c r="B273" s="80" t="s">
        <v>151</v>
      </c>
      <c r="C273" s="45"/>
      <c r="D273" s="40">
        <f t="shared" si="27"/>
        <v>240289</v>
      </c>
      <c r="E273" s="78">
        <f>1700+2500</f>
        <v>4200</v>
      </c>
      <c r="F273" s="78">
        <f>9472+30984+10016+170680+4339+3900+17604+81252+3396+904-800</f>
        <v>331747</v>
      </c>
      <c r="G273" s="40"/>
      <c r="H273" s="38">
        <f>'4.pielikums'!B268</f>
        <v>576236</v>
      </c>
      <c r="I273" s="61"/>
    </row>
    <row r="274" spans="1:17" ht="15" customHeight="1" x14ac:dyDescent="0.3">
      <c r="A274" s="42"/>
      <c r="B274" s="80" t="s">
        <v>143</v>
      </c>
      <c r="C274" s="45"/>
      <c r="D274" s="40">
        <f t="shared" si="27"/>
        <v>435436</v>
      </c>
      <c r="E274" s="78">
        <f>4100+2201+1560+5440</f>
        <v>13301</v>
      </c>
      <c r="F274" s="78">
        <f>9698+38920+171656+6968+4409+3900+1434+5550+149+22984+107368+2488+1360+782+1143</f>
        <v>378809</v>
      </c>
      <c r="G274" s="40"/>
      <c r="H274" s="38">
        <f>'4.pielikums'!B270</f>
        <v>827546</v>
      </c>
      <c r="I274" s="61"/>
    </row>
    <row r="275" spans="1:17" ht="15" customHeight="1" x14ac:dyDescent="0.3">
      <c r="A275" s="42"/>
      <c r="B275" s="80" t="s">
        <v>154</v>
      </c>
      <c r="C275" s="45"/>
      <c r="D275" s="40">
        <f t="shared" si="27"/>
        <v>466125</v>
      </c>
      <c r="E275" s="85">
        <f>10540+15675</f>
        <v>26215</v>
      </c>
      <c r="F275" s="78">
        <f>12596+9144+242440+47880+6299+3900+16900+124176+3396+1812+1486</f>
        <v>470029</v>
      </c>
      <c r="G275" s="40"/>
      <c r="H275" s="38">
        <f>'4.pielikums'!B272</f>
        <v>962369</v>
      </c>
      <c r="I275" s="61"/>
    </row>
    <row r="276" spans="1:17" ht="30" customHeight="1" x14ac:dyDescent="0.3">
      <c r="A276" s="55"/>
      <c r="B276" s="247" t="s">
        <v>289</v>
      </c>
      <c r="C276" s="49">
        <f>SUM(C277:C283)</f>
        <v>0</v>
      </c>
      <c r="D276" s="49">
        <f t="shared" ref="D276:G276" si="29">SUM(D277:D283)</f>
        <v>1120851</v>
      </c>
      <c r="E276" s="49">
        <f t="shared" si="29"/>
        <v>104781</v>
      </c>
      <c r="F276" s="112">
        <f>SUM(F277:F283)</f>
        <v>1270053</v>
      </c>
      <c r="G276" s="49">
        <f t="shared" si="29"/>
        <v>0</v>
      </c>
      <c r="H276" s="38">
        <f>SUM(H277:H283)</f>
        <v>2495685</v>
      </c>
      <c r="I276" s="61"/>
    </row>
    <row r="277" spans="1:17" ht="15" customHeight="1" x14ac:dyDescent="0.3">
      <c r="A277" s="42"/>
      <c r="B277" s="81" t="s">
        <v>49</v>
      </c>
      <c r="C277" s="50"/>
      <c r="D277" s="40">
        <f t="shared" si="27"/>
        <v>169476</v>
      </c>
      <c r="E277" s="78">
        <v>10454</v>
      </c>
      <c r="F277" s="78">
        <f>336467+6528+5208+242569</f>
        <v>590772</v>
      </c>
      <c r="G277" s="40"/>
      <c r="H277" s="38">
        <f>'4.pielikums'!B274</f>
        <v>770702</v>
      </c>
      <c r="I277" s="61"/>
    </row>
    <row r="278" spans="1:17" ht="15" customHeight="1" x14ac:dyDescent="0.3">
      <c r="A278" s="42"/>
      <c r="B278" s="81" t="s">
        <v>50</v>
      </c>
      <c r="C278" s="50"/>
      <c r="D278" s="40">
        <f t="shared" si="27"/>
        <v>152379</v>
      </c>
      <c r="E278" s="78">
        <v>8020</v>
      </c>
      <c r="F278" s="78">
        <f>38727+2616+908+904+26525</f>
        <v>69680</v>
      </c>
      <c r="G278" s="40"/>
      <c r="H278" s="38">
        <f>'4.pielikums'!B276</f>
        <v>230079</v>
      </c>
      <c r="I278" s="250"/>
      <c r="J278" s="250"/>
      <c r="K278" s="250"/>
    </row>
    <row r="279" spans="1:17" ht="15" customHeight="1" x14ac:dyDescent="0.3">
      <c r="A279" s="42"/>
      <c r="B279" s="221" t="s">
        <v>150</v>
      </c>
      <c r="C279" s="45"/>
      <c r="D279" s="40">
        <f t="shared" si="27"/>
        <v>107746</v>
      </c>
      <c r="E279" s="78">
        <v>1775</v>
      </c>
      <c r="F279" s="78">
        <f>432+63129</f>
        <v>63561</v>
      </c>
      <c r="G279" s="40"/>
      <c r="H279" s="38">
        <f>'4.pielikums'!B278</f>
        <v>173082</v>
      </c>
      <c r="I279" s="61"/>
    </row>
    <row r="280" spans="1:17" ht="15" customHeight="1" x14ac:dyDescent="0.3">
      <c r="A280" s="42"/>
      <c r="B280" s="92" t="s">
        <v>142</v>
      </c>
      <c r="C280" s="45"/>
      <c r="D280" s="40">
        <f t="shared" si="27"/>
        <v>45632</v>
      </c>
      <c r="E280" s="78">
        <f>4100+396</f>
        <v>4496</v>
      </c>
      <c r="F280" s="78">
        <f>99734+1744</f>
        <v>101478</v>
      </c>
      <c r="G280" s="40"/>
      <c r="H280" s="38">
        <f>'4.pielikums'!B280</f>
        <v>151606</v>
      </c>
      <c r="I280" s="61"/>
    </row>
    <row r="281" spans="1:17" ht="15" customHeight="1" x14ac:dyDescent="0.3">
      <c r="A281" s="42"/>
      <c r="B281" s="81" t="s">
        <v>51</v>
      </c>
      <c r="C281" s="50"/>
      <c r="D281" s="40">
        <f t="shared" si="27"/>
        <v>267379</v>
      </c>
      <c r="E281" s="78">
        <v>300</v>
      </c>
      <c r="F281" s="85">
        <f>374372+7960+4980+4878</f>
        <v>392190</v>
      </c>
      <c r="G281" s="40"/>
      <c r="H281" s="38">
        <f>'4.pielikums'!B282</f>
        <v>659869</v>
      </c>
      <c r="I281" s="61"/>
    </row>
    <row r="282" spans="1:17" ht="15" customHeight="1" x14ac:dyDescent="0.3">
      <c r="A282" s="42"/>
      <c r="B282" s="81" t="s">
        <v>290</v>
      </c>
      <c r="C282" s="50"/>
      <c r="D282" s="40">
        <f t="shared" si="27"/>
        <v>146863</v>
      </c>
      <c r="E282" s="78">
        <v>77384</v>
      </c>
      <c r="F282" s="79"/>
      <c r="G282" s="40"/>
      <c r="H282" s="38">
        <f>'4.pielikums'!B284</f>
        <v>224247</v>
      </c>
      <c r="I282" s="61"/>
    </row>
    <row r="283" spans="1:17" ht="15" customHeight="1" x14ac:dyDescent="0.3">
      <c r="A283" s="42"/>
      <c r="B283" s="81" t="s">
        <v>291</v>
      </c>
      <c r="C283" s="50"/>
      <c r="D283" s="40">
        <f t="shared" si="27"/>
        <v>231376</v>
      </c>
      <c r="E283" s="40">
        <v>2352</v>
      </c>
      <c r="F283" s="78">
        <f>35815+16557</f>
        <v>52372</v>
      </c>
      <c r="G283" s="40"/>
      <c r="H283" s="38">
        <f>'4.pielikums'!B285</f>
        <v>286100</v>
      </c>
      <c r="I283" s="61"/>
    </row>
    <row r="284" spans="1:17" ht="15" customHeight="1" x14ac:dyDescent="0.3">
      <c r="A284" s="2"/>
      <c r="B284" s="95" t="s">
        <v>292</v>
      </c>
      <c r="C284" s="49">
        <f t="shared" ref="C284:G284" si="30">C285</f>
        <v>0</v>
      </c>
      <c r="D284" s="49">
        <f t="shared" si="30"/>
        <v>245793</v>
      </c>
      <c r="E284" s="49">
        <f t="shared" si="30"/>
        <v>0</v>
      </c>
      <c r="F284" s="112">
        <f t="shared" si="30"/>
        <v>0</v>
      </c>
      <c r="G284" s="49">
        <f t="shared" si="30"/>
        <v>0</v>
      </c>
      <c r="H284" s="38">
        <f>H285</f>
        <v>245793</v>
      </c>
      <c r="I284" s="61"/>
    </row>
    <row r="285" spans="1:17" ht="15" customHeight="1" x14ac:dyDescent="0.3">
      <c r="A285" s="46"/>
      <c r="B285" s="57" t="s">
        <v>149</v>
      </c>
      <c r="C285" s="45"/>
      <c r="D285" s="40">
        <f t="shared" si="27"/>
        <v>245793</v>
      </c>
      <c r="E285" s="40"/>
      <c r="F285" s="40"/>
      <c r="G285" s="40"/>
      <c r="H285" s="38">
        <f>'4.pielikums'!B287</f>
        <v>245793</v>
      </c>
      <c r="I285" s="250"/>
      <c r="J285" s="66"/>
      <c r="K285" s="66"/>
      <c r="L285" s="66"/>
      <c r="M285" s="66"/>
      <c r="N285" s="66"/>
      <c r="P285" s="66"/>
      <c r="Q285" s="66"/>
    </row>
    <row r="286" spans="1:17" ht="30" customHeight="1" x14ac:dyDescent="0.3">
      <c r="A286" s="53"/>
      <c r="B286" s="95" t="s">
        <v>293</v>
      </c>
      <c r="C286" s="49">
        <f>SUM(C287:C312)</f>
        <v>92019</v>
      </c>
      <c r="D286" s="49">
        <f>SUM(D287:D315)</f>
        <v>744739.98</v>
      </c>
      <c r="E286" s="49">
        <f>SUM(E287:E312)</f>
        <v>6400</v>
      </c>
      <c r="F286" s="49">
        <f>SUM(F287:F315)</f>
        <v>130071</v>
      </c>
      <c r="G286" s="49">
        <f>SUM(G287:G312)</f>
        <v>0</v>
      </c>
      <c r="H286" s="38">
        <f>SUM(H287:H321)</f>
        <v>1091364.98</v>
      </c>
      <c r="I286" s="61"/>
      <c r="O286" s="251"/>
    </row>
    <row r="287" spans="1:17" ht="15" customHeight="1" x14ac:dyDescent="0.3">
      <c r="A287" s="41"/>
      <c r="B287" s="80" t="s">
        <v>156</v>
      </c>
      <c r="C287" s="44"/>
      <c r="D287" s="40">
        <f t="shared" si="27"/>
        <v>51980</v>
      </c>
      <c r="E287" s="40">
        <f>5000</f>
        <v>5000</v>
      </c>
      <c r="F287" s="40"/>
      <c r="G287" s="40"/>
      <c r="H287" s="38">
        <f>'4.pielikums'!B288</f>
        <v>56980</v>
      </c>
      <c r="I287" s="61"/>
      <c r="Q287" s="250"/>
    </row>
    <row r="288" spans="1:17" ht="15" customHeight="1" x14ac:dyDescent="0.3">
      <c r="A288" s="42"/>
      <c r="B288" s="89" t="s">
        <v>67</v>
      </c>
      <c r="C288" s="44"/>
      <c r="D288" s="40">
        <f>H288-E288-G288-F288-C288</f>
        <v>0</v>
      </c>
      <c r="E288" s="40"/>
      <c r="F288" s="78">
        <v>48689</v>
      </c>
      <c r="G288" s="40"/>
      <c r="H288" s="38">
        <f>'4.pielikums'!B289</f>
        <v>48689</v>
      </c>
      <c r="I288" s="61"/>
    </row>
    <row r="289" spans="1:9" ht="15" customHeight="1" x14ac:dyDescent="0.3">
      <c r="A289" s="42"/>
      <c r="B289" s="88" t="s">
        <v>189</v>
      </c>
      <c r="C289" s="44"/>
      <c r="D289" s="40">
        <f t="shared" si="27"/>
        <v>19080</v>
      </c>
      <c r="E289" s="40"/>
      <c r="F289" s="40"/>
      <c r="G289" s="40"/>
      <c r="H289" s="38">
        <f>'4.pielikums'!B290</f>
        <v>19080</v>
      </c>
      <c r="I289" s="61"/>
    </row>
    <row r="290" spans="1:9" ht="30" customHeight="1" x14ac:dyDescent="0.3">
      <c r="A290" s="42"/>
      <c r="B290" s="96" t="s">
        <v>174</v>
      </c>
      <c r="C290" s="44"/>
      <c r="D290" s="40">
        <f t="shared" si="27"/>
        <v>20934</v>
      </c>
      <c r="E290" s="40"/>
      <c r="F290" s="40"/>
      <c r="G290" s="40"/>
      <c r="H290" s="38">
        <f>'4.pielikums'!B291</f>
        <v>20934</v>
      </c>
      <c r="I290" s="61"/>
    </row>
    <row r="291" spans="1:9" ht="15" customHeight="1" x14ac:dyDescent="0.3">
      <c r="A291" s="41"/>
      <c r="B291" s="96" t="s">
        <v>175</v>
      </c>
      <c r="C291" s="44"/>
      <c r="D291" s="40">
        <f t="shared" si="27"/>
        <v>27677</v>
      </c>
      <c r="E291" s="40"/>
      <c r="F291" s="40"/>
      <c r="G291" s="40"/>
      <c r="H291" s="38">
        <f>'4.pielikums'!B292</f>
        <v>27677</v>
      </c>
      <c r="I291" s="61"/>
    </row>
    <row r="292" spans="1:9" ht="15" customHeight="1" x14ac:dyDescent="0.3">
      <c r="A292" s="41"/>
      <c r="B292" s="96" t="s">
        <v>171</v>
      </c>
      <c r="C292" s="44"/>
      <c r="D292" s="40">
        <f t="shared" si="27"/>
        <v>27334</v>
      </c>
      <c r="E292" s="40"/>
      <c r="F292" s="40"/>
      <c r="G292" s="40"/>
      <c r="H292" s="38">
        <f>'4.pielikums'!B293</f>
        <v>27334</v>
      </c>
      <c r="I292" s="61"/>
    </row>
    <row r="293" spans="1:9" ht="15" customHeight="1" x14ac:dyDescent="0.3">
      <c r="A293" s="41"/>
      <c r="B293" s="96" t="s">
        <v>192</v>
      </c>
      <c r="C293" s="44"/>
      <c r="D293" s="40">
        <f t="shared" si="27"/>
        <v>24564</v>
      </c>
      <c r="E293" s="40"/>
      <c r="F293" s="40"/>
      <c r="G293" s="40"/>
      <c r="H293" s="38">
        <f>'4.pielikums'!B294</f>
        <v>24564</v>
      </c>
      <c r="I293" s="61"/>
    </row>
    <row r="294" spans="1:9" ht="15" customHeight="1" x14ac:dyDescent="0.3">
      <c r="A294" s="41"/>
      <c r="B294" s="96" t="s">
        <v>173</v>
      </c>
      <c r="C294" s="44"/>
      <c r="D294" s="40">
        <f>H294-E294-G294-F294-C294</f>
        <v>21750</v>
      </c>
      <c r="E294" s="40"/>
      <c r="F294" s="40"/>
      <c r="G294" s="40"/>
      <c r="H294" s="38">
        <f>'4.pielikums'!B295</f>
        <v>21750</v>
      </c>
      <c r="I294" s="61"/>
    </row>
    <row r="295" spans="1:9" ht="15" customHeight="1" x14ac:dyDescent="0.3">
      <c r="A295" s="41"/>
      <c r="B295" s="97" t="s">
        <v>181</v>
      </c>
      <c r="C295" s="44"/>
      <c r="D295" s="40">
        <f t="shared" si="27"/>
        <v>98130</v>
      </c>
      <c r="E295" s="40"/>
      <c r="F295" s="40"/>
      <c r="G295" s="40"/>
      <c r="H295" s="38">
        <f>'4.pielikums'!B296</f>
        <v>98130</v>
      </c>
      <c r="I295" s="61"/>
    </row>
    <row r="296" spans="1:9" ht="15" customHeight="1" x14ac:dyDescent="0.3">
      <c r="A296" s="41"/>
      <c r="B296" s="96" t="s">
        <v>641</v>
      </c>
      <c r="C296" s="44"/>
      <c r="D296" s="40">
        <f t="shared" si="27"/>
        <v>23505</v>
      </c>
      <c r="E296" s="40">
        <v>200</v>
      </c>
      <c r="F296" s="40"/>
      <c r="G296" s="40"/>
      <c r="H296" s="38">
        <f>'4.pielikums'!B297</f>
        <v>23705</v>
      </c>
      <c r="I296" s="61"/>
    </row>
    <row r="297" spans="1:9" ht="15" customHeight="1" x14ac:dyDescent="0.3">
      <c r="A297" s="41"/>
      <c r="B297" s="96" t="s">
        <v>141</v>
      </c>
      <c r="C297" s="44"/>
      <c r="D297" s="40">
        <f t="shared" si="27"/>
        <v>36532</v>
      </c>
      <c r="E297" s="78">
        <v>900</v>
      </c>
      <c r="F297" s="40"/>
      <c r="G297" s="40"/>
      <c r="H297" s="38">
        <f>'4.pielikums'!B298</f>
        <v>37432</v>
      </c>
      <c r="I297" s="61"/>
    </row>
    <row r="298" spans="1:9" ht="15" customHeight="1" x14ac:dyDescent="0.3">
      <c r="A298" s="41"/>
      <c r="B298" s="98" t="s">
        <v>194</v>
      </c>
      <c r="C298" s="44"/>
      <c r="D298" s="40">
        <f t="shared" si="27"/>
        <v>35852</v>
      </c>
      <c r="E298" s="40"/>
      <c r="F298" s="40"/>
      <c r="G298" s="40"/>
      <c r="H298" s="38">
        <f>'4.pielikums'!B299</f>
        <v>35852</v>
      </c>
      <c r="I298" s="61"/>
    </row>
    <row r="299" spans="1:9" ht="15" customHeight="1" x14ac:dyDescent="0.3">
      <c r="A299" s="41"/>
      <c r="B299" s="96" t="s">
        <v>188</v>
      </c>
      <c r="C299" s="44"/>
      <c r="D299" s="40">
        <f t="shared" si="27"/>
        <v>21643</v>
      </c>
      <c r="E299" s="40"/>
      <c r="F299" s="40"/>
      <c r="G299" s="40"/>
      <c r="H299" s="38">
        <f>'4.pielikums'!B300</f>
        <v>21643</v>
      </c>
      <c r="I299" s="61"/>
    </row>
    <row r="300" spans="1:9" ht="15" customHeight="1" x14ac:dyDescent="0.3">
      <c r="A300" s="41"/>
      <c r="B300" s="96" t="s">
        <v>190</v>
      </c>
      <c r="C300" s="44"/>
      <c r="D300" s="40">
        <f t="shared" si="27"/>
        <v>24653.98</v>
      </c>
      <c r="E300" s="40">
        <v>300</v>
      </c>
      <c r="F300" s="40"/>
      <c r="G300" s="40"/>
      <c r="H300" s="38">
        <f>'4.pielikums'!B301</f>
        <v>24953.98</v>
      </c>
      <c r="I300" s="61"/>
    </row>
    <row r="301" spans="1:9" ht="15" customHeight="1" x14ac:dyDescent="0.3">
      <c r="A301" s="41"/>
      <c r="B301" s="96" t="s">
        <v>180</v>
      </c>
      <c r="C301" s="44"/>
      <c r="D301" s="40">
        <f t="shared" si="27"/>
        <v>28778</v>
      </c>
      <c r="E301" s="40"/>
      <c r="F301" s="40"/>
      <c r="G301" s="40"/>
      <c r="H301" s="38">
        <f>'4.pielikums'!B302</f>
        <v>28778</v>
      </c>
      <c r="I301" s="61"/>
    </row>
    <row r="302" spans="1:9" ht="15" customHeight="1" x14ac:dyDescent="0.3">
      <c r="A302" s="41"/>
      <c r="B302" s="58" t="s">
        <v>52</v>
      </c>
      <c r="C302" s="44"/>
      <c r="D302" s="40">
        <f t="shared" si="27"/>
        <v>8000</v>
      </c>
      <c r="E302" s="40"/>
      <c r="F302" s="40"/>
      <c r="G302" s="40"/>
      <c r="H302" s="38">
        <f>'4.pielikums'!B303</f>
        <v>8000</v>
      </c>
      <c r="I302" s="61"/>
    </row>
    <row r="303" spans="1:9" ht="30" customHeight="1" x14ac:dyDescent="0.3">
      <c r="A303" s="41"/>
      <c r="B303" s="57" t="s">
        <v>81</v>
      </c>
      <c r="C303" s="44"/>
      <c r="D303" s="40">
        <f>H303-E303-G303-F303-C303</f>
        <v>140000</v>
      </c>
      <c r="E303" s="56"/>
      <c r="F303" s="40"/>
      <c r="G303" s="40"/>
      <c r="H303" s="38">
        <f>'4.pielikums'!B304</f>
        <v>140000</v>
      </c>
      <c r="I303" s="61"/>
    </row>
    <row r="304" spans="1:9" ht="30" customHeight="1" x14ac:dyDescent="0.3">
      <c r="A304" s="41"/>
      <c r="B304" s="57" t="s">
        <v>64</v>
      </c>
      <c r="C304" s="44">
        <v>3561</v>
      </c>
      <c r="D304" s="40">
        <f t="shared" si="27"/>
        <v>0</v>
      </c>
      <c r="E304" s="40"/>
      <c r="F304" s="40"/>
      <c r="G304" s="40"/>
      <c r="H304" s="38">
        <f>'4.pielikums'!B305</f>
        <v>3561</v>
      </c>
      <c r="I304" s="61"/>
    </row>
    <row r="305" spans="1:9" ht="30" customHeight="1" x14ac:dyDescent="0.3">
      <c r="A305" s="46"/>
      <c r="B305" s="57" t="s">
        <v>206</v>
      </c>
      <c r="C305" s="44">
        <v>26568</v>
      </c>
      <c r="D305" s="40">
        <f t="shared" si="27"/>
        <v>0</v>
      </c>
      <c r="E305" s="40"/>
      <c r="F305" s="40"/>
      <c r="G305" s="40"/>
      <c r="H305" s="38">
        <f>'4.pielikums'!B306</f>
        <v>26568</v>
      </c>
      <c r="I305" s="61"/>
    </row>
    <row r="306" spans="1:9" ht="30" customHeight="1" x14ac:dyDescent="0.3">
      <c r="A306" s="46"/>
      <c r="B306" s="89" t="s">
        <v>145</v>
      </c>
      <c r="C306" s="44">
        <v>38588</v>
      </c>
      <c r="D306" s="40">
        <f t="shared" si="27"/>
        <v>0</v>
      </c>
      <c r="E306" s="40"/>
      <c r="F306" s="40">
        <v>20000</v>
      </c>
      <c r="G306" s="40"/>
      <c r="H306" s="38">
        <f>'4.pielikums'!B307</f>
        <v>58588</v>
      </c>
      <c r="I306" s="61"/>
    </row>
    <row r="307" spans="1:9" ht="45" customHeight="1" x14ac:dyDescent="0.3">
      <c r="A307" s="46"/>
      <c r="B307" s="59" t="s">
        <v>671</v>
      </c>
      <c r="C307" s="44">
        <v>19846</v>
      </c>
      <c r="D307" s="40">
        <f t="shared" si="27"/>
        <v>0</v>
      </c>
      <c r="E307" s="40"/>
      <c r="F307" s="40">
        <v>6386</v>
      </c>
      <c r="G307" s="40"/>
      <c r="H307" s="38">
        <f>'4.pielikums'!B308</f>
        <v>26232</v>
      </c>
      <c r="I307" s="61"/>
    </row>
    <row r="308" spans="1:9" ht="45" customHeight="1" x14ac:dyDescent="0.3">
      <c r="A308" s="46"/>
      <c r="B308" s="59" t="s">
        <v>229</v>
      </c>
      <c r="C308" s="44">
        <v>901</v>
      </c>
      <c r="D308" s="40">
        <f t="shared" si="27"/>
        <v>0</v>
      </c>
      <c r="E308" s="40"/>
      <c r="F308" s="40">
        <v>8000</v>
      </c>
      <c r="G308" s="40"/>
      <c r="H308" s="38">
        <f>'4.pielikums'!B309</f>
        <v>8901</v>
      </c>
      <c r="I308" s="61"/>
    </row>
    <row r="309" spans="1:9" ht="63.75" customHeight="1" x14ac:dyDescent="0.3">
      <c r="A309" s="46"/>
      <c r="B309" s="59" t="s">
        <v>808</v>
      </c>
      <c r="C309" s="44">
        <v>2555</v>
      </c>
      <c r="D309" s="40">
        <f t="shared" si="27"/>
        <v>0</v>
      </c>
      <c r="E309" s="40"/>
      <c r="F309" s="40">
        <v>1000</v>
      </c>
      <c r="G309" s="40"/>
      <c r="H309" s="38">
        <f>'4.pielikums'!B310</f>
        <v>3555</v>
      </c>
      <c r="I309" s="61"/>
    </row>
    <row r="310" spans="1:9" ht="20.25" customHeight="1" x14ac:dyDescent="0.3">
      <c r="A310" s="46"/>
      <c r="B310" s="57" t="s">
        <v>227</v>
      </c>
      <c r="C310" s="44"/>
      <c r="D310" s="40">
        <f t="shared" si="27"/>
        <v>37317</v>
      </c>
      <c r="E310" s="40"/>
      <c r="F310" s="40"/>
      <c r="G310" s="40"/>
      <c r="H310" s="38">
        <f>'4.pielikums'!B311</f>
        <v>37317</v>
      </c>
      <c r="I310" s="61"/>
    </row>
    <row r="311" spans="1:9" ht="20.25" customHeight="1" x14ac:dyDescent="0.3">
      <c r="A311" s="46"/>
      <c r="B311" s="57" t="s">
        <v>755</v>
      </c>
      <c r="C311" s="44"/>
      <c r="D311" s="40">
        <f>H311-E311-G311-F311-C311</f>
        <v>300</v>
      </c>
      <c r="E311" s="40"/>
      <c r="F311" s="40"/>
      <c r="G311" s="40"/>
      <c r="H311" s="38">
        <f>'4.pielikums'!B312</f>
        <v>300</v>
      </c>
      <c r="I311" s="61"/>
    </row>
    <row r="312" spans="1:9" ht="37.5" customHeight="1" x14ac:dyDescent="0.3">
      <c r="A312" s="46"/>
      <c r="B312" s="57" t="s">
        <v>225</v>
      </c>
      <c r="C312" s="44"/>
      <c r="D312" s="40">
        <f t="shared" si="27"/>
        <v>96710</v>
      </c>
      <c r="E312" s="40"/>
      <c r="F312" s="40"/>
      <c r="G312" s="40"/>
      <c r="H312" s="38">
        <f>'4.pielikums'!B313</f>
        <v>96710</v>
      </c>
      <c r="I312" s="61"/>
    </row>
    <row r="313" spans="1:9" ht="24.75" customHeight="1" x14ac:dyDescent="0.3">
      <c r="A313" s="46"/>
      <c r="B313" s="57" t="s">
        <v>742</v>
      </c>
      <c r="C313" s="44"/>
      <c r="D313" s="40">
        <f t="shared" si="27"/>
        <v>0</v>
      </c>
      <c r="E313" s="40"/>
      <c r="F313" s="40">
        <v>6492</v>
      </c>
      <c r="G313" s="40"/>
      <c r="H313" s="38">
        <f>'4.pielikums'!B360</f>
        <v>6492</v>
      </c>
      <c r="I313" s="61"/>
    </row>
    <row r="314" spans="1:9" ht="45" customHeight="1" x14ac:dyDescent="0.3">
      <c r="A314" s="46"/>
      <c r="B314" s="57" t="s">
        <v>750</v>
      </c>
      <c r="C314" s="44"/>
      <c r="D314" s="40"/>
      <c r="E314" s="40"/>
      <c r="F314" s="40">
        <v>3500</v>
      </c>
      <c r="G314" s="40"/>
      <c r="H314" s="38">
        <f>'4.pielikums'!B362</f>
        <v>3500</v>
      </c>
      <c r="I314" s="61"/>
    </row>
    <row r="315" spans="1:9" ht="37.5" customHeight="1" x14ac:dyDescent="0.3">
      <c r="A315" s="46"/>
      <c r="B315" s="57" t="s">
        <v>749</v>
      </c>
      <c r="C315" s="44"/>
      <c r="D315" s="40"/>
      <c r="E315" s="40"/>
      <c r="F315" s="78">
        <v>36004</v>
      </c>
      <c r="G315" s="78"/>
      <c r="H315" s="38">
        <f>'4.pielikums'!B363</f>
        <v>36004</v>
      </c>
      <c r="I315" s="61"/>
    </row>
    <row r="316" spans="1:9" ht="37.5" customHeight="1" x14ac:dyDescent="0.3">
      <c r="A316" s="46"/>
      <c r="B316" s="221" t="s">
        <v>766</v>
      </c>
      <c r="C316" s="44"/>
      <c r="D316" s="40"/>
      <c r="E316" s="40"/>
      <c r="F316" s="78">
        <v>8500</v>
      </c>
      <c r="G316" s="78"/>
      <c r="H316" s="38">
        <f>'4.pielikums'!B367</f>
        <v>8500</v>
      </c>
      <c r="I316" s="61"/>
    </row>
    <row r="317" spans="1:9" ht="37.5" customHeight="1" x14ac:dyDescent="0.3">
      <c r="A317" s="46"/>
      <c r="B317" s="221" t="s">
        <v>761</v>
      </c>
      <c r="C317" s="44"/>
      <c r="D317" s="40"/>
      <c r="E317" s="40"/>
      <c r="F317" s="78">
        <v>7057</v>
      </c>
      <c r="G317" s="78"/>
      <c r="H317" s="38">
        <f>'4.pielikums'!B365</f>
        <v>7057</v>
      </c>
      <c r="I317" s="61"/>
    </row>
    <row r="318" spans="1:9" ht="45.75" customHeight="1" x14ac:dyDescent="0.3">
      <c r="A318" s="46"/>
      <c r="B318" s="221" t="s">
        <v>769</v>
      </c>
      <c r="C318" s="44"/>
      <c r="D318" s="40"/>
      <c r="E318" s="40"/>
      <c r="F318" s="78">
        <v>1000</v>
      </c>
      <c r="G318" s="78"/>
      <c r="H318" s="38">
        <f>'4.pielikums'!B368</f>
        <v>1513</v>
      </c>
      <c r="I318" s="61"/>
    </row>
    <row r="319" spans="1:9" ht="32.25" customHeight="1" x14ac:dyDescent="0.3">
      <c r="A319" s="46"/>
      <c r="B319" s="221" t="s">
        <v>776</v>
      </c>
      <c r="C319" s="44"/>
      <c r="D319" s="40"/>
      <c r="E319" s="40"/>
      <c r="F319" s="78">
        <v>23808</v>
      </c>
      <c r="G319" s="78"/>
      <c r="H319" s="38">
        <f>'4.pielikums'!B369</f>
        <v>23808</v>
      </c>
      <c r="I319" s="61"/>
    </row>
    <row r="320" spans="1:9" ht="32.25" customHeight="1" x14ac:dyDescent="0.3">
      <c r="A320" s="46"/>
      <c r="B320" s="221" t="s">
        <v>779</v>
      </c>
      <c r="C320" s="44"/>
      <c r="D320" s="40"/>
      <c r="E320" s="40"/>
      <c r="F320" s="78">
        <v>7792</v>
      </c>
      <c r="G320" s="78"/>
      <c r="H320" s="38">
        <f>'4.pielikums'!B370</f>
        <v>7792</v>
      </c>
      <c r="I320" s="61"/>
    </row>
    <row r="321" spans="1:9" ht="93" customHeight="1" x14ac:dyDescent="0.3">
      <c r="A321" s="46"/>
      <c r="B321" s="221" t="s">
        <v>863</v>
      </c>
      <c r="C321" s="44"/>
      <c r="D321" s="40"/>
      <c r="E321" s="40"/>
      <c r="F321" s="78">
        <v>69315</v>
      </c>
      <c r="G321" s="78"/>
      <c r="H321" s="38">
        <f>'4.pielikums'!B371</f>
        <v>69465</v>
      </c>
      <c r="I321" s="61"/>
    </row>
    <row r="322" spans="1:9" ht="15" customHeight="1" x14ac:dyDescent="0.3">
      <c r="A322" s="2" t="s">
        <v>294</v>
      </c>
      <c r="B322" s="69" t="s">
        <v>295</v>
      </c>
      <c r="C322" s="49">
        <f t="shared" ref="C322:G322" si="31">C323+C324</f>
        <v>115160</v>
      </c>
      <c r="D322" s="49">
        <f t="shared" si="31"/>
        <v>3380690</v>
      </c>
      <c r="E322" s="112">
        <f t="shared" si="31"/>
        <v>1781587</v>
      </c>
      <c r="F322" s="49">
        <f>F323+F324</f>
        <v>948493</v>
      </c>
      <c r="G322" s="49">
        <f t="shared" si="31"/>
        <v>0</v>
      </c>
      <c r="H322" s="38">
        <f>H323+H324</f>
        <v>6225930</v>
      </c>
      <c r="I322" s="61"/>
    </row>
    <row r="323" spans="1:9" ht="15" customHeight="1" x14ac:dyDescent="0.3">
      <c r="A323" s="2"/>
      <c r="B323" s="70" t="s">
        <v>54</v>
      </c>
      <c r="C323" s="50"/>
      <c r="D323" s="40">
        <f t="shared" si="27"/>
        <v>207845</v>
      </c>
      <c r="E323" s="78">
        <v>10000</v>
      </c>
      <c r="F323" s="40"/>
      <c r="G323" s="40"/>
      <c r="H323" s="38">
        <f>'4.pielikums'!B314</f>
        <v>217845</v>
      </c>
      <c r="I323" s="61"/>
    </row>
    <row r="324" spans="1:9" ht="30" customHeight="1" x14ac:dyDescent="0.3">
      <c r="A324" s="53"/>
      <c r="B324" s="95" t="s">
        <v>296</v>
      </c>
      <c r="C324" s="49">
        <f>SUM(C325:C342)</f>
        <v>115160</v>
      </c>
      <c r="D324" s="49">
        <f t="shared" ref="D324:G324" si="32">SUM(D325:D342)</f>
        <v>3172845</v>
      </c>
      <c r="E324" s="49">
        <f t="shared" si="32"/>
        <v>1771587</v>
      </c>
      <c r="F324" s="49">
        <f>SUM(F325:F342)</f>
        <v>948493</v>
      </c>
      <c r="G324" s="49">
        <f t="shared" si="32"/>
        <v>0</v>
      </c>
      <c r="H324" s="38">
        <f>SUM(H325:H342)</f>
        <v>6008085</v>
      </c>
      <c r="I324" s="61"/>
    </row>
    <row r="325" spans="1:9" ht="15" customHeight="1" x14ac:dyDescent="0.3">
      <c r="A325" s="2"/>
      <c r="B325" s="70" t="s">
        <v>164</v>
      </c>
      <c r="C325" s="50"/>
      <c r="D325" s="40">
        <f t="shared" si="27"/>
        <v>620880</v>
      </c>
      <c r="E325" s="78">
        <v>2857</v>
      </c>
      <c r="F325" s="40"/>
      <c r="G325" s="40"/>
      <c r="H325" s="38">
        <f>'4.pielikums'!B315</f>
        <v>623737</v>
      </c>
      <c r="I325" s="61"/>
    </row>
    <row r="326" spans="1:9" ht="15" customHeight="1" x14ac:dyDescent="0.3">
      <c r="A326" s="2"/>
      <c r="B326" s="70" t="s">
        <v>217</v>
      </c>
      <c r="C326" s="50"/>
      <c r="D326" s="40">
        <f t="shared" si="27"/>
        <v>883591</v>
      </c>
      <c r="E326" s="78"/>
      <c r="F326" s="78">
        <v>306409</v>
      </c>
      <c r="G326" s="40"/>
      <c r="H326" s="38">
        <f>'4.pielikums'!B316</f>
        <v>1190000</v>
      </c>
      <c r="I326" s="61"/>
    </row>
    <row r="327" spans="1:9" ht="15" customHeight="1" x14ac:dyDescent="0.3">
      <c r="A327" s="2"/>
      <c r="B327" s="70" t="s">
        <v>160</v>
      </c>
      <c r="C327" s="50"/>
      <c r="D327" s="40">
        <f t="shared" ref="D327:D342" si="33">H327-E327-G327-F327-C327</f>
        <v>19690</v>
      </c>
      <c r="E327" s="78"/>
      <c r="F327" s="40"/>
      <c r="G327" s="40"/>
      <c r="H327" s="38">
        <f>'4.pielikums'!B317</f>
        <v>19690</v>
      </c>
      <c r="I327" s="61"/>
    </row>
    <row r="328" spans="1:9" ht="15" customHeight="1" x14ac:dyDescent="0.3">
      <c r="A328" s="2"/>
      <c r="B328" s="70" t="s">
        <v>55</v>
      </c>
      <c r="C328" s="50"/>
      <c r="D328" s="40">
        <f t="shared" si="33"/>
        <v>11537</v>
      </c>
      <c r="E328" s="78">
        <f>10600</f>
        <v>10600</v>
      </c>
      <c r="F328" s="40"/>
      <c r="G328" s="40"/>
      <c r="H328" s="38">
        <f>'4.pielikums'!B318</f>
        <v>22137</v>
      </c>
      <c r="I328" s="61"/>
    </row>
    <row r="329" spans="1:9" ht="15" customHeight="1" x14ac:dyDescent="0.3">
      <c r="A329" s="2"/>
      <c r="B329" s="70" t="s">
        <v>66</v>
      </c>
      <c r="C329" s="50"/>
      <c r="D329" s="40">
        <f t="shared" si="33"/>
        <v>268662</v>
      </c>
      <c r="E329" s="78">
        <v>1510</v>
      </c>
      <c r="F329" s="75"/>
      <c r="G329" s="40"/>
      <c r="H329" s="38">
        <f>'4.pielikums'!B319</f>
        <v>270172</v>
      </c>
      <c r="I329" s="61"/>
    </row>
    <row r="330" spans="1:9" ht="15" customHeight="1" x14ac:dyDescent="0.3">
      <c r="A330" s="42"/>
      <c r="B330" s="70" t="s">
        <v>53</v>
      </c>
      <c r="C330" s="50">
        <v>59367</v>
      </c>
      <c r="D330" s="40">
        <f t="shared" si="33"/>
        <v>610840</v>
      </c>
      <c r="E330" s="78">
        <v>1176617</v>
      </c>
      <c r="F330" s="40"/>
      <c r="G330" s="40"/>
      <c r="H330" s="38">
        <f>'4.pielikums'!B320</f>
        <v>1846824</v>
      </c>
      <c r="I330" s="61"/>
    </row>
    <row r="331" spans="1:9" ht="15" customHeight="1" x14ac:dyDescent="0.3">
      <c r="A331" s="42"/>
      <c r="B331" s="58" t="s">
        <v>117</v>
      </c>
      <c r="C331" s="45"/>
      <c r="D331" s="40">
        <f t="shared" si="33"/>
        <v>173795</v>
      </c>
      <c r="E331" s="40">
        <v>166314</v>
      </c>
      <c r="F331" s="40"/>
      <c r="G331" s="40"/>
      <c r="H331" s="38">
        <f>'4.pielikums'!B322</f>
        <v>340109</v>
      </c>
      <c r="I331" s="61"/>
    </row>
    <row r="332" spans="1:9" ht="15" customHeight="1" x14ac:dyDescent="0.3">
      <c r="A332" s="42"/>
      <c r="B332" s="99" t="s">
        <v>119</v>
      </c>
      <c r="C332" s="45"/>
      <c r="D332" s="40">
        <f t="shared" si="33"/>
        <v>61252</v>
      </c>
      <c r="E332" s="40">
        <v>157128</v>
      </c>
      <c r="F332" s="75"/>
      <c r="G332" s="40"/>
      <c r="H332" s="38">
        <f>'4.pielikums'!B323</f>
        <v>218380</v>
      </c>
      <c r="I332" s="61"/>
    </row>
    <row r="333" spans="1:9" ht="15" customHeight="1" x14ac:dyDescent="0.3">
      <c r="A333" s="42"/>
      <c r="B333" s="101" t="s">
        <v>118</v>
      </c>
      <c r="C333" s="45"/>
      <c r="D333" s="40">
        <f t="shared" si="33"/>
        <v>88680</v>
      </c>
      <c r="E333" s="40">
        <v>216583</v>
      </c>
      <c r="F333" s="40"/>
      <c r="G333" s="40"/>
      <c r="H333" s="38">
        <f>'4.pielikums'!B325</f>
        <v>305263</v>
      </c>
      <c r="I333" s="61"/>
    </row>
    <row r="334" spans="1:9" ht="30" customHeight="1" x14ac:dyDescent="0.3">
      <c r="A334" s="42"/>
      <c r="B334" s="57" t="s">
        <v>84</v>
      </c>
      <c r="C334" s="45"/>
      <c r="D334" s="40">
        <f t="shared" si="33"/>
        <v>234761</v>
      </c>
      <c r="E334" s="40">
        <v>22666</v>
      </c>
      <c r="F334" s="75"/>
      <c r="G334" s="40"/>
      <c r="H334" s="38">
        <f>'4.pielikums'!B326</f>
        <v>257427</v>
      </c>
      <c r="I334" s="61"/>
    </row>
    <row r="335" spans="1:9" ht="30" customHeight="1" x14ac:dyDescent="0.3">
      <c r="A335" s="42"/>
      <c r="B335" s="59" t="s">
        <v>165</v>
      </c>
      <c r="C335" s="45"/>
      <c r="D335" s="40">
        <f t="shared" si="33"/>
        <v>73881</v>
      </c>
      <c r="E335" s="40"/>
      <c r="F335" s="75"/>
      <c r="G335" s="40"/>
      <c r="H335" s="38">
        <f>'4.pielikums'!B327</f>
        <v>73881</v>
      </c>
      <c r="I335" s="61"/>
    </row>
    <row r="336" spans="1:9" ht="30" customHeight="1" x14ac:dyDescent="0.3">
      <c r="A336" s="42"/>
      <c r="B336" s="89" t="s">
        <v>166</v>
      </c>
      <c r="C336" s="45"/>
      <c r="D336" s="40">
        <f t="shared" si="33"/>
        <v>118584</v>
      </c>
      <c r="E336" s="40">
        <v>16345</v>
      </c>
      <c r="F336" s="75"/>
      <c r="G336" s="40"/>
      <c r="H336" s="38">
        <f>'4.pielikums'!B328</f>
        <v>134929</v>
      </c>
      <c r="I336" s="61"/>
    </row>
    <row r="337" spans="1:9" ht="30" customHeight="1" x14ac:dyDescent="0.3">
      <c r="A337" s="42"/>
      <c r="B337" s="59" t="s">
        <v>152</v>
      </c>
      <c r="C337" s="45"/>
      <c r="D337" s="40">
        <f t="shared" si="33"/>
        <v>4601</v>
      </c>
      <c r="E337" s="40">
        <f>600</f>
        <v>600</v>
      </c>
      <c r="F337" s="40"/>
      <c r="G337" s="40"/>
      <c r="H337" s="38">
        <f>'4.pielikums'!B329</f>
        <v>5201</v>
      </c>
      <c r="I337" s="61"/>
    </row>
    <row r="338" spans="1:9" ht="30" customHeight="1" x14ac:dyDescent="0.3">
      <c r="A338" s="42"/>
      <c r="B338" s="59" t="s">
        <v>614</v>
      </c>
      <c r="C338" s="45"/>
      <c r="D338" s="40">
        <f t="shared" si="33"/>
        <v>133</v>
      </c>
      <c r="E338" s="40">
        <v>367</v>
      </c>
      <c r="F338" s="40"/>
      <c r="G338" s="40"/>
      <c r="H338" s="38">
        <f>'4.pielikums'!B330</f>
        <v>500</v>
      </c>
      <c r="I338" s="61"/>
    </row>
    <row r="339" spans="1:9" ht="30" customHeight="1" x14ac:dyDescent="0.3">
      <c r="A339" s="42"/>
      <c r="B339" s="57" t="s">
        <v>298</v>
      </c>
      <c r="C339" s="45"/>
      <c r="D339" s="40">
        <f t="shared" si="33"/>
        <v>0</v>
      </c>
      <c r="E339" s="40"/>
      <c r="F339" s="40">
        <v>632852</v>
      </c>
      <c r="G339" s="40"/>
      <c r="H339" s="38">
        <f>'4.pielikums'!B331</f>
        <v>632852</v>
      </c>
      <c r="I339" s="61"/>
    </row>
    <row r="340" spans="1:9" ht="30" customHeight="1" x14ac:dyDescent="0.3">
      <c r="A340" s="42"/>
      <c r="B340" s="57" t="s">
        <v>62</v>
      </c>
      <c r="C340" s="45">
        <v>42383</v>
      </c>
      <c r="D340" s="40">
        <f t="shared" si="33"/>
        <v>0</v>
      </c>
      <c r="E340" s="40"/>
      <c r="F340" s="40">
        <v>0</v>
      </c>
      <c r="G340" s="40"/>
      <c r="H340" s="38">
        <f>'4.pielikums'!B332</f>
        <v>42383</v>
      </c>
      <c r="I340" s="61"/>
    </row>
    <row r="341" spans="1:9" ht="30" customHeight="1" x14ac:dyDescent="0.3">
      <c r="A341" s="42"/>
      <c r="B341" s="58" t="s">
        <v>61</v>
      </c>
      <c r="C341" s="45">
        <v>13410</v>
      </c>
      <c r="D341" s="40">
        <f t="shared" si="33"/>
        <v>458</v>
      </c>
      <c r="E341" s="40"/>
      <c r="F341" s="40">
        <v>9232</v>
      </c>
      <c r="G341" s="40"/>
      <c r="H341" s="38">
        <f>'4.pielikums'!B333</f>
        <v>23100</v>
      </c>
      <c r="I341" s="61"/>
    </row>
    <row r="342" spans="1:9" ht="30" customHeight="1" x14ac:dyDescent="0.3">
      <c r="A342" s="42"/>
      <c r="B342" s="91" t="s">
        <v>297</v>
      </c>
      <c r="C342" s="45"/>
      <c r="D342" s="40">
        <f t="shared" si="33"/>
        <v>1500</v>
      </c>
      <c r="E342" s="40"/>
      <c r="F342" s="40"/>
      <c r="G342" s="40"/>
      <c r="H342" s="38">
        <f>'4.pielikums'!B334+'4.pielikums'!B335+'4.pielikums'!B336+'4.pielikums'!B337</f>
        <v>1500</v>
      </c>
      <c r="I342" s="61"/>
    </row>
    <row r="343" spans="1:9" x14ac:dyDescent="0.3">
      <c r="B343" s="218"/>
      <c r="C343" s="5"/>
      <c r="H343" s="242"/>
    </row>
    <row r="344" spans="1:9" x14ac:dyDescent="0.3">
      <c r="B344" s="273" t="s">
        <v>789</v>
      </c>
      <c r="C344" s="273"/>
      <c r="D344" s="273"/>
      <c r="E344" s="273"/>
      <c r="F344" s="273"/>
      <c r="G344" s="273"/>
      <c r="H344" s="273"/>
    </row>
    <row r="345" spans="1:9" x14ac:dyDescent="0.3">
      <c r="B345" s="43"/>
      <c r="C345" s="5"/>
      <c r="H345"/>
    </row>
    <row r="346" spans="1:9" x14ac:dyDescent="0.3">
      <c r="H346"/>
    </row>
    <row r="347" spans="1:9" x14ac:dyDescent="0.3">
      <c r="H347"/>
    </row>
    <row r="348" spans="1:9" x14ac:dyDescent="0.3">
      <c r="H348"/>
    </row>
    <row r="349" spans="1:9" x14ac:dyDescent="0.3">
      <c r="H349"/>
    </row>
    <row r="350" spans="1:9" x14ac:dyDescent="0.3">
      <c r="H350"/>
    </row>
    <row r="351" spans="1:9" x14ac:dyDescent="0.3">
      <c r="H351"/>
    </row>
    <row r="352" spans="1:9" x14ac:dyDescent="0.3">
      <c r="H352"/>
    </row>
    <row r="353" spans="8:8" x14ac:dyDescent="0.3">
      <c r="H353"/>
    </row>
    <row r="354" spans="8:8" x14ac:dyDescent="0.3">
      <c r="H354"/>
    </row>
    <row r="355" spans="8:8" x14ac:dyDescent="0.3">
      <c r="H355"/>
    </row>
    <row r="356" spans="8:8" x14ac:dyDescent="0.3">
      <c r="H356"/>
    </row>
    <row r="357" spans="8:8" x14ac:dyDescent="0.3">
      <c r="H357"/>
    </row>
    <row r="358" spans="8:8" x14ac:dyDescent="0.3">
      <c r="H358"/>
    </row>
    <row r="359" spans="8:8" x14ac:dyDescent="0.3">
      <c r="H359"/>
    </row>
    <row r="360" spans="8:8" x14ac:dyDescent="0.3">
      <c r="H360"/>
    </row>
    <row r="361" spans="8:8" x14ac:dyDescent="0.3">
      <c r="H361"/>
    </row>
    <row r="362" spans="8:8" x14ac:dyDescent="0.3">
      <c r="H362"/>
    </row>
    <row r="363" spans="8:8" x14ac:dyDescent="0.3">
      <c r="H363"/>
    </row>
    <row r="364" spans="8:8" x14ac:dyDescent="0.3">
      <c r="H364"/>
    </row>
    <row r="365" spans="8:8" x14ac:dyDescent="0.3">
      <c r="H365"/>
    </row>
    <row r="366" spans="8:8" x14ac:dyDescent="0.3">
      <c r="H366"/>
    </row>
    <row r="367" spans="8:8" x14ac:dyDescent="0.3">
      <c r="H367"/>
    </row>
    <row r="368" spans="8:8" x14ac:dyDescent="0.3">
      <c r="H368"/>
    </row>
    <row r="369" spans="8:8" x14ac:dyDescent="0.3">
      <c r="H369"/>
    </row>
    <row r="370" spans="8:8" x14ac:dyDescent="0.3">
      <c r="H370"/>
    </row>
    <row r="371" spans="8:8" x14ac:dyDescent="0.3">
      <c r="H371"/>
    </row>
    <row r="372" spans="8:8" x14ac:dyDescent="0.3">
      <c r="H372"/>
    </row>
    <row r="373" spans="8:8" x14ac:dyDescent="0.3">
      <c r="H373"/>
    </row>
    <row r="374" spans="8:8" x14ac:dyDescent="0.3">
      <c r="H374"/>
    </row>
    <row r="375" spans="8:8" x14ac:dyDescent="0.3">
      <c r="H375"/>
    </row>
    <row r="376" spans="8:8" x14ac:dyDescent="0.3">
      <c r="H376"/>
    </row>
    <row r="377" spans="8:8" x14ac:dyDescent="0.3">
      <c r="H377"/>
    </row>
    <row r="378" spans="8:8" x14ac:dyDescent="0.3">
      <c r="H378"/>
    </row>
    <row r="379" spans="8:8" x14ac:dyDescent="0.3">
      <c r="H379"/>
    </row>
    <row r="380" spans="8:8" x14ac:dyDescent="0.3">
      <c r="H380"/>
    </row>
    <row r="381" spans="8:8" x14ac:dyDescent="0.3">
      <c r="H381"/>
    </row>
    <row r="382" spans="8:8" x14ac:dyDescent="0.3">
      <c r="H382"/>
    </row>
    <row r="383" spans="8:8" x14ac:dyDescent="0.3">
      <c r="H383"/>
    </row>
    <row r="384" spans="8:8" x14ac:dyDescent="0.3">
      <c r="H384"/>
    </row>
    <row r="385" spans="8:8" x14ac:dyDescent="0.3">
      <c r="H385"/>
    </row>
    <row r="386" spans="8:8" x14ac:dyDescent="0.3">
      <c r="H386"/>
    </row>
  </sheetData>
  <mergeCells count="4">
    <mergeCell ref="H15:H16"/>
    <mergeCell ref="B15:B16"/>
    <mergeCell ref="A15:A16"/>
    <mergeCell ref="B344:H344"/>
  </mergeCells>
  <pageMargins left="0.25" right="0.25" top="0.75" bottom="0.75" header="0.3" footer="0.3"/>
  <pageSetup paperSize="9" scale="55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T390"/>
  <sheetViews>
    <sheetView tabSelected="1" topLeftCell="B1" zoomScale="96" zoomScaleNormal="96" workbookViewId="0">
      <selection activeCell="A371" sqref="A371"/>
    </sheetView>
  </sheetViews>
  <sheetFormatPr defaultColWidth="9.109375" defaultRowHeight="13.8" x14ac:dyDescent="0.25"/>
  <cols>
    <col min="1" max="1" width="40.5546875" style="43" customWidth="1"/>
    <col min="2" max="2" width="13.44140625" style="106" customWidth="1"/>
    <col min="3" max="3" width="17.88671875" style="43" customWidth="1"/>
    <col min="4" max="4" width="12.6640625" style="43" customWidth="1"/>
    <col min="5" max="5" width="11.5546875" style="43" customWidth="1"/>
    <col min="6" max="6" width="15.88671875" style="43" customWidth="1"/>
    <col min="7" max="8" width="12" style="106" customWidth="1"/>
    <col min="9" max="9" width="12.33203125" style="106" customWidth="1"/>
    <col min="10" max="10" width="9.5546875" style="106" customWidth="1"/>
    <col min="11" max="11" width="13.109375" style="106" customWidth="1"/>
    <col min="12" max="12" width="11.109375" style="106" customWidth="1"/>
    <col min="13" max="13" width="13.5546875" style="106" customWidth="1"/>
    <col min="14" max="14" width="14.33203125" style="106" customWidth="1"/>
    <col min="15" max="15" width="14" style="106" customWidth="1"/>
    <col min="16" max="16" width="12.109375" style="106" customWidth="1"/>
    <col min="17" max="17" width="11.33203125" style="43" bestFit="1" customWidth="1"/>
    <col min="18" max="18" width="10.109375" style="43" bestFit="1" customWidth="1"/>
    <col min="19" max="16384" width="9.109375" style="43"/>
  </cols>
  <sheetData>
    <row r="1" spans="1:16" ht="15" customHeight="1" x14ac:dyDescent="0.3">
      <c r="A1" s="268"/>
      <c r="B1" s="269"/>
      <c r="C1" s="269"/>
      <c r="D1" s="269"/>
      <c r="E1" s="269"/>
      <c r="G1" s="132"/>
      <c r="H1" s="132"/>
      <c r="I1" s="132"/>
      <c r="J1" s="132"/>
      <c r="K1" s="132"/>
      <c r="L1" s="132"/>
      <c r="M1" s="132"/>
      <c r="N1" s="132"/>
      <c r="O1" s="132"/>
      <c r="P1" s="132" t="s">
        <v>889</v>
      </c>
    </row>
    <row r="2" spans="1:16" ht="15" customHeight="1" x14ac:dyDescent="0.3">
      <c r="A2" s="268"/>
      <c r="B2" s="269"/>
      <c r="C2" s="269"/>
      <c r="D2" s="269"/>
      <c r="E2" s="269"/>
      <c r="G2" s="132"/>
      <c r="H2" s="132"/>
      <c r="I2" s="132"/>
      <c r="J2" s="132"/>
      <c r="K2" s="132"/>
      <c r="L2" s="132"/>
      <c r="M2" s="132"/>
      <c r="N2" s="132"/>
      <c r="O2" s="132"/>
      <c r="P2" s="132" t="s">
        <v>723</v>
      </c>
    </row>
    <row r="3" spans="1:16" ht="15" customHeight="1" x14ac:dyDescent="0.3">
      <c r="A3" s="268"/>
      <c r="B3" s="269"/>
      <c r="C3" s="269"/>
      <c r="D3" s="269"/>
      <c r="E3" s="269"/>
      <c r="G3" s="132"/>
      <c r="H3" s="132"/>
      <c r="I3" s="132"/>
      <c r="J3" s="132"/>
      <c r="K3" s="132"/>
      <c r="L3" s="132"/>
      <c r="M3" s="132"/>
      <c r="N3" s="132"/>
      <c r="O3" s="132"/>
      <c r="P3" s="132" t="s">
        <v>796</v>
      </c>
    </row>
    <row r="4" spans="1:16" ht="15" customHeight="1" x14ac:dyDescent="0.3">
      <c r="A4" s="268"/>
      <c r="B4" s="269"/>
      <c r="C4" s="269"/>
      <c r="D4" s="269"/>
      <c r="E4" s="269"/>
      <c r="G4" s="132"/>
      <c r="H4" s="132"/>
      <c r="I4" s="132"/>
      <c r="J4" s="132"/>
      <c r="K4" s="132"/>
      <c r="L4" s="132"/>
      <c r="M4" s="132"/>
      <c r="N4" s="132"/>
      <c r="O4" s="132"/>
      <c r="P4" s="132" t="s">
        <v>861</v>
      </c>
    </row>
    <row r="5" spans="1:16" ht="15" customHeight="1" x14ac:dyDescent="0.3">
      <c r="A5" s="268"/>
      <c r="B5" s="269"/>
      <c r="C5" s="269"/>
      <c r="D5" s="269"/>
      <c r="E5" s="269"/>
      <c r="G5" s="132"/>
      <c r="H5" s="132"/>
      <c r="I5" s="132"/>
      <c r="J5" s="132"/>
      <c r="K5" s="132"/>
      <c r="L5" s="132"/>
      <c r="M5" s="138"/>
      <c r="N5" s="132"/>
      <c r="O5" s="132"/>
      <c r="P5" s="132" t="s">
        <v>797</v>
      </c>
    </row>
    <row r="6" spans="1:16" ht="15" customHeight="1" x14ac:dyDescent="0.3">
      <c r="A6" s="268"/>
      <c r="B6" s="269"/>
      <c r="C6" s="269"/>
      <c r="D6" s="269"/>
      <c r="E6" s="269"/>
      <c r="G6" s="132"/>
      <c r="H6" s="132"/>
      <c r="I6" s="132"/>
      <c r="J6" s="132"/>
      <c r="K6" s="132"/>
      <c r="L6" s="132"/>
      <c r="M6" s="138"/>
      <c r="N6" s="132"/>
      <c r="O6" s="132"/>
      <c r="P6" s="132"/>
    </row>
    <row r="7" spans="1:16" ht="15" customHeight="1" x14ac:dyDescent="0.3">
      <c r="A7" s="268"/>
      <c r="B7" s="269"/>
      <c r="C7" s="269"/>
      <c r="D7" s="269"/>
      <c r="E7" s="269"/>
      <c r="G7" s="132"/>
      <c r="H7" s="132"/>
      <c r="I7" s="132"/>
      <c r="J7" s="132"/>
      <c r="K7" s="132"/>
      <c r="L7" s="132"/>
      <c r="M7" s="138"/>
      <c r="N7" s="132"/>
      <c r="O7" s="132"/>
      <c r="P7" s="132" t="s">
        <v>889</v>
      </c>
    </row>
    <row r="8" spans="1:16" ht="15" customHeight="1" x14ac:dyDescent="0.3">
      <c r="A8" s="268"/>
      <c r="B8" s="269"/>
      <c r="C8" s="269"/>
      <c r="D8" s="269"/>
      <c r="E8" s="269"/>
      <c r="G8" s="132"/>
      <c r="H8" s="132"/>
      <c r="I8" s="132"/>
      <c r="J8" s="132"/>
      <c r="K8" s="132"/>
      <c r="L8" s="132"/>
      <c r="M8" s="138"/>
      <c r="N8" s="132"/>
      <c r="O8" s="132"/>
      <c r="P8" s="132" t="s">
        <v>723</v>
      </c>
    </row>
    <row r="9" spans="1:16" ht="15" customHeight="1" x14ac:dyDescent="0.3">
      <c r="A9" s="268"/>
      <c r="B9" s="269"/>
      <c r="C9" s="269"/>
      <c r="D9" s="269"/>
      <c r="E9" s="269"/>
      <c r="G9" s="132"/>
      <c r="H9" s="132"/>
      <c r="I9" s="132"/>
      <c r="J9" s="132"/>
      <c r="K9" s="132"/>
      <c r="L9" s="132"/>
      <c r="M9" s="138"/>
      <c r="N9" s="132"/>
      <c r="O9" s="132"/>
      <c r="P9" s="132" t="s">
        <v>792</v>
      </c>
    </row>
    <row r="10" spans="1:16" ht="15" customHeight="1" x14ac:dyDescent="0.3">
      <c r="A10" s="268"/>
      <c r="B10" s="269"/>
      <c r="C10" s="269"/>
      <c r="D10" s="269"/>
      <c r="E10" s="269"/>
      <c r="G10" s="132"/>
      <c r="H10" s="132"/>
      <c r="I10" s="132"/>
      <c r="J10" s="132"/>
      <c r="K10" s="132"/>
      <c r="L10" s="132"/>
      <c r="M10" s="138"/>
      <c r="N10" s="132"/>
      <c r="O10" s="132"/>
      <c r="P10" s="132" t="s">
        <v>793</v>
      </c>
    </row>
    <row r="11" spans="1:16" ht="15" customHeight="1" x14ac:dyDescent="0.3">
      <c r="A11" s="268"/>
      <c r="B11" s="269"/>
      <c r="C11" s="269"/>
      <c r="D11" s="269"/>
      <c r="E11" s="269"/>
      <c r="G11" s="132"/>
      <c r="H11" s="132"/>
      <c r="I11" s="132"/>
      <c r="J11" s="132"/>
      <c r="K11" s="132"/>
      <c r="L11" s="132"/>
      <c r="M11" s="138"/>
      <c r="N11" s="132"/>
      <c r="O11" s="132"/>
      <c r="P11" s="132"/>
    </row>
    <row r="12" spans="1:16" ht="15" customHeight="1" x14ac:dyDescent="0.25">
      <c r="A12" s="268"/>
      <c r="B12" s="269"/>
      <c r="C12" s="269"/>
      <c r="D12" s="269"/>
      <c r="E12" s="269"/>
      <c r="G12" s="138"/>
      <c r="H12" s="138"/>
      <c r="I12" s="138"/>
      <c r="J12" s="138"/>
      <c r="K12" s="138"/>
      <c r="L12" s="138"/>
      <c r="M12" s="138"/>
      <c r="N12" s="138"/>
      <c r="O12" s="138"/>
      <c r="P12" s="138"/>
    </row>
    <row r="13" spans="1:16" ht="15" customHeight="1" x14ac:dyDescent="0.35">
      <c r="A13" s="265" t="s">
        <v>666</v>
      </c>
      <c r="B13" s="265"/>
      <c r="C13" s="265"/>
      <c r="D13" s="265"/>
      <c r="E13" s="265"/>
      <c r="F13" s="265"/>
      <c r="G13" s="265"/>
      <c r="H13" s="265"/>
      <c r="I13" s="265"/>
      <c r="J13" s="265"/>
      <c r="K13" s="265"/>
      <c r="L13" s="265"/>
      <c r="M13" s="265"/>
      <c r="N13" s="265"/>
      <c r="O13" s="265"/>
      <c r="P13" s="265"/>
    </row>
    <row r="14" spans="1:16" ht="15" customHeight="1" x14ac:dyDescent="0.25"/>
    <row r="15" spans="1:16" s="62" customFormat="1" ht="15" customHeight="1" x14ac:dyDescent="0.3">
      <c r="A15" s="267" t="s">
        <v>0</v>
      </c>
      <c r="B15" s="255" t="s">
        <v>667</v>
      </c>
      <c r="C15" s="266" t="s">
        <v>92</v>
      </c>
      <c r="D15" s="266"/>
      <c r="E15" s="266"/>
      <c r="F15" s="266"/>
      <c r="G15" s="266"/>
      <c r="H15" s="266"/>
      <c r="I15" s="266"/>
      <c r="J15" s="266"/>
      <c r="K15" s="266"/>
      <c r="L15" s="266"/>
      <c r="M15" s="266"/>
      <c r="N15" s="266"/>
      <c r="O15" s="266"/>
      <c r="P15" s="266"/>
    </row>
    <row r="16" spans="1:16" s="62" customFormat="1" ht="15" customHeight="1" x14ac:dyDescent="0.3">
      <c r="A16" s="267"/>
      <c r="B16" s="255"/>
      <c r="C16" s="65">
        <v>1000</v>
      </c>
      <c r="D16" s="65">
        <v>1100</v>
      </c>
      <c r="E16" s="65">
        <v>1200</v>
      </c>
      <c r="F16" s="65">
        <v>2000</v>
      </c>
      <c r="G16" s="139">
        <v>2100</v>
      </c>
      <c r="H16" s="139">
        <v>2200</v>
      </c>
      <c r="I16" s="139">
        <v>2300</v>
      </c>
      <c r="J16" s="139">
        <v>2400</v>
      </c>
      <c r="K16" s="139">
        <v>2500</v>
      </c>
      <c r="L16" s="139">
        <v>3000</v>
      </c>
      <c r="M16" s="139">
        <v>4000</v>
      </c>
      <c r="N16" s="139">
        <v>5000</v>
      </c>
      <c r="O16" s="140">
        <v>6000</v>
      </c>
      <c r="P16" s="140">
        <v>7000</v>
      </c>
    </row>
    <row r="17" spans="1:16" s="62" customFormat="1" ht="105" customHeight="1" x14ac:dyDescent="0.3">
      <c r="A17" s="267"/>
      <c r="B17" s="255"/>
      <c r="C17" s="199" t="s">
        <v>87</v>
      </c>
      <c r="D17" s="199" t="s">
        <v>642</v>
      </c>
      <c r="E17" s="199" t="s">
        <v>643</v>
      </c>
      <c r="F17" s="199" t="s">
        <v>88</v>
      </c>
      <c r="G17" s="140" t="s">
        <v>221</v>
      </c>
      <c r="H17" s="140" t="s">
        <v>222</v>
      </c>
      <c r="I17" s="140" t="s">
        <v>223</v>
      </c>
      <c r="J17" s="140" t="s">
        <v>640</v>
      </c>
      <c r="K17" s="140" t="s">
        <v>224</v>
      </c>
      <c r="L17" s="140" t="s">
        <v>89</v>
      </c>
      <c r="M17" s="140" t="s">
        <v>90</v>
      </c>
      <c r="N17" s="140" t="s">
        <v>91</v>
      </c>
      <c r="O17" s="140" t="s">
        <v>85</v>
      </c>
      <c r="P17" s="140" t="s">
        <v>86</v>
      </c>
    </row>
    <row r="18" spans="1:16" ht="15" customHeight="1" x14ac:dyDescent="0.35">
      <c r="A18" s="113" t="s">
        <v>1</v>
      </c>
      <c r="B18" s="114">
        <f>SUM(C18+F18,L18:P18)</f>
        <v>1522773</v>
      </c>
      <c r="C18" s="191">
        <f>D18+E18</f>
        <v>1287651</v>
      </c>
      <c r="D18" s="191">
        <v>1040812</v>
      </c>
      <c r="E18" s="191">
        <v>246839</v>
      </c>
      <c r="F18" s="191">
        <f>SUM(G18:K18)</f>
        <v>232372</v>
      </c>
      <c r="G18" s="117">
        <v>2480</v>
      </c>
      <c r="H18" s="117">
        <f>177541+23631-1750</f>
        <v>199422</v>
      </c>
      <c r="I18" s="117">
        <v>28470</v>
      </c>
      <c r="J18" s="117"/>
      <c r="K18" s="117">
        <v>2000</v>
      </c>
      <c r="L18" s="117"/>
      <c r="M18" s="117"/>
      <c r="N18" s="117">
        <v>1000</v>
      </c>
      <c r="O18" s="117"/>
      <c r="P18" s="117">
        <v>1750</v>
      </c>
    </row>
    <row r="19" spans="1:16" ht="15" customHeight="1" x14ac:dyDescent="0.35">
      <c r="A19" s="113" t="s">
        <v>2</v>
      </c>
      <c r="B19" s="114">
        <f t="shared" ref="B19:B49" si="0">SUM(C19+F19,L19:P19)</f>
        <v>127701</v>
      </c>
      <c r="C19" s="191">
        <f t="shared" ref="C19:C23" si="1">D19+E19</f>
        <v>127701</v>
      </c>
      <c r="D19" s="191">
        <v>103555</v>
      </c>
      <c r="E19" s="191">
        <v>24146</v>
      </c>
      <c r="F19" s="191">
        <f t="shared" ref="F19:F24" si="2">SUM(G19:K19)</f>
        <v>0</v>
      </c>
      <c r="G19" s="117"/>
      <c r="H19" s="117"/>
      <c r="I19" s="117"/>
      <c r="J19" s="117"/>
      <c r="K19" s="117"/>
      <c r="L19" s="117"/>
      <c r="M19" s="117"/>
      <c r="N19" s="117"/>
      <c r="O19" s="117"/>
      <c r="P19" s="117"/>
    </row>
    <row r="20" spans="1:16" ht="30" customHeight="1" x14ac:dyDescent="0.35">
      <c r="A20" s="113" t="s">
        <v>159</v>
      </c>
      <c r="B20" s="114">
        <f t="shared" si="0"/>
        <v>255015</v>
      </c>
      <c r="C20" s="191">
        <f t="shared" si="1"/>
        <v>0</v>
      </c>
      <c r="D20" s="191"/>
      <c r="E20" s="191"/>
      <c r="F20" s="191">
        <f t="shared" si="2"/>
        <v>0</v>
      </c>
      <c r="G20" s="117"/>
      <c r="H20" s="117"/>
      <c r="I20" s="117"/>
      <c r="J20" s="117"/>
      <c r="K20" s="117"/>
      <c r="L20" s="117"/>
      <c r="M20" s="117"/>
      <c r="N20" s="117"/>
      <c r="O20" s="117">
        <v>255015</v>
      </c>
      <c r="P20" s="117"/>
    </row>
    <row r="21" spans="1:16" ht="15" customHeight="1" x14ac:dyDescent="0.35">
      <c r="A21" s="113" t="s">
        <v>191</v>
      </c>
      <c r="B21" s="114">
        <f t="shared" si="0"/>
        <v>30000</v>
      </c>
      <c r="C21" s="191">
        <f>D21+E21</f>
        <v>30000</v>
      </c>
      <c r="D21" s="191">
        <v>24274</v>
      </c>
      <c r="E21" s="191">
        <v>5726</v>
      </c>
      <c r="F21" s="191">
        <f t="shared" si="2"/>
        <v>0</v>
      </c>
      <c r="G21" s="117"/>
      <c r="H21" s="117"/>
      <c r="I21" s="117"/>
      <c r="J21" s="117"/>
      <c r="K21" s="117"/>
      <c r="L21" s="117"/>
      <c r="M21" s="117"/>
      <c r="N21" s="117"/>
      <c r="O21" s="117"/>
      <c r="P21" s="117"/>
    </row>
    <row r="22" spans="1:16" ht="15" customHeight="1" x14ac:dyDescent="0.35">
      <c r="A22" s="115" t="s">
        <v>710</v>
      </c>
      <c r="B22" s="114">
        <f>SUM(C22+F22,L22:P22)</f>
        <v>109439</v>
      </c>
      <c r="C22" s="191">
        <f>D22+E22</f>
        <v>105165</v>
      </c>
      <c r="D22" s="191">
        <v>85199</v>
      </c>
      <c r="E22" s="191">
        <v>19966</v>
      </c>
      <c r="F22" s="191">
        <f>G22+H22+I22</f>
        <v>4274</v>
      </c>
      <c r="G22" s="117"/>
      <c r="H22" s="117">
        <v>61</v>
      </c>
      <c r="I22" s="117">
        <v>4213</v>
      </c>
      <c r="J22" s="117"/>
      <c r="K22" s="117"/>
      <c r="L22" s="117"/>
      <c r="M22" s="117"/>
      <c r="N22" s="117"/>
      <c r="O22" s="117"/>
      <c r="P22" s="117"/>
    </row>
    <row r="23" spans="1:16" ht="15" customHeight="1" x14ac:dyDescent="0.35">
      <c r="A23" s="115" t="s">
        <v>184</v>
      </c>
      <c r="B23" s="114">
        <f t="shared" si="0"/>
        <v>46653</v>
      </c>
      <c r="C23" s="191">
        <f t="shared" si="1"/>
        <v>40785</v>
      </c>
      <c r="D23" s="191">
        <v>33000</v>
      </c>
      <c r="E23" s="191">
        <v>7785</v>
      </c>
      <c r="F23" s="191">
        <f t="shared" si="2"/>
        <v>4058</v>
      </c>
      <c r="G23" s="117">
        <v>20</v>
      </c>
      <c r="H23" s="117">
        <f>2345+H24</f>
        <v>2270</v>
      </c>
      <c r="I23" s="117">
        <f>3503+I24</f>
        <v>1768</v>
      </c>
      <c r="J23" s="117"/>
      <c r="K23" s="117"/>
      <c r="L23" s="117"/>
      <c r="M23" s="117"/>
      <c r="N23" s="117">
        <f>N24</f>
        <v>1810</v>
      </c>
      <c r="O23" s="117"/>
      <c r="P23" s="117"/>
    </row>
    <row r="24" spans="1:16" ht="15" customHeight="1" x14ac:dyDescent="0.35">
      <c r="A24" s="233" t="s">
        <v>726</v>
      </c>
      <c r="B24" s="114">
        <f t="shared" si="0"/>
        <v>0</v>
      </c>
      <c r="C24" s="191"/>
      <c r="D24" s="191"/>
      <c r="E24" s="191"/>
      <c r="F24" s="191">
        <f t="shared" si="2"/>
        <v>-1810</v>
      </c>
      <c r="G24" s="117"/>
      <c r="H24" s="117">
        <v>-75</v>
      </c>
      <c r="I24" s="117">
        <v>-1735</v>
      </c>
      <c r="J24" s="117"/>
      <c r="K24" s="117"/>
      <c r="L24" s="117"/>
      <c r="M24" s="117"/>
      <c r="N24" s="117">
        <v>1810</v>
      </c>
      <c r="O24" s="117"/>
      <c r="P24" s="117"/>
    </row>
    <row r="25" spans="1:16" ht="15" customHeight="1" x14ac:dyDescent="0.35">
      <c r="A25" s="116" t="s">
        <v>3</v>
      </c>
      <c r="B25" s="114">
        <f t="shared" si="0"/>
        <v>38050</v>
      </c>
      <c r="C25" s="191">
        <f t="shared" ref="C25:C31" si="3">D25+E25</f>
        <v>34292</v>
      </c>
      <c r="D25" s="191">
        <v>27606</v>
      </c>
      <c r="E25" s="191">
        <v>6686</v>
      </c>
      <c r="F25" s="191">
        <f t="shared" ref="F25:F57" si="4">SUM(G25:K25)</f>
        <v>3758</v>
      </c>
      <c r="G25" s="117"/>
      <c r="H25" s="117">
        <v>1651</v>
      </c>
      <c r="I25" s="117">
        <v>2006</v>
      </c>
      <c r="J25" s="117"/>
      <c r="K25" s="117">
        <v>101</v>
      </c>
      <c r="L25" s="117"/>
      <c r="M25" s="117"/>
      <c r="N25" s="117"/>
      <c r="O25" s="117"/>
      <c r="P25" s="117"/>
    </row>
    <row r="26" spans="1:16" ht="15" customHeight="1" x14ac:dyDescent="0.35">
      <c r="A26" s="116" t="s">
        <v>95</v>
      </c>
      <c r="B26" s="114">
        <f t="shared" si="0"/>
        <v>60118</v>
      </c>
      <c r="C26" s="191">
        <f t="shared" si="3"/>
        <v>43440</v>
      </c>
      <c r="D26" s="191">
        <v>35125</v>
      </c>
      <c r="E26" s="191">
        <v>8315</v>
      </c>
      <c r="F26" s="191">
        <f t="shared" si="4"/>
        <v>16678</v>
      </c>
      <c r="G26" s="117"/>
      <c r="H26" s="117">
        <v>7695</v>
      </c>
      <c r="I26" s="117">
        <v>8983</v>
      </c>
      <c r="J26" s="117"/>
      <c r="K26" s="117"/>
      <c r="L26" s="117"/>
      <c r="M26" s="117"/>
      <c r="N26" s="117"/>
      <c r="O26" s="117"/>
      <c r="P26" s="117"/>
    </row>
    <row r="27" spans="1:16" ht="15" customHeight="1" x14ac:dyDescent="0.35">
      <c r="A27" s="116" t="s">
        <v>4</v>
      </c>
      <c r="B27" s="114">
        <f t="shared" si="0"/>
        <v>26739</v>
      </c>
      <c r="C27" s="191">
        <f t="shared" si="3"/>
        <v>22563</v>
      </c>
      <c r="D27" s="191">
        <v>18120</v>
      </c>
      <c r="E27" s="191">
        <v>4443</v>
      </c>
      <c r="F27" s="191">
        <f t="shared" si="4"/>
        <v>4176</v>
      </c>
      <c r="G27" s="117"/>
      <c r="H27" s="117">
        <v>2836</v>
      </c>
      <c r="I27" s="117">
        <v>1340</v>
      </c>
      <c r="J27" s="117"/>
      <c r="K27" s="117"/>
      <c r="L27" s="117"/>
      <c r="M27" s="117"/>
      <c r="N27" s="117"/>
      <c r="O27" s="117"/>
      <c r="P27" s="117"/>
    </row>
    <row r="28" spans="1:16" ht="15" customHeight="1" x14ac:dyDescent="0.35">
      <c r="A28" s="116" t="s">
        <v>5</v>
      </c>
      <c r="B28" s="222">
        <f t="shared" si="0"/>
        <v>40853</v>
      </c>
      <c r="C28" s="191">
        <f t="shared" si="3"/>
        <v>33894</v>
      </c>
      <c r="D28" s="191">
        <v>27201</v>
      </c>
      <c r="E28" s="191">
        <v>6693</v>
      </c>
      <c r="F28" s="191">
        <f t="shared" si="4"/>
        <v>6959</v>
      </c>
      <c r="G28" s="117"/>
      <c r="H28" s="117">
        <f>3483+H29</f>
        <v>3421</v>
      </c>
      <c r="I28" s="117">
        <f>3160+I29</f>
        <v>3222</v>
      </c>
      <c r="J28" s="117"/>
      <c r="K28" s="117">
        <v>316</v>
      </c>
      <c r="L28" s="117"/>
      <c r="M28" s="117"/>
      <c r="N28" s="117"/>
      <c r="O28" s="117"/>
      <c r="P28" s="117"/>
    </row>
    <row r="29" spans="1:16" ht="15" customHeight="1" x14ac:dyDescent="0.35">
      <c r="A29" s="232" t="s">
        <v>726</v>
      </c>
      <c r="B29" s="222">
        <f t="shared" si="0"/>
        <v>0</v>
      </c>
      <c r="C29" s="191"/>
      <c r="D29" s="191"/>
      <c r="E29" s="191"/>
      <c r="F29" s="191">
        <f t="shared" si="4"/>
        <v>0</v>
      </c>
      <c r="G29" s="117"/>
      <c r="H29" s="117">
        <v>-62</v>
      </c>
      <c r="I29" s="117">
        <v>62</v>
      </c>
      <c r="J29" s="117"/>
      <c r="K29" s="117"/>
      <c r="L29" s="117"/>
      <c r="M29" s="117"/>
      <c r="N29" s="117"/>
      <c r="O29" s="117"/>
      <c r="P29" s="117"/>
    </row>
    <row r="30" spans="1:16" ht="15" customHeight="1" x14ac:dyDescent="0.35">
      <c r="A30" s="116" t="s">
        <v>6</v>
      </c>
      <c r="B30" s="114">
        <f t="shared" si="0"/>
        <v>24622</v>
      </c>
      <c r="C30" s="191">
        <f t="shared" si="3"/>
        <v>18878</v>
      </c>
      <c r="D30" s="191">
        <v>15228</v>
      </c>
      <c r="E30" s="191">
        <v>3650</v>
      </c>
      <c r="F30" s="191">
        <f t="shared" si="4"/>
        <v>5744</v>
      </c>
      <c r="G30" s="117"/>
      <c r="H30" s="117">
        <v>2274</v>
      </c>
      <c r="I30" s="117">
        <v>3470</v>
      </c>
      <c r="J30" s="117"/>
      <c r="K30" s="117"/>
      <c r="L30" s="117"/>
      <c r="M30" s="117"/>
      <c r="N30" s="117"/>
      <c r="O30" s="117"/>
      <c r="P30" s="117"/>
    </row>
    <row r="31" spans="1:16" ht="15" customHeight="1" x14ac:dyDescent="0.35">
      <c r="A31" s="116" t="s">
        <v>7</v>
      </c>
      <c r="B31" s="114">
        <f>SUM(C31+F31,L31:P31)</f>
        <v>32348</v>
      </c>
      <c r="C31" s="191">
        <f t="shared" si="3"/>
        <v>27797</v>
      </c>
      <c r="D31" s="191">
        <v>22258</v>
      </c>
      <c r="E31" s="191">
        <v>5539</v>
      </c>
      <c r="F31" s="191">
        <f>SUM(G31:K31)</f>
        <v>4551</v>
      </c>
      <c r="G31" s="117">
        <f>40+G32</f>
        <v>0</v>
      </c>
      <c r="H31" s="117">
        <f>2801+H32</f>
        <v>2841</v>
      </c>
      <c r="I31" s="117">
        <v>1500</v>
      </c>
      <c r="J31" s="117"/>
      <c r="K31" s="117">
        <v>210</v>
      </c>
      <c r="L31" s="117"/>
      <c r="M31" s="117"/>
      <c r="N31" s="117"/>
      <c r="O31" s="117"/>
      <c r="P31" s="117"/>
    </row>
    <row r="32" spans="1:16" ht="15" customHeight="1" x14ac:dyDescent="0.35">
      <c r="A32" s="232" t="s">
        <v>726</v>
      </c>
      <c r="B32" s="114">
        <f>SUM(C32+F32,L32:P32)</f>
        <v>0</v>
      </c>
      <c r="C32" s="191"/>
      <c r="D32" s="191"/>
      <c r="E32" s="191"/>
      <c r="F32" s="191">
        <f>SUM(G32:K32)</f>
        <v>0</v>
      </c>
      <c r="G32" s="117">
        <v>-40</v>
      </c>
      <c r="H32" s="117">
        <v>40</v>
      </c>
      <c r="I32" s="117"/>
      <c r="J32" s="117"/>
      <c r="K32" s="117"/>
      <c r="L32" s="117"/>
      <c r="M32" s="117"/>
      <c r="N32" s="117"/>
      <c r="O32" s="117"/>
      <c r="P32" s="117"/>
    </row>
    <row r="33" spans="1:16" ht="15" customHeight="1" x14ac:dyDescent="0.35">
      <c r="A33" s="116" t="s">
        <v>8</v>
      </c>
      <c r="B33" s="114">
        <f t="shared" si="0"/>
        <v>40674</v>
      </c>
      <c r="C33" s="191">
        <f>D33+E33</f>
        <v>31818</v>
      </c>
      <c r="D33" s="191">
        <v>25517</v>
      </c>
      <c r="E33" s="191">
        <v>6301</v>
      </c>
      <c r="F33" s="191">
        <f t="shared" si="4"/>
        <v>8856</v>
      </c>
      <c r="G33" s="117"/>
      <c r="H33" s="117">
        <v>4857</v>
      </c>
      <c r="I33" s="117">
        <v>3855</v>
      </c>
      <c r="J33" s="117"/>
      <c r="K33" s="117">
        <v>144</v>
      </c>
      <c r="L33" s="117"/>
      <c r="M33" s="117"/>
      <c r="N33" s="117"/>
      <c r="O33" s="117"/>
      <c r="P33" s="117"/>
    </row>
    <row r="34" spans="1:16" ht="15" customHeight="1" x14ac:dyDescent="0.35">
      <c r="A34" s="116" t="s">
        <v>96</v>
      </c>
      <c r="B34" s="114">
        <f t="shared" si="0"/>
        <v>44556</v>
      </c>
      <c r="C34" s="191">
        <f>D34+E34</f>
        <v>27612</v>
      </c>
      <c r="D34" s="191">
        <v>22311</v>
      </c>
      <c r="E34" s="191">
        <v>5301</v>
      </c>
      <c r="F34" s="191">
        <f t="shared" si="4"/>
        <v>16944</v>
      </c>
      <c r="G34" s="117"/>
      <c r="H34" s="117">
        <f>1300+12000</f>
        <v>13300</v>
      </c>
      <c r="I34" s="117">
        <f>3644</f>
        <v>3644</v>
      </c>
      <c r="J34" s="117"/>
      <c r="K34" s="117"/>
      <c r="L34" s="117"/>
      <c r="M34" s="117"/>
      <c r="N34" s="117"/>
      <c r="O34" s="117"/>
      <c r="P34" s="117"/>
    </row>
    <row r="35" spans="1:16" ht="15" customHeight="1" x14ac:dyDescent="0.35">
      <c r="A35" s="116" t="s">
        <v>125</v>
      </c>
      <c r="B35" s="114">
        <f t="shared" si="0"/>
        <v>30856</v>
      </c>
      <c r="C35" s="191">
        <f>D35+E35</f>
        <v>25563</v>
      </c>
      <c r="D35" s="191">
        <v>20628</v>
      </c>
      <c r="E35" s="191">
        <v>4935</v>
      </c>
      <c r="F35" s="191">
        <f t="shared" si="4"/>
        <v>5293</v>
      </c>
      <c r="G35" s="117">
        <v>32</v>
      </c>
      <c r="H35" s="117">
        <f>4111+H36</f>
        <v>3861</v>
      </c>
      <c r="I35" s="117">
        <f>1150+I36</f>
        <v>1350</v>
      </c>
      <c r="J35" s="117"/>
      <c r="K35" s="117">
        <f>K36</f>
        <v>50</v>
      </c>
      <c r="L35" s="117"/>
      <c r="M35" s="117"/>
      <c r="N35" s="117"/>
      <c r="O35" s="117"/>
      <c r="P35" s="117"/>
    </row>
    <row r="36" spans="1:16" ht="15" customHeight="1" x14ac:dyDescent="0.35">
      <c r="A36" s="232" t="s">
        <v>726</v>
      </c>
      <c r="B36" s="114">
        <f t="shared" si="0"/>
        <v>0</v>
      </c>
      <c r="C36" s="191"/>
      <c r="D36" s="191"/>
      <c r="E36" s="191"/>
      <c r="F36" s="191">
        <f t="shared" si="4"/>
        <v>0</v>
      </c>
      <c r="G36" s="117"/>
      <c r="H36" s="117">
        <v>-250</v>
      </c>
      <c r="I36" s="117">
        <v>200</v>
      </c>
      <c r="J36" s="117"/>
      <c r="K36" s="117">
        <v>50</v>
      </c>
      <c r="L36" s="117"/>
      <c r="M36" s="117"/>
      <c r="N36" s="117"/>
      <c r="O36" s="117"/>
      <c r="P36" s="117"/>
    </row>
    <row r="37" spans="1:16" ht="15" customHeight="1" x14ac:dyDescent="0.35">
      <c r="A37" s="116" t="s">
        <v>9</v>
      </c>
      <c r="B37" s="114">
        <f t="shared" si="0"/>
        <v>20735</v>
      </c>
      <c r="C37" s="191">
        <f>D37+E37</f>
        <v>18326</v>
      </c>
      <c r="D37" s="191">
        <v>14640</v>
      </c>
      <c r="E37" s="191">
        <v>3686</v>
      </c>
      <c r="F37" s="191">
        <f t="shared" si="4"/>
        <v>2409</v>
      </c>
      <c r="G37" s="117"/>
      <c r="H37" s="117">
        <v>964</v>
      </c>
      <c r="I37" s="117">
        <v>1445</v>
      </c>
      <c r="J37" s="117"/>
      <c r="K37" s="117"/>
      <c r="L37" s="117"/>
      <c r="M37" s="117"/>
      <c r="N37" s="117"/>
      <c r="O37" s="117"/>
      <c r="P37" s="117"/>
    </row>
    <row r="38" spans="1:16" ht="15" customHeight="1" x14ac:dyDescent="0.35">
      <c r="A38" s="116" t="s">
        <v>97</v>
      </c>
      <c r="B38" s="114">
        <f t="shared" si="0"/>
        <v>34119</v>
      </c>
      <c r="C38" s="191">
        <f>D38+E38</f>
        <v>26542</v>
      </c>
      <c r="D38" s="191">
        <v>21450</v>
      </c>
      <c r="E38" s="191">
        <v>5092</v>
      </c>
      <c r="F38" s="191">
        <f t="shared" si="4"/>
        <v>7577</v>
      </c>
      <c r="G38" s="117"/>
      <c r="H38" s="117">
        <v>4641</v>
      </c>
      <c r="I38" s="117">
        <v>2710</v>
      </c>
      <c r="J38" s="117"/>
      <c r="K38" s="117">
        <v>226</v>
      </c>
      <c r="L38" s="117"/>
      <c r="M38" s="117"/>
      <c r="N38" s="117"/>
      <c r="O38" s="117"/>
      <c r="P38" s="117"/>
    </row>
    <row r="39" spans="1:16" ht="15" customHeight="1" x14ac:dyDescent="0.35">
      <c r="A39" s="116" t="s">
        <v>126</v>
      </c>
      <c r="B39" s="114">
        <f t="shared" si="0"/>
        <v>38492</v>
      </c>
      <c r="C39" s="191">
        <f>D39++E39</f>
        <v>26241</v>
      </c>
      <c r="D39" s="191">
        <v>21120</v>
      </c>
      <c r="E39" s="191">
        <v>5121</v>
      </c>
      <c r="F39" s="191">
        <f t="shared" si="4"/>
        <v>12251</v>
      </c>
      <c r="G39" s="117">
        <v>40</v>
      </c>
      <c r="H39" s="117">
        <f>8558+H40</f>
        <v>8388</v>
      </c>
      <c r="I39" s="117">
        <f>3460+I40</f>
        <v>3630</v>
      </c>
      <c r="J39" s="117"/>
      <c r="K39" s="117">
        <v>193</v>
      </c>
      <c r="L39" s="117"/>
      <c r="M39" s="117"/>
      <c r="N39" s="117"/>
      <c r="O39" s="117"/>
      <c r="P39" s="117"/>
    </row>
    <row r="40" spans="1:16" ht="15" customHeight="1" x14ac:dyDescent="0.35">
      <c r="A40" s="232" t="s">
        <v>726</v>
      </c>
      <c r="B40" s="114">
        <f t="shared" si="0"/>
        <v>0</v>
      </c>
      <c r="C40" s="191"/>
      <c r="D40" s="191"/>
      <c r="E40" s="191"/>
      <c r="F40" s="191">
        <f t="shared" si="4"/>
        <v>0</v>
      </c>
      <c r="G40" s="117"/>
      <c r="H40" s="117">
        <v>-170</v>
      </c>
      <c r="I40" s="117">
        <v>170</v>
      </c>
      <c r="J40" s="117"/>
      <c r="K40" s="117"/>
      <c r="L40" s="117"/>
      <c r="M40" s="117"/>
      <c r="N40" s="117"/>
      <c r="O40" s="117"/>
      <c r="P40" s="117"/>
    </row>
    <row r="41" spans="1:16" ht="15" customHeight="1" x14ac:dyDescent="0.35">
      <c r="A41" s="116" t="s">
        <v>98</v>
      </c>
      <c r="B41" s="114">
        <f t="shared" si="0"/>
        <v>20500</v>
      </c>
      <c r="C41" s="191">
        <f t="shared" ref="C41:C49" si="5">D41+E41</f>
        <v>13530</v>
      </c>
      <c r="D41" s="191">
        <v>10912</v>
      </c>
      <c r="E41" s="191">
        <v>2618</v>
      </c>
      <c r="F41" s="191">
        <f t="shared" si="4"/>
        <v>6970</v>
      </c>
      <c r="G41" s="117"/>
      <c r="H41" s="117">
        <v>5600</v>
      </c>
      <c r="I41" s="117">
        <v>1370</v>
      </c>
      <c r="J41" s="117"/>
      <c r="K41" s="117"/>
      <c r="L41" s="117"/>
      <c r="M41" s="117"/>
      <c r="N41" s="117"/>
      <c r="O41" s="117"/>
      <c r="P41" s="117"/>
    </row>
    <row r="42" spans="1:16" ht="15" customHeight="1" x14ac:dyDescent="0.35">
      <c r="A42" s="116" t="s">
        <v>99</v>
      </c>
      <c r="B42" s="114">
        <f t="shared" si="0"/>
        <v>44173</v>
      </c>
      <c r="C42" s="191">
        <f t="shared" si="5"/>
        <v>36281</v>
      </c>
      <c r="D42" s="191">
        <v>29320</v>
      </c>
      <c r="E42" s="191">
        <v>6961</v>
      </c>
      <c r="F42" s="191">
        <f t="shared" si="4"/>
        <v>7892</v>
      </c>
      <c r="G42" s="117"/>
      <c r="H42" s="117">
        <v>2205</v>
      </c>
      <c r="I42" s="117">
        <v>5413</v>
      </c>
      <c r="J42" s="117"/>
      <c r="K42" s="117">
        <v>274</v>
      </c>
      <c r="L42" s="117"/>
      <c r="M42" s="117"/>
      <c r="N42" s="117"/>
      <c r="O42" s="117"/>
      <c r="P42" s="117"/>
    </row>
    <row r="43" spans="1:16" ht="15" customHeight="1" x14ac:dyDescent="0.35">
      <c r="A43" s="116" t="s">
        <v>10</v>
      </c>
      <c r="B43" s="114">
        <f t="shared" si="0"/>
        <v>36393</v>
      </c>
      <c r="C43" s="191">
        <f t="shared" si="5"/>
        <v>31017</v>
      </c>
      <c r="D43" s="191">
        <v>25015</v>
      </c>
      <c r="E43" s="191">
        <v>6002</v>
      </c>
      <c r="F43" s="191">
        <f t="shared" si="4"/>
        <v>5376</v>
      </c>
      <c r="G43" s="117">
        <v>80</v>
      </c>
      <c r="H43" s="117">
        <v>3240</v>
      </c>
      <c r="I43" s="117">
        <v>1846</v>
      </c>
      <c r="J43" s="117"/>
      <c r="K43" s="117">
        <v>210</v>
      </c>
      <c r="L43" s="117"/>
      <c r="M43" s="117"/>
      <c r="N43" s="117"/>
      <c r="O43" s="117"/>
      <c r="P43" s="117"/>
    </row>
    <row r="44" spans="1:16" ht="15" customHeight="1" x14ac:dyDescent="0.35">
      <c r="A44" s="116" t="s">
        <v>11</v>
      </c>
      <c r="B44" s="114">
        <f>SUM(C44+F44,L44:P44)</f>
        <v>45010</v>
      </c>
      <c r="C44" s="191">
        <f t="shared" si="5"/>
        <v>26414</v>
      </c>
      <c r="D44" s="191">
        <v>21317</v>
      </c>
      <c r="E44" s="191">
        <v>5097</v>
      </c>
      <c r="F44" s="191">
        <f t="shared" si="4"/>
        <v>3955</v>
      </c>
      <c r="G44" s="117"/>
      <c r="H44" s="117">
        <v>2287</v>
      </c>
      <c r="I44" s="117">
        <v>1408</v>
      </c>
      <c r="J44" s="117"/>
      <c r="K44" s="117">
        <v>260</v>
      </c>
      <c r="L44" s="117"/>
      <c r="M44" s="117"/>
      <c r="N44" s="117">
        <f>N45</f>
        <v>14641</v>
      </c>
      <c r="O44" s="117"/>
      <c r="P44" s="117"/>
    </row>
    <row r="45" spans="1:16" ht="15" customHeight="1" x14ac:dyDescent="0.35">
      <c r="A45" s="232" t="s">
        <v>726</v>
      </c>
      <c r="B45" s="114">
        <f t="shared" si="0"/>
        <v>14641</v>
      </c>
      <c r="C45" s="191"/>
      <c r="D45" s="191"/>
      <c r="E45" s="191"/>
      <c r="F45" s="191"/>
      <c r="G45" s="117"/>
      <c r="H45" s="117"/>
      <c r="I45" s="117"/>
      <c r="J45" s="117"/>
      <c r="K45" s="117"/>
      <c r="L45" s="117"/>
      <c r="M45" s="117"/>
      <c r="N45" s="117">
        <v>14641</v>
      </c>
      <c r="O45" s="117"/>
      <c r="P45" s="117"/>
    </row>
    <row r="46" spans="1:16" ht="15" customHeight="1" x14ac:dyDescent="0.35">
      <c r="A46" s="116" t="s">
        <v>100</v>
      </c>
      <c r="B46" s="114">
        <f t="shared" si="0"/>
        <v>31242</v>
      </c>
      <c r="C46" s="191">
        <f t="shared" si="5"/>
        <v>24951</v>
      </c>
      <c r="D46" s="191">
        <v>20077</v>
      </c>
      <c r="E46" s="191">
        <v>4874</v>
      </c>
      <c r="F46" s="191">
        <f t="shared" si="4"/>
        <v>6291</v>
      </c>
      <c r="G46" s="117"/>
      <c r="H46" s="117">
        <v>4386</v>
      </c>
      <c r="I46" s="117">
        <v>1485</v>
      </c>
      <c r="J46" s="117"/>
      <c r="K46" s="117">
        <v>420</v>
      </c>
      <c r="L46" s="117"/>
      <c r="M46" s="117"/>
      <c r="N46" s="117"/>
      <c r="O46" s="117"/>
      <c r="P46" s="117"/>
    </row>
    <row r="47" spans="1:16" ht="15" customHeight="1" x14ac:dyDescent="0.35">
      <c r="A47" s="116" t="s">
        <v>12</v>
      </c>
      <c r="B47" s="114">
        <f t="shared" si="0"/>
        <v>39073</v>
      </c>
      <c r="C47" s="191">
        <f t="shared" si="5"/>
        <v>31541</v>
      </c>
      <c r="D47" s="191">
        <v>25414</v>
      </c>
      <c r="E47" s="191">
        <v>6127</v>
      </c>
      <c r="F47" s="191">
        <f t="shared" si="4"/>
        <v>7532</v>
      </c>
      <c r="G47" s="117"/>
      <c r="H47" s="117">
        <v>2962</v>
      </c>
      <c r="I47" s="117">
        <v>4370</v>
      </c>
      <c r="J47" s="117"/>
      <c r="K47" s="117">
        <v>200</v>
      </c>
      <c r="L47" s="117"/>
      <c r="M47" s="117"/>
      <c r="N47" s="117"/>
      <c r="O47" s="117"/>
      <c r="P47" s="117"/>
    </row>
    <row r="48" spans="1:16" ht="15" customHeight="1" x14ac:dyDescent="0.35">
      <c r="A48" s="116" t="s">
        <v>93</v>
      </c>
      <c r="B48" s="114">
        <f t="shared" si="0"/>
        <v>51579</v>
      </c>
      <c r="C48" s="191">
        <f t="shared" si="5"/>
        <v>30858</v>
      </c>
      <c r="D48" s="191">
        <v>24810</v>
      </c>
      <c r="E48" s="191">
        <v>6048</v>
      </c>
      <c r="F48" s="191">
        <f t="shared" si="4"/>
        <v>20721</v>
      </c>
      <c r="G48" s="117"/>
      <c r="H48" s="117">
        <v>17236</v>
      </c>
      <c r="I48" s="117">
        <v>3320</v>
      </c>
      <c r="J48" s="117"/>
      <c r="K48" s="117">
        <v>165</v>
      </c>
      <c r="L48" s="117"/>
      <c r="M48" s="117"/>
      <c r="N48" s="117"/>
      <c r="O48" s="117"/>
      <c r="P48" s="117"/>
    </row>
    <row r="49" spans="1:16" ht="15" customHeight="1" x14ac:dyDescent="0.35">
      <c r="A49" s="116" t="s">
        <v>101</v>
      </c>
      <c r="B49" s="114">
        <f t="shared" si="0"/>
        <v>34189</v>
      </c>
      <c r="C49" s="191">
        <f t="shared" si="5"/>
        <v>26734</v>
      </c>
      <c r="D49" s="191">
        <v>21600</v>
      </c>
      <c r="E49" s="191">
        <v>5134</v>
      </c>
      <c r="F49" s="191">
        <f t="shared" si="4"/>
        <v>7455</v>
      </c>
      <c r="G49" s="117"/>
      <c r="H49" s="117">
        <v>2123</v>
      </c>
      <c r="I49" s="117">
        <v>5122</v>
      </c>
      <c r="J49" s="117"/>
      <c r="K49" s="117">
        <v>210</v>
      </c>
      <c r="L49" s="117"/>
      <c r="M49" s="117"/>
      <c r="N49" s="117"/>
      <c r="O49" s="117"/>
      <c r="P49" s="117"/>
    </row>
    <row r="50" spans="1:16" ht="30" customHeight="1" x14ac:dyDescent="0.35">
      <c r="A50" s="116" t="s">
        <v>94</v>
      </c>
      <c r="B50" s="114">
        <f>SUM(C50+F50,L50:P50)</f>
        <v>97041</v>
      </c>
      <c r="C50" s="191">
        <f>D50+E50</f>
        <v>79592</v>
      </c>
      <c r="D50" s="191">
        <v>64402</v>
      </c>
      <c r="E50" s="191">
        <v>15190</v>
      </c>
      <c r="F50" s="191">
        <f>SUM(G50:K50)</f>
        <v>12234</v>
      </c>
      <c r="G50" s="117">
        <v>50</v>
      </c>
      <c r="H50" s="117">
        <v>9934</v>
      </c>
      <c r="I50" s="117">
        <v>2250</v>
      </c>
      <c r="J50" s="117"/>
      <c r="K50" s="117"/>
      <c r="L50" s="117"/>
      <c r="M50" s="117"/>
      <c r="N50" s="117"/>
      <c r="O50" s="117"/>
      <c r="P50" s="117">
        <v>5215</v>
      </c>
    </row>
    <row r="51" spans="1:16" ht="15" customHeight="1" x14ac:dyDescent="0.35">
      <c r="A51" s="116" t="s">
        <v>13</v>
      </c>
      <c r="B51" s="114">
        <f>SUM(C51:F51,L51:P51)</f>
        <v>5700</v>
      </c>
      <c r="C51" s="191"/>
      <c r="D51" s="191"/>
      <c r="E51" s="191"/>
      <c r="F51" s="191">
        <f t="shared" si="4"/>
        <v>5700</v>
      </c>
      <c r="G51" s="117"/>
      <c r="H51" s="117">
        <f>6000-300</f>
        <v>5700</v>
      </c>
      <c r="I51" s="117"/>
      <c r="J51" s="117"/>
      <c r="K51" s="117"/>
      <c r="L51" s="117"/>
      <c r="M51" s="117"/>
      <c r="N51" s="117"/>
      <c r="O51" s="117"/>
      <c r="P51" s="117"/>
    </row>
    <row r="52" spans="1:16" ht="15" customHeight="1" x14ac:dyDescent="0.35">
      <c r="A52" s="116" t="s">
        <v>14</v>
      </c>
      <c r="B52" s="114">
        <f>SUM(C52+F52,L52:P52)</f>
        <v>41674</v>
      </c>
      <c r="C52" s="191"/>
      <c r="D52" s="191"/>
      <c r="E52" s="191"/>
      <c r="F52" s="191">
        <f t="shared" si="4"/>
        <v>38274</v>
      </c>
      <c r="G52" s="117"/>
      <c r="H52" s="117">
        <f>41674-3400</f>
        <v>38274</v>
      </c>
      <c r="I52" s="117"/>
      <c r="J52" s="117"/>
      <c r="K52" s="117"/>
      <c r="L52" s="117">
        <v>3400</v>
      </c>
      <c r="M52" s="117"/>
      <c r="N52" s="117"/>
      <c r="O52" s="117"/>
      <c r="P52" s="117"/>
    </row>
    <row r="53" spans="1:16" ht="30" customHeight="1" x14ac:dyDescent="0.35">
      <c r="A53" s="116" t="s">
        <v>162</v>
      </c>
      <c r="B53" s="114">
        <f t="shared" ref="B53:B56" si="6">SUM(C53+F53,L53:P53)</f>
        <v>881967</v>
      </c>
      <c r="C53" s="191"/>
      <c r="D53" s="191"/>
      <c r="E53" s="191"/>
      <c r="F53" s="191">
        <f t="shared" si="4"/>
        <v>21746</v>
      </c>
      <c r="G53" s="117"/>
      <c r="H53" s="117">
        <v>21746</v>
      </c>
      <c r="I53" s="117"/>
      <c r="J53" s="117"/>
      <c r="K53" s="117"/>
      <c r="L53" s="117"/>
      <c r="M53" s="117">
        <v>860221</v>
      </c>
      <c r="N53" s="117"/>
      <c r="O53" s="117"/>
      <c r="P53" s="117"/>
    </row>
    <row r="54" spans="1:16" ht="15" customHeight="1" x14ac:dyDescent="0.35">
      <c r="A54" s="116" t="s">
        <v>15</v>
      </c>
      <c r="B54" s="114">
        <f t="shared" si="6"/>
        <v>75861</v>
      </c>
      <c r="C54" s="191">
        <f>D54+E54</f>
        <v>56841</v>
      </c>
      <c r="D54" s="191">
        <f>43987</f>
        <v>43987</v>
      </c>
      <c r="E54" s="191">
        <f>12854</f>
        <v>12854</v>
      </c>
      <c r="F54" s="191">
        <f t="shared" si="4"/>
        <v>19020</v>
      </c>
      <c r="G54" s="117">
        <v>140</v>
      </c>
      <c r="H54" s="117">
        <v>15455</v>
      </c>
      <c r="I54" s="117">
        <v>3425</v>
      </c>
      <c r="J54" s="117"/>
      <c r="K54" s="117"/>
      <c r="L54" s="117"/>
      <c r="M54" s="117"/>
      <c r="N54" s="117"/>
      <c r="O54" s="117"/>
      <c r="P54" s="117"/>
    </row>
    <row r="55" spans="1:16" ht="15" customHeight="1" x14ac:dyDescent="0.35">
      <c r="A55" s="118" t="s">
        <v>16</v>
      </c>
      <c r="B55" s="114">
        <f t="shared" si="6"/>
        <v>181947</v>
      </c>
      <c r="C55" s="191">
        <f>D55+E55</f>
        <v>161849</v>
      </c>
      <c r="D55" s="191">
        <v>131916</v>
      </c>
      <c r="E55" s="191">
        <v>29933</v>
      </c>
      <c r="F55" s="191">
        <f t="shared" si="4"/>
        <v>19318</v>
      </c>
      <c r="G55" s="117">
        <v>130</v>
      </c>
      <c r="H55" s="117">
        <v>8208</v>
      </c>
      <c r="I55" s="117">
        <v>10830</v>
      </c>
      <c r="J55" s="117"/>
      <c r="K55" s="117">
        <v>150</v>
      </c>
      <c r="L55" s="117"/>
      <c r="M55" s="117"/>
      <c r="N55" s="117">
        <v>780</v>
      </c>
      <c r="O55" s="117"/>
      <c r="P55" s="117"/>
    </row>
    <row r="56" spans="1:16" ht="15" customHeight="1" x14ac:dyDescent="0.35">
      <c r="A56" s="113" t="s">
        <v>60</v>
      </c>
      <c r="B56" s="114">
        <f t="shared" si="6"/>
        <v>64886</v>
      </c>
      <c r="C56" s="191">
        <f>D56+E56</f>
        <v>60186</v>
      </c>
      <c r="D56" s="191">
        <v>48241</v>
      </c>
      <c r="E56" s="191">
        <v>11945</v>
      </c>
      <c r="F56" s="191">
        <f t="shared" si="4"/>
        <v>4700</v>
      </c>
      <c r="G56" s="117"/>
      <c r="H56" s="117">
        <v>3920</v>
      </c>
      <c r="I56" s="117">
        <f>780-150</f>
        <v>630</v>
      </c>
      <c r="J56" s="117"/>
      <c r="K56" s="117">
        <v>150</v>
      </c>
      <c r="L56" s="117"/>
      <c r="M56" s="117"/>
      <c r="N56" s="117"/>
      <c r="O56" s="117"/>
      <c r="P56" s="117"/>
    </row>
    <row r="57" spans="1:16" ht="15" customHeight="1" x14ac:dyDescent="0.35">
      <c r="A57" s="116" t="s">
        <v>17</v>
      </c>
      <c r="B57" s="114">
        <f>SUM(C57+F57,L57:P57)</f>
        <v>59824</v>
      </c>
      <c r="C57" s="191">
        <f>D57+E57</f>
        <v>58119</v>
      </c>
      <c r="D57" s="191">
        <v>46338</v>
      </c>
      <c r="E57" s="191">
        <v>11781</v>
      </c>
      <c r="F57" s="191">
        <f t="shared" si="4"/>
        <v>1705</v>
      </c>
      <c r="G57" s="117">
        <v>150</v>
      </c>
      <c r="H57" s="117">
        <f>705</f>
        <v>705</v>
      </c>
      <c r="I57" s="117">
        <v>850</v>
      </c>
      <c r="J57" s="117"/>
      <c r="K57" s="117"/>
      <c r="L57" s="117"/>
      <c r="M57" s="117"/>
      <c r="N57" s="117"/>
      <c r="O57" s="117"/>
      <c r="P57" s="117"/>
    </row>
    <row r="58" spans="1:16" ht="15" customHeight="1" x14ac:dyDescent="0.35">
      <c r="A58" s="116" t="s">
        <v>18</v>
      </c>
      <c r="B58" s="114">
        <f>SUM(C58:F58,L58:P58)</f>
        <v>90000</v>
      </c>
      <c r="C58" s="191"/>
      <c r="D58" s="191"/>
      <c r="E58" s="191"/>
      <c r="F58" s="191">
        <f>SUM(G58:K58)</f>
        <v>90000</v>
      </c>
      <c r="G58" s="117"/>
      <c r="H58" s="117"/>
      <c r="I58" s="117"/>
      <c r="J58" s="117"/>
      <c r="K58" s="117">
        <v>90000</v>
      </c>
      <c r="L58" s="117"/>
      <c r="M58" s="117"/>
      <c r="N58" s="117"/>
      <c r="O58" s="117"/>
      <c r="P58" s="117"/>
    </row>
    <row r="59" spans="1:16" ht="30" customHeight="1" x14ac:dyDescent="0.35">
      <c r="A59" s="116" t="s">
        <v>63</v>
      </c>
      <c r="B59" s="114">
        <f>SUM(C59:F59,L59:P59)</f>
        <v>3721</v>
      </c>
      <c r="C59" s="191"/>
      <c r="D59" s="191"/>
      <c r="E59" s="191"/>
      <c r="F59" s="191">
        <f>SUM(G59:K59)</f>
        <v>0</v>
      </c>
      <c r="G59" s="117"/>
      <c r="H59" s="117"/>
      <c r="I59" s="117"/>
      <c r="J59" s="117"/>
      <c r="K59" s="117"/>
      <c r="L59" s="117"/>
      <c r="M59" s="117"/>
      <c r="N59" s="117"/>
      <c r="O59" s="117"/>
      <c r="P59" s="117">
        <f>3244+477</f>
        <v>3721</v>
      </c>
    </row>
    <row r="60" spans="1:16" ht="30" customHeight="1" x14ac:dyDescent="0.35">
      <c r="A60" s="116" t="s">
        <v>65</v>
      </c>
      <c r="B60" s="114">
        <f>SUM(C60+F60,L60:P60)</f>
        <v>93707</v>
      </c>
      <c r="C60" s="191">
        <f>D60+E60</f>
        <v>61140</v>
      </c>
      <c r="D60" s="191">
        <v>49282</v>
      </c>
      <c r="E60" s="191">
        <v>11858</v>
      </c>
      <c r="F60" s="191">
        <f t="shared" ref="F60:F88" si="7">SUM(G60:K60)</f>
        <v>32567</v>
      </c>
      <c r="G60" s="117">
        <v>520</v>
      </c>
      <c r="H60" s="117">
        <v>28147</v>
      </c>
      <c r="I60" s="117">
        <v>3900</v>
      </c>
      <c r="J60" s="117"/>
      <c r="K60" s="117"/>
      <c r="L60" s="117"/>
      <c r="M60" s="117"/>
      <c r="N60" s="117"/>
      <c r="O60" s="117"/>
      <c r="P60" s="117"/>
    </row>
    <row r="61" spans="1:16" ht="15" customHeight="1" x14ac:dyDescent="0.35">
      <c r="A61" s="116" t="s">
        <v>169</v>
      </c>
      <c r="B61" s="114">
        <f>SUM(C61:F61,L61:P61)</f>
        <v>50000</v>
      </c>
      <c r="C61" s="191"/>
      <c r="D61" s="191"/>
      <c r="E61" s="191"/>
      <c r="F61" s="191">
        <f t="shared" si="7"/>
        <v>0</v>
      </c>
      <c r="G61" s="117"/>
      <c r="H61" s="117"/>
      <c r="I61" s="117"/>
      <c r="J61" s="117"/>
      <c r="K61" s="117"/>
      <c r="L61" s="117">
        <v>50000</v>
      </c>
      <c r="M61" s="117"/>
      <c r="N61" s="117"/>
      <c r="O61" s="117"/>
      <c r="P61" s="117"/>
    </row>
    <row r="62" spans="1:16" ht="30" customHeight="1" x14ac:dyDescent="0.35">
      <c r="A62" s="115" t="s">
        <v>68</v>
      </c>
      <c r="B62" s="114">
        <f>SUM(C62:F62,L62:P62)</f>
        <v>104110</v>
      </c>
      <c r="C62" s="191"/>
      <c r="D62" s="191"/>
      <c r="E62" s="191"/>
      <c r="F62" s="191">
        <f t="shared" si="7"/>
        <v>66725</v>
      </c>
      <c r="G62" s="117"/>
      <c r="H62" s="117">
        <f>103910-37385</f>
        <v>66525</v>
      </c>
      <c r="I62" s="117">
        <v>200</v>
      </c>
      <c r="J62" s="117"/>
      <c r="K62" s="117"/>
      <c r="L62" s="117"/>
      <c r="M62" s="117"/>
      <c r="N62" s="117">
        <v>37385</v>
      </c>
      <c r="O62" s="117"/>
      <c r="P62" s="117"/>
    </row>
    <row r="63" spans="1:16" ht="30" customHeight="1" x14ac:dyDescent="0.35">
      <c r="A63" s="115" t="s">
        <v>200</v>
      </c>
      <c r="B63" s="114">
        <f t="shared" ref="B63:B82" si="8">SUM(C63+F63,L63:P63)</f>
        <v>65579</v>
      </c>
      <c r="C63" s="191"/>
      <c r="D63" s="191"/>
      <c r="E63" s="191"/>
      <c r="F63" s="191">
        <f t="shared" si="7"/>
        <v>65579</v>
      </c>
      <c r="G63" s="117"/>
      <c r="H63" s="117">
        <v>47974</v>
      </c>
      <c r="I63" s="117">
        <v>17605</v>
      </c>
      <c r="J63" s="117"/>
      <c r="K63" s="117"/>
      <c r="L63" s="117"/>
      <c r="M63" s="117"/>
      <c r="N63" s="117"/>
      <c r="O63" s="117"/>
      <c r="P63" s="117"/>
    </row>
    <row r="64" spans="1:16" ht="30" customHeight="1" x14ac:dyDescent="0.35">
      <c r="A64" s="113" t="s">
        <v>69</v>
      </c>
      <c r="B64" s="114">
        <f t="shared" si="8"/>
        <v>28549</v>
      </c>
      <c r="C64" s="191"/>
      <c r="D64" s="191"/>
      <c r="E64" s="191"/>
      <c r="F64" s="191">
        <f t="shared" si="7"/>
        <v>28549</v>
      </c>
      <c r="G64" s="117"/>
      <c r="H64" s="117">
        <v>23749</v>
      </c>
      <c r="I64" s="117">
        <v>4800</v>
      </c>
      <c r="J64" s="117"/>
      <c r="K64" s="117"/>
      <c r="L64" s="117"/>
      <c r="M64" s="117"/>
      <c r="N64" s="117"/>
      <c r="O64" s="117"/>
      <c r="P64" s="117"/>
    </row>
    <row r="65" spans="1:16" ht="30" customHeight="1" x14ac:dyDescent="0.35">
      <c r="A65" s="113" t="s">
        <v>70</v>
      </c>
      <c r="B65" s="114">
        <f t="shared" si="8"/>
        <v>24752</v>
      </c>
      <c r="C65" s="191"/>
      <c r="D65" s="191"/>
      <c r="E65" s="191"/>
      <c r="F65" s="191">
        <f t="shared" si="7"/>
        <v>24752</v>
      </c>
      <c r="G65" s="117"/>
      <c r="H65" s="117">
        <v>23702</v>
      </c>
      <c r="I65" s="117">
        <v>1050</v>
      </c>
      <c r="J65" s="117"/>
      <c r="K65" s="117"/>
      <c r="L65" s="117"/>
      <c r="M65" s="117"/>
      <c r="N65" s="117"/>
      <c r="O65" s="117"/>
      <c r="P65" s="117"/>
    </row>
    <row r="66" spans="1:16" ht="30" customHeight="1" x14ac:dyDescent="0.35">
      <c r="A66" s="113" t="s">
        <v>71</v>
      </c>
      <c r="B66" s="114">
        <f>SUM(C66+F66,L66:P66)</f>
        <v>69706</v>
      </c>
      <c r="C66" s="191"/>
      <c r="D66" s="191"/>
      <c r="E66" s="191"/>
      <c r="F66" s="191">
        <f>SUM(G66:K66)</f>
        <v>59384</v>
      </c>
      <c r="G66" s="117"/>
      <c r="H66" s="117">
        <f>61506-4322</f>
        <v>57184</v>
      </c>
      <c r="I66" s="117">
        <v>2200</v>
      </c>
      <c r="J66" s="117"/>
      <c r="K66" s="117"/>
      <c r="L66" s="117"/>
      <c r="M66" s="117"/>
      <c r="N66" s="117">
        <f>6000+4322</f>
        <v>10322</v>
      </c>
      <c r="O66" s="117"/>
      <c r="P66" s="117"/>
    </row>
    <row r="67" spans="1:16" ht="30" customHeight="1" x14ac:dyDescent="0.35">
      <c r="A67" s="113" t="s">
        <v>72</v>
      </c>
      <c r="B67" s="114">
        <f t="shared" si="8"/>
        <v>37968</v>
      </c>
      <c r="C67" s="191"/>
      <c r="D67" s="191"/>
      <c r="E67" s="191"/>
      <c r="F67" s="191">
        <f t="shared" si="7"/>
        <v>37968</v>
      </c>
      <c r="G67" s="117"/>
      <c r="H67" s="117">
        <v>36748</v>
      </c>
      <c r="I67" s="117">
        <v>1220</v>
      </c>
      <c r="J67" s="117"/>
      <c r="K67" s="117"/>
      <c r="L67" s="117"/>
      <c r="M67" s="117"/>
      <c r="N67" s="117"/>
      <c r="O67" s="117"/>
      <c r="P67" s="117"/>
    </row>
    <row r="68" spans="1:16" ht="30" customHeight="1" x14ac:dyDescent="0.35">
      <c r="A68" s="113" t="s">
        <v>73</v>
      </c>
      <c r="B68" s="114">
        <f t="shared" si="8"/>
        <v>25188</v>
      </c>
      <c r="C68" s="191"/>
      <c r="D68" s="191"/>
      <c r="E68" s="191"/>
      <c r="F68" s="191">
        <f t="shared" si="7"/>
        <v>25188</v>
      </c>
      <c r="G68" s="117"/>
      <c r="H68" s="117">
        <v>23778</v>
      </c>
      <c r="I68" s="117">
        <v>1410</v>
      </c>
      <c r="J68" s="117"/>
      <c r="K68" s="117"/>
      <c r="L68" s="117"/>
      <c r="M68" s="117"/>
      <c r="N68" s="117"/>
      <c r="O68" s="117"/>
      <c r="P68" s="117"/>
    </row>
    <row r="69" spans="1:16" ht="30" customHeight="1" x14ac:dyDescent="0.35">
      <c r="A69" s="113" t="s">
        <v>74</v>
      </c>
      <c r="B69" s="114">
        <f t="shared" si="8"/>
        <v>34470</v>
      </c>
      <c r="C69" s="191"/>
      <c r="D69" s="191"/>
      <c r="E69" s="191"/>
      <c r="F69" s="191">
        <f t="shared" si="7"/>
        <v>34470</v>
      </c>
      <c r="G69" s="117"/>
      <c r="H69" s="117">
        <f>34370-2306</f>
        <v>32064</v>
      </c>
      <c r="I69" s="117">
        <f>100+2306</f>
        <v>2406</v>
      </c>
      <c r="J69" s="117"/>
      <c r="K69" s="117"/>
      <c r="L69" s="117"/>
      <c r="M69" s="117"/>
      <c r="N69" s="117"/>
      <c r="O69" s="117"/>
      <c r="P69" s="117"/>
    </row>
    <row r="70" spans="1:16" ht="30" customHeight="1" x14ac:dyDescent="0.35">
      <c r="A70" s="113" t="s">
        <v>198</v>
      </c>
      <c r="B70" s="114">
        <f t="shared" si="8"/>
        <v>17215</v>
      </c>
      <c r="C70" s="191"/>
      <c r="D70" s="191"/>
      <c r="E70" s="191"/>
      <c r="F70" s="191">
        <f t="shared" si="7"/>
        <v>17215</v>
      </c>
      <c r="G70" s="117"/>
      <c r="H70" s="117">
        <v>13015</v>
      </c>
      <c r="I70" s="117">
        <v>4200</v>
      </c>
      <c r="J70" s="117"/>
      <c r="K70" s="117"/>
      <c r="L70" s="117"/>
      <c r="M70" s="117"/>
      <c r="N70" s="117"/>
      <c r="O70" s="117"/>
      <c r="P70" s="117"/>
    </row>
    <row r="71" spans="1:16" ht="30" customHeight="1" x14ac:dyDescent="0.35">
      <c r="A71" s="113" t="s">
        <v>75</v>
      </c>
      <c r="B71" s="114">
        <f t="shared" si="8"/>
        <v>15475</v>
      </c>
      <c r="C71" s="191"/>
      <c r="D71" s="191"/>
      <c r="E71" s="191"/>
      <c r="F71" s="191">
        <f t="shared" si="7"/>
        <v>15475</v>
      </c>
      <c r="G71" s="117"/>
      <c r="H71" s="117">
        <v>15295</v>
      </c>
      <c r="I71" s="117">
        <v>180</v>
      </c>
      <c r="J71" s="117"/>
      <c r="K71" s="117"/>
      <c r="L71" s="117"/>
      <c r="M71" s="117"/>
      <c r="N71" s="117"/>
      <c r="O71" s="117"/>
      <c r="P71" s="117"/>
    </row>
    <row r="72" spans="1:16" ht="41.25" customHeight="1" x14ac:dyDescent="0.35">
      <c r="A72" s="113" t="s">
        <v>658</v>
      </c>
      <c r="B72" s="114">
        <f>SUM(C72+F72,L72:P72)</f>
        <v>70044</v>
      </c>
      <c r="C72" s="191"/>
      <c r="D72" s="191"/>
      <c r="E72" s="191"/>
      <c r="F72" s="191">
        <f>SUM(G72:K72)</f>
        <v>58144</v>
      </c>
      <c r="G72" s="117"/>
      <c r="H72" s="117">
        <f>9000+50</f>
        <v>9050</v>
      </c>
      <c r="I72" s="117">
        <f>41044-50+8100</f>
        <v>49094</v>
      </c>
      <c r="J72" s="117"/>
      <c r="K72" s="117"/>
      <c r="L72" s="117"/>
      <c r="M72" s="117"/>
      <c r="N72" s="117">
        <f>20000+(-8100)</f>
        <v>11900</v>
      </c>
      <c r="O72" s="117"/>
      <c r="P72" s="117"/>
    </row>
    <row r="73" spans="1:16" ht="30" customHeight="1" x14ac:dyDescent="0.35">
      <c r="A73" s="113" t="s">
        <v>197</v>
      </c>
      <c r="B73" s="114">
        <f>SUM(C73+F73,L73:P73)</f>
        <v>39490</v>
      </c>
      <c r="C73" s="191"/>
      <c r="D73" s="191"/>
      <c r="E73" s="191"/>
      <c r="F73" s="191">
        <f>SUM(G73:K73)</f>
        <v>39490</v>
      </c>
      <c r="G73" s="117"/>
      <c r="H73" s="117">
        <f>38840-3500</f>
        <v>35340</v>
      </c>
      <c r="I73" s="117">
        <f>650+3500</f>
        <v>4150</v>
      </c>
      <c r="J73" s="117"/>
      <c r="K73" s="117"/>
      <c r="L73" s="117"/>
      <c r="M73" s="117"/>
      <c r="N73" s="117"/>
      <c r="O73" s="117"/>
      <c r="P73" s="117"/>
    </row>
    <row r="74" spans="1:16" ht="30" customHeight="1" x14ac:dyDescent="0.35">
      <c r="A74" s="113" t="s">
        <v>199</v>
      </c>
      <c r="B74" s="114">
        <f t="shared" si="8"/>
        <v>272453</v>
      </c>
      <c r="C74" s="191"/>
      <c r="D74" s="191"/>
      <c r="E74" s="191"/>
      <c r="F74" s="191">
        <f t="shared" si="7"/>
        <v>139453</v>
      </c>
      <c r="G74" s="117"/>
      <c r="H74" s="117">
        <f>31453-980</f>
        <v>30473</v>
      </c>
      <c r="I74" s="117">
        <f>46000+62980</f>
        <v>108980</v>
      </c>
      <c r="J74" s="117"/>
      <c r="K74" s="117"/>
      <c r="L74" s="117"/>
      <c r="M74" s="117"/>
      <c r="N74" s="117">
        <f>195000-62000</f>
        <v>133000</v>
      </c>
      <c r="O74" s="117"/>
      <c r="P74" s="117"/>
    </row>
    <row r="75" spans="1:16" ht="30" customHeight="1" x14ac:dyDescent="0.35">
      <c r="A75" s="113" t="s">
        <v>201</v>
      </c>
      <c r="B75" s="114">
        <f t="shared" si="8"/>
        <v>52319</v>
      </c>
      <c r="C75" s="191">
        <f>D75+E75</f>
        <v>2472</v>
      </c>
      <c r="D75" s="191">
        <v>2000</v>
      </c>
      <c r="E75" s="191">
        <v>472</v>
      </c>
      <c r="F75" s="191">
        <f t="shared" si="7"/>
        <v>29847</v>
      </c>
      <c r="G75" s="117"/>
      <c r="H75" s="117">
        <v>19867</v>
      </c>
      <c r="I75" s="117">
        <v>9980</v>
      </c>
      <c r="J75" s="117"/>
      <c r="K75" s="117"/>
      <c r="L75" s="117"/>
      <c r="M75" s="117"/>
      <c r="N75" s="117">
        <v>20000</v>
      </c>
      <c r="O75" s="117"/>
      <c r="P75" s="117"/>
    </row>
    <row r="76" spans="1:16" ht="30" customHeight="1" x14ac:dyDescent="0.35">
      <c r="A76" s="113" t="s">
        <v>202</v>
      </c>
      <c r="B76" s="114">
        <f t="shared" si="8"/>
        <v>83521</v>
      </c>
      <c r="C76" s="191"/>
      <c r="D76" s="191"/>
      <c r="E76" s="191"/>
      <c r="F76" s="191">
        <f t="shared" si="7"/>
        <v>55321</v>
      </c>
      <c r="G76" s="117"/>
      <c r="H76" s="117">
        <v>50483</v>
      </c>
      <c r="I76" s="117">
        <v>4838</v>
      </c>
      <c r="J76" s="117"/>
      <c r="K76" s="117"/>
      <c r="L76" s="117"/>
      <c r="M76" s="117"/>
      <c r="N76" s="117">
        <v>28200</v>
      </c>
      <c r="O76" s="117"/>
      <c r="P76" s="117"/>
    </row>
    <row r="77" spans="1:16" ht="30" customHeight="1" x14ac:dyDescent="0.35">
      <c r="A77" s="113" t="s">
        <v>76</v>
      </c>
      <c r="B77" s="114">
        <f t="shared" si="8"/>
        <v>48629</v>
      </c>
      <c r="C77" s="191"/>
      <c r="D77" s="191"/>
      <c r="E77" s="191"/>
      <c r="F77" s="191">
        <f t="shared" si="7"/>
        <v>48629</v>
      </c>
      <c r="G77" s="117"/>
      <c r="H77" s="117">
        <v>43229</v>
      </c>
      <c r="I77" s="117">
        <v>5400</v>
      </c>
      <c r="J77" s="117"/>
      <c r="K77" s="117"/>
      <c r="L77" s="117"/>
      <c r="M77" s="117"/>
      <c r="N77" s="117"/>
      <c r="O77" s="117"/>
      <c r="P77" s="117"/>
    </row>
    <row r="78" spans="1:16" ht="30" customHeight="1" x14ac:dyDescent="0.35">
      <c r="A78" s="113" t="s">
        <v>77</v>
      </c>
      <c r="B78" s="114">
        <f t="shared" si="8"/>
        <v>20346</v>
      </c>
      <c r="C78" s="191"/>
      <c r="D78" s="191"/>
      <c r="E78" s="191"/>
      <c r="F78" s="191">
        <f t="shared" si="7"/>
        <v>20346</v>
      </c>
      <c r="G78" s="117"/>
      <c r="H78" s="117">
        <v>19346</v>
      </c>
      <c r="I78" s="117">
        <v>1000</v>
      </c>
      <c r="J78" s="117"/>
      <c r="K78" s="117"/>
      <c r="L78" s="117"/>
      <c r="M78" s="117"/>
      <c r="N78" s="117"/>
      <c r="O78" s="117"/>
      <c r="P78" s="117"/>
    </row>
    <row r="79" spans="1:16" ht="30" customHeight="1" x14ac:dyDescent="0.35">
      <c r="A79" s="113" t="s">
        <v>205</v>
      </c>
      <c r="B79" s="114">
        <f t="shared" si="8"/>
        <v>31686</v>
      </c>
      <c r="C79" s="191">
        <f>D79+E79</f>
        <v>7507</v>
      </c>
      <c r="D79" s="191">
        <v>5880</v>
      </c>
      <c r="E79" s="191">
        <v>1627</v>
      </c>
      <c r="F79" s="191">
        <f t="shared" si="7"/>
        <v>24179</v>
      </c>
      <c r="G79" s="117"/>
      <c r="H79" s="117">
        <v>17009</v>
      </c>
      <c r="I79" s="117">
        <v>7170</v>
      </c>
      <c r="J79" s="117"/>
      <c r="K79" s="117"/>
      <c r="L79" s="117"/>
      <c r="M79" s="117"/>
      <c r="N79" s="117"/>
      <c r="O79" s="117"/>
      <c r="P79" s="117"/>
    </row>
    <row r="80" spans="1:16" ht="30" customHeight="1" x14ac:dyDescent="0.35">
      <c r="A80" s="113" t="s">
        <v>78</v>
      </c>
      <c r="B80" s="114">
        <f t="shared" si="8"/>
        <v>29811</v>
      </c>
      <c r="C80" s="191">
        <f t="shared" ref="C80:C82" si="9">D80+E80</f>
        <v>0</v>
      </c>
      <c r="D80" s="191"/>
      <c r="E80" s="191"/>
      <c r="F80" s="191">
        <f t="shared" si="7"/>
        <v>29811</v>
      </c>
      <c r="G80" s="117"/>
      <c r="H80" s="117">
        <v>25141</v>
      </c>
      <c r="I80" s="117">
        <v>4670</v>
      </c>
      <c r="J80" s="117"/>
      <c r="K80" s="117"/>
      <c r="L80" s="117"/>
      <c r="M80" s="117"/>
      <c r="N80" s="117"/>
      <c r="O80" s="117"/>
      <c r="P80" s="117"/>
    </row>
    <row r="81" spans="1:16" ht="30" customHeight="1" x14ac:dyDescent="0.35">
      <c r="A81" s="113" t="s">
        <v>203</v>
      </c>
      <c r="B81" s="114">
        <f t="shared" si="8"/>
        <v>9793</v>
      </c>
      <c r="C81" s="191">
        <f t="shared" si="9"/>
        <v>0</v>
      </c>
      <c r="D81" s="191"/>
      <c r="E81" s="191"/>
      <c r="F81" s="191">
        <f t="shared" si="7"/>
        <v>9793</v>
      </c>
      <c r="G81" s="117"/>
      <c r="H81" s="117">
        <v>6793</v>
      </c>
      <c r="I81" s="117">
        <v>3000</v>
      </c>
      <c r="J81" s="117"/>
      <c r="K81" s="117"/>
      <c r="L81" s="117"/>
      <c r="M81" s="117"/>
      <c r="N81" s="117"/>
      <c r="O81" s="117"/>
      <c r="P81" s="117"/>
    </row>
    <row r="82" spans="1:16" ht="30" customHeight="1" x14ac:dyDescent="0.35">
      <c r="A82" s="113" t="s">
        <v>204</v>
      </c>
      <c r="B82" s="114">
        <f t="shared" si="8"/>
        <v>24565</v>
      </c>
      <c r="C82" s="191">
        <f t="shared" si="9"/>
        <v>5191</v>
      </c>
      <c r="D82" s="191">
        <v>4200</v>
      </c>
      <c r="E82" s="191">
        <v>991</v>
      </c>
      <c r="F82" s="191">
        <f t="shared" si="7"/>
        <v>19374</v>
      </c>
      <c r="G82" s="117"/>
      <c r="H82" s="117">
        <v>12874</v>
      </c>
      <c r="I82" s="117">
        <v>6500</v>
      </c>
      <c r="J82" s="117"/>
      <c r="K82" s="117"/>
      <c r="L82" s="117"/>
      <c r="M82" s="117"/>
      <c r="N82" s="117"/>
      <c r="O82" s="117"/>
      <c r="P82" s="117"/>
    </row>
    <row r="83" spans="1:16" ht="36.75" customHeight="1" x14ac:dyDescent="0.35">
      <c r="A83" s="113" t="s">
        <v>637</v>
      </c>
      <c r="B83" s="114">
        <f>SUM(C83:F83,L83:P83)</f>
        <v>298886</v>
      </c>
      <c r="C83" s="191"/>
      <c r="D83" s="191"/>
      <c r="E83" s="191"/>
      <c r="F83" s="191">
        <f>SUM(G83:K83)</f>
        <v>298886</v>
      </c>
      <c r="G83" s="117"/>
      <c r="H83" s="117">
        <v>298886</v>
      </c>
      <c r="I83" s="117"/>
      <c r="J83" s="117"/>
      <c r="K83" s="117"/>
      <c r="L83" s="117"/>
      <c r="M83" s="117"/>
      <c r="N83" s="117"/>
      <c r="O83" s="117"/>
      <c r="P83" s="117"/>
    </row>
    <row r="84" spans="1:16" ht="20.25" customHeight="1" x14ac:dyDescent="0.35">
      <c r="A84" s="113" t="s">
        <v>127</v>
      </c>
      <c r="B84" s="114">
        <f>SUM(C84+F84,L84:P84)</f>
        <v>70475</v>
      </c>
      <c r="C84" s="191">
        <f>D84+E84</f>
        <v>1483</v>
      </c>
      <c r="D84" s="191">
        <v>1200</v>
      </c>
      <c r="E84" s="191">
        <v>283</v>
      </c>
      <c r="F84" s="191">
        <f>SUM(G84:K84)</f>
        <v>2360</v>
      </c>
      <c r="G84" s="117"/>
      <c r="H84" s="117">
        <v>2360</v>
      </c>
      <c r="I84" s="117"/>
      <c r="J84" s="117"/>
      <c r="K84" s="117"/>
      <c r="L84" s="117"/>
      <c r="M84" s="117"/>
      <c r="N84" s="117"/>
      <c r="O84" s="117">
        <v>57000</v>
      </c>
      <c r="P84" s="117">
        <v>9632</v>
      </c>
    </row>
    <row r="85" spans="1:16" ht="19.5" customHeight="1" x14ac:dyDescent="0.35">
      <c r="A85" s="113" t="s">
        <v>128</v>
      </c>
      <c r="B85" s="114">
        <f t="shared" ref="B85:B89" si="10">SUM(C85+F85,L85:P85)</f>
        <v>18664</v>
      </c>
      <c r="C85" s="191">
        <f>D85+E85</f>
        <v>14640</v>
      </c>
      <c r="D85" s="191">
        <v>11830</v>
      </c>
      <c r="E85" s="191">
        <v>2810</v>
      </c>
      <c r="F85" s="191">
        <f t="shared" si="7"/>
        <v>4024</v>
      </c>
      <c r="G85" s="117"/>
      <c r="H85" s="117">
        <v>3444</v>
      </c>
      <c r="I85" s="117">
        <v>580</v>
      </c>
      <c r="J85" s="117"/>
      <c r="K85" s="117"/>
      <c r="L85" s="117"/>
      <c r="M85" s="117"/>
      <c r="N85" s="117"/>
      <c r="O85" s="117"/>
      <c r="P85" s="117"/>
    </row>
    <row r="86" spans="1:16" ht="45" customHeight="1" x14ac:dyDescent="0.35">
      <c r="A86" s="118" t="s">
        <v>226</v>
      </c>
      <c r="B86" s="114">
        <f t="shared" si="10"/>
        <v>187419</v>
      </c>
      <c r="C86" s="191"/>
      <c r="D86" s="191"/>
      <c r="E86" s="191"/>
      <c r="F86" s="191">
        <f t="shared" si="7"/>
        <v>0</v>
      </c>
      <c r="G86" s="117"/>
      <c r="H86" s="117"/>
      <c r="I86" s="117"/>
      <c r="J86" s="117"/>
      <c r="K86" s="117"/>
      <c r="L86" s="117"/>
      <c r="M86" s="117"/>
      <c r="N86" s="117">
        <v>187419</v>
      </c>
      <c r="O86" s="117"/>
      <c r="P86" s="117"/>
    </row>
    <row r="87" spans="1:16" ht="45" customHeight="1" x14ac:dyDescent="0.35">
      <c r="A87" s="118" t="s">
        <v>79</v>
      </c>
      <c r="B87" s="114">
        <f>SUM(C87+F87,L87:P87)</f>
        <v>66093</v>
      </c>
      <c r="C87" s="191"/>
      <c r="D87" s="191"/>
      <c r="E87" s="191"/>
      <c r="F87" s="191">
        <f t="shared" si="7"/>
        <v>58530</v>
      </c>
      <c r="G87" s="117"/>
      <c r="H87" s="117">
        <f>66093-7563</f>
        <v>58530</v>
      </c>
      <c r="I87" s="117"/>
      <c r="J87" s="117"/>
      <c r="K87" s="117"/>
      <c r="L87" s="117"/>
      <c r="M87" s="117"/>
      <c r="N87" s="117">
        <v>7563</v>
      </c>
      <c r="O87" s="117"/>
      <c r="P87" s="117"/>
    </row>
    <row r="88" spans="1:16" ht="30" customHeight="1" x14ac:dyDescent="0.35">
      <c r="A88" s="113" t="s">
        <v>864</v>
      </c>
      <c r="B88" s="114">
        <f t="shared" si="10"/>
        <v>7712</v>
      </c>
      <c r="C88" s="191"/>
      <c r="D88" s="191"/>
      <c r="E88" s="191"/>
      <c r="F88" s="191">
        <f t="shared" si="7"/>
        <v>7712</v>
      </c>
      <c r="G88" s="117"/>
      <c r="H88" s="117">
        <v>4682</v>
      </c>
      <c r="I88" s="117">
        <v>2880</v>
      </c>
      <c r="J88" s="117"/>
      <c r="K88" s="117">
        <v>150</v>
      </c>
      <c r="L88" s="117"/>
      <c r="M88" s="117"/>
      <c r="N88" s="117"/>
      <c r="O88" s="117"/>
      <c r="P88" s="117"/>
    </row>
    <row r="89" spans="1:16" ht="30" customHeight="1" x14ac:dyDescent="0.35">
      <c r="A89" s="118" t="s">
        <v>865</v>
      </c>
      <c r="B89" s="114">
        <f t="shared" si="10"/>
        <v>2845</v>
      </c>
      <c r="C89" s="191"/>
      <c r="D89" s="191"/>
      <c r="E89" s="191"/>
      <c r="F89" s="191">
        <f t="shared" ref="F89:F110" si="11">SUM(G89:K89)</f>
        <v>2845</v>
      </c>
      <c r="G89" s="117"/>
      <c r="H89" s="117">
        <v>2245</v>
      </c>
      <c r="I89" s="117">
        <v>300</v>
      </c>
      <c r="J89" s="117"/>
      <c r="K89" s="117">
        <v>300</v>
      </c>
      <c r="L89" s="117"/>
      <c r="M89" s="117"/>
      <c r="N89" s="117"/>
      <c r="O89" s="117"/>
      <c r="P89" s="117"/>
    </row>
    <row r="90" spans="1:16" ht="30" customHeight="1" x14ac:dyDescent="0.35">
      <c r="A90" s="118" t="s">
        <v>885</v>
      </c>
      <c r="B90" s="114">
        <f>SUM(C90:F90,L90:P90)</f>
        <v>4292</v>
      </c>
      <c r="C90" s="191"/>
      <c r="D90" s="191"/>
      <c r="E90" s="191"/>
      <c r="F90" s="191">
        <f>SUM(G90:K90)</f>
        <v>4292</v>
      </c>
      <c r="G90" s="117"/>
      <c r="H90" s="117">
        <f>3900+H91</f>
        <v>3952</v>
      </c>
      <c r="I90" s="117">
        <f>330+I91</f>
        <v>278</v>
      </c>
      <c r="J90" s="117"/>
      <c r="K90" s="117">
        <v>62</v>
      </c>
      <c r="L90" s="117"/>
      <c r="M90" s="117"/>
      <c r="N90" s="117"/>
      <c r="O90" s="117"/>
      <c r="P90" s="117"/>
    </row>
    <row r="91" spans="1:16" ht="30" customHeight="1" x14ac:dyDescent="0.35">
      <c r="A91" s="232" t="s">
        <v>726</v>
      </c>
      <c r="B91" s="114">
        <f>SUM(C91:F91,L91:P91)</f>
        <v>0</v>
      </c>
      <c r="C91" s="191"/>
      <c r="D91" s="191"/>
      <c r="E91" s="191"/>
      <c r="F91" s="191">
        <f>SUM(G91:K91)</f>
        <v>0</v>
      </c>
      <c r="G91" s="117"/>
      <c r="H91" s="117">
        <v>52</v>
      </c>
      <c r="I91" s="117">
        <v>-52</v>
      </c>
      <c r="J91" s="117"/>
      <c r="K91" s="117"/>
      <c r="L91" s="117"/>
      <c r="M91" s="117"/>
      <c r="N91" s="117"/>
      <c r="O91" s="117"/>
      <c r="P91" s="117"/>
    </row>
    <row r="92" spans="1:16" ht="30" customHeight="1" x14ac:dyDescent="0.35">
      <c r="A92" s="118" t="s">
        <v>866</v>
      </c>
      <c r="B92" s="114">
        <f>SUM(C92+F92,L92:P92)</f>
        <v>4259</v>
      </c>
      <c r="C92" s="191"/>
      <c r="D92" s="191"/>
      <c r="E92" s="191"/>
      <c r="F92" s="191">
        <f t="shared" si="11"/>
        <v>4259</v>
      </c>
      <c r="G92" s="117"/>
      <c r="H92" s="117">
        <v>4139</v>
      </c>
      <c r="I92" s="117">
        <v>120</v>
      </c>
      <c r="J92" s="117"/>
      <c r="K92" s="117"/>
      <c r="L92" s="117"/>
      <c r="M92" s="117"/>
      <c r="N92" s="117"/>
      <c r="O92" s="117"/>
      <c r="P92" s="117"/>
    </row>
    <row r="93" spans="1:16" ht="30" customHeight="1" x14ac:dyDescent="0.35">
      <c r="A93" s="118" t="s">
        <v>884</v>
      </c>
      <c r="B93" s="114">
        <f>SUM(C93:F93,L93:P93)</f>
        <v>3668</v>
      </c>
      <c r="C93" s="191"/>
      <c r="D93" s="191"/>
      <c r="E93" s="191"/>
      <c r="F93" s="191">
        <f>SUM(G93:K93)</f>
        <v>3668</v>
      </c>
      <c r="G93" s="117"/>
      <c r="H93" s="117">
        <v>2969</v>
      </c>
      <c r="I93" s="117">
        <f>450+I94</f>
        <v>501</v>
      </c>
      <c r="J93" s="117"/>
      <c r="K93" s="117">
        <f>249+K94</f>
        <v>198</v>
      </c>
      <c r="L93" s="117"/>
      <c r="M93" s="117"/>
      <c r="N93" s="117"/>
      <c r="O93" s="117"/>
      <c r="P93" s="117"/>
    </row>
    <row r="94" spans="1:16" ht="30" customHeight="1" x14ac:dyDescent="0.35">
      <c r="A94" s="232" t="s">
        <v>726</v>
      </c>
      <c r="B94" s="114">
        <f>SUM(C94:F94,L94:P94)</f>
        <v>0</v>
      </c>
      <c r="C94" s="191"/>
      <c r="D94" s="191"/>
      <c r="E94" s="191"/>
      <c r="F94" s="191">
        <f>SUM(G94:K94)</f>
        <v>0</v>
      </c>
      <c r="G94" s="117"/>
      <c r="H94" s="117"/>
      <c r="I94" s="117">
        <v>51</v>
      </c>
      <c r="J94" s="117"/>
      <c r="K94" s="117">
        <v>-51</v>
      </c>
      <c r="L94" s="117"/>
      <c r="M94" s="117"/>
      <c r="N94" s="117"/>
      <c r="O94" s="117"/>
      <c r="P94" s="117"/>
    </row>
    <row r="95" spans="1:16" ht="30" customHeight="1" x14ac:dyDescent="0.35">
      <c r="A95" s="118" t="s">
        <v>883</v>
      </c>
      <c r="B95" s="114">
        <f>SUM(C95+F95,L95:P95)</f>
        <v>6752</v>
      </c>
      <c r="C95" s="191"/>
      <c r="D95" s="191"/>
      <c r="E95" s="191"/>
      <c r="F95" s="191">
        <f t="shared" si="11"/>
        <v>6752</v>
      </c>
      <c r="G95" s="117"/>
      <c r="H95" s="117">
        <v>6587</v>
      </c>
      <c r="I95" s="117">
        <v>120</v>
      </c>
      <c r="J95" s="117"/>
      <c r="K95" s="117">
        <v>45</v>
      </c>
      <c r="L95" s="117"/>
      <c r="M95" s="117"/>
      <c r="N95" s="117"/>
      <c r="O95" s="117"/>
      <c r="P95" s="117"/>
    </row>
    <row r="96" spans="1:16" ht="30" customHeight="1" x14ac:dyDescent="0.35">
      <c r="A96" s="118" t="s">
        <v>882</v>
      </c>
      <c r="B96" s="114">
        <f>SUM(C96+F96,L96:P96)</f>
        <v>4700</v>
      </c>
      <c r="C96" s="191"/>
      <c r="D96" s="191"/>
      <c r="E96" s="191"/>
      <c r="F96" s="191">
        <f t="shared" si="11"/>
        <v>4700</v>
      </c>
      <c r="G96" s="117"/>
      <c r="H96" s="117">
        <v>4300</v>
      </c>
      <c r="I96" s="117">
        <v>310</v>
      </c>
      <c r="J96" s="117"/>
      <c r="K96" s="117">
        <v>90</v>
      </c>
      <c r="L96" s="117"/>
      <c r="M96" s="117"/>
      <c r="N96" s="117"/>
      <c r="O96" s="117"/>
      <c r="P96" s="117"/>
    </row>
    <row r="97" spans="1:16" ht="30" customHeight="1" x14ac:dyDescent="0.35">
      <c r="A97" s="113" t="s">
        <v>867</v>
      </c>
      <c r="B97" s="114">
        <f>SUM(C97+F97,L97:P97)</f>
        <v>8550</v>
      </c>
      <c r="C97" s="191"/>
      <c r="D97" s="191"/>
      <c r="E97" s="191"/>
      <c r="F97" s="191">
        <f t="shared" si="11"/>
        <v>8550</v>
      </c>
      <c r="G97" s="117"/>
      <c r="H97" s="117">
        <f>7350+H98</f>
        <v>7602</v>
      </c>
      <c r="I97" s="117">
        <f>1200-200+I98</f>
        <v>748</v>
      </c>
      <c r="J97" s="117"/>
      <c r="K97" s="117">
        <v>200</v>
      </c>
      <c r="L97" s="117"/>
      <c r="M97" s="117"/>
      <c r="N97" s="117"/>
      <c r="O97" s="117"/>
      <c r="P97" s="117"/>
    </row>
    <row r="98" spans="1:16" ht="30" customHeight="1" x14ac:dyDescent="0.35">
      <c r="A98" s="233" t="s">
        <v>726</v>
      </c>
      <c r="B98" s="114">
        <f>SUM(C98+F98,L98:P98)</f>
        <v>0</v>
      </c>
      <c r="C98" s="191"/>
      <c r="D98" s="191"/>
      <c r="E98" s="191"/>
      <c r="F98" s="191">
        <f t="shared" si="11"/>
        <v>0</v>
      </c>
      <c r="G98" s="117"/>
      <c r="H98" s="117">
        <v>252</v>
      </c>
      <c r="I98" s="117">
        <v>-252</v>
      </c>
      <c r="J98" s="117"/>
      <c r="K98" s="117"/>
      <c r="L98" s="117"/>
      <c r="M98" s="117"/>
      <c r="N98" s="117"/>
      <c r="O98" s="117"/>
      <c r="P98" s="117"/>
    </row>
    <row r="99" spans="1:16" ht="30" customHeight="1" x14ac:dyDescent="0.35">
      <c r="A99" s="113" t="s">
        <v>868</v>
      </c>
      <c r="B99" s="114">
        <f>SUM(C99+F99,L99:P99)</f>
        <v>3002</v>
      </c>
      <c r="C99" s="191"/>
      <c r="D99" s="191"/>
      <c r="E99" s="191"/>
      <c r="F99" s="191">
        <f t="shared" si="11"/>
        <v>3002</v>
      </c>
      <c r="G99" s="117"/>
      <c r="H99" s="117">
        <v>2810</v>
      </c>
      <c r="I99" s="117">
        <v>142</v>
      </c>
      <c r="J99" s="117"/>
      <c r="K99" s="117">
        <v>50</v>
      </c>
      <c r="L99" s="117"/>
      <c r="M99" s="117"/>
      <c r="N99" s="117"/>
      <c r="O99" s="117"/>
      <c r="P99" s="117"/>
    </row>
    <row r="100" spans="1:16" ht="30" customHeight="1" x14ac:dyDescent="0.35">
      <c r="A100" s="118" t="s">
        <v>881</v>
      </c>
      <c r="B100" s="114">
        <f>SUM(C100:F100,L100:P100)</f>
        <v>10086</v>
      </c>
      <c r="C100" s="191"/>
      <c r="D100" s="191"/>
      <c r="E100" s="191"/>
      <c r="F100" s="191">
        <f t="shared" si="11"/>
        <v>10086</v>
      </c>
      <c r="G100" s="117"/>
      <c r="H100" s="117">
        <v>9576</v>
      </c>
      <c r="I100" s="117">
        <v>410</v>
      </c>
      <c r="J100" s="117"/>
      <c r="K100" s="117">
        <v>100</v>
      </c>
      <c r="L100" s="117"/>
      <c r="M100" s="117"/>
      <c r="N100" s="117"/>
      <c r="O100" s="117"/>
      <c r="P100" s="117"/>
    </row>
    <row r="101" spans="1:16" ht="30" customHeight="1" x14ac:dyDescent="0.35">
      <c r="A101" s="118" t="s">
        <v>840</v>
      </c>
      <c r="B101" s="114">
        <f t="shared" ref="B101:B109" si="12">SUM(C101+F101,L101:P101)</f>
        <v>1010</v>
      </c>
      <c r="C101" s="191"/>
      <c r="D101" s="191"/>
      <c r="E101" s="191"/>
      <c r="F101" s="191">
        <f t="shared" si="11"/>
        <v>1010</v>
      </c>
      <c r="G101" s="117"/>
      <c r="H101" s="117">
        <v>210</v>
      </c>
      <c r="I101" s="117">
        <v>780</v>
      </c>
      <c r="J101" s="117"/>
      <c r="K101" s="117">
        <v>20</v>
      </c>
      <c r="L101" s="117"/>
      <c r="M101" s="117"/>
      <c r="N101" s="117"/>
      <c r="O101" s="117"/>
      <c r="P101" s="117"/>
    </row>
    <row r="102" spans="1:16" ht="30" customHeight="1" x14ac:dyDescent="0.35">
      <c r="A102" s="113" t="s">
        <v>869</v>
      </c>
      <c r="B102" s="114">
        <f>SUM(C102+F102,L102:P102)</f>
        <v>8710</v>
      </c>
      <c r="C102" s="191"/>
      <c r="D102" s="191"/>
      <c r="E102" s="191"/>
      <c r="F102" s="191">
        <f>SUM(G102:K102)</f>
        <v>8710</v>
      </c>
      <c r="G102" s="117"/>
      <c r="H102" s="117">
        <f>8010+H103</f>
        <v>7675</v>
      </c>
      <c r="I102" s="117">
        <f>700-61+I103</f>
        <v>974</v>
      </c>
      <c r="J102" s="117"/>
      <c r="K102" s="117">
        <v>61</v>
      </c>
      <c r="L102" s="117"/>
      <c r="M102" s="117">
        <f>61+(-61)</f>
        <v>0</v>
      </c>
      <c r="N102" s="117"/>
      <c r="O102" s="117"/>
      <c r="P102" s="117"/>
    </row>
    <row r="103" spans="1:16" ht="30" customHeight="1" x14ac:dyDescent="0.35">
      <c r="A103" s="233" t="s">
        <v>726</v>
      </c>
      <c r="B103" s="114">
        <f>SUM(C103+F103,L103:P103)</f>
        <v>0</v>
      </c>
      <c r="C103" s="191"/>
      <c r="D103" s="191"/>
      <c r="E103" s="191"/>
      <c r="F103" s="191">
        <f>SUM(G103:K103)</f>
        <v>0</v>
      </c>
      <c r="G103" s="117"/>
      <c r="H103" s="117">
        <v>-335</v>
      </c>
      <c r="I103" s="117">
        <v>335</v>
      </c>
      <c r="J103" s="117"/>
      <c r="K103" s="117"/>
      <c r="L103" s="117"/>
      <c r="M103" s="117"/>
      <c r="N103" s="117"/>
      <c r="O103" s="117"/>
      <c r="P103" s="117"/>
    </row>
    <row r="104" spans="1:16" ht="30" customHeight="1" x14ac:dyDescent="0.35">
      <c r="A104" s="118" t="s">
        <v>841</v>
      </c>
      <c r="B104" s="114">
        <f>SUM(C104+F104,L104:P104)</f>
        <v>10656</v>
      </c>
      <c r="C104" s="191"/>
      <c r="D104" s="191"/>
      <c r="E104" s="191"/>
      <c r="F104" s="191">
        <f t="shared" si="11"/>
        <v>9154</v>
      </c>
      <c r="G104" s="117"/>
      <c r="H104" s="117">
        <f>10305-1502</f>
        <v>8803</v>
      </c>
      <c r="I104" s="117">
        <v>226</v>
      </c>
      <c r="J104" s="117"/>
      <c r="K104" s="117">
        <v>125</v>
      </c>
      <c r="L104" s="117"/>
      <c r="M104" s="117"/>
      <c r="N104" s="117">
        <v>1502</v>
      </c>
      <c r="O104" s="117"/>
      <c r="P104" s="117"/>
    </row>
    <row r="105" spans="1:16" ht="30" customHeight="1" x14ac:dyDescent="0.35">
      <c r="A105" s="118" t="s">
        <v>842</v>
      </c>
      <c r="B105" s="114">
        <f t="shared" si="12"/>
        <v>720</v>
      </c>
      <c r="C105" s="191"/>
      <c r="D105" s="191"/>
      <c r="E105" s="191"/>
      <c r="F105" s="191">
        <f t="shared" si="11"/>
        <v>720</v>
      </c>
      <c r="G105" s="117"/>
      <c r="H105" s="117">
        <v>500</v>
      </c>
      <c r="I105" s="117">
        <v>200</v>
      </c>
      <c r="J105" s="117"/>
      <c r="K105" s="117">
        <v>20</v>
      </c>
      <c r="L105" s="117"/>
      <c r="M105" s="117"/>
      <c r="N105" s="117"/>
      <c r="O105" s="117"/>
      <c r="P105" s="117"/>
    </row>
    <row r="106" spans="1:16" ht="30" customHeight="1" x14ac:dyDescent="0.35">
      <c r="A106" s="118" t="s">
        <v>856</v>
      </c>
      <c r="B106" s="114">
        <f t="shared" si="12"/>
        <v>3508</v>
      </c>
      <c r="C106" s="191"/>
      <c r="D106" s="191"/>
      <c r="E106" s="191"/>
      <c r="F106" s="191">
        <f t="shared" si="11"/>
        <v>3508</v>
      </c>
      <c r="G106" s="117"/>
      <c r="H106" s="117">
        <v>2548</v>
      </c>
      <c r="I106" s="117">
        <v>840</v>
      </c>
      <c r="J106" s="117"/>
      <c r="K106" s="117">
        <v>120</v>
      </c>
      <c r="L106" s="117"/>
      <c r="M106" s="117"/>
      <c r="N106" s="117"/>
      <c r="O106" s="117"/>
      <c r="P106" s="117"/>
    </row>
    <row r="107" spans="1:16" ht="45" customHeight="1" x14ac:dyDescent="0.35">
      <c r="A107" s="118" t="s">
        <v>880</v>
      </c>
      <c r="B107" s="114">
        <f t="shared" si="12"/>
        <v>18269</v>
      </c>
      <c r="C107" s="191"/>
      <c r="D107" s="191"/>
      <c r="E107" s="191"/>
      <c r="F107" s="191">
        <f t="shared" si="11"/>
        <v>18269</v>
      </c>
      <c r="G107" s="117"/>
      <c r="H107" s="117">
        <v>16267</v>
      </c>
      <c r="I107" s="117">
        <v>1762</v>
      </c>
      <c r="J107" s="117"/>
      <c r="K107" s="117">
        <v>240</v>
      </c>
      <c r="L107" s="117"/>
      <c r="M107" s="117"/>
      <c r="N107" s="117"/>
      <c r="O107" s="117"/>
      <c r="P107" s="117"/>
    </row>
    <row r="108" spans="1:16" ht="30" customHeight="1" x14ac:dyDescent="0.35">
      <c r="A108" s="118" t="s">
        <v>843</v>
      </c>
      <c r="B108" s="114">
        <f t="shared" si="12"/>
        <v>6665</v>
      </c>
      <c r="C108" s="191"/>
      <c r="D108" s="191"/>
      <c r="E108" s="191"/>
      <c r="F108" s="191">
        <f t="shared" si="11"/>
        <v>6665</v>
      </c>
      <c r="G108" s="117"/>
      <c r="H108" s="117">
        <v>6315</v>
      </c>
      <c r="I108" s="117"/>
      <c r="J108" s="117"/>
      <c r="K108" s="117">
        <v>350</v>
      </c>
      <c r="L108" s="117"/>
      <c r="M108" s="117"/>
      <c r="N108" s="117"/>
      <c r="O108" s="117"/>
      <c r="P108" s="117"/>
    </row>
    <row r="109" spans="1:16" ht="30" customHeight="1" x14ac:dyDescent="0.35">
      <c r="A109" s="118" t="s">
        <v>878</v>
      </c>
      <c r="B109" s="114">
        <f t="shared" si="12"/>
        <v>8361</v>
      </c>
      <c r="C109" s="191"/>
      <c r="D109" s="191"/>
      <c r="E109" s="191"/>
      <c r="F109" s="191">
        <f t="shared" si="11"/>
        <v>8361</v>
      </c>
      <c r="G109" s="117"/>
      <c r="H109" s="117">
        <v>6994</v>
      </c>
      <c r="I109" s="117">
        <v>821</v>
      </c>
      <c r="J109" s="117"/>
      <c r="K109" s="117">
        <v>546</v>
      </c>
      <c r="L109" s="117"/>
      <c r="M109" s="117"/>
      <c r="N109" s="117"/>
      <c r="O109" s="117"/>
      <c r="P109" s="117"/>
    </row>
    <row r="110" spans="1:16" ht="46.5" customHeight="1" x14ac:dyDescent="0.35">
      <c r="A110" s="118" t="s">
        <v>859</v>
      </c>
      <c r="B110" s="114">
        <f>SUM(C110:F110,L110:P110)</f>
        <v>3510</v>
      </c>
      <c r="C110" s="191"/>
      <c r="D110" s="191"/>
      <c r="E110" s="191"/>
      <c r="F110" s="191">
        <f t="shared" si="11"/>
        <v>3510</v>
      </c>
      <c r="G110" s="117"/>
      <c r="H110" s="117">
        <v>3510</v>
      </c>
      <c r="I110" s="117"/>
      <c r="J110" s="117"/>
      <c r="K110" s="117"/>
      <c r="L110" s="117"/>
      <c r="M110" s="117"/>
      <c r="N110" s="117"/>
      <c r="O110" s="117"/>
      <c r="P110" s="117"/>
    </row>
    <row r="111" spans="1:16" ht="15" customHeight="1" x14ac:dyDescent="0.35">
      <c r="A111" s="118" t="s">
        <v>19</v>
      </c>
      <c r="B111" s="114">
        <f t="shared" ref="B111:B115" si="13">SUM(C111+F111,L111:P111)</f>
        <v>119842</v>
      </c>
      <c r="C111" s="191"/>
      <c r="D111" s="191"/>
      <c r="E111" s="191"/>
      <c r="F111" s="191">
        <f>SUM(G111:K111)</f>
        <v>119842</v>
      </c>
      <c r="G111" s="117"/>
      <c r="H111" s="117">
        <v>119842</v>
      </c>
      <c r="I111" s="117"/>
      <c r="J111" s="117"/>
      <c r="K111" s="117"/>
      <c r="L111" s="117"/>
      <c r="M111" s="117"/>
      <c r="N111" s="117"/>
      <c r="O111" s="117"/>
      <c r="P111" s="117"/>
    </row>
    <row r="112" spans="1:16" ht="15" customHeight="1" x14ac:dyDescent="0.35">
      <c r="A112" s="118" t="s">
        <v>168</v>
      </c>
      <c r="B112" s="114">
        <f t="shared" si="13"/>
        <v>95682</v>
      </c>
      <c r="C112" s="191"/>
      <c r="D112" s="191"/>
      <c r="E112" s="191"/>
      <c r="F112" s="191">
        <f>SUM(G112:K112)</f>
        <v>95682</v>
      </c>
      <c r="G112" s="117"/>
      <c r="H112" s="117">
        <v>90682</v>
      </c>
      <c r="I112" s="117"/>
      <c r="J112" s="117"/>
      <c r="K112" s="117">
        <v>5000</v>
      </c>
      <c r="L112" s="117"/>
      <c r="M112" s="117"/>
      <c r="N112" s="117"/>
      <c r="O112" s="117"/>
      <c r="P112" s="117"/>
    </row>
    <row r="113" spans="1:16" ht="15" customHeight="1" x14ac:dyDescent="0.35">
      <c r="A113" s="116" t="s">
        <v>172</v>
      </c>
      <c r="B113" s="114">
        <f t="shared" si="13"/>
        <v>58549</v>
      </c>
      <c r="C113" s="191"/>
      <c r="D113" s="191"/>
      <c r="E113" s="191"/>
      <c r="F113" s="191">
        <f>SUM(G113:K113)</f>
        <v>27549</v>
      </c>
      <c r="G113" s="117"/>
      <c r="H113" s="117">
        <f>27549</f>
        <v>27549</v>
      </c>
      <c r="I113" s="117"/>
      <c r="J113" s="117"/>
      <c r="K113" s="117"/>
      <c r="L113" s="117"/>
      <c r="M113" s="117"/>
      <c r="N113" s="117"/>
      <c r="O113" s="117">
        <v>31000</v>
      </c>
      <c r="P113" s="117"/>
    </row>
    <row r="114" spans="1:16" ht="30" customHeight="1" x14ac:dyDescent="0.35">
      <c r="A114" s="116" t="s">
        <v>20</v>
      </c>
      <c r="B114" s="114">
        <f t="shared" si="13"/>
        <v>29550</v>
      </c>
      <c r="C114" s="191">
        <f t="shared" ref="C114:C127" si="14">D114+E114</f>
        <v>24890</v>
      </c>
      <c r="D114" s="191">
        <f>20140-1861</f>
        <v>18279</v>
      </c>
      <c r="E114" s="191">
        <f>4750+1861</f>
        <v>6611</v>
      </c>
      <c r="F114" s="191">
        <f t="shared" ref="F114:F133" si="15">SUM(G114:K114)</f>
        <v>4660</v>
      </c>
      <c r="G114" s="117"/>
      <c r="H114" s="117">
        <v>2290</v>
      </c>
      <c r="I114" s="117">
        <v>2370</v>
      </c>
      <c r="J114" s="117"/>
      <c r="K114" s="117"/>
      <c r="L114" s="117"/>
      <c r="M114" s="117"/>
      <c r="N114" s="117"/>
      <c r="O114" s="117"/>
      <c r="P114" s="117"/>
    </row>
    <row r="115" spans="1:16" ht="30" customHeight="1" x14ac:dyDescent="0.35">
      <c r="A115" s="116" t="s">
        <v>254</v>
      </c>
      <c r="B115" s="114">
        <f t="shared" si="13"/>
        <v>75324</v>
      </c>
      <c r="C115" s="191">
        <f t="shared" si="14"/>
        <v>44659</v>
      </c>
      <c r="D115" s="191">
        <f>36877-907</f>
        <v>35970</v>
      </c>
      <c r="E115" s="191">
        <f>7782+907</f>
        <v>8689</v>
      </c>
      <c r="F115" s="191">
        <f t="shared" si="15"/>
        <v>30665</v>
      </c>
      <c r="G115" s="117"/>
      <c r="H115" s="117">
        <v>7625</v>
      </c>
      <c r="I115" s="117">
        <v>22580</v>
      </c>
      <c r="J115" s="117"/>
      <c r="K115" s="117">
        <v>460</v>
      </c>
      <c r="L115" s="117"/>
      <c r="M115" s="117"/>
      <c r="N115" s="117"/>
      <c r="O115" s="117"/>
      <c r="P115" s="117"/>
    </row>
    <row r="116" spans="1:16" ht="30" customHeight="1" x14ac:dyDescent="0.35">
      <c r="A116" s="116" t="s">
        <v>21</v>
      </c>
      <c r="B116" s="114">
        <f>C116+F116+L116+M116+N116+O116+P116</f>
        <v>32125</v>
      </c>
      <c r="C116" s="191">
        <f t="shared" si="14"/>
        <v>25966</v>
      </c>
      <c r="D116" s="191">
        <f>21010-1437</f>
        <v>19573</v>
      </c>
      <c r="E116" s="191">
        <f>4956+1437</f>
        <v>6393</v>
      </c>
      <c r="F116" s="191">
        <f t="shared" si="15"/>
        <v>6159</v>
      </c>
      <c r="G116" s="117"/>
      <c r="H116" s="117">
        <f>1629+H117</f>
        <v>4544</v>
      </c>
      <c r="I116" s="117">
        <f>1470+I117</f>
        <v>1615</v>
      </c>
      <c r="J116" s="117"/>
      <c r="K116" s="117">
        <f>650+(-575)+K117</f>
        <v>0</v>
      </c>
      <c r="L116" s="117"/>
      <c r="M116" s="117"/>
      <c r="N116" s="117"/>
      <c r="O116" s="117"/>
      <c r="P116" s="117"/>
    </row>
    <row r="117" spans="1:16" ht="30" customHeight="1" x14ac:dyDescent="0.35">
      <c r="A117" s="232" t="s">
        <v>726</v>
      </c>
      <c r="B117" s="114">
        <f>C117+F117+L117+M117+N117+O117+P117</f>
        <v>2985</v>
      </c>
      <c r="C117" s="191"/>
      <c r="D117" s="191"/>
      <c r="E117" s="191"/>
      <c r="F117" s="191">
        <f t="shared" si="15"/>
        <v>2985</v>
      </c>
      <c r="G117" s="117"/>
      <c r="H117" s="117">
        <f>-70+2985</f>
        <v>2915</v>
      </c>
      <c r="I117" s="117">
        <v>145</v>
      </c>
      <c r="J117" s="117"/>
      <c r="K117" s="117">
        <v>-75</v>
      </c>
      <c r="L117" s="117"/>
      <c r="M117" s="117"/>
      <c r="N117" s="117"/>
      <c r="O117" s="117"/>
      <c r="P117" s="117"/>
    </row>
    <row r="118" spans="1:16" s="106" customFormat="1" ht="30" customHeight="1" x14ac:dyDescent="0.35">
      <c r="A118" s="116" t="s">
        <v>22</v>
      </c>
      <c r="B118" s="114">
        <f t="shared" ref="B118:B157" si="16">SUM(C118+F118,L118:P118)</f>
        <v>61855</v>
      </c>
      <c r="C118" s="191">
        <f t="shared" si="14"/>
        <v>37861</v>
      </c>
      <c r="D118" s="191">
        <v>30634</v>
      </c>
      <c r="E118" s="191">
        <v>7227</v>
      </c>
      <c r="F118" s="191">
        <f t="shared" si="15"/>
        <v>23994</v>
      </c>
      <c r="G118" s="117"/>
      <c r="H118" s="117">
        <v>19124</v>
      </c>
      <c r="I118" s="117">
        <v>4870</v>
      </c>
      <c r="J118" s="117"/>
      <c r="K118" s="117"/>
      <c r="L118" s="117"/>
      <c r="M118" s="117"/>
      <c r="N118" s="117"/>
      <c r="O118" s="117"/>
      <c r="P118" s="117"/>
    </row>
    <row r="119" spans="1:16" ht="30" customHeight="1" x14ac:dyDescent="0.35">
      <c r="A119" s="116" t="s">
        <v>23</v>
      </c>
      <c r="B119" s="114">
        <f>SUM(C119+F119,L119:P119)</f>
        <v>30032</v>
      </c>
      <c r="C119" s="200">
        <f t="shared" si="14"/>
        <v>14868</v>
      </c>
      <c r="D119" s="191">
        <v>12030</v>
      </c>
      <c r="E119" s="191">
        <v>2838</v>
      </c>
      <c r="F119" s="191">
        <f>SUM(G119:K119)</f>
        <v>15164</v>
      </c>
      <c r="G119" s="117"/>
      <c r="H119" s="117">
        <f>9550+H120</f>
        <v>9705</v>
      </c>
      <c r="I119" s="117">
        <f>5364+I120</f>
        <v>5209</v>
      </c>
      <c r="J119" s="117"/>
      <c r="K119" s="117">
        <v>250</v>
      </c>
      <c r="L119" s="117"/>
      <c r="M119" s="117"/>
      <c r="N119" s="117"/>
      <c r="O119" s="117"/>
      <c r="P119" s="117"/>
    </row>
    <row r="120" spans="1:16" ht="30" customHeight="1" x14ac:dyDescent="0.35">
      <c r="A120" s="232" t="s">
        <v>726</v>
      </c>
      <c r="B120" s="114">
        <f>SUM(C120+F120,L120:P120)</f>
        <v>0</v>
      </c>
      <c r="C120" s="200"/>
      <c r="D120" s="191"/>
      <c r="E120" s="191"/>
      <c r="F120" s="191">
        <f>SUM(G120:K120)</f>
        <v>0</v>
      </c>
      <c r="G120" s="117"/>
      <c r="H120" s="117">
        <v>155</v>
      </c>
      <c r="I120" s="117">
        <v>-155</v>
      </c>
      <c r="J120" s="117"/>
      <c r="K120" s="117"/>
      <c r="L120" s="117"/>
      <c r="M120" s="117"/>
      <c r="N120" s="117"/>
      <c r="O120" s="117"/>
      <c r="P120" s="117"/>
    </row>
    <row r="121" spans="1:16" ht="30" customHeight="1" x14ac:dyDescent="0.35">
      <c r="A121" s="116" t="s">
        <v>24</v>
      </c>
      <c r="B121" s="114">
        <f t="shared" si="16"/>
        <v>74396</v>
      </c>
      <c r="C121" s="200">
        <f t="shared" si="14"/>
        <v>62126</v>
      </c>
      <c r="D121" s="191">
        <v>50187</v>
      </c>
      <c r="E121" s="191">
        <v>11939</v>
      </c>
      <c r="F121" s="191">
        <f t="shared" si="15"/>
        <v>12270</v>
      </c>
      <c r="G121" s="117"/>
      <c r="H121" s="117">
        <v>6471</v>
      </c>
      <c r="I121" s="117">
        <v>5310</v>
      </c>
      <c r="J121" s="117"/>
      <c r="K121" s="117">
        <v>489</v>
      </c>
      <c r="L121" s="117"/>
      <c r="M121" s="117"/>
      <c r="N121" s="117"/>
      <c r="O121" s="117"/>
      <c r="P121" s="117"/>
    </row>
    <row r="122" spans="1:16" ht="15" customHeight="1" x14ac:dyDescent="0.35">
      <c r="A122" s="116" t="s">
        <v>111</v>
      </c>
      <c r="B122" s="114">
        <f t="shared" si="16"/>
        <v>94432</v>
      </c>
      <c r="C122" s="200">
        <f t="shared" si="14"/>
        <v>42932</v>
      </c>
      <c r="D122" s="191">
        <v>34738</v>
      </c>
      <c r="E122" s="191">
        <v>8194</v>
      </c>
      <c r="F122" s="191">
        <f t="shared" si="15"/>
        <v>51500</v>
      </c>
      <c r="G122" s="117"/>
      <c r="H122" s="117">
        <v>50070</v>
      </c>
      <c r="I122" s="117">
        <v>1430</v>
      </c>
      <c r="J122" s="117"/>
      <c r="K122" s="117"/>
      <c r="L122" s="117"/>
      <c r="M122" s="117"/>
      <c r="N122" s="117"/>
      <c r="O122" s="117"/>
      <c r="P122" s="117"/>
    </row>
    <row r="123" spans="1:16" ht="30" customHeight="1" x14ac:dyDescent="0.35">
      <c r="A123" s="119" t="s">
        <v>130</v>
      </c>
      <c r="B123" s="114">
        <f>SUM(C123+F123,L123:P123)</f>
        <v>87359</v>
      </c>
      <c r="C123" s="201">
        <f t="shared" si="14"/>
        <v>64273</v>
      </c>
      <c r="D123" s="202">
        <v>52390</v>
      </c>
      <c r="E123" s="202">
        <v>11883</v>
      </c>
      <c r="F123" s="191">
        <f>SUM(G123:K123)</f>
        <v>23086</v>
      </c>
      <c r="G123" s="117"/>
      <c r="H123" s="117">
        <f>8480+(-500)+H124</f>
        <v>8480</v>
      </c>
      <c r="I123" s="117">
        <f>15160+(-400)+I124</f>
        <v>14260</v>
      </c>
      <c r="J123" s="117"/>
      <c r="K123" s="117">
        <v>346</v>
      </c>
      <c r="L123" s="117"/>
      <c r="M123" s="117"/>
      <c r="N123" s="141"/>
      <c r="O123" s="117"/>
      <c r="P123" s="117"/>
    </row>
    <row r="124" spans="1:16" ht="30" customHeight="1" x14ac:dyDescent="0.35">
      <c r="A124" s="234" t="s">
        <v>726</v>
      </c>
      <c r="B124" s="114">
        <f>SUM(C124+F124,L124:P124)</f>
        <v>0</v>
      </c>
      <c r="C124" s="204"/>
      <c r="D124" s="202"/>
      <c r="E124" s="202"/>
      <c r="F124" s="191">
        <f>SUM(G124:K124)</f>
        <v>0</v>
      </c>
      <c r="G124" s="117"/>
      <c r="H124" s="117">
        <v>500</v>
      </c>
      <c r="I124" s="117">
        <v>-500</v>
      </c>
      <c r="J124" s="117"/>
      <c r="K124" s="117"/>
      <c r="L124" s="117"/>
      <c r="M124" s="117"/>
      <c r="N124" s="217"/>
      <c r="O124" s="117"/>
      <c r="P124" s="117"/>
    </row>
    <row r="125" spans="1:16" ht="30" customHeight="1" x14ac:dyDescent="0.35">
      <c r="A125" s="116" t="s">
        <v>25</v>
      </c>
      <c r="B125" s="114">
        <f t="shared" si="16"/>
        <v>57160</v>
      </c>
      <c r="C125" s="200">
        <f t="shared" si="14"/>
        <v>41582</v>
      </c>
      <c r="D125" s="191">
        <v>33645</v>
      </c>
      <c r="E125" s="191">
        <v>7937</v>
      </c>
      <c r="F125" s="191">
        <f t="shared" si="15"/>
        <v>15578</v>
      </c>
      <c r="G125" s="117"/>
      <c r="H125" s="117">
        <v>4606</v>
      </c>
      <c r="I125" s="117">
        <v>10875</v>
      </c>
      <c r="J125" s="117"/>
      <c r="K125" s="117">
        <v>97</v>
      </c>
      <c r="L125" s="117"/>
      <c r="M125" s="117"/>
      <c r="N125" s="117"/>
      <c r="O125" s="117"/>
      <c r="P125" s="117"/>
    </row>
    <row r="126" spans="1:16" ht="15" customHeight="1" x14ac:dyDescent="0.35">
      <c r="A126" s="116" t="s">
        <v>103</v>
      </c>
      <c r="B126" s="114">
        <f t="shared" si="16"/>
        <v>10119</v>
      </c>
      <c r="C126" s="200">
        <f t="shared" si="14"/>
        <v>7009</v>
      </c>
      <c r="D126" s="191">
        <f>4900+771</f>
        <v>5671</v>
      </c>
      <c r="E126" s="191">
        <v>1338</v>
      </c>
      <c r="F126" s="191">
        <f t="shared" si="15"/>
        <v>3110</v>
      </c>
      <c r="G126" s="117"/>
      <c r="H126" s="117">
        <v>2415</v>
      </c>
      <c r="I126" s="117">
        <v>630</v>
      </c>
      <c r="J126" s="117"/>
      <c r="K126" s="117">
        <v>65</v>
      </c>
      <c r="L126" s="117"/>
      <c r="M126" s="117"/>
      <c r="N126" s="117"/>
      <c r="O126" s="117"/>
      <c r="P126" s="117"/>
    </row>
    <row r="127" spans="1:16" ht="30" customHeight="1" x14ac:dyDescent="0.35">
      <c r="A127" s="119" t="s">
        <v>131</v>
      </c>
      <c r="B127" s="114">
        <f>SUM(C127+F127,L127:P127)</f>
        <v>158757</v>
      </c>
      <c r="C127" s="201">
        <f t="shared" si="14"/>
        <v>123357</v>
      </c>
      <c r="D127" s="202">
        <v>100065</v>
      </c>
      <c r="E127" s="202">
        <v>23292</v>
      </c>
      <c r="F127" s="191">
        <f t="shared" si="15"/>
        <v>35400</v>
      </c>
      <c r="G127" s="117"/>
      <c r="H127" s="117">
        <f>14050+1000+H128</f>
        <v>13989</v>
      </c>
      <c r="I127" s="117">
        <f>21050-1000+I128</f>
        <v>21111</v>
      </c>
      <c r="J127" s="117"/>
      <c r="K127" s="117">
        <v>300</v>
      </c>
      <c r="L127" s="117"/>
      <c r="M127" s="117"/>
      <c r="N127" s="141"/>
      <c r="O127" s="117"/>
      <c r="P127" s="117"/>
    </row>
    <row r="128" spans="1:16" ht="30" customHeight="1" x14ac:dyDescent="0.35">
      <c r="A128" s="234" t="s">
        <v>726</v>
      </c>
      <c r="B128" s="114">
        <f>SUM(C128+F128,L128:P128)</f>
        <v>0</v>
      </c>
      <c r="C128" s="204"/>
      <c r="D128" s="202"/>
      <c r="E128" s="202"/>
      <c r="F128" s="191">
        <f t="shared" si="15"/>
        <v>0</v>
      </c>
      <c r="G128" s="117"/>
      <c r="H128" s="117">
        <v>-1061</v>
      </c>
      <c r="I128" s="117">
        <v>1061</v>
      </c>
      <c r="J128" s="117"/>
      <c r="K128" s="117"/>
      <c r="L128" s="117"/>
      <c r="M128" s="117"/>
      <c r="N128" s="217"/>
      <c r="O128" s="117"/>
      <c r="P128" s="117"/>
    </row>
    <row r="129" spans="1:16" ht="27" customHeight="1" x14ac:dyDescent="0.35">
      <c r="A129" s="116" t="s">
        <v>114</v>
      </c>
      <c r="B129" s="114">
        <f t="shared" si="16"/>
        <v>7345</v>
      </c>
      <c r="C129" s="200">
        <f>D129+E129</f>
        <v>4701</v>
      </c>
      <c r="D129" s="191">
        <v>3804</v>
      </c>
      <c r="E129" s="191">
        <v>897</v>
      </c>
      <c r="F129" s="191">
        <f t="shared" si="15"/>
        <v>2644</v>
      </c>
      <c r="G129" s="117"/>
      <c r="H129" s="117">
        <v>2644</v>
      </c>
      <c r="I129" s="117"/>
      <c r="J129" s="117"/>
      <c r="K129" s="117"/>
      <c r="L129" s="117"/>
      <c r="M129" s="117"/>
      <c r="N129" s="117"/>
      <c r="O129" s="117"/>
      <c r="P129" s="117"/>
    </row>
    <row r="130" spans="1:16" ht="30" customHeight="1" x14ac:dyDescent="0.35">
      <c r="A130" s="116" t="s">
        <v>26</v>
      </c>
      <c r="B130" s="114">
        <f t="shared" si="16"/>
        <v>117552</v>
      </c>
      <c r="C130" s="200">
        <f>D130+E130</f>
        <v>84306</v>
      </c>
      <c r="D130" s="191">
        <v>74223</v>
      </c>
      <c r="E130" s="191">
        <v>10083</v>
      </c>
      <c r="F130" s="191">
        <f t="shared" si="15"/>
        <v>33246</v>
      </c>
      <c r="G130" s="117"/>
      <c r="H130" s="117">
        <v>21576</v>
      </c>
      <c r="I130" s="117">
        <v>11460</v>
      </c>
      <c r="J130" s="117"/>
      <c r="K130" s="117">
        <v>210</v>
      </c>
      <c r="L130" s="117"/>
      <c r="M130" s="117"/>
      <c r="N130" s="117">
        <v>0</v>
      </c>
      <c r="O130" s="117"/>
      <c r="P130" s="117"/>
    </row>
    <row r="131" spans="1:16" ht="30" customHeight="1" x14ac:dyDescent="0.35">
      <c r="A131" s="116" t="s">
        <v>27</v>
      </c>
      <c r="B131" s="114">
        <f t="shared" si="16"/>
        <v>45339</v>
      </c>
      <c r="C131" s="200">
        <f>D131+E131</f>
        <v>38856</v>
      </c>
      <c r="D131" s="191">
        <v>31440</v>
      </c>
      <c r="E131" s="191">
        <v>7416</v>
      </c>
      <c r="F131" s="191">
        <f t="shared" si="15"/>
        <v>6483</v>
      </c>
      <c r="G131" s="117"/>
      <c r="H131" s="117">
        <v>3693</v>
      </c>
      <c r="I131" s="117">
        <v>2550</v>
      </c>
      <c r="J131" s="117"/>
      <c r="K131" s="117">
        <v>240</v>
      </c>
      <c r="L131" s="117"/>
      <c r="M131" s="117"/>
      <c r="N131" s="117"/>
      <c r="O131" s="117"/>
      <c r="P131" s="117"/>
    </row>
    <row r="132" spans="1:16" ht="30" customHeight="1" x14ac:dyDescent="0.35">
      <c r="A132" s="116" t="s">
        <v>177</v>
      </c>
      <c r="B132" s="114">
        <f t="shared" si="16"/>
        <v>42660</v>
      </c>
      <c r="C132" s="200"/>
      <c r="D132" s="191"/>
      <c r="E132" s="191"/>
      <c r="F132" s="191">
        <f t="shared" si="15"/>
        <v>4300</v>
      </c>
      <c r="G132" s="117"/>
      <c r="H132" s="117">
        <v>1422</v>
      </c>
      <c r="I132" s="117">
        <v>2798</v>
      </c>
      <c r="J132" s="117"/>
      <c r="K132" s="117">
        <v>80</v>
      </c>
      <c r="L132" s="117"/>
      <c r="M132" s="117"/>
      <c r="N132" s="117">
        <v>38360</v>
      </c>
      <c r="O132" s="117"/>
      <c r="P132" s="117"/>
    </row>
    <row r="133" spans="1:16" ht="27" customHeight="1" x14ac:dyDescent="0.35">
      <c r="A133" s="116" t="s">
        <v>28</v>
      </c>
      <c r="B133" s="114">
        <f t="shared" si="16"/>
        <v>102881</v>
      </c>
      <c r="C133" s="200">
        <f>D133+E133</f>
        <v>81138</v>
      </c>
      <c r="D133" s="191">
        <v>65570</v>
      </c>
      <c r="E133" s="191">
        <v>15568</v>
      </c>
      <c r="F133" s="191">
        <f t="shared" si="15"/>
        <v>19243</v>
      </c>
      <c r="G133" s="117"/>
      <c r="H133" s="117">
        <v>5054</v>
      </c>
      <c r="I133" s="117">
        <v>13989</v>
      </c>
      <c r="J133" s="117"/>
      <c r="K133" s="117">
        <v>200</v>
      </c>
      <c r="L133" s="117"/>
      <c r="M133" s="117"/>
      <c r="N133" s="117">
        <v>2500</v>
      </c>
      <c r="O133" s="117"/>
      <c r="P133" s="117"/>
    </row>
    <row r="134" spans="1:16" ht="22.5" customHeight="1" x14ac:dyDescent="0.35">
      <c r="A134" s="116" t="s">
        <v>29</v>
      </c>
      <c r="B134" s="114">
        <f t="shared" si="16"/>
        <v>1764345</v>
      </c>
      <c r="C134" s="191">
        <f>D134+E134</f>
        <v>752614</v>
      </c>
      <c r="D134" s="191">
        <f>59537+114472+79247+119130+196389+18550</f>
        <v>587325</v>
      </c>
      <c r="E134" s="191">
        <f>17066+32425+22202+34840+53441+5315</f>
        <v>165289</v>
      </c>
      <c r="F134" s="191">
        <f>SUM(G134:K134)</f>
        <v>977631</v>
      </c>
      <c r="G134" s="117">
        <f>8+200</f>
        <v>208</v>
      </c>
      <c r="H134" s="117">
        <v>585118</v>
      </c>
      <c r="I134" s="117">
        <f>13450+14990+11710+10425+67535+251</f>
        <v>118361</v>
      </c>
      <c r="J134" s="117"/>
      <c r="K134" s="117">
        <f>52500+3144+50400+39200+128200+500</f>
        <v>273944</v>
      </c>
      <c r="L134" s="117"/>
      <c r="M134" s="117"/>
      <c r="N134" s="117">
        <v>34100</v>
      </c>
      <c r="O134" s="117"/>
      <c r="P134" s="117"/>
    </row>
    <row r="135" spans="1:16" ht="30" customHeight="1" x14ac:dyDescent="0.35">
      <c r="A135" s="116" t="s">
        <v>161</v>
      </c>
      <c r="B135" s="114">
        <f>SUM(C135+F135,L135:P135)</f>
        <v>82807</v>
      </c>
      <c r="C135" s="191"/>
      <c r="D135" s="191"/>
      <c r="E135" s="191"/>
      <c r="F135" s="191">
        <f>SUM(G135:K135)</f>
        <v>82807</v>
      </c>
      <c r="G135" s="117"/>
      <c r="H135" s="117">
        <v>80307</v>
      </c>
      <c r="I135" s="117">
        <v>2500</v>
      </c>
      <c r="J135" s="117"/>
      <c r="K135" s="117"/>
      <c r="L135" s="117"/>
      <c r="M135" s="117"/>
      <c r="N135" s="117"/>
      <c r="O135" s="117"/>
      <c r="P135" s="117"/>
    </row>
    <row r="136" spans="1:16" ht="30" customHeight="1" x14ac:dyDescent="0.35">
      <c r="A136" s="116" t="s">
        <v>109</v>
      </c>
      <c r="B136" s="114">
        <f t="shared" si="16"/>
        <v>7500</v>
      </c>
      <c r="C136" s="191"/>
      <c r="D136" s="191"/>
      <c r="E136" s="191"/>
      <c r="F136" s="191">
        <f t="shared" ref="F136:F173" si="17">SUM(G136:K136)</f>
        <v>7500</v>
      </c>
      <c r="G136" s="117"/>
      <c r="H136" s="117">
        <v>7500</v>
      </c>
      <c r="I136" s="117"/>
      <c r="J136" s="117"/>
      <c r="K136" s="117"/>
      <c r="L136" s="117"/>
      <c r="M136" s="117"/>
      <c r="N136" s="117"/>
      <c r="O136" s="117"/>
      <c r="P136" s="117"/>
    </row>
    <row r="137" spans="1:16" ht="30" customHeight="1" x14ac:dyDescent="0.35">
      <c r="A137" s="116" t="s">
        <v>115</v>
      </c>
      <c r="B137" s="114">
        <f t="shared" si="16"/>
        <v>1000</v>
      </c>
      <c r="C137" s="191"/>
      <c r="D137" s="191"/>
      <c r="E137" s="191"/>
      <c r="F137" s="191">
        <f t="shared" si="17"/>
        <v>1000</v>
      </c>
      <c r="G137" s="117"/>
      <c r="H137" s="117">
        <v>500</v>
      </c>
      <c r="I137" s="117">
        <v>500</v>
      </c>
      <c r="J137" s="117"/>
      <c r="K137" s="117"/>
      <c r="L137" s="117"/>
      <c r="M137" s="117"/>
      <c r="N137" s="117"/>
      <c r="O137" s="117"/>
      <c r="P137" s="117"/>
    </row>
    <row r="138" spans="1:16" ht="30" customHeight="1" x14ac:dyDescent="0.35">
      <c r="A138" s="116" t="s">
        <v>110</v>
      </c>
      <c r="B138" s="114">
        <f t="shared" si="16"/>
        <v>9827</v>
      </c>
      <c r="C138" s="191"/>
      <c r="D138" s="191"/>
      <c r="E138" s="191"/>
      <c r="F138" s="191">
        <f t="shared" si="17"/>
        <v>9827</v>
      </c>
      <c r="G138" s="117"/>
      <c r="H138" s="117">
        <v>3736</v>
      </c>
      <c r="I138" s="117">
        <v>6091</v>
      </c>
      <c r="J138" s="117"/>
      <c r="K138" s="117"/>
      <c r="L138" s="117"/>
      <c r="M138" s="117"/>
      <c r="N138" s="117"/>
      <c r="O138" s="117"/>
      <c r="P138" s="117"/>
    </row>
    <row r="139" spans="1:16" ht="30" customHeight="1" x14ac:dyDescent="0.35">
      <c r="A139" s="118" t="s">
        <v>112</v>
      </c>
      <c r="B139" s="114">
        <f t="shared" si="16"/>
        <v>3200</v>
      </c>
      <c r="C139" s="191"/>
      <c r="D139" s="191"/>
      <c r="E139" s="191"/>
      <c r="F139" s="191">
        <f t="shared" si="17"/>
        <v>3200</v>
      </c>
      <c r="G139" s="117"/>
      <c r="H139" s="117">
        <v>1179</v>
      </c>
      <c r="I139" s="117">
        <v>2021</v>
      </c>
      <c r="J139" s="117"/>
      <c r="K139" s="117"/>
      <c r="L139" s="117"/>
      <c r="M139" s="117"/>
      <c r="N139" s="117"/>
      <c r="O139" s="117"/>
      <c r="P139" s="117"/>
    </row>
    <row r="140" spans="1:16" ht="24" customHeight="1" x14ac:dyDescent="0.35">
      <c r="A140" s="118" t="s">
        <v>652</v>
      </c>
      <c r="B140" s="114">
        <f t="shared" si="16"/>
        <v>368209</v>
      </c>
      <c r="C140" s="191">
        <f t="shared" ref="C140:C155" si="18">D140+E140</f>
        <v>258155</v>
      </c>
      <c r="D140" s="191">
        <v>208880</v>
      </c>
      <c r="E140" s="191">
        <v>49275</v>
      </c>
      <c r="F140" s="191">
        <f>SUM(G140:K140)</f>
        <v>106054</v>
      </c>
      <c r="G140" s="117"/>
      <c r="H140" s="117">
        <v>53730</v>
      </c>
      <c r="I140" s="117">
        <f>51546+778</f>
        <v>52324</v>
      </c>
      <c r="J140" s="117"/>
      <c r="K140" s="117"/>
      <c r="L140" s="117"/>
      <c r="M140" s="117"/>
      <c r="N140" s="117">
        <v>4000</v>
      </c>
      <c r="O140" s="117"/>
      <c r="P140" s="117"/>
    </row>
    <row r="141" spans="1:16" ht="30" customHeight="1" x14ac:dyDescent="0.35">
      <c r="A141" s="116" t="s">
        <v>193</v>
      </c>
      <c r="B141" s="114">
        <f t="shared" si="16"/>
        <v>118153</v>
      </c>
      <c r="C141" s="191">
        <f t="shared" si="18"/>
        <v>90240</v>
      </c>
      <c r="D141" s="191">
        <v>74057</v>
      </c>
      <c r="E141" s="191">
        <v>16183</v>
      </c>
      <c r="F141" s="191">
        <f t="shared" si="17"/>
        <v>27913</v>
      </c>
      <c r="G141" s="117"/>
      <c r="H141" s="117">
        <v>8421</v>
      </c>
      <c r="I141" s="117">
        <v>19142</v>
      </c>
      <c r="J141" s="117"/>
      <c r="K141" s="117">
        <v>350</v>
      </c>
      <c r="L141" s="117"/>
      <c r="M141" s="117"/>
      <c r="N141" s="117"/>
      <c r="O141" s="117"/>
      <c r="P141" s="117"/>
    </row>
    <row r="142" spans="1:16" ht="30" customHeight="1" x14ac:dyDescent="0.35">
      <c r="A142" s="116" t="s">
        <v>105</v>
      </c>
      <c r="B142" s="114">
        <f t="shared" si="16"/>
        <v>16115</v>
      </c>
      <c r="C142" s="191">
        <f t="shared" si="18"/>
        <v>14156</v>
      </c>
      <c r="D142" s="191">
        <v>11574</v>
      </c>
      <c r="E142" s="191">
        <v>2582</v>
      </c>
      <c r="F142" s="191">
        <f t="shared" si="17"/>
        <v>1959</v>
      </c>
      <c r="G142" s="117"/>
      <c r="H142" s="117">
        <v>787</v>
      </c>
      <c r="I142" s="117">
        <v>1172</v>
      </c>
      <c r="J142" s="117"/>
      <c r="K142" s="117"/>
      <c r="L142" s="117"/>
      <c r="M142" s="117"/>
      <c r="N142" s="117"/>
      <c r="O142" s="117"/>
      <c r="P142" s="117"/>
    </row>
    <row r="143" spans="1:16" ht="30" customHeight="1" x14ac:dyDescent="0.35">
      <c r="A143" s="116" t="s">
        <v>102</v>
      </c>
      <c r="B143" s="114">
        <f t="shared" si="16"/>
        <v>16093</v>
      </c>
      <c r="C143" s="191">
        <f t="shared" si="18"/>
        <v>12977</v>
      </c>
      <c r="D143" s="191">
        <v>10500</v>
      </c>
      <c r="E143" s="191">
        <v>2477</v>
      </c>
      <c r="F143" s="191">
        <f t="shared" si="17"/>
        <v>3116</v>
      </c>
      <c r="G143" s="117"/>
      <c r="H143" s="117">
        <v>570</v>
      </c>
      <c r="I143" s="117">
        <v>2546</v>
      </c>
      <c r="J143" s="117"/>
      <c r="K143" s="117"/>
      <c r="L143" s="117"/>
      <c r="M143" s="117"/>
      <c r="N143" s="117"/>
      <c r="O143" s="117"/>
      <c r="P143" s="117"/>
    </row>
    <row r="144" spans="1:16" ht="30" customHeight="1" x14ac:dyDescent="0.35">
      <c r="A144" s="116" t="s">
        <v>106</v>
      </c>
      <c r="B144" s="114">
        <f t="shared" si="16"/>
        <v>17783</v>
      </c>
      <c r="C144" s="191">
        <f t="shared" si="18"/>
        <v>13181</v>
      </c>
      <c r="D144" s="191">
        <v>10665</v>
      </c>
      <c r="E144" s="191">
        <v>2516</v>
      </c>
      <c r="F144" s="191">
        <f t="shared" si="17"/>
        <v>4602</v>
      </c>
      <c r="G144" s="117"/>
      <c r="H144" s="117">
        <v>367</v>
      </c>
      <c r="I144" s="117">
        <v>4235</v>
      </c>
      <c r="J144" s="117"/>
      <c r="K144" s="117"/>
      <c r="L144" s="117"/>
      <c r="M144" s="117"/>
      <c r="N144" s="117">
        <v>0</v>
      </c>
      <c r="O144" s="117"/>
      <c r="P144" s="117"/>
    </row>
    <row r="145" spans="1:16" ht="30" customHeight="1" x14ac:dyDescent="0.35">
      <c r="A145" s="116" t="s">
        <v>107</v>
      </c>
      <c r="B145" s="114">
        <f t="shared" si="16"/>
        <v>19011</v>
      </c>
      <c r="C145" s="191">
        <f t="shared" si="18"/>
        <v>16437</v>
      </c>
      <c r="D145" s="191">
        <v>13300</v>
      </c>
      <c r="E145" s="191">
        <v>3137</v>
      </c>
      <c r="F145" s="191">
        <f t="shared" si="17"/>
        <v>2574</v>
      </c>
      <c r="G145" s="117"/>
      <c r="H145" s="117">
        <v>700</v>
      </c>
      <c r="I145" s="117">
        <v>1874</v>
      </c>
      <c r="J145" s="117"/>
      <c r="K145" s="117"/>
      <c r="L145" s="117"/>
      <c r="M145" s="117"/>
      <c r="N145" s="117"/>
      <c r="O145" s="117"/>
      <c r="P145" s="117"/>
    </row>
    <row r="146" spans="1:16" ht="30" customHeight="1" x14ac:dyDescent="0.35">
      <c r="A146" s="116" t="s">
        <v>108</v>
      </c>
      <c r="B146" s="114">
        <f t="shared" si="16"/>
        <v>24027</v>
      </c>
      <c r="C146" s="191">
        <f t="shared" si="18"/>
        <v>18031</v>
      </c>
      <c r="D146" s="191">
        <v>14590</v>
      </c>
      <c r="E146" s="191">
        <v>3441</v>
      </c>
      <c r="F146" s="191">
        <f t="shared" si="17"/>
        <v>5996</v>
      </c>
      <c r="G146" s="117"/>
      <c r="H146" s="117">
        <v>1550</v>
      </c>
      <c r="I146" s="117">
        <v>4446</v>
      </c>
      <c r="J146" s="117"/>
      <c r="K146" s="117"/>
      <c r="L146" s="117"/>
      <c r="M146" s="117"/>
      <c r="N146" s="117"/>
      <c r="O146" s="117"/>
      <c r="P146" s="117"/>
    </row>
    <row r="147" spans="1:16" ht="20.25" customHeight="1" x14ac:dyDescent="0.35">
      <c r="A147" s="116" t="s">
        <v>113</v>
      </c>
      <c r="B147" s="114">
        <f t="shared" si="16"/>
        <v>207318</v>
      </c>
      <c r="C147" s="191">
        <f t="shared" si="18"/>
        <v>172361</v>
      </c>
      <c r="D147" s="191">
        <v>139462</v>
      </c>
      <c r="E147" s="191">
        <v>32899</v>
      </c>
      <c r="F147" s="191">
        <f t="shared" si="17"/>
        <v>34957</v>
      </c>
      <c r="G147" s="117"/>
      <c r="H147" s="117">
        <f>14166+2000</f>
        <v>16166</v>
      </c>
      <c r="I147" s="117">
        <f>20791+(-2000)</f>
        <v>18791</v>
      </c>
      <c r="J147" s="117"/>
      <c r="K147" s="117"/>
      <c r="L147" s="117"/>
      <c r="M147" s="117"/>
      <c r="N147" s="117"/>
      <c r="O147" s="117"/>
      <c r="P147" s="117"/>
    </row>
    <row r="148" spans="1:16" ht="30" customHeight="1" x14ac:dyDescent="0.35">
      <c r="A148" s="116" t="s">
        <v>870</v>
      </c>
      <c r="B148" s="114">
        <f t="shared" si="16"/>
        <v>67747</v>
      </c>
      <c r="C148" s="191">
        <f t="shared" si="18"/>
        <v>33448</v>
      </c>
      <c r="D148" s="191">
        <f>22680+2786+1598-1194</f>
        <v>25870</v>
      </c>
      <c r="E148" s="191">
        <f>6384+1194</f>
        <v>7578</v>
      </c>
      <c r="F148" s="191">
        <f t="shared" si="17"/>
        <v>34299</v>
      </c>
      <c r="G148" s="117"/>
      <c r="H148" s="117">
        <v>1541</v>
      </c>
      <c r="I148" s="117">
        <v>32758</v>
      </c>
      <c r="J148" s="117"/>
      <c r="K148" s="117"/>
      <c r="L148" s="117"/>
      <c r="M148" s="117"/>
      <c r="N148" s="117"/>
      <c r="O148" s="117"/>
      <c r="P148" s="117"/>
    </row>
    <row r="149" spans="1:16" ht="30" customHeight="1" x14ac:dyDescent="0.35">
      <c r="A149" s="116" t="s">
        <v>871</v>
      </c>
      <c r="B149" s="114">
        <f t="shared" si="16"/>
        <v>185372</v>
      </c>
      <c r="C149" s="191">
        <f t="shared" si="18"/>
        <v>32606</v>
      </c>
      <c r="D149" s="191">
        <f>22400+3422+1542</f>
        <v>27364</v>
      </c>
      <c r="E149" s="191">
        <v>5242</v>
      </c>
      <c r="F149" s="191">
        <f t="shared" si="17"/>
        <v>152766</v>
      </c>
      <c r="G149" s="117"/>
      <c r="H149" s="117">
        <f>7774+8086</f>
        <v>15860</v>
      </c>
      <c r="I149" s="117">
        <f>63406+I150</f>
        <v>136106</v>
      </c>
      <c r="J149" s="117"/>
      <c r="K149" s="117">
        <v>800</v>
      </c>
      <c r="L149" s="117"/>
      <c r="M149" s="117"/>
      <c r="N149" s="117"/>
      <c r="O149" s="117"/>
      <c r="P149" s="117"/>
    </row>
    <row r="150" spans="1:16" ht="30" customHeight="1" x14ac:dyDescent="0.35">
      <c r="A150" s="232" t="s">
        <v>726</v>
      </c>
      <c r="B150" s="114">
        <f t="shared" si="16"/>
        <v>72700</v>
      </c>
      <c r="C150" s="191"/>
      <c r="D150" s="191"/>
      <c r="E150" s="191"/>
      <c r="F150" s="191">
        <f t="shared" si="17"/>
        <v>72700</v>
      </c>
      <c r="G150" s="117"/>
      <c r="H150" s="117"/>
      <c r="I150" s="117">
        <v>72700</v>
      </c>
      <c r="J150" s="117"/>
      <c r="K150" s="117"/>
      <c r="L150" s="117"/>
      <c r="M150" s="117"/>
      <c r="N150" s="117"/>
      <c r="O150" s="117"/>
      <c r="P150" s="117"/>
    </row>
    <row r="151" spans="1:16" ht="30" customHeight="1" x14ac:dyDescent="0.35">
      <c r="A151" s="116" t="s">
        <v>890</v>
      </c>
      <c r="B151" s="114">
        <f t="shared" si="16"/>
        <v>45604</v>
      </c>
      <c r="C151" s="191">
        <f t="shared" si="18"/>
        <v>34394</v>
      </c>
      <c r="D151" s="191">
        <f>22400+3887+1542</f>
        <v>27829</v>
      </c>
      <c r="E151" s="191">
        <v>6565</v>
      </c>
      <c r="F151" s="191">
        <f t="shared" si="17"/>
        <v>11210</v>
      </c>
      <c r="G151" s="117"/>
      <c r="H151" s="117">
        <v>0</v>
      </c>
      <c r="I151" s="117">
        <v>10910</v>
      </c>
      <c r="J151" s="117"/>
      <c r="K151" s="117">
        <v>300</v>
      </c>
      <c r="L151" s="117"/>
      <c r="M151" s="117"/>
      <c r="N151" s="117"/>
      <c r="O151" s="117"/>
      <c r="P151" s="117"/>
    </row>
    <row r="152" spans="1:16" ht="30" customHeight="1" x14ac:dyDescent="0.35">
      <c r="A152" s="116" t="s">
        <v>833</v>
      </c>
      <c r="B152" s="114">
        <f t="shared" si="16"/>
        <v>58664</v>
      </c>
      <c r="C152" s="191">
        <f t="shared" si="18"/>
        <v>34089</v>
      </c>
      <c r="D152" s="191">
        <f>22694+4888</f>
        <v>27582</v>
      </c>
      <c r="E152" s="191">
        <v>6507</v>
      </c>
      <c r="F152" s="191">
        <f t="shared" si="17"/>
        <v>24575</v>
      </c>
      <c r="G152" s="117"/>
      <c r="H152" s="117">
        <v>6325</v>
      </c>
      <c r="I152" s="117">
        <v>17620</v>
      </c>
      <c r="J152" s="117"/>
      <c r="K152" s="117">
        <v>630</v>
      </c>
      <c r="L152" s="117"/>
      <c r="M152" s="117"/>
      <c r="N152" s="117"/>
      <c r="O152" s="117"/>
      <c r="P152" s="117"/>
    </row>
    <row r="153" spans="1:16" ht="30" customHeight="1" x14ac:dyDescent="0.35">
      <c r="A153" s="116" t="s">
        <v>813</v>
      </c>
      <c r="B153" s="114">
        <f t="shared" si="16"/>
        <v>31471</v>
      </c>
      <c r="C153" s="191">
        <f t="shared" si="18"/>
        <v>24323</v>
      </c>
      <c r="D153" s="191">
        <f>14700+3442+1542</f>
        <v>19684</v>
      </c>
      <c r="E153" s="191">
        <v>4639</v>
      </c>
      <c r="F153" s="191">
        <f t="shared" si="17"/>
        <v>7148</v>
      </c>
      <c r="G153" s="117"/>
      <c r="H153" s="117">
        <v>1795</v>
      </c>
      <c r="I153" s="117">
        <v>5103</v>
      </c>
      <c r="J153" s="117"/>
      <c r="K153" s="117">
        <v>250</v>
      </c>
      <c r="L153" s="117"/>
      <c r="M153" s="117"/>
      <c r="N153" s="117"/>
      <c r="O153" s="117"/>
      <c r="P153" s="117"/>
    </row>
    <row r="154" spans="1:16" ht="30" customHeight="1" x14ac:dyDescent="0.35">
      <c r="A154" s="116" t="s">
        <v>814</v>
      </c>
      <c r="B154" s="114">
        <f t="shared" si="16"/>
        <v>84365</v>
      </c>
      <c r="C154" s="191">
        <f t="shared" si="18"/>
        <v>30359</v>
      </c>
      <c r="D154" s="191">
        <f>19600+3422+1542</f>
        <v>24564</v>
      </c>
      <c r="E154" s="191">
        <v>5795</v>
      </c>
      <c r="F154" s="191">
        <f t="shared" si="17"/>
        <v>54006</v>
      </c>
      <c r="G154" s="117"/>
      <c r="H154" s="117">
        <v>2854</v>
      </c>
      <c r="I154" s="117">
        <v>50702</v>
      </c>
      <c r="J154" s="117"/>
      <c r="K154" s="117">
        <v>450</v>
      </c>
      <c r="L154" s="117"/>
      <c r="M154" s="117"/>
      <c r="N154" s="117"/>
      <c r="O154" s="117"/>
      <c r="P154" s="117"/>
    </row>
    <row r="155" spans="1:16" ht="30" customHeight="1" x14ac:dyDescent="0.35">
      <c r="A155" s="116" t="s">
        <v>872</v>
      </c>
      <c r="B155" s="114">
        <f t="shared" si="16"/>
        <v>127880</v>
      </c>
      <c r="C155" s="191">
        <f t="shared" si="18"/>
        <v>34871</v>
      </c>
      <c r="D155" s="191">
        <f>22400+3887+1928</f>
        <v>28215</v>
      </c>
      <c r="E155" s="191">
        <v>6656</v>
      </c>
      <c r="F155" s="191">
        <f t="shared" si="17"/>
        <v>93009</v>
      </c>
      <c r="G155" s="117"/>
      <c r="H155" s="117">
        <v>8024</v>
      </c>
      <c r="I155" s="117">
        <f>60035+I156</f>
        <v>84385</v>
      </c>
      <c r="J155" s="117"/>
      <c r="K155" s="117">
        <v>600</v>
      </c>
      <c r="L155" s="117"/>
      <c r="M155" s="117"/>
      <c r="N155" s="117"/>
      <c r="O155" s="117"/>
      <c r="P155" s="117"/>
    </row>
    <row r="156" spans="1:16" ht="30" customHeight="1" x14ac:dyDescent="0.35">
      <c r="A156" s="232" t="s">
        <v>726</v>
      </c>
      <c r="B156" s="114">
        <f t="shared" si="16"/>
        <v>24350</v>
      </c>
      <c r="C156" s="191"/>
      <c r="D156" s="191"/>
      <c r="E156" s="191"/>
      <c r="F156" s="191">
        <f t="shared" si="17"/>
        <v>24350</v>
      </c>
      <c r="G156" s="117"/>
      <c r="H156" s="117"/>
      <c r="I156" s="117">
        <v>24350</v>
      </c>
      <c r="J156" s="117"/>
      <c r="K156" s="117"/>
      <c r="L156" s="117"/>
      <c r="M156" s="117"/>
      <c r="N156" s="117"/>
      <c r="O156" s="117"/>
      <c r="P156" s="117"/>
    </row>
    <row r="157" spans="1:16" ht="19.95" customHeight="1" x14ac:dyDescent="0.35">
      <c r="A157" s="115" t="s">
        <v>183</v>
      </c>
      <c r="B157" s="114">
        <f t="shared" si="16"/>
        <v>2840</v>
      </c>
      <c r="C157" s="191"/>
      <c r="D157" s="191"/>
      <c r="E157" s="191"/>
      <c r="F157" s="191">
        <f t="shared" si="17"/>
        <v>2840</v>
      </c>
      <c r="G157" s="117"/>
      <c r="H157" s="117">
        <v>2300</v>
      </c>
      <c r="I157" s="117">
        <v>340</v>
      </c>
      <c r="J157" s="117"/>
      <c r="K157" s="117">
        <v>200</v>
      </c>
      <c r="L157" s="117"/>
      <c r="M157" s="117"/>
      <c r="N157" s="117"/>
      <c r="O157" s="117"/>
      <c r="P157" s="117"/>
    </row>
    <row r="158" spans="1:16" ht="24.75" customHeight="1" x14ac:dyDescent="0.35">
      <c r="A158" s="115" t="s">
        <v>182</v>
      </c>
      <c r="B158" s="114">
        <f>SUM(C158:F158,L158:P158)</f>
        <v>17383</v>
      </c>
      <c r="C158" s="191"/>
      <c r="D158" s="191"/>
      <c r="E158" s="191"/>
      <c r="F158" s="191">
        <f t="shared" si="17"/>
        <v>17383</v>
      </c>
      <c r="G158" s="117"/>
      <c r="H158" s="117">
        <v>13729</v>
      </c>
      <c r="I158" s="117">
        <v>3654</v>
      </c>
      <c r="J158" s="117"/>
      <c r="K158" s="117"/>
      <c r="L158" s="117"/>
      <c r="M158" s="117"/>
      <c r="N158" s="117"/>
      <c r="O158" s="117"/>
      <c r="P158" s="117"/>
    </row>
    <row r="159" spans="1:16" ht="30" customHeight="1" x14ac:dyDescent="0.35">
      <c r="A159" s="116" t="s">
        <v>818</v>
      </c>
      <c r="B159" s="114">
        <f>SUM(C159+F159,L159:P159)</f>
        <v>4294</v>
      </c>
      <c r="C159" s="191"/>
      <c r="D159" s="191"/>
      <c r="E159" s="191"/>
      <c r="F159" s="191">
        <f t="shared" si="17"/>
        <v>4294</v>
      </c>
      <c r="G159" s="117"/>
      <c r="H159" s="117">
        <f>4094</f>
        <v>4094</v>
      </c>
      <c r="I159" s="117"/>
      <c r="J159" s="117"/>
      <c r="K159" s="117">
        <f>200</f>
        <v>200</v>
      </c>
      <c r="L159" s="117"/>
      <c r="M159" s="117"/>
      <c r="N159" s="117"/>
      <c r="O159" s="117"/>
      <c r="P159" s="117"/>
    </row>
    <row r="160" spans="1:16" ht="30" customHeight="1" x14ac:dyDescent="0.35">
      <c r="A160" s="116" t="s">
        <v>819</v>
      </c>
      <c r="B160" s="114">
        <f>SUM(C160+F160,L160:P160)</f>
        <v>5162</v>
      </c>
      <c r="C160" s="191"/>
      <c r="D160" s="191"/>
      <c r="E160" s="191"/>
      <c r="F160" s="191">
        <f t="shared" si="17"/>
        <v>5162</v>
      </c>
      <c r="G160" s="117"/>
      <c r="H160" s="117">
        <f>4299+H161</f>
        <v>4099</v>
      </c>
      <c r="I160" s="117">
        <f>350+I161</f>
        <v>550</v>
      </c>
      <c r="J160" s="117"/>
      <c r="K160" s="117">
        <v>513</v>
      </c>
      <c r="L160" s="117"/>
      <c r="M160" s="117"/>
      <c r="N160" s="117"/>
      <c r="O160" s="117"/>
      <c r="P160" s="117"/>
    </row>
    <row r="161" spans="1:16" ht="30" customHeight="1" x14ac:dyDescent="0.35">
      <c r="A161" s="232" t="s">
        <v>726</v>
      </c>
      <c r="B161" s="114">
        <f>SUM(C161+F161,L161:P161)</f>
        <v>0</v>
      </c>
      <c r="C161" s="191"/>
      <c r="D161" s="191"/>
      <c r="E161" s="191"/>
      <c r="F161" s="191">
        <f t="shared" si="17"/>
        <v>0</v>
      </c>
      <c r="G161" s="117"/>
      <c r="H161" s="117">
        <v>-200</v>
      </c>
      <c r="I161" s="117">
        <v>200</v>
      </c>
      <c r="J161" s="117"/>
      <c r="K161" s="117"/>
      <c r="L161" s="117"/>
      <c r="M161" s="117"/>
      <c r="N161" s="117"/>
      <c r="O161" s="117"/>
      <c r="P161" s="117"/>
    </row>
    <row r="162" spans="1:16" ht="30" customHeight="1" x14ac:dyDescent="0.35">
      <c r="A162" s="116" t="s">
        <v>820</v>
      </c>
      <c r="B162" s="114">
        <f>SUM(C162+F162,L162:P162)</f>
        <v>3136</v>
      </c>
      <c r="C162" s="191"/>
      <c r="D162" s="191"/>
      <c r="E162" s="191"/>
      <c r="F162" s="191">
        <f t="shared" si="17"/>
        <v>3136</v>
      </c>
      <c r="G162" s="117"/>
      <c r="H162" s="117">
        <v>2216</v>
      </c>
      <c r="I162" s="117">
        <v>700</v>
      </c>
      <c r="J162" s="117"/>
      <c r="K162" s="117">
        <v>220</v>
      </c>
      <c r="L162" s="117"/>
      <c r="M162" s="117"/>
      <c r="N162" s="117"/>
      <c r="O162" s="117"/>
      <c r="P162" s="117"/>
    </row>
    <row r="163" spans="1:16" ht="30" customHeight="1" x14ac:dyDescent="0.35">
      <c r="A163" s="118" t="s">
        <v>873</v>
      </c>
      <c r="B163" s="114">
        <f>SUM(C163:F163,L163:P163)</f>
        <v>6101</v>
      </c>
      <c r="C163" s="191"/>
      <c r="D163" s="191"/>
      <c r="E163" s="191"/>
      <c r="F163" s="191">
        <f t="shared" si="17"/>
        <v>6101</v>
      </c>
      <c r="G163" s="117"/>
      <c r="H163" s="117">
        <v>3201</v>
      </c>
      <c r="I163" s="117">
        <f>2900+I164</f>
        <v>2808</v>
      </c>
      <c r="J163" s="117"/>
      <c r="K163" s="117">
        <f>K164</f>
        <v>92</v>
      </c>
      <c r="L163" s="117"/>
      <c r="M163" s="117"/>
      <c r="N163" s="117"/>
      <c r="O163" s="117"/>
      <c r="P163" s="117"/>
    </row>
    <row r="164" spans="1:16" ht="30" customHeight="1" x14ac:dyDescent="0.35">
      <c r="A164" s="232" t="s">
        <v>726</v>
      </c>
      <c r="B164" s="114">
        <f>SUM(C164:F164,L164:P164)</f>
        <v>0</v>
      </c>
      <c r="C164" s="191"/>
      <c r="D164" s="191"/>
      <c r="E164" s="191"/>
      <c r="F164" s="191">
        <f t="shared" si="17"/>
        <v>0</v>
      </c>
      <c r="G164" s="117"/>
      <c r="H164" s="117"/>
      <c r="I164" s="117">
        <v>-92</v>
      </c>
      <c r="J164" s="117"/>
      <c r="K164" s="117">
        <v>92</v>
      </c>
      <c r="L164" s="117"/>
      <c r="M164" s="117"/>
      <c r="N164" s="117"/>
      <c r="O164" s="117"/>
      <c r="P164" s="117"/>
    </row>
    <row r="165" spans="1:16" ht="30" customHeight="1" x14ac:dyDescent="0.35">
      <c r="A165" s="118" t="s">
        <v>874</v>
      </c>
      <c r="B165" s="114">
        <f>SUM(C165+F165,L165:P165)</f>
        <v>5348</v>
      </c>
      <c r="C165" s="191"/>
      <c r="D165" s="191"/>
      <c r="E165" s="191"/>
      <c r="F165" s="191">
        <f t="shared" si="17"/>
        <v>5348</v>
      </c>
      <c r="G165" s="117"/>
      <c r="H165" s="117">
        <v>4898</v>
      </c>
      <c r="I165" s="117">
        <v>20</v>
      </c>
      <c r="J165" s="117"/>
      <c r="K165" s="117">
        <v>430</v>
      </c>
      <c r="L165" s="117"/>
      <c r="M165" s="117"/>
      <c r="N165" s="117"/>
      <c r="O165" s="117"/>
      <c r="P165" s="117"/>
    </row>
    <row r="166" spans="1:16" ht="30" customHeight="1" x14ac:dyDescent="0.35">
      <c r="A166" s="118" t="s">
        <v>875</v>
      </c>
      <c r="B166" s="114">
        <f>SUM(C166+F166,L166:P166)</f>
        <v>5000</v>
      </c>
      <c r="C166" s="191"/>
      <c r="D166" s="191"/>
      <c r="E166" s="191"/>
      <c r="F166" s="191">
        <f t="shared" si="17"/>
        <v>5000</v>
      </c>
      <c r="G166" s="117"/>
      <c r="H166" s="117">
        <v>3850</v>
      </c>
      <c r="I166" s="117">
        <v>700</v>
      </c>
      <c r="J166" s="117"/>
      <c r="K166" s="117">
        <v>450</v>
      </c>
      <c r="L166" s="117"/>
      <c r="M166" s="117"/>
      <c r="N166" s="117"/>
      <c r="O166" s="117"/>
      <c r="P166" s="117"/>
    </row>
    <row r="167" spans="1:16" ht="23.25" customHeight="1" x14ac:dyDescent="0.35">
      <c r="A167" s="120" t="s">
        <v>132</v>
      </c>
      <c r="B167" s="114">
        <f>SUM(C167+F167,L167:P167)</f>
        <v>6500</v>
      </c>
      <c r="C167" s="202"/>
      <c r="D167" s="203"/>
      <c r="E167" s="203"/>
      <c r="F167" s="191">
        <f>SUM(G167:K167)</f>
        <v>6500</v>
      </c>
      <c r="G167" s="117"/>
      <c r="H167" s="117">
        <f>4600+101+H168</f>
        <v>4871</v>
      </c>
      <c r="I167" s="117">
        <f>100+1274+I168</f>
        <v>1204</v>
      </c>
      <c r="J167" s="117"/>
      <c r="K167" s="117">
        <f>900+(-475)</f>
        <v>425</v>
      </c>
      <c r="L167" s="117"/>
      <c r="M167" s="117"/>
      <c r="N167" s="145"/>
      <c r="O167" s="117"/>
      <c r="P167" s="117"/>
    </row>
    <row r="168" spans="1:16" ht="23.25" customHeight="1" x14ac:dyDescent="0.35">
      <c r="A168" s="234" t="s">
        <v>726</v>
      </c>
      <c r="B168" s="114">
        <f>SUM(C168+F168,L168:P168)</f>
        <v>0</v>
      </c>
      <c r="C168" s="202"/>
      <c r="D168" s="203"/>
      <c r="E168" s="203"/>
      <c r="F168" s="191">
        <f>SUM(G168:K168)</f>
        <v>0</v>
      </c>
      <c r="G168" s="117"/>
      <c r="H168" s="117">
        <v>170</v>
      </c>
      <c r="I168" s="117">
        <v>-170</v>
      </c>
      <c r="J168" s="117"/>
      <c r="K168" s="117"/>
      <c r="L168" s="117"/>
      <c r="M168" s="117"/>
      <c r="N168" s="217"/>
      <c r="O168" s="117"/>
      <c r="P168" s="117"/>
    </row>
    <row r="169" spans="1:16" ht="30" customHeight="1" x14ac:dyDescent="0.35">
      <c r="A169" s="118" t="s">
        <v>876</v>
      </c>
      <c r="B169" s="114">
        <f>SUM(C169:F169,L169:P169)</f>
        <v>3193</v>
      </c>
      <c r="C169" s="202"/>
      <c r="D169" s="202"/>
      <c r="E169" s="202"/>
      <c r="F169" s="191">
        <f t="shared" si="17"/>
        <v>2642</v>
      </c>
      <c r="G169" s="117"/>
      <c r="H169" s="117">
        <f>2930-450</f>
        <v>2480</v>
      </c>
      <c r="I169" s="117">
        <f>203-126</f>
        <v>77</v>
      </c>
      <c r="J169" s="117"/>
      <c r="K169" s="117">
        <f>60+25</f>
        <v>85</v>
      </c>
      <c r="L169" s="117"/>
      <c r="M169" s="117"/>
      <c r="N169" s="143">
        <v>551</v>
      </c>
      <c r="O169" s="117"/>
      <c r="P169" s="117"/>
    </row>
    <row r="170" spans="1:16" ht="30" customHeight="1" x14ac:dyDescent="0.35">
      <c r="A170" s="118" t="s">
        <v>834</v>
      </c>
      <c r="B170" s="114">
        <f t="shared" ref="B170:B178" si="19">SUM(C170+F170,L170:P170)</f>
        <v>7036</v>
      </c>
      <c r="C170" s="191"/>
      <c r="D170" s="191"/>
      <c r="E170" s="191"/>
      <c r="F170" s="191">
        <f t="shared" si="17"/>
        <v>5436</v>
      </c>
      <c r="G170" s="117"/>
      <c r="H170" s="117">
        <v>4953</v>
      </c>
      <c r="I170" s="117">
        <v>260</v>
      </c>
      <c r="J170" s="117"/>
      <c r="K170" s="117">
        <v>223</v>
      </c>
      <c r="L170" s="117"/>
      <c r="M170" s="117"/>
      <c r="N170" s="117">
        <v>1600</v>
      </c>
      <c r="O170" s="117"/>
      <c r="P170" s="117"/>
    </row>
    <row r="171" spans="1:16" ht="30" customHeight="1" x14ac:dyDescent="0.35">
      <c r="A171" s="118" t="s">
        <v>836</v>
      </c>
      <c r="B171" s="114">
        <f t="shared" si="19"/>
        <v>2977</v>
      </c>
      <c r="C171" s="191"/>
      <c r="D171" s="191"/>
      <c r="E171" s="191"/>
      <c r="F171" s="191">
        <f t="shared" si="17"/>
        <v>2977</v>
      </c>
      <c r="G171" s="117"/>
      <c r="H171" s="117">
        <v>2330</v>
      </c>
      <c r="I171" s="117">
        <v>339</v>
      </c>
      <c r="J171" s="117"/>
      <c r="K171" s="117">
        <v>308</v>
      </c>
      <c r="L171" s="117"/>
      <c r="M171" s="117"/>
      <c r="N171" s="117"/>
      <c r="O171" s="117"/>
      <c r="P171" s="117"/>
    </row>
    <row r="172" spans="1:16" ht="21.6" customHeight="1" x14ac:dyDescent="0.35">
      <c r="A172" s="120" t="s">
        <v>133</v>
      </c>
      <c r="B172" s="114">
        <f t="shared" si="19"/>
        <v>6650</v>
      </c>
      <c r="C172" s="201"/>
      <c r="D172" s="202"/>
      <c r="E172" s="202"/>
      <c r="F172" s="191">
        <f t="shared" si="17"/>
        <v>6650</v>
      </c>
      <c r="G172" s="117"/>
      <c r="H172" s="117">
        <f>4850+330</f>
        <v>5180</v>
      </c>
      <c r="I172" s="117">
        <f>1800-330+(-500)</f>
        <v>970</v>
      </c>
      <c r="J172" s="117"/>
      <c r="K172" s="117">
        <v>500</v>
      </c>
      <c r="L172" s="117"/>
      <c r="M172" s="117"/>
      <c r="N172" s="141"/>
      <c r="O172" s="117"/>
      <c r="P172" s="117"/>
    </row>
    <row r="173" spans="1:16" ht="30" customHeight="1" x14ac:dyDescent="0.35">
      <c r="A173" s="118" t="s">
        <v>835</v>
      </c>
      <c r="B173" s="114">
        <f t="shared" si="19"/>
        <v>2127</v>
      </c>
      <c r="C173" s="191"/>
      <c r="D173" s="191"/>
      <c r="E173" s="191"/>
      <c r="F173" s="191">
        <f t="shared" si="17"/>
        <v>2127</v>
      </c>
      <c r="G173" s="117"/>
      <c r="H173" s="117">
        <v>1640</v>
      </c>
      <c r="I173" s="117">
        <v>200</v>
      </c>
      <c r="J173" s="117"/>
      <c r="K173" s="117">
        <v>287</v>
      </c>
      <c r="L173" s="117"/>
      <c r="M173" s="117"/>
      <c r="N173" s="117"/>
      <c r="O173" s="117"/>
      <c r="P173" s="117"/>
    </row>
    <row r="174" spans="1:16" ht="21" customHeight="1" x14ac:dyDescent="0.35">
      <c r="A174" s="118" t="s">
        <v>837</v>
      </c>
      <c r="B174" s="114">
        <f t="shared" si="19"/>
        <v>9405</v>
      </c>
      <c r="C174" s="191"/>
      <c r="D174" s="191"/>
      <c r="E174" s="191"/>
      <c r="F174" s="191">
        <f t="shared" ref="F174:F194" si="20">SUM(G174:K174)</f>
        <v>9405</v>
      </c>
      <c r="G174" s="117"/>
      <c r="H174" s="117">
        <v>7601</v>
      </c>
      <c r="I174" s="117">
        <v>984</v>
      </c>
      <c r="J174" s="117"/>
      <c r="K174" s="117">
        <v>820</v>
      </c>
      <c r="L174" s="117"/>
      <c r="M174" s="117"/>
      <c r="N174" s="117"/>
      <c r="O174" s="117"/>
      <c r="P174" s="117"/>
    </row>
    <row r="175" spans="1:16" ht="30" customHeight="1" x14ac:dyDescent="0.35">
      <c r="A175" s="118" t="s">
        <v>839</v>
      </c>
      <c r="B175" s="114">
        <f t="shared" si="19"/>
        <v>3605</v>
      </c>
      <c r="C175" s="191"/>
      <c r="D175" s="191"/>
      <c r="E175" s="191"/>
      <c r="F175" s="191">
        <f t="shared" si="20"/>
        <v>3605</v>
      </c>
      <c r="G175" s="117"/>
      <c r="H175" s="117">
        <v>1840</v>
      </c>
      <c r="I175" s="117">
        <v>1560</v>
      </c>
      <c r="J175" s="117"/>
      <c r="K175" s="117">
        <v>205</v>
      </c>
      <c r="L175" s="117"/>
      <c r="M175" s="117"/>
      <c r="N175" s="117"/>
      <c r="O175" s="117"/>
      <c r="P175" s="117"/>
    </row>
    <row r="176" spans="1:16" ht="30" customHeight="1" x14ac:dyDescent="0.35">
      <c r="A176" s="118" t="s">
        <v>838</v>
      </c>
      <c r="B176" s="114">
        <f t="shared" si="19"/>
        <v>5659</v>
      </c>
      <c r="C176" s="191"/>
      <c r="D176" s="191"/>
      <c r="E176" s="191"/>
      <c r="F176" s="191">
        <f t="shared" si="20"/>
        <v>5659</v>
      </c>
      <c r="G176" s="117"/>
      <c r="H176" s="117">
        <v>5009</v>
      </c>
      <c r="I176" s="117">
        <v>650</v>
      </c>
      <c r="J176" s="117"/>
      <c r="K176" s="117"/>
      <c r="L176" s="117"/>
      <c r="M176" s="117"/>
      <c r="N176" s="117"/>
      <c r="O176" s="117"/>
      <c r="P176" s="117"/>
    </row>
    <row r="177" spans="1:16" ht="30" customHeight="1" x14ac:dyDescent="0.35">
      <c r="A177" s="116" t="s">
        <v>827</v>
      </c>
      <c r="B177" s="114">
        <f t="shared" si="19"/>
        <v>3974</v>
      </c>
      <c r="C177" s="191"/>
      <c r="D177" s="191"/>
      <c r="E177" s="191"/>
      <c r="F177" s="191">
        <f t="shared" si="20"/>
        <v>3974</v>
      </c>
      <c r="G177" s="117"/>
      <c r="H177" s="117">
        <v>3610</v>
      </c>
      <c r="I177" s="117">
        <v>280</v>
      </c>
      <c r="J177" s="117"/>
      <c r="K177" s="117">
        <v>84</v>
      </c>
      <c r="L177" s="117"/>
      <c r="M177" s="117"/>
      <c r="N177" s="117"/>
      <c r="O177" s="117"/>
      <c r="P177" s="117"/>
    </row>
    <row r="178" spans="1:16" ht="30" customHeight="1" x14ac:dyDescent="0.35">
      <c r="A178" s="116" t="s">
        <v>104</v>
      </c>
      <c r="B178" s="114">
        <f t="shared" si="19"/>
        <v>30795</v>
      </c>
      <c r="C178" s="191">
        <f>D178+E178</f>
        <v>22926</v>
      </c>
      <c r="D178" s="191">
        <f>22248+940-4638</f>
        <v>18550</v>
      </c>
      <c r="E178" s="191">
        <v>4376</v>
      </c>
      <c r="F178" s="191">
        <f t="shared" si="20"/>
        <v>7869</v>
      </c>
      <c r="G178" s="117"/>
      <c r="H178" s="117">
        <v>3299</v>
      </c>
      <c r="I178" s="117">
        <v>2970</v>
      </c>
      <c r="J178" s="117"/>
      <c r="K178" s="117">
        <v>1600</v>
      </c>
      <c r="L178" s="117"/>
      <c r="M178" s="117"/>
      <c r="N178" s="117"/>
      <c r="O178" s="117"/>
      <c r="P178" s="117"/>
    </row>
    <row r="179" spans="1:16" ht="30" customHeight="1" x14ac:dyDescent="0.35">
      <c r="A179" s="116" t="s">
        <v>891</v>
      </c>
      <c r="B179" s="114">
        <f>SUM(C179:F179,L179:P179)</f>
        <v>2560</v>
      </c>
      <c r="C179" s="191"/>
      <c r="D179" s="191"/>
      <c r="E179" s="191"/>
      <c r="F179" s="191">
        <f t="shared" si="20"/>
        <v>2560</v>
      </c>
      <c r="G179" s="117"/>
      <c r="H179" s="117">
        <v>2560</v>
      </c>
      <c r="I179" s="117"/>
      <c r="J179" s="117"/>
      <c r="K179" s="117"/>
      <c r="L179" s="117"/>
      <c r="M179" s="117"/>
      <c r="N179" s="117"/>
      <c r="O179" s="117"/>
      <c r="P179" s="117"/>
    </row>
    <row r="180" spans="1:16" ht="30" customHeight="1" x14ac:dyDescent="0.35">
      <c r="A180" s="116" t="s">
        <v>892</v>
      </c>
      <c r="B180" s="114">
        <f>SUM(C180+F180,L180:P180)</f>
        <v>12366</v>
      </c>
      <c r="C180" s="191">
        <f>D180+E180</f>
        <v>9036</v>
      </c>
      <c r="D180" s="191">
        <v>7311</v>
      </c>
      <c r="E180" s="191">
        <v>1725</v>
      </c>
      <c r="F180" s="191">
        <f t="shared" si="20"/>
        <v>3330</v>
      </c>
      <c r="G180" s="117"/>
      <c r="H180" s="117">
        <v>1479</v>
      </c>
      <c r="I180" s="117">
        <v>1400</v>
      </c>
      <c r="J180" s="117"/>
      <c r="K180" s="117">
        <v>451</v>
      </c>
      <c r="L180" s="117"/>
      <c r="M180" s="117"/>
      <c r="N180" s="117"/>
      <c r="O180" s="117"/>
      <c r="P180" s="117"/>
    </row>
    <row r="181" spans="1:16" ht="30" customHeight="1" x14ac:dyDescent="0.35">
      <c r="A181" s="120" t="s">
        <v>129</v>
      </c>
      <c r="B181" s="114">
        <f>SUM(C181:F181,L181:P181)</f>
        <v>26000</v>
      </c>
      <c r="C181" s="201"/>
      <c r="D181" s="202"/>
      <c r="E181" s="204"/>
      <c r="F181" s="191">
        <f t="shared" si="20"/>
        <v>0</v>
      </c>
      <c r="G181" s="117"/>
      <c r="H181" s="117"/>
      <c r="I181" s="117"/>
      <c r="J181" s="117"/>
      <c r="K181" s="117"/>
      <c r="L181" s="117"/>
      <c r="M181" s="117"/>
      <c r="N181" s="141">
        <v>26000</v>
      </c>
      <c r="O181" s="117"/>
      <c r="P181" s="117"/>
    </row>
    <row r="182" spans="1:16" s="106" customFormat="1" ht="15" customHeight="1" x14ac:dyDescent="0.35">
      <c r="A182" s="116" t="s">
        <v>30</v>
      </c>
      <c r="B182" s="114">
        <f t="shared" ref="B182:B226" si="21">SUM(C182+F182,L182:P182)</f>
        <v>13943</v>
      </c>
      <c r="C182" s="117">
        <f>D182+E182</f>
        <v>11340</v>
      </c>
      <c r="D182" s="117">
        <f>8328+840</f>
        <v>9168</v>
      </c>
      <c r="E182" s="117">
        <v>2172</v>
      </c>
      <c r="F182" s="220">
        <f>SUM(G182:P182)</f>
        <v>2603</v>
      </c>
      <c r="G182" s="117"/>
      <c r="H182" s="117">
        <v>1361</v>
      </c>
      <c r="I182" s="117">
        <v>1242</v>
      </c>
      <c r="J182" s="117"/>
      <c r="K182" s="117"/>
      <c r="L182" s="117"/>
      <c r="M182" s="117"/>
      <c r="N182" s="117"/>
      <c r="O182" s="117"/>
      <c r="P182" s="117"/>
    </row>
    <row r="183" spans="1:16" s="106" customFormat="1" ht="15" customHeight="1" x14ac:dyDescent="0.35">
      <c r="A183" s="116" t="s">
        <v>31</v>
      </c>
      <c r="B183" s="114">
        <f t="shared" si="21"/>
        <v>15089</v>
      </c>
      <c r="C183" s="117">
        <f t="shared" ref="C183:C191" si="22">D183+E183</f>
        <v>12486</v>
      </c>
      <c r="D183" s="117">
        <f>2180+7818</f>
        <v>9998</v>
      </c>
      <c r="E183" s="117">
        <v>2488</v>
      </c>
      <c r="F183" s="117">
        <f>SUM(G183:K183)</f>
        <v>2603</v>
      </c>
      <c r="G183" s="117"/>
      <c r="H183" s="117">
        <v>1114</v>
      </c>
      <c r="I183" s="117">
        <v>1489</v>
      </c>
      <c r="J183" s="117"/>
      <c r="K183" s="117"/>
      <c r="L183" s="117"/>
      <c r="M183" s="117"/>
      <c r="N183" s="117"/>
      <c r="O183" s="117"/>
      <c r="P183" s="117"/>
    </row>
    <row r="184" spans="1:16" s="106" customFormat="1" ht="15" customHeight="1" x14ac:dyDescent="0.35">
      <c r="A184" s="116" t="s">
        <v>32</v>
      </c>
      <c r="B184" s="114">
        <f t="shared" si="21"/>
        <v>13911</v>
      </c>
      <c r="C184" s="117">
        <f t="shared" si="22"/>
        <v>11308</v>
      </c>
      <c r="D184" s="117">
        <f>840+8441</f>
        <v>9281</v>
      </c>
      <c r="E184" s="117">
        <v>2027</v>
      </c>
      <c r="F184" s="117">
        <f t="shared" si="20"/>
        <v>2603</v>
      </c>
      <c r="G184" s="117"/>
      <c r="H184" s="117">
        <v>1281</v>
      </c>
      <c r="I184" s="117">
        <v>1322</v>
      </c>
      <c r="J184" s="117"/>
      <c r="K184" s="117"/>
      <c r="L184" s="117"/>
      <c r="M184" s="117"/>
      <c r="N184" s="117"/>
      <c r="O184" s="117"/>
      <c r="P184" s="117"/>
    </row>
    <row r="185" spans="1:16" s="106" customFormat="1" ht="15" customHeight="1" x14ac:dyDescent="0.35">
      <c r="A185" s="116" t="s">
        <v>134</v>
      </c>
      <c r="B185" s="114">
        <f t="shared" si="21"/>
        <v>12896</v>
      </c>
      <c r="C185" s="117">
        <f>D185+E185</f>
        <v>10293</v>
      </c>
      <c r="D185" s="117">
        <f>8328</f>
        <v>8328</v>
      </c>
      <c r="E185" s="117">
        <v>1965</v>
      </c>
      <c r="F185" s="117">
        <f t="shared" si="20"/>
        <v>2603</v>
      </c>
      <c r="G185" s="117"/>
      <c r="H185" s="117">
        <v>1603</v>
      </c>
      <c r="I185" s="117">
        <v>1000</v>
      </c>
      <c r="J185" s="117"/>
      <c r="K185" s="117"/>
      <c r="L185" s="117"/>
      <c r="M185" s="117"/>
      <c r="N185" s="117"/>
      <c r="O185" s="117"/>
      <c r="P185" s="117"/>
    </row>
    <row r="186" spans="1:16" s="106" customFormat="1" ht="15" customHeight="1" x14ac:dyDescent="0.35">
      <c r="A186" s="116" t="s">
        <v>33</v>
      </c>
      <c r="B186" s="114">
        <f t="shared" si="21"/>
        <v>13024</v>
      </c>
      <c r="C186" s="117">
        <f t="shared" si="22"/>
        <v>10421</v>
      </c>
      <c r="D186" s="117">
        <f>8328</f>
        <v>8328</v>
      </c>
      <c r="E186" s="117">
        <v>2093</v>
      </c>
      <c r="F186" s="117">
        <f t="shared" si="20"/>
        <v>2603</v>
      </c>
      <c r="G186" s="117"/>
      <c r="H186" s="117">
        <v>1179</v>
      </c>
      <c r="I186" s="117">
        <v>1424</v>
      </c>
      <c r="J186" s="117"/>
      <c r="K186" s="117"/>
      <c r="L186" s="117"/>
      <c r="M186" s="117"/>
      <c r="N186" s="117"/>
      <c r="O186" s="117"/>
      <c r="P186" s="117"/>
    </row>
    <row r="187" spans="1:16" s="106" customFormat="1" ht="15" customHeight="1" x14ac:dyDescent="0.35">
      <c r="A187" s="119" t="s">
        <v>121</v>
      </c>
      <c r="B187" s="114">
        <f t="shared" si="21"/>
        <v>15914</v>
      </c>
      <c r="C187" s="229">
        <f t="shared" si="22"/>
        <v>13311</v>
      </c>
      <c r="D187" s="143">
        <f>3020+8001</f>
        <v>11021</v>
      </c>
      <c r="E187" s="217">
        <v>2290</v>
      </c>
      <c r="F187" s="117">
        <f t="shared" si="20"/>
        <v>2603</v>
      </c>
      <c r="G187" s="141"/>
      <c r="H187" s="141">
        <v>1321</v>
      </c>
      <c r="I187" s="141">
        <v>1282</v>
      </c>
      <c r="J187" s="141"/>
      <c r="K187" s="141"/>
      <c r="L187" s="141"/>
      <c r="M187" s="141"/>
      <c r="N187" s="141"/>
      <c r="O187" s="141"/>
      <c r="P187" s="141"/>
    </row>
    <row r="188" spans="1:16" s="106" customFormat="1" ht="15" customHeight="1" x14ac:dyDescent="0.35">
      <c r="A188" s="116" t="s">
        <v>116</v>
      </c>
      <c r="B188" s="114">
        <f t="shared" si="21"/>
        <v>15620</v>
      </c>
      <c r="C188" s="117">
        <f t="shared" si="22"/>
        <v>13017</v>
      </c>
      <c r="D188" s="117">
        <f>2100+8328</f>
        <v>10428</v>
      </c>
      <c r="E188" s="117">
        <f>624+1965</f>
        <v>2589</v>
      </c>
      <c r="F188" s="117">
        <f t="shared" si="20"/>
        <v>2603</v>
      </c>
      <c r="G188" s="117"/>
      <c r="H188" s="117">
        <v>810</v>
      </c>
      <c r="I188" s="117">
        <v>1793</v>
      </c>
      <c r="J188" s="117"/>
      <c r="K188" s="117"/>
      <c r="L188" s="117"/>
      <c r="M188" s="117"/>
      <c r="N188" s="117"/>
      <c r="O188" s="117"/>
      <c r="P188" s="117"/>
    </row>
    <row r="189" spans="1:16" ht="15" customHeight="1" x14ac:dyDescent="0.35">
      <c r="A189" s="116" t="s">
        <v>34</v>
      </c>
      <c r="B189" s="114">
        <f t="shared" si="21"/>
        <v>16826</v>
      </c>
      <c r="C189" s="191">
        <f t="shared" si="22"/>
        <v>13223</v>
      </c>
      <c r="D189" s="191">
        <f>2267+8328</f>
        <v>10595</v>
      </c>
      <c r="E189" s="191">
        <f>663+1965</f>
        <v>2628</v>
      </c>
      <c r="F189" s="191">
        <f t="shared" si="20"/>
        <v>3603</v>
      </c>
      <c r="G189" s="117"/>
      <c r="H189" s="117">
        <v>890</v>
      </c>
      <c r="I189" s="117">
        <f>1000+1713</f>
        <v>2713</v>
      </c>
      <c r="J189" s="117"/>
      <c r="K189" s="117"/>
      <c r="L189" s="117"/>
      <c r="M189" s="117"/>
      <c r="N189" s="117"/>
      <c r="O189" s="117"/>
      <c r="P189" s="117"/>
    </row>
    <row r="190" spans="1:16" ht="15" customHeight="1" x14ac:dyDescent="0.35">
      <c r="A190" s="116" t="s">
        <v>35</v>
      </c>
      <c r="B190" s="114">
        <f t="shared" si="21"/>
        <v>13024</v>
      </c>
      <c r="C190" s="191">
        <f t="shared" si="22"/>
        <v>10421</v>
      </c>
      <c r="D190" s="191">
        <f>8328</f>
        <v>8328</v>
      </c>
      <c r="E190" s="191">
        <v>2093</v>
      </c>
      <c r="F190" s="191">
        <f t="shared" si="20"/>
        <v>2603</v>
      </c>
      <c r="G190" s="117"/>
      <c r="H190" s="117">
        <v>1399</v>
      </c>
      <c r="I190" s="117">
        <v>1204</v>
      </c>
      <c r="J190" s="117"/>
      <c r="K190" s="117"/>
      <c r="L190" s="117"/>
      <c r="M190" s="117"/>
      <c r="N190" s="117"/>
      <c r="O190" s="117"/>
      <c r="P190" s="117"/>
    </row>
    <row r="191" spans="1:16" ht="30" customHeight="1" x14ac:dyDescent="0.35">
      <c r="A191" s="119" t="s">
        <v>167</v>
      </c>
      <c r="B191" s="114">
        <f t="shared" si="21"/>
        <v>19829</v>
      </c>
      <c r="C191" s="205">
        <f t="shared" si="22"/>
        <v>11028</v>
      </c>
      <c r="D191" s="204">
        <v>8923</v>
      </c>
      <c r="E191" s="202">
        <v>2105</v>
      </c>
      <c r="F191" s="191">
        <f t="shared" si="20"/>
        <v>8801</v>
      </c>
      <c r="G191" s="141"/>
      <c r="H191" s="141">
        <v>3366</v>
      </c>
      <c r="I191" s="141">
        <v>5435</v>
      </c>
      <c r="J191" s="141"/>
      <c r="K191" s="141"/>
      <c r="L191" s="141"/>
      <c r="M191" s="141"/>
      <c r="N191" s="141"/>
      <c r="O191" s="141"/>
      <c r="P191" s="141"/>
    </row>
    <row r="192" spans="1:16" ht="15" customHeight="1" x14ac:dyDescent="0.35">
      <c r="A192" s="116" t="s">
        <v>155</v>
      </c>
      <c r="B192" s="114">
        <f t="shared" si="21"/>
        <v>76922</v>
      </c>
      <c r="C192" s="191">
        <f>D192+E192</f>
        <v>70138</v>
      </c>
      <c r="D192" s="191">
        <v>56333</v>
      </c>
      <c r="E192" s="191">
        <v>13805</v>
      </c>
      <c r="F192" s="191">
        <f t="shared" si="20"/>
        <v>6784</v>
      </c>
      <c r="G192" s="117">
        <f>80+40</f>
        <v>120</v>
      </c>
      <c r="H192" s="117">
        <f>575+(-40)</f>
        <v>535</v>
      </c>
      <c r="I192" s="117">
        <v>6129</v>
      </c>
      <c r="J192" s="117"/>
      <c r="K192" s="117"/>
      <c r="L192" s="117"/>
      <c r="M192" s="117"/>
      <c r="N192" s="117"/>
      <c r="O192" s="117"/>
      <c r="P192" s="117"/>
    </row>
    <row r="193" spans="1:16" s="106" customFormat="1" ht="30" customHeight="1" x14ac:dyDescent="0.35">
      <c r="A193" s="116" t="s">
        <v>186</v>
      </c>
      <c r="B193" s="114">
        <f>SUM(C193+F193,L193:P193)</f>
        <v>32894</v>
      </c>
      <c r="C193" s="117">
        <f>D193+E193</f>
        <v>2860</v>
      </c>
      <c r="D193" s="117">
        <f>2860-294</f>
        <v>2566</v>
      </c>
      <c r="E193" s="117">
        <v>294</v>
      </c>
      <c r="F193" s="117">
        <f t="shared" si="20"/>
        <v>30034</v>
      </c>
      <c r="G193" s="117">
        <f>3484+(-400)</f>
        <v>3084</v>
      </c>
      <c r="H193" s="117">
        <f>12505+4400</f>
        <v>16905</v>
      </c>
      <c r="I193" s="117">
        <f>14045+(-4000)</f>
        <v>10045</v>
      </c>
      <c r="J193" s="117"/>
      <c r="K193" s="117"/>
      <c r="L193" s="117"/>
      <c r="M193" s="117"/>
      <c r="N193" s="117"/>
      <c r="O193" s="117"/>
      <c r="P193" s="117"/>
    </row>
    <row r="194" spans="1:16" s="106" customFormat="1" ht="27.75" customHeight="1" x14ac:dyDescent="0.35">
      <c r="A194" s="116" t="s">
        <v>674</v>
      </c>
      <c r="B194" s="114">
        <f t="shared" si="21"/>
        <v>19169</v>
      </c>
      <c r="C194" s="191">
        <f>D194+E194</f>
        <v>400</v>
      </c>
      <c r="D194" s="191">
        <v>320</v>
      </c>
      <c r="E194" s="191">
        <v>80</v>
      </c>
      <c r="F194" s="191">
        <f t="shared" si="20"/>
        <v>18769</v>
      </c>
      <c r="G194" s="117">
        <v>7713</v>
      </c>
      <c r="H194" s="117">
        <v>1300</v>
      </c>
      <c r="I194" s="117">
        <v>9756</v>
      </c>
      <c r="J194" s="117"/>
      <c r="K194" s="117"/>
      <c r="L194" s="117"/>
      <c r="M194" s="117"/>
      <c r="N194" s="117"/>
      <c r="O194" s="117"/>
      <c r="P194" s="117"/>
    </row>
    <row r="195" spans="1:16" ht="15" customHeight="1" x14ac:dyDescent="0.35">
      <c r="A195" s="116" t="s">
        <v>207</v>
      </c>
      <c r="B195" s="114">
        <f t="shared" si="21"/>
        <v>25492</v>
      </c>
      <c r="C195" s="191">
        <f>D195+E195</f>
        <v>15084</v>
      </c>
      <c r="D195" s="191">
        <v>12030</v>
      </c>
      <c r="E195" s="191">
        <v>3054</v>
      </c>
      <c r="F195" s="191">
        <f>SUM(G195:K195)</f>
        <v>9008</v>
      </c>
      <c r="G195" s="117"/>
      <c r="H195" s="117">
        <v>2423</v>
      </c>
      <c r="I195" s="117">
        <f>7185-600</f>
        <v>6585</v>
      </c>
      <c r="J195" s="117"/>
      <c r="K195" s="117"/>
      <c r="L195" s="117"/>
      <c r="M195" s="117"/>
      <c r="N195" s="117">
        <f>800+600</f>
        <v>1400</v>
      </c>
      <c r="O195" s="117"/>
      <c r="P195" s="117"/>
    </row>
    <row r="196" spans="1:16" ht="15" customHeight="1" x14ac:dyDescent="0.35">
      <c r="A196" s="116" t="s">
        <v>36</v>
      </c>
      <c r="B196" s="114">
        <f>SUM(C196+F196,L196:P196)</f>
        <v>504846</v>
      </c>
      <c r="C196" s="191">
        <f t="shared" ref="C196:C205" si="23">D196+E196</f>
        <v>437914</v>
      </c>
      <c r="D196" s="191">
        <f>328878+D197</f>
        <v>353641</v>
      </c>
      <c r="E196" s="191">
        <f>77385+E197</f>
        <v>84273</v>
      </c>
      <c r="F196" s="191">
        <f t="shared" ref="F196:F228" si="24">SUM(G196:K196)</f>
        <v>42532</v>
      </c>
      <c r="G196" s="117">
        <v>270</v>
      </c>
      <c r="H196" s="117">
        <v>23992</v>
      </c>
      <c r="I196" s="117">
        <v>4870</v>
      </c>
      <c r="J196" s="117">
        <v>13400</v>
      </c>
      <c r="K196" s="117"/>
      <c r="L196" s="117"/>
      <c r="M196" s="117"/>
      <c r="N196" s="117">
        <v>24400</v>
      </c>
      <c r="O196" s="117"/>
      <c r="P196" s="117"/>
    </row>
    <row r="197" spans="1:16" ht="15" customHeight="1" x14ac:dyDescent="0.35">
      <c r="A197" s="232" t="s">
        <v>726</v>
      </c>
      <c r="B197" s="114">
        <f t="shared" si="21"/>
        <v>31651</v>
      </c>
      <c r="C197" s="191">
        <f t="shared" si="23"/>
        <v>31651</v>
      </c>
      <c r="D197" s="191">
        <v>24763</v>
      </c>
      <c r="E197" s="191">
        <v>6888</v>
      </c>
      <c r="F197" s="191"/>
      <c r="G197" s="117"/>
      <c r="H197" s="117"/>
      <c r="I197" s="117"/>
      <c r="J197" s="117"/>
      <c r="K197" s="117"/>
      <c r="L197" s="117"/>
      <c r="M197" s="117"/>
      <c r="N197" s="117"/>
      <c r="O197" s="117"/>
      <c r="P197" s="117"/>
    </row>
    <row r="198" spans="1:16" ht="15" customHeight="1" x14ac:dyDescent="0.35">
      <c r="A198" s="115" t="s">
        <v>82</v>
      </c>
      <c r="B198" s="114">
        <f t="shared" si="21"/>
        <v>127876</v>
      </c>
      <c r="C198" s="191">
        <f t="shared" si="23"/>
        <v>97105</v>
      </c>
      <c r="D198" s="191">
        <v>78144</v>
      </c>
      <c r="E198" s="191">
        <v>18961</v>
      </c>
      <c r="F198" s="191">
        <f t="shared" si="24"/>
        <v>30771</v>
      </c>
      <c r="G198" s="117">
        <v>203</v>
      </c>
      <c r="H198" s="117">
        <f>28288+(-2)</f>
        <v>28286</v>
      </c>
      <c r="I198" s="117">
        <v>2280</v>
      </c>
      <c r="J198" s="117"/>
      <c r="K198" s="117">
        <v>2</v>
      </c>
      <c r="L198" s="117"/>
      <c r="M198" s="117"/>
      <c r="N198" s="117"/>
      <c r="O198" s="117"/>
      <c r="P198" s="117"/>
    </row>
    <row r="199" spans="1:16" ht="15" customHeight="1" x14ac:dyDescent="0.35">
      <c r="A199" s="183" t="s">
        <v>135</v>
      </c>
      <c r="B199" s="223">
        <f t="shared" si="21"/>
        <v>49301</v>
      </c>
      <c r="C199" s="206">
        <f t="shared" si="23"/>
        <v>40635</v>
      </c>
      <c r="D199" s="206">
        <f>33507-642</f>
        <v>32865</v>
      </c>
      <c r="E199" s="206">
        <f>7128+642</f>
        <v>7770</v>
      </c>
      <c r="F199" s="206">
        <f t="shared" si="24"/>
        <v>8566</v>
      </c>
      <c r="G199" s="181">
        <v>90</v>
      </c>
      <c r="H199" s="181">
        <v>3453</v>
      </c>
      <c r="I199" s="181">
        <v>5023</v>
      </c>
      <c r="J199" s="181"/>
      <c r="K199" s="181"/>
      <c r="L199" s="181"/>
      <c r="M199" s="181"/>
      <c r="N199" s="181">
        <v>100</v>
      </c>
      <c r="O199" s="181"/>
      <c r="P199" s="181"/>
    </row>
    <row r="200" spans="1:16" ht="15" customHeight="1" x14ac:dyDescent="0.35">
      <c r="A200" s="187" t="s">
        <v>124</v>
      </c>
      <c r="B200" s="114">
        <f t="shared" si="21"/>
        <v>10051</v>
      </c>
      <c r="C200" s="202">
        <f t="shared" si="23"/>
        <v>9087</v>
      </c>
      <c r="D200" s="202">
        <v>7749</v>
      </c>
      <c r="E200" s="202">
        <v>1338</v>
      </c>
      <c r="F200" s="191">
        <f t="shared" si="24"/>
        <v>964</v>
      </c>
      <c r="G200" s="143">
        <v>30</v>
      </c>
      <c r="H200" s="143">
        <v>392</v>
      </c>
      <c r="I200" s="143">
        <v>542</v>
      </c>
      <c r="J200" s="143"/>
      <c r="K200" s="143"/>
      <c r="L200" s="143"/>
      <c r="M200" s="143"/>
      <c r="N200" s="143"/>
      <c r="O200" s="143"/>
      <c r="P200" s="186"/>
    </row>
    <row r="201" spans="1:16" ht="20.25" customHeight="1" x14ac:dyDescent="0.35">
      <c r="A201" s="184" t="s">
        <v>123</v>
      </c>
      <c r="B201" s="224">
        <f t="shared" si="21"/>
        <v>40744</v>
      </c>
      <c r="C201" s="207">
        <f t="shared" si="23"/>
        <v>27541</v>
      </c>
      <c r="D201" s="207">
        <v>22393</v>
      </c>
      <c r="E201" s="207">
        <v>5148</v>
      </c>
      <c r="F201" s="207">
        <f t="shared" si="24"/>
        <v>13203</v>
      </c>
      <c r="G201" s="185">
        <v>80</v>
      </c>
      <c r="H201" s="185">
        <f>3158+101</f>
        <v>3259</v>
      </c>
      <c r="I201" s="185">
        <f>9965+(-101)</f>
        <v>9864</v>
      </c>
      <c r="J201" s="185"/>
      <c r="K201" s="185"/>
      <c r="L201" s="185"/>
      <c r="M201" s="185"/>
      <c r="N201" s="185"/>
      <c r="O201" s="185"/>
      <c r="P201" s="185"/>
    </row>
    <row r="202" spans="1:16" ht="30" customHeight="1" x14ac:dyDescent="0.35">
      <c r="A202" s="118" t="s">
        <v>122</v>
      </c>
      <c r="B202" s="114">
        <f t="shared" si="21"/>
        <v>13905</v>
      </c>
      <c r="C202" s="191">
        <f>D202+E202</f>
        <v>9173</v>
      </c>
      <c r="D202" s="191">
        <v>7417</v>
      </c>
      <c r="E202" s="191">
        <v>1756</v>
      </c>
      <c r="F202" s="191">
        <f t="shared" si="24"/>
        <v>4732</v>
      </c>
      <c r="G202" s="117"/>
      <c r="H202" s="117">
        <v>2282</v>
      </c>
      <c r="I202" s="117">
        <v>2450</v>
      </c>
      <c r="J202" s="117"/>
      <c r="K202" s="117"/>
      <c r="L202" s="117"/>
      <c r="M202" s="117"/>
      <c r="N202" s="117"/>
      <c r="O202" s="117"/>
      <c r="P202" s="117"/>
    </row>
    <row r="203" spans="1:16" ht="15" customHeight="1" x14ac:dyDescent="0.35">
      <c r="A203" s="118" t="s">
        <v>80</v>
      </c>
      <c r="B203" s="114">
        <f t="shared" si="21"/>
        <v>247705</v>
      </c>
      <c r="C203" s="191">
        <f t="shared" si="23"/>
        <v>187607</v>
      </c>
      <c r="D203" s="191">
        <v>152250</v>
      </c>
      <c r="E203" s="191">
        <v>35357</v>
      </c>
      <c r="F203" s="191">
        <f t="shared" si="24"/>
        <v>59882</v>
      </c>
      <c r="G203" s="117">
        <v>130</v>
      </c>
      <c r="H203" s="117">
        <v>33164</v>
      </c>
      <c r="I203" s="117">
        <f>15047-216+11757</f>
        <v>26588</v>
      </c>
      <c r="J203" s="117"/>
      <c r="K203" s="117"/>
      <c r="L203" s="117"/>
      <c r="M203" s="117"/>
      <c r="N203" s="117">
        <v>216</v>
      </c>
      <c r="O203" s="117"/>
      <c r="P203" s="117"/>
    </row>
    <row r="204" spans="1:16" ht="15" customHeight="1" x14ac:dyDescent="0.35">
      <c r="A204" s="118" t="s">
        <v>37</v>
      </c>
      <c r="B204" s="114">
        <f>SUM(C204+F204,L204:P204)</f>
        <v>62056</v>
      </c>
      <c r="C204" s="191">
        <f>D204+E204</f>
        <v>1734</v>
      </c>
      <c r="D204" s="191">
        <f>1734-21</f>
        <v>1713</v>
      </c>
      <c r="E204" s="191">
        <v>21</v>
      </c>
      <c r="F204" s="191">
        <f>SUM(G204:K204)</f>
        <v>60322</v>
      </c>
      <c r="G204" s="117"/>
      <c r="H204" s="117">
        <f>56212</f>
        <v>56212</v>
      </c>
      <c r="I204" s="117">
        <f>4110</f>
        <v>4110</v>
      </c>
      <c r="J204" s="117"/>
      <c r="K204" s="117"/>
      <c r="L204" s="117"/>
      <c r="M204" s="117"/>
      <c r="N204" s="117"/>
      <c r="O204" s="117"/>
      <c r="P204" s="117"/>
    </row>
    <row r="205" spans="1:16" ht="15" customHeight="1" x14ac:dyDescent="0.35">
      <c r="A205" s="118" t="s">
        <v>136</v>
      </c>
      <c r="B205" s="114">
        <f t="shared" si="21"/>
        <v>45814</v>
      </c>
      <c r="C205" s="191">
        <f t="shared" si="23"/>
        <v>36008</v>
      </c>
      <c r="D205" s="191">
        <v>30158</v>
      </c>
      <c r="E205" s="191">
        <v>5850</v>
      </c>
      <c r="F205" s="191">
        <f t="shared" si="24"/>
        <v>9806</v>
      </c>
      <c r="G205" s="117"/>
      <c r="H205" s="117">
        <v>7756</v>
      </c>
      <c r="I205" s="117">
        <f>1350+700</f>
        <v>2050</v>
      </c>
      <c r="J205" s="117"/>
      <c r="K205" s="117"/>
      <c r="L205" s="117"/>
      <c r="M205" s="117"/>
      <c r="N205" s="117"/>
      <c r="O205" s="117"/>
      <c r="P205" s="117"/>
    </row>
    <row r="206" spans="1:16" ht="15" customHeight="1" x14ac:dyDescent="0.35">
      <c r="A206" s="118" t="s">
        <v>179</v>
      </c>
      <c r="B206" s="114">
        <f>SUM(C206+F206,L206:P206)</f>
        <v>47594</v>
      </c>
      <c r="C206" s="191">
        <f t="shared" ref="C206:C216" si="25">D206+E206</f>
        <v>37049</v>
      </c>
      <c r="D206" s="191">
        <v>30175</v>
      </c>
      <c r="E206" s="191">
        <v>6874</v>
      </c>
      <c r="F206" s="191">
        <f>SUM(G206:K206)</f>
        <v>10545</v>
      </c>
      <c r="G206" s="117">
        <f>G207</f>
        <v>4</v>
      </c>
      <c r="H206" s="117">
        <f>6475+H207</f>
        <v>7411</v>
      </c>
      <c r="I206" s="117">
        <f>2820+I207</f>
        <v>3130</v>
      </c>
      <c r="J206" s="117"/>
      <c r="K206" s="117"/>
      <c r="L206" s="117"/>
      <c r="M206" s="117"/>
      <c r="N206" s="117"/>
      <c r="O206" s="117"/>
      <c r="P206" s="117"/>
    </row>
    <row r="207" spans="1:16" ht="15" customHeight="1" x14ac:dyDescent="0.35">
      <c r="A207" s="232" t="s">
        <v>726</v>
      </c>
      <c r="B207" s="114">
        <f t="shared" si="21"/>
        <v>1250</v>
      </c>
      <c r="C207" s="191"/>
      <c r="D207" s="191"/>
      <c r="E207" s="191"/>
      <c r="F207" s="191">
        <f t="shared" si="24"/>
        <v>1250</v>
      </c>
      <c r="G207" s="117">
        <v>4</v>
      </c>
      <c r="H207" s="117">
        <v>936</v>
      </c>
      <c r="I207" s="117">
        <v>310</v>
      </c>
      <c r="J207" s="117"/>
      <c r="K207" s="117"/>
      <c r="L207" s="117"/>
      <c r="M207" s="117"/>
      <c r="N207" s="117"/>
      <c r="O207" s="117"/>
      <c r="P207" s="117"/>
    </row>
    <row r="208" spans="1:16" ht="15" customHeight="1" x14ac:dyDescent="0.35">
      <c r="A208" s="118" t="s">
        <v>38</v>
      </c>
      <c r="B208" s="114">
        <f t="shared" si="21"/>
        <v>41948</v>
      </c>
      <c r="C208" s="191">
        <f t="shared" si="25"/>
        <v>33216</v>
      </c>
      <c r="D208" s="191">
        <v>26905</v>
      </c>
      <c r="E208" s="191">
        <v>6311</v>
      </c>
      <c r="F208" s="191">
        <f t="shared" si="24"/>
        <v>8732</v>
      </c>
      <c r="G208" s="117"/>
      <c r="H208" s="117">
        <v>4457</v>
      </c>
      <c r="I208" s="117">
        <v>4275</v>
      </c>
      <c r="J208" s="117"/>
      <c r="K208" s="117"/>
      <c r="L208" s="117"/>
      <c r="M208" s="117"/>
      <c r="N208" s="117"/>
      <c r="O208" s="117"/>
      <c r="P208" s="117"/>
    </row>
    <row r="209" spans="1:17" ht="15" customHeight="1" x14ac:dyDescent="0.35">
      <c r="A209" s="118" t="s">
        <v>39</v>
      </c>
      <c r="B209" s="114">
        <f t="shared" si="21"/>
        <v>31644</v>
      </c>
      <c r="C209" s="191">
        <f t="shared" si="25"/>
        <v>27048</v>
      </c>
      <c r="D209" s="191">
        <v>21722</v>
      </c>
      <c r="E209" s="191">
        <v>5326</v>
      </c>
      <c r="F209" s="191">
        <f t="shared" si="24"/>
        <v>4596</v>
      </c>
      <c r="G209" s="117"/>
      <c r="H209" s="117">
        <v>2666</v>
      </c>
      <c r="I209" s="117">
        <v>1930</v>
      </c>
      <c r="J209" s="117"/>
      <c r="K209" s="117"/>
      <c r="L209" s="117"/>
      <c r="M209" s="117"/>
      <c r="N209" s="117"/>
      <c r="O209" s="117"/>
      <c r="P209" s="117"/>
    </row>
    <row r="210" spans="1:17" ht="15" customHeight="1" x14ac:dyDescent="0.35">
      <c r="A210" s="118" t="s">
        <v>40</v>
      </c>
      <c r="B210" s="114">
        <f t="shared" si="21"/>
        <v>57400</v>
      </c>
      <c r="C210" s="191">
        <f t="shared" si="25"/>
        <v>36631</v>
      </c>
      <c r="D210" s="191">
        <v>29879</v>
      </c>
      <c r="E210" s="191">
        <v>6752</v>
      </c>
      <c r="F210" s="191">
        <f t="shared" si="24"/>
        <v>20769</v>
      </c>
      <c r="G210" s="117"/>
      <c r="H210" s="117">
        <v>13869</v>
      </c>
      <c r="I210" s="117">
        <v>6900</v>
      </c>
      <c r="J210" s="117"/>
      <c r="K210" s="117"/>
      <c r="L210" s="117"/>
      <c r="M210" s="117"/>
      <c r="N210" s="117"/>
      <c r="O210" s="117"/>
      <c r="P210" s="117"/>
    </row>
    <row r="211" spans="1:17" ht="15" customHeight="1" x14ac:dyDescent="0.35">
      <c r="A211" s="120" t="s">
        <v>120</v>
      </c>
      <c r="B211" s="114">
        <f t="shared" si="21"/>
        <v>47314</v>
      </c>
      <c r="C211" s="201">
        <f t="shared" si="25"/>
        <v>30804</v>
      </c>
      <c r="D211" s="202">
        <v>24993</v>
      </c>
      <c r="E211" s="204">
        <v>5811</v>
      </c>
      <c r="F211" s="191">
        <f t="shared" si="24"/>
        <v>16510</v>
      </c>
      <c r="G211" s="141"/>
      <c r="H211" s="141">
        <v>12785</v>
      </c>
      <c r="I211" s="141">
        <v>3725</v>
      </c>
      <c r="J211" s="141"/>
      <c r="K211" s="141"/>
      <c r="L211" s="141"/>
      <c r="M211" s="141"/>
      <c r="N211" s="141"/>
      <c r="O211" s="141"/>
      <c r="P211" s="141"/>
    </row>
    <row r="212" spans="1:17" ht="15" customHeight="1" x14ac:dyDescent="0.35">
      <c r="A212" s="118" t="s">
        <v>178</v>
      </c>
      <c r="B212" s="114">
        <f t="shared" si="21"/>
        <v>12114</v>
      </c>
      <c r="C212" s="191">
        <f t="shared" si="25"/>
        <v>8851</v>
      </c>
      <c r="D212" s="191">
        <f>7134-354</f>
        <v>6780</v>
      </c>
      <c r="E212" s="191">
        <f>1717+354</f>
        <v>2071</v>
      </c>
      <c r="F212" s="191">
        <f t="shared" si="24"/>
        <v>3263</v>
      </c>
      <c r="G212" s="117"/>
      <c r="H212" s="117">
        <v>2228</v>
      </c>
      <c r="I212" s="117">
        <v>1035</v>
      </c>
      <c r="J212" s="117"/>
      <c r="K212" s="117"/>
      <c r="L212" s="117"/>
      <c r="M212" s="117"/>
      <c r="N212" s="117"/>
      <c r="O212" s="117"/>
      <c r="P212" s="117"/>
    </row>
    <row r="213" spans="1:17" ht="15" customHeight="1" x14ac:dyDescent="0.35">
      <c r="A213" s="118" t="s">
        <v>139</v>
      </c>
      <c r="B213" s="114">
        <f t="shared" si="21"/>
        <v>37450</v>
      </c>
      <c r="C213" s="191">
        <f t="shared" si="25"/>
        <v>24987</v>
      </c>
      <c r="D213" s="191">
        <v>19291</v>
      </c>
      <c r="E213" s="191">
        <v>5696</v>
      </c>
      <c r="F213" s="191">
        <f t="shared" si="24"/>
        <v>12463</v>
      </c>
      <c r="G213" s="117"/>
      <c r="H213" s="117">
        <v>6773</v>
      </c>
      <c r="I213" s="117">
        <v>5690</v>
      </c>
      <c r="J213" s="117"/>
      <c r="K213" s="117"/>
      <c r="L213" s="117"/>
      <c r="M213" s="117"/>
      <c r="N213" s="117"/>
      <c r="O213" s="117"/>
      <c r="P213" s="117"/>
    </row>
    <row r="214" spans="1:17" ht="15" customHeight="1" x14ac:dyDescent="0.35">
      <c r="A214" s="118" t="s">
        <v>185</v>
      </c>
      <c r="B214" s="114">
        <f t="shared" si="21"/>
        <v>25294</v>
      </c>
      <c r="C214" s="191">
        <f t="shared" si="25"/>
        <v>18406</v>
      </c>
      <c r="D214" s="191">
        <v>14751</v>
      </c>
      <c r="E214" s="191">
        <v>3655</v>
      </c>
      <c r="F214" s="191">
        <f t="shared" si="24"/>
        <v>5888</v>
      </c>
      <c r="G214" s="117"/>
      <c r="H214" s="117">
        <f>4045-400-600</f>
        <v>3045</v>
      </c>
      <c r="I214" s="117">
        <v>2843</v>
      </c>
      <c r="J214" s="117"/>
      <c r="K214" s="117"/>
      <c r="L214" s="117"/>
      <c r="M214" s="117"/>
      <c r="N214" s="117">
        <v>1000</v>
      </c>
      <c r="O214" s="117"/>
      <c r="P214" s="117"/>
    </row>
    <row r="215" spans="1:17" ht="15" customHeight="1" x14ac:dyDescent="0.35">
      <c r="A215" s="180" t="s">
        <v>176</v>
      </c>
      <c r="B215" s="223">
        <f t="shared" si="21"/>
        <v>18466</v>
      </c>
      <c r="C215" s="206">
        <f t="shared" si="25"/>
        <v>13685</v>
      </c>
      <c r="D215" s="206">
        <f>11094-777</f>
        <v>10317</v>
      </c>
      <c r="E215" s="206">
        <f>2591+777</f>
        <v>3368</v>
      </c>
      <c r="F215" s="206">
        <f t="shared" si="24"/>
        <v>4781</v>
      </c>
      <c r="G215" s="181"/>
      <c r="H215" s="181">
        <v>3012</v>
      </c>
      <c r="I215" s="181">
        <v>1769</v>
      </c>
      <c r="J215" s="181"/>
      <c r="K215" s="181"/>
      <c r="L215" s="181"/>
      <c r="M215" s="181"/>
      <c r="N215" s="181"/>
      <c r="O215" s="181"/>
      <c r="P215" s="181"/>
    </row>
    <row r="216" spans="1:17" ht="15" customHeight="1" x14ac:dyDescent="0.35">
      <c r="A216" s="182" t="s">
        <v>170</v>
      </c>
      <c r="B216" s="224">
        <f t="shared" si="21"/>
        <v>65006</v>
      </c>
      <c r="C216" s="208">
        <f t="shared" si="25"/>
        <v>51669</v>
      </c>
      <c r="D216" s="209">
        <v>42047</v>
      </c>
      <c r="E216" s="204">
        <v>9622</v>
      </c>
      <c r="F216" s="207">
        <f t="shared" si="24"/>
        <v>12417</v>
      </c>
      <c r="G216" s="142"/>
      <c r="H216" s="142">
        <v>8402</v>
      </c>
      <c r="I216" s="142">
        <v>4015</v>
      </c>
      <c r="J216" s="142"/>
      <c r="K216" s="142"/>
      <c r="L216" s="142"/>
      <c r="M216" s="142"/>
      <c r="N216" s="142">
        <v>920</v>
      </c>
      <c r="O216" s="142"/>
      <c r="P216" s="142"/>
    </row>
    <row r="217" spans="1:17" ht="15" customHeight="1" x14ac:dyDescent="0.35">
      <c r="A217" s="118" t="s">
        <v>195</v>
      </c>
      <c r="B217" s="114">
        <f t="shared" si="21"/>
        <v>47154</v>
      </c>
      <c r="C217" s="191">
        <f t="shared" ref="C217:C226" si="26">D217+E217</f>
        <v>38937</v>
      </c>
      <c r="D217" s="191">
        <v>31966</v>
      </c>
      <c r="E217" s="191">
        <v>6971</v>
      </c>
      <c r="F217" s="191">
        <f t="shared" si="24"/>
        <v>8217</v>
      </c>
      <c r="G217" s="117"/>
      <c r="H217" s="117">
        <v>5662</v>
      </c>
      <c r="I217" s="117">
        <v>2555</v>
      </c>
      <c r="J217" s="117"/>
      <c r="K217" s="117"/>
      <c r="L217" s="117"/>
      <c r="M217" s="117"/>
      <c r="N217" s="117"/>
      <c r="O217" s="117"/>
      <c r="P217" s="117"/>
    </row>
    <row r="218" spans="1:17" ht="15" customHeight="1" x14ac:dyDescent="0.35">
      <c r="A218" s="118" t="s">
        <v>187</v>
      </c>
      <c r="B218" s="114">
        <f t="shared" si="21"/>
        <v>35518</v>
      </c>
      <c r="C218" s="191">
        <f t="shared" si="26"/>
        <v>28223</v>
      </c>
      <c r="D218" s="191">
        <v>22268</v>
      </c>
      <c r="E218" s="191">
        <v>5955</v>
      </c>
      <c r="F218" s="191">
        <f t="shared" si="24"/>
        <v>7295</v>
      </c>
      <c r="G218" s="117"/>
      <c r="H218" s="117">
        <v>4275</v>
      </c>
      <c r="I218" s="117">
        <v>3020</v>
      </c>
      <c r="J218" s="117"/>
      <c r="K218" s="117"/>
      <c r="L218" s="117"/>
      <c r="M218" s="117"/>
      <c r="N218" s="117"/>
      <c r="O218" s="117"/>
      <c r="P218" s="117"/>
    </row>
    <row r="219" spans="1:17" ht="15" customHeight="1" x14ac:dyDescent="0.35">
      <c r="A219" s="118" t="s">
        <v>41</v>
      </c>
      <c r="B219" s="114">
        <f t="shared" si="21"/>
        <v>28085</v>
      </c>
      <c r="C219" s="191">
        <f t="shared" si="26"/>
        <v>19270</v>
      </c>
      <c r="D219" s="191">
        <v>15633</v>
      </c>
      <c r="E219" s="191">
        <v>3637</v>
      </c>
      <c r="F219" s="191">
        <f t="shared" si="24"/>
        <v>8815</v>
      </c>
      <c r="G219" s="117"/>
      <c r="H219" s="117">
        <v>5216</v>
      </c>
      <c r="I219" s="117">
        <v>3599</v>
      </c>
      <c r="J219" s="117"/>
      <c r="K219" s="117"/>
      <c r="L219" s="117"/>
      <c r="M219" s="117"/>
      <c r="N219" s="117"/>
      <c r="O219" s="117"/>
      <c r="P219" s="117"/>
    </row>
    <row r="220" spans="1:17" ht="15" customHeight="1" x14ac:dyDescent="0.35">
      <c r="A220" s="118" t="s">
        <v>138</v>
      </c>
      <c r="B220" s="114">
        <f t="shared" si="21"/>
        <v>115257</v>
      </c>
      <c r="C220" s="191">
        <f t="shared" si="26"/>
        <v>82078</v>
      </c>
      <c r="D220" s="191">
        <v>66476</v>
      </c>
      <c r="E220" s="191">
        <v>15602</v>
      </c>
      <c r="F220" s="191">
        <f t="shared" si="24"/>
        <v>33179</v>
      </c>
      <c r="G220" s="117"/>
      <c r="H220" s="117">
        <f>23134+(-210)</f>
        <v>22924</v>
      </c>
      <c r="I220" s="117">
        <f>10045+210</f>
        <v>10255</v>
      </c>
      <c r="J220" s="117"/>
      <c r="K220" s="117"/>
      <c r="L220" s="117"/>
      <c r="M220" s="117"/>
      <c r="N220" s="117"/>
      <c r="O220" s="117"/>
      <c r="P220" s="117"/>
    </row>
    <row r="221" spans="1:17" ht="15" customHeight="1" x14ac:dyDescent="0.35">
      <c r="A221" s="118" t="s">
        <v>137</v>
      </c>
      <c r="B221" s="114">
        <f t="shared" si="21"/>
        <v>56136</v>
      </c>
      <c r="C221" s="191">
        <f t="shared" si="26"/>
        <v>33178</v>
      </c>
      <c r="D221" s="191">
        <v>26887</v>
      </c>
      <c r="E221" s="191">
        <v>6291</v>
      </c>
      <c r="F221" s="191">
        <f t="shared" si="24"/>
        <v>22958</v>
      </c>
      <c r="G221" s="117"/>
      <c r="H221" s="117">
        <v>9726</v>
      </c>
      <c r="I221" s="117">
        <f>8421+I222</f>
        <v>13232</v>
      </c>
      <c r="J221" s="117"/>
      <c r="K221" s="117"/>
      <c r="L221" s="117"/>
      <c r="M221" s="117"/>
      <c r="N221" s="117"/>
      <c r="O221" s="117"/>
      <c r="P221" s="117"/>
    </row>
    <row r="222" spans="1:17" ht="15" customHeight="1" x14ac:dyDescent="0.35">
      <c r="A222" s="232" t="s">
        <v>726</v>
      </c>
      <c r="B222" s="114">
        <f t="shared" si="21"/>
        <v>4811</v>
      </c>
      <c r="C222" s="191"/>
      <c r="D222" s="191"/>
      <c r="E222" s="191"/>
      <c r="F222" s="191">
        <f t="shared" si="24"/>
        <v>4811</v>
      </c>
      <c r="G222" s="117"/>
      <c r="H222" s="117"/>
      <c r="I222" s="117">
        <v>4811</v>
      </c>
      <c r="J222" s="117"/>
      <c r="K222" s="117"/>
      <c r="L222" s="117"/>
      <c r="M222" s="117"/>
      <c r="N222" s="117"/>
      <c r="O222" s="117"/>
      <c r="P222" s="117"/>
    </row>
    <row r="223" spans="1:17" ht="30" customHeight="1" x14ac:dyDescent="0.35">
      <c r="A223" s="116" t="s">
        <v>140</v>
      </c>
      <c r="B223" s="114">
        <f t="shared" si="21"/>
        <v>33974</v>
      </c>
      <c r="C223" s="191">
        <f t="shared" si="26"/>
        <v>24748</v>
      </c>
      <c r="D223" s="191">
        <v>19812</v>
      </c>
      <c r="E223" s="191">
        <v>4936</v>
      </c>
      <c r="F223" s="191">
        <f t="shared" si="24"/>
        <v>9226</v>
      </c>
      <c r="G223" s="117"/>
      <c r="H223" s="117">
        <v>4396</v>
      </c>
      <c r="I223" s="117">
        <v>4830</v>
      </c>
      <c r="J223" s="117"/>
      <c r="K223" s="117"/>
      <c r="L223" s="117"/>
      <c r="M223" s="117"/>
      <c r="N223" s="117"/>
      <c r="O223" s="117"/>
      <c r="P223" s="117"/>
      <c r="Q223" s="67"/>
    </row>
    <row r="224" spans="1:17" ht="30" customHeight="1" x14ac:dyDescent="0.35">
      <c r="A224" s="116" t="s">
        <v>893</v>
      </c>
      <c r="B224" s="114">
        <f t="shared" si="21"/>
        <v>67372</v>
      </c>
      <c r="C224" s="191">
        <f t="shared" si="26"/>
        <v>40124</v>
      </c>
      <c r="D224" s="191">
        <v>31977</v>
      </c>
      <c r="E224" s="191">
        <v>8147</v>
      </c>
      <c r="F224" s="191">
        <f t="shared" si="24"/>
        <v>27248</v>
      </c>
      <c r="G224" s="117"/>
      <c r="H224" s="117">
        <v>13013</v>
      </c>
      <c r="I224" s="117">
        <v>14235</v>
      </c>
      <c r="J224" s="117"/>
      <c r="K224" s="117"/>
      <c r="L224" s="117"/>
      <c r="M224" s="117"/>
      <c r="N224" s="117"/>
      <c r="O224" s="117"/>
      <c r="P224" s="117"/>
    </row>
    <row r="225" spans="1:18" ht="30" customHeight="1" x14ac:dyDescent="0.35">
      <c r="A225" s="118" t="s">
        <v>894</v>
      </c>
      <c r="B225" s="114">
        <f t="shared" si="21"/>
        <v>8804</v>
      </c>
      <c r="C225" s="191">
        <f t="shared" si="26"/>
        <v>6664</v>
      </c>
      <c r="D225" s="191">
        <v>5392</v>
      </c>
      <c r="E225" s="191">
        <v>1272</v>
      </c>
      <c r="F225" s="191">
        <f t="shared" si="24"/>
        <v>2140</v>
      </c>
      <c r="G225" s="117"/>
      <c r="H225" s="117">
        <v>420</v>
      </c>
      <c r="I225" s="117">
        <v>1720</v>
      </c>
      <c r="J225" s="117"/>
      <c r="K225" s="117"/>
      <c r="L225" s="117"/>
      <c r="M225" s="117"/>
      <c r="N225" s="117"/>
      <c r="O225" s="117"/>
      <c r="P225" s="117"/>
    </row>
    <row r="226" spans="1:18" ht="30" customHeight="1" x14ac:dyDescent="0.35">
      <c r="A226" s="118" t="s">
        <v>895</v>
      </c>
      <c r="B226" s="114">
        <f t="shared" si="21"/>
        <v>10661</v>
      </c>
      <c r="C226" s="191">
        <f t="shared" si="26"/>
        <v>8852</v>
      </c>
      <c r="D226" s="191">
        <v>6873</v>
      </c>
      <c r="E226" s="191">
        <v>1979</v>
      </c>
      <c r="F226" s="191">
        <f t="shared" si="24"/>
        <v>1809</v>
      </c>
      <c r="G226" s="117"/>
      <c r="H226" s="117">
        <v>250</v>
      </c>
      <c r="I226" s="117">
        <v>409</v>
      </c>
      <c r="J226" s="117"/>
      <c r="K226" s="117">
        <v>1150</v>
      </c>
      <c r="L226" s="117"/>
      <c r="M226" s="117"/>
      <c r="N226" s="117"/>
      <c r="O226" s="117"/>
      <c r="P226" s="117"/>
    </row>
    <row r="227" spans="1:18" ht="62.1" customHeight="1" x14ac:dyDescent="0.35">
      <c r="A227" s="116" t="s">
        <v>208</v>
      </c>
      <c r="B227" s="114">
        <f>SUM(C227:F227,L227:P227)</f>
        <v>7745</v>
      </c>
      <c r="C227" s="191"/>
      <c r="D227" s="191"/>
      <c r="E227" s="191"/>
      <c r="F227" s="191">
        <f t="shared" si="24"/>
        <v>0</v>
      </c>
      <c r="G227" s="117"/>
      <c r="H227" s="117"/>
      <c r="I227" s="117"/>
      <c r="J227" s="117"/>
      <c r="K227" s="117"/>
      <c r="L227" s="117">
        <v>7745</v>
      </c>
      <c r="M227" s="117"/>
      <c r="N227" s="117"/>
      <c r="O227" s="117"/>
      <c r="P227" s="117"/>
    </row>
    <row r="228" spans="1:18" ht="20.25" customHeight="1" x14ac:dyDescent="0.35">
      <c r="A228" s="115" t="s">
        <v>157</v>
      </c>
      <c r="B228" s="114">
        <f t="shared" ref="B228:B242" si="27">SUM(C228+F228,L228:P228)</f>
        <v>56506</v>
      </c>
      <c r="C228" s="202">
        <f>D228+E228</f>
        <v>51783</v>
      </c>
      <c r="D228" s="202">
        <v>42042</v>
      </c>
      <c r="E228" s="202">
        <v>9741</v>
      </c>
      <c r="F228" s="191">
        <f t="shared" si="24"/>
        <v>4723</v>
      </c>
      <c r="G228" s="143">
        <v>32</v>
      </c>
      <c r="H228" s="143">
        <v>1420</v>
      </c>
      <c r="I228" s="143">
        <v>3271</v>
      </c>
      <c r="J228" s="143"/>
      <c r="K228" s="143"/>
      <c r="L228" s="143"/>
      <c r="M228" s="143"/>
      <c r="N228" s="143"/>
      <c r="O228" s="143"/>
      <c r="P228" s="143"/>
    </row>
    <row r="229" spans="1:18" ht="21.75" customHeight="1" x14ac:dyDescent="0.35">
      <c r="A229" s="115" t="s">
        <v>158</v>
      </c>
      <c r="B229" s="114">
        <f t="shared" si="27"/>
        <v>36083</v>
      </c>
      <c r="C229" s="202">
        <f>D229</f>
        <v>800</v>
      </c>
      <c r="D229" s="202">
        <f>800</f>
        <v>800</v>
      </c>
      <c r="E229" s="202">
        <f>0</f>
        <v>0</v>
      </c>
      <c r="F229" s="191">
        <f t="shared" ref="F229:F235" si="28">SUM(G229:K229)</f>
        <v>35283</v>
      </c>
      <c r="G229" s="143"/>
      <c r="H229" s="143">
        <f>24040</f>
        <v>24040</v>
      </c>
      <c r="I229" s="143">
        <v>11243</v>
      </c>
      <c r="J229" s="143"/>
      <c r="K229" s="143"/>
      <c r="L229" s="143"/>
      <c r="M229" s="143"/>
      <c r="N229" s="143"/>
      <c r="O229" s="143"/>
      <c r="P229" s="143"/>
    </row>
    <row r="230" spans="1:18" ht="21" customHeight="1" x14ac:dyDescent="0.35">
      <c r="A230" s="116" t="s">
        <v>42</v>
      </c>
      <c r="B230" s="114">
        <f t="shared" si="27"/>
        <v>62508</v>
      </c>
      <c r="C230" s="191">
        <f>D230+E230</f>
        <v>2383</v>
      </c>
      <c r="D230" s="191">
        <f>500+1497</f>
        <v>1997</v>
      </c>
      <c r="E230" s="191">
        <v>386</v>
      </c>
      <c r="F230" s="191">
        <f t="shared" si="28"/>
        <v>59125</v>
      </c>
      <c r="G230" s="117"/>
      <c r="H230" s="117">
        <f>44700-1883</f>
        <v>42817</v>
      </c>
      <c r="I230" s="117">
        <v>16300</v>
      </c>
      <c r="J230" s="117"/>
      <c r="K230" s="117">
        <v>8</v>
      </c>
      <c r="L230" s="117"/>
      <c r="M230" s="117"/>
      <c r="N230" s="117"/>
      <c r="O230" s="117">
        <v>1000</v>
      </c>
      <c r="P230" s="117"/>
    </row>
    <row r="231" spans="1:18" ht="15" customHeight="1" x14ac:dyDescent="0.35">
      <c r="A231" s="116" t="s">
        <v>43</v>
      </c>
      <c r="B231" s="114">
        <f>SUM(C231+F231,L231:P231)</f>
        <v>1113911</v>
      </c>
      <c r="C231" s="191">
        <f>D231+E231</f>
        <v>962861</v>
      </c>
      <c r="D231" s="191">
        <f>205853+332299+180571-4448+6303+D232</f>
        <v>777583</v>
      </c>
      <c r="E231" s="191">
        <f>50408+78389+42597-1049+1486+E232</f>
        <v>185278</v>
      </c>
      <c r="F231" s="191">
        <f t="shared" si="28"/>
        <v>121853</v>
      </c>
      <c r="G231" s="117"/>
      <c r="H231" s="117">
        <f>46839-720+H232</f>
        <v>46426</v>
      </c>
      <c r="I231" s="117">
        <f>73754+720+1260+I232</f>
        <v>75427</v>
      </c>
      <c r="J231" s="117"/>
      <c r="K231" s="117"/>
      <c r="L231" s="117"/>
      <c r="M231" s="117"/>
      <c r="N231" s="117">
        <f>27200+1997</f>
        <v>29197</v>
      </c>
      <c r="O231" s="117"/>
      <c r="P231" s="117"/>
    </row>
    <row r="232" spans="1:18" ht="15" customHeight="1" x14ac:dyDescent="0.35">
      <c r="A232" s="232" t="s">
        <v>726</v>
      </c>
      <c r="B232" s="114">
        <f>SUM(C232+F232,L232:P232)</f>
        <v>70452</v>
      </c>
      <c r="C232" s="191">
        <f>D232+E232</f>
        <v>70452</v>
      </c>
      <c r="D232" s="191">
        <f>-17849+74854</f>
        <v>57005</v>
      </c>
      <c r="E232" s="191">
        <f>-4211+17658</f>
        <v>13447</v>
      </c>
      <c r="F232" s="191">
        <f t="shared" si="28"/>
        <v>0</v>
      </c>
      <c r="G232" s="117"/>
      <c r="H232" s="117">
        <v>307</v>
      </c>
      <c r="I232" s="117">
        <v>-307</v>
      </c>
      <c r="J232" s="117"/>
      <c r="K232" s="117"/>
      <c r="L232" s="117"/>
      <c r="M232" s="117"/>
      <c r="N232" s="117"/>
      <c r="O232" s="117"/>
      <c r="P232" s="117"/>
    </row>
    <row r="233" spans="1:18" ht="15" customHeight="1" x14ac:dyDescent="0.35">
      <c r="A233" s="116" t="s">
        <v>44</v>
      </c>
      <c r="B233" s="114">
        <f>SUM(C233+F233,L233:P233)</f>
        <v>698451</v>
      </c>
      <c r="C233" s="191">
        <f t="shared" ref="C233:C241" si="29">D233+E233</f>
        <v>617469</v>
      </c>
      <c r="D233" s="191">
        <f>133751+248476+66089-1236+1047+D234</f>
        <v>467960</v>
      </c>
      <c r="E233" s="191">
        <f>70668+58616+15591-292+247+E234</f>
        <v>149509</v>
      </c>
      <c r="F233" s="191">
        <f t="shared" si="28"/>
        <v>80142</v>
      </c>
      <c r="G233" s="117"/>
      <c r="H233" s="117">
        <v>30701</v>
      </c>
      <c r="I233" s="117">
        <f>48556+885</f>
        <v>49441</v>
      </c>
      <c r="J233" s="117"/>
      <c r="K233" s="117"/>
      <c r="L233" s="117"/>
      <c r="M233" s="117"/>
      <c r="N233" s="117">
        <v>840</v>
      </c>
      <c r="O233" s="117"/>
      <c r="P233" s="117"/>
      <c r="Q233" s="67"/>
    </row>
    <row r="234" spans="1:18" ht="15" customHeight="1" x14ac:dyDescent="0.35">
      <c r="A234" s="232" t="s">
        <v>726</v>
      </c>
      <c r="B234" s="114">
        <f>SUM(C234+F234,L234:P234)</f>
        <v>24512</v>
      </c>
      <c r="C234" s="191">
        <f t="shared" si="29"/>
        <v>24512</v>
      </c>
      <c r="D234" s="191">
        <f>-13781+33614</f>
        <v>19833</v>
      </c>
      <c r="E234" s="191">
        <f>-3251+7930</f>
        <v>4679</v>
      </c>
      <c r="F234" s="191"/>
      <c r="G234" s="117"/>
      <c r="H234" s="117"/>
      <c r="I234" s="117"/>
      <c r="J234" s="117"/>
      <c r="K234" s="117"/>
      <c r="L234" s="117"/>
      <c r="M234" s="117"/>
      <c r="N234" s="117"/>
      <c r="O234" s="117"/>
      <c r="P234" s="117"/>
      <c r="Q234" s="67"/>
    </row>
    <row r="235" spans="1:18" ht="15" customHeight="1" x14ac:dyDescent="0.35">
      <c r="A235" s="116" t="s">
        <v>45</v>
      </c>
      <c r="B235" s="114">
        <f t="shared" si="27"/>
        <v>139340</v>
      </c>
      <c r="C235" s="191">
        <f t="shared" si="29"/>
        <v>130667</v>
      </c>
      <c r="D235" s="191">
        <f>33320+51917+9968+D236</f>
        <v>105717</v>
      </c>
      <c r="E235" s="191">
        <f>7871+12247+2352+E236</f>
        <v>24950</v>
      </c>
      <c r="F235" s="191">
        <f t="shared" si="28"/>
        <v>8673</v>
      </c>
      <c r="G235" s="117"/>
      <c r="H235" s="117">
        <v>1049</v>
      </c>
      <c r="I235" s="117">
        <f>7534+90</f>
        <v>7624</v>
      </c>
      <c r="J235" s="117"/>
      <c r="K235" s="117"/>
      <c r="L235" s="117"/>
      <c r="M235" s="117"/>
      <c r="N235" s="117"/>
      <c r="O235" s="117"/>
      <c r="P235" s="117"/>
    </row>
    <row r="236" spans="1:18" ht="15" customHeight="1" x14ac:dyDescent="0.35">
      <c r="A236" s="232" t="s">
        <v>726</v>
      </c>
      <c r="B236" s="114">
        <f t="shared" si="27"/>
        <v>12992</v>
      </c>
      <c r="C236" s="191">
        <f t="shared" si="29"/>
        <v>12992</v>
      </c>
      <c r="D236" s="191">
        <f>7094+3418</f>
        <v>10512</v>
      </c>
      <c r="E236" s="191">
        <f>1674+806</f>
        <v>2480</v>
      </c>
      <c r="F236" s="191"/>
      <c r="G236" s="117"/>
      <c r="H236" s="117"/>
      <c r="I236" s="117"/>
      <c r="J236" s="117"/>
      <c r="K236" s="117"/>
      <c r="L236" s="117"/>
      <c r="M236" s="117"/>
      <c r="N236" s="117"/>
      <c r="O236" s="117"/>
      <c r="P236" s="117"/>
    </row>
    <row r="237" spans="1:18" ht="15" customHeight="1" x14ac:dyDescent="0.35">
      <c r="A237" s="116" t="s">
        <v>46</v>
      </c>
      <c r="B237" s="114">
        <f t="shared" si="27"/>
        <v>365746</v>
      </c>
      <c r="C237" s="191">
        <f t="shared" si="29"/>
        <v>334550</v>
      </c>
      <c r="D237" s="191">
        <f>113286+115815+29627+D238</f>
        <v>270308</v>
      </c>
      <c r="E237" s="191">
        <f>27200+27321+6989+E238</f>
        <v>64242</v>
      </c>
      <c r="F237" s="191">
        <f t="shared" ref="F237:F242" si="30">SUM(G237:K237)</f>
        <v>31196</v>
      </c>
      <c r="G237" s="117"/>
      <c r="H237" s="117">
        <v>7862</v>
      </c>
      <c r="I237" s="117">
        <f>23124+210</f>
        <v>23334</v>
      </c>
      <c r="J237" s="117"/>
      <c r="K237" s="117"/>
      <c r="L237" s="117"/>
      <c r="M237" s="117"/>
      <c r="N237" s="117"/>
      <c r="O237" s="117"/>
      <c r="P237" s="117"/>
    </row>
    <row r="238" spans="1:18" ht="15" customHeight="1" x14ac:dyDescent="0.35">
      <c r="A238" s="232" t="s">
        <v>726</v>
      </c>
      <c r="B238" s="114">
        <f t="shared" si="27"/>
        <v>14312</v>
      </c>
      <c r="C238" s="191">
        <f t="shared" si="29"/>
        <v>14312</v>
      </c>
      <c r="D238" s="191">
        <f>3602+7978</f>
        <v>11580</v>
      </c>
      <c r="E238" s="191">
        <f>850+1882</f>
        <v>2732</v>
      </c>
      <c r="F238" s="191"/>
      <c r="G238" s="117"/>
      <c r="H238" s="117"/>
      <c r="I238" s="117"/>
      <c r="J238" s="117"/>
      <c r="K238" s="117"/>
      <c r="L238" s="117"/>
      <c r="M238" s="117"/>
      <c r="N238" s="117"/>
      <c r="O238" s="117"/>
      <c r="P238" s="117"/>
    </row>
    <row r="239" spans="1:18" ht="30" customHeight="1" x14ac:dyDescent="0.35">
      <c r="A239" s="116" t="s">
        <v>146</v>
      </c>
      <c r="B239" s="114">
        <f>SUM(C239+F239,L239:P239)</f>
        <v>321131</v>
      </c>
      <c r="C239" s="191">
        <f>D239+E239</f>
        <v>288881</v>
      </c>
      <c r="D239" s="191">
        <f>66002+115671+33578-2330+D240</f>
        <v>234007</v>
      </c>
      <c r="E239" s="191">
        <f>15242+27287+7921-550+E240</f>
        <v>54874</v>
      </c>
      <c r="F239" s="191">
        <f>SUM(G239:K239)</f>
        <v>29403</v>
      </c>
      <c r="G239" s="117"/>
      <c r="H239" s="117">
        <f>8320+H240</f>
        <v>8320</v>
      </c>
      <c r="I239" s="117">
        <f>19685+465+I240</f>
        <v>21083</v>
      </c>
      <c r="J239" s="117"/>
      <c r="K239" s="117"/>
      <c r="L239" s="117"/>
      <c r="M239" s="117"/>
      <c r="N239" s="117">
        <f>2780+N240</f>
        <v>2847</v>
      </c>
      <c r="O239" s="117"/>
      <c r="P239" s="117"/>
    </row>
    <row r="240" spans="1:18" ht="30" customHeight="1" x14ac:dyDescent="0.35">
      <c r="A240" s="232" t="s">
        <v>726</v>
      </c>
      <c r="B240" s="114">
        <f>SUM(C240+F240,L240:P240)</f>
        <v>27060</v>
      </c>
      <c r="C240" s="191">
        <f>D240+E240</f>
        <v>26060</v>
      </c>
      <c r="D240" s="191">
        <f>291+20795</f>
        <v>21086</v>
      </c>
      <c r="E240" s="191">
        <f>69+4905</f>
        <v>4974</v>
      </c>
      <c r="F240" s="191">
        <f>SUM(G240:K240)</f>
        <v>933</v>
      </c>
      <c r="G240" s="117"/>
      <c r="H240" s="117"/>
      <c r="I240" s="117">
        <f>513+420</f>
        <v>933</v>
      </c>
      <c r="J240" s="117"/>
      <c r="K240" s="117"/>
      <c r="L240" s="117"/>
      <c r="M240" s="117"/>
      <c r="N240" s="117">
        <v>67</v>
      </c>
      <c r="O240" s="117"/>
      <c r="P240" s="117"/>
      <c r="R240" s="236"/>
    </row>
    <row r="241" spans="1:20" ht="30" customHeight="1" x14ac:dyDescent="0.35">
      <c r="A241" s="116" t="s">
        <v>147</v>
      </c>
      <c r="B241" s="114">
        <f>SUM(C241+F241,L241:P241)</f>
        <v>153371</v>
      </c>
      <c r="C241" s="191">
        <f t="shared" si="29"/>
        <v>124971</v>
      </c>
      <c r="D241" s="191">
        <f>38534+48829+13677</f>
        <v>101040</v>
      </c>
      <c r="E241" s="191">
        <f>9185+11519+3227</f>
        <v>23931</v>
      </c>
      <c r="F241" s="191">
        <f>SUM(G241:K241)</f>
        <v>28400</v>
      </c>
      <c r="G241" s="117"/>
      <c r="H241" s="117">
        <v>6181</v>
      </c>
      <c r="I241" s="117">
        <f>22639+I242</f>
        <v>22219</v>
      </c>
      <c r="J241" s="117"/>
      <c r="K241" s="117"/>
      <c r="L241" s="117"/>
      <c r="M241" s="117"/>
      <c r="N241" s="117"/>
      <c r="O241" s="117"/>
      <c r="P241" s="117"/>
    </row>
    <row r="242" spans="1:20" ht="30" customHeight="1" x14ac:dyDescent="0.35">
      <c r="A242" s="232" t="s">
        <v>726</v>
      </c>
      <c r="B242" s="114">
        <f t="shared" si="27"/>
        <v>-420</v>
      </c>
      <c r="C242" s="191"/>
      <c r="D242" s="191"/>
      <c r="E242" s="191"/>
      <c r="F242" s="191">
        <f t="shared" si="30"/>
        <v>-420</v>
      </c>
      <c r="G242" s="117"/>
      <c r="H242" s="117"/>
      <c r="I242" s="117">
        <v>-420</v>
      </c>
      <c r="J242" s="117"/>
      <c r="K242" s="117"/>
      <c r="L242" s="117"/>
      <c r="M242" s="117"/>
      <c r="N242" s="117"/>
      <c r="O242" s="117"/>
      <c r="P242" s="117"/>
    </row>
    <row r="243" spans="1:20" ht="15" customHeight="1" x14ac:dyDescent="0.35">
      <c r="A243" s="116" t="s">
        <v>83</v>
      </c>
      <c r="B243" s="114">
        <f t="shared" ref="B243:B249" si="31">SUM(C243+F243,L243:P243)</f>
        <v>1600669</v>
      </c>
      <c r="C243" s="191">
        <f>E243+D243</f>
        <v>1214046</v>
      </c>
      <c r="D243" s="191">
        <f>150768+13739+14092+531868-6124+447+1562+D244</f>
        <v>977931</v>
      </c>
      <c r="E243" s="191">
        <f>40988+3241+3324+125468-1445+105+368+E244</f>
        <v>236115</v>
      </c>
      <c r="F243" s="191">
        <f>SUM(G243:K243)</f>
        <v>376219</v>
      </c>
      <c r="G243" s="117">
        <f>400+G244</f>
        <v>245</v>
      </c>
      <c r="H243" s="117">
        <v>97742</v>
      </c>
      <c r="I243" s="117">
        <f>270503+6870+I244</f>
        <v>278230</v>
      </c>
      <c r="J243" s="117"/>
      <c r="K243" s="117">
        <f>K244</f>
        <v>2</v>
      </c>
      <c r="L243" s="117"/>
      <c r="M243" s="117"/>
      <c r="N243" s="117">
        <f>9000+N244</f>
        <v>10404</v>
      </c>
      <c r="O243" s="117"/>
      <c r="P243" s="117"/>
    </row>
    <row r="244" spans="1:20" ht="15" customHeight="1" x14ac:dyDescent="0.35">
      <c r="A244" s="232" t="s">
        <v>726</v>
      </c>
      <c r="B244" s="114">
        <f>SUM(C244+F244,L244:P244)</f>
        <v>337753</v>
      </c>
      <c r="C244" s="191">
        <f>E244+D244</f>
        <v>335645</v>
      </c>
      <c r="D244" s="191">
        <f>264433+4214+2932</f>
        <v>271579</v>
      </c>
      <c r="E244" s="191">
        <f>62380+994+692</f>
        <v>64066</v>
      </c>
      <c r="F244" s="191">
        <f>SUM(G244:K244)</f>
        <v>704</v>
      </c>
      <c r="G244" s="117">
        <v>-155</v>
      </c>
      <c r="H244" s="117"/>
      <c r="I244" s="117">
        <f>-1136+49+1944</f>
        <v>857</v>
      </c>
      <c r="J244" s="117"/>
      <c r="K244" s="117">
        <v>2</v>
      </c>
      <c r="L244" s="117"/>
      <c r="M244" s="117"/>
      <c r="N244" s="117">
        <f>155+1134+115</f>
        <v>1404</v>
      </c>
      <c r="O244" s="117"/>
      <c r="P244" s="117"/>
      <c r="Q244" s="237"/>
    </row>
    <row r="245" spans="1:20" s="106" customFormat="1" ht="15" customHeight="1" x14ac:dyDescent="0.35">
      <c r="A245" s="116" t="s">
        <v>153</v>
      </c>
      <c r="B245" s="114">
        <f>SUM(C245+F245,L245:P245)</f>
        <v>591343</v>
      </c>
      <c r="C245" s="117">
        <f>D245+E245</f>
        <v>507504</v>
      </c>
      <c r="D245" s="117">
        <f>166995+37835+85592+4932+13677+22041-4864+4274+D246</f>
        <v>400836</v>
      </c>
      <c r="E245" s="117">
        <f>51076+8925+20192+1164+3227+5199-1148+1436+E246</f>
        <v>106668</v>
      </c>
      <c r="F245" s="117">
        <f t="shared" ref="F245:F249" si="32">SUM(G245:K245)</f>
        <v>81505</v>
      </c>
      <c r="G245" s="117">
        <v>40</v>
      </c>
      <c r="H245" s="117">
        <f>16519+4500</f>
        <v>21019</v>
      </c>
      <c r="I245" s="117">
        <f>64052+(-3615)+I246</f>
        <v>60208</v>
      </c>
      <c r="J245" s="117"/>
      <c r="K245" s="117">
        <v>238</v>
      </c>
      <c r="L245" s="117"/>
      <c r="M245" s="117"/>
      <c r="N245" s="117">
        <v>2334</v>
      </c>
      <c r="O245" s="117"/>
      <c r="P245" s="117"/>
      <c r="Q245" s="237"/>
      <c r="R245" s="43"/>
      <c r="S245" s="43"/>
      <c r="T245" s="43"/>
    </row>
    <row r="246" spans="1:20" s="106" customFormat="1" ht="15" customHeight="1" x14ac:dyDescent="0.35">
      <c r="A246" s="232" t="s">
        <v>726</v>
      </c>
      <c r="B246" s="114">
        <f>SUM(C246+F246,L246:P246)</f>
        <v>86722</v>
      </c>
      <c r="C246" s="117">
        <f>D246+E246</f>
        <v>86951</v>
      </c>
      <c r="D246" s="117">
        <f>19477+5696+2748+42433</f>
        <v>70354</v>
      </c>
      <c r="E246" s="117">
        <f>4595+1344+648+10010</f>
        <v>16597</v>
      </c>
      <c r="F246" s="117">
        <f t="shared" si="32"/>
        <v>-229</v>
      </c>
      <c r="G246" s="117"/>
      <c r="H246" s="117"/>
      <c r="I246" s="117">
        <v>-229</v>
      </c>
      <c r="J246" s="117"/>
      <c r="K246" s="117"/>
      <c r="L246" s="117"/>
      <c r="M246" s="117"/>
      <c r="N246" s="117"/>
      <c r="O246" s="117"/>
      <c r="P246" s="117"/>
      <c r="Q246" s="237"/>
      <c r="R246" s="43"/>
      <c r="S246" s="43"/>
      <c r="T246" s="43"/>
    </row>
    <row r="247" spans="1:20" ht="30" customHeight="1" x14ac:dyDescent="0.35">
      <c r="A247" s="116" t="s">
        <v>212</v>
      </c>
      <c r="B247" s="114">
        <f t="shared" si="31"/>
        <v>27684</v>
      </c>
      <c r="C247" s="191">
        <f>D247+E247</f>
        <v>22617</v>
      </c>
      <c r="D247" s="191">
        <f>9500+8782</f>
        <v>18282</v>
      </c>
      <c r="E247" s="191">
        <f>2262+2073</f>
        <v>4335</v>
      </c>
      <c r="F247" s="191">
        <f t="shared" si="32"/>
        <v>5067</v>
      </c>
      <c r="G247" s="117"/>
      <c r="H247" s="117">
        <v>1627</v>
      </c>
      <c r="I247" s="117">
        <v>3315</v>
      </c>
      <c r="J247" s="117"/>
      <c r="K247" s="117">
        <v>125</v>
      </c>
      <c r="L247" s="117"/>
      <c r="M247" s="117"/>
      <c r="N247" s="117"/>
      <c r="O247" s="117"/>
      <c r="P247" s="117"/>
      <c r="Q247" s="237"/>
    </row>
    <row r="248" spans="1:20" ht="15" customHeight="1" x14ac:dyDescent="0.35">
      <c r="A248" s="216" t="s">
        <v>148</v>
      </c>
      <c r="B248" s="114">
        <f t="shared" si="31"/>
        <v>661176</v>
      </c>
      <c r="C248" s="210">
        <f>D248+E248</f>
        <v>606742</v>
      </c>
      <c r="D248" s="202">
        <f>131068+8829+173522+1761+9774+44640+12846-3500+3156+D249</f>
        <v>490535</v>
      </c>
      <c r="E248" s="202">
        <f>31409+2083+40934+415+2306+10531+3030-826+744+E249</f>
        <v>116207</v>
      </c>
      <c r="F248" s="191">
        <f t="shared" si="32"/>
        <v>51134</v>
      </c>
      <c r="G248" s="144"/>
      <c r="H248" s="144">
        <v>14862</v>
      </c>
      <c r="I248" s="144">
        <f>35427+975+I249</f>
        <v>36173</v>
      </c>
      <c r="J248" s="144">
        <v>99</v>
      </c>
      <c r="K248" s="144"/>
      <c r="L248" s="144"/>
      <c r="M248" s="144"/>
      <c r="N248" s="144">
        <v>3300</v>
      </c>
      <c r="O248" s="144"/>
      <c r="P248" s="144"/>
    </row>
    <row r="249" spans="1:20" ht="15" customHeight="1" x14ac:dyDescent="0.35">
      <c r="A249" s="234" t="s">
        <v>726</v>
      </c>
      <c r="B249" s="114">
        <f t="shared" si="31"/>
        <v>133791</v>
      </c>
      <c r="C249" s="210">
        <f>D249+E249</f>
        <v>134020</v>
      </c>
      <c r="D249" s="202">
        <f>3052+12409+91881+916+181</f>
        <v>108439</v>
      </c>
      <c r="E249" s="202">
        <f>720+2927+21675+216+43</f>
        <v>25581</v>
      </c>
      <c r="F249" s="191">
        <f t="shared" si="32"/>
        <v>-229</v>
      </c>
      <c r="G249" s="143"/>
      <c r="H249" s="143"/>
      <c r="I249" s="143">
        <v>-229</v>
      </c>
      <c r="J249" s="143"/>
      <c r="K249" s="143"/>
      <c r="L249" s="143"/>
      <c r="M249" s="143"/>
      <c r="N249" s="143"/>
      <c r="O249" s="143"/>
      <c r="P249" s="143"/>
    </row>
    <row r="250" spans="1:20" ht="15" customHeight="1" x14ac:dyDescent="0.35">
      <c r="A250" s="116" t="s">
        <v>47</v>
      </c>
      <c r="B250" s="114">
        <f>SUM(C250+F250,L250:P250)</f>
        <v>520819</v>
      </c>
      <c r="C250" s="191">
        <f t="shared" ref="C250:C288" si="33">D250+E250</f>
        <v>471025</v>
      </c>
      <c r="D250" s="191">
        <f>124760+9774+3521+153572-1124+D251</f>
        <v>381036</v>
      </c>
      <c r="E250" s="191">
        <f>29531+2306+831+36228-265+E251</f>
        <v>89989</v>
      </c>
      <c r="F250" s="191">
        <f>SUM(G250:K250)</f>
        <v>48514</v>
      </c>
      <c r="G250" s="117"/>
      <c r="H250" s="117">
        <v>17990</v>
      </c>
      <c r="I250" s="117">
        <f>29031+990+I251</f>
        <v>30250</v>
      </c>
      <c r="J250" s="117"/>
      <c r="K250" s="117">
        <v>274</v>
      </c>
      <c r="L250" s="117"/>
      <c r="M250" s="117"/>
      <c r="N250" s="117">
        <v>1280</v>
      </c>
      <c r="O250" s="117"/>
      <c r="P250" s="117"/>
    </row>
    <row r="251" spans="1:20" ht="15" customHeight="1" x14ac:dyDescent="0.35">
      <c r="A251" s="232" t="s">
        <v>726</v>
      </c>
      <c r="B251" s="114">
        <f>SUM(C251+F251,L251:P251)</f>
        <v>111891</v>
      </c>
      <c r="C251" s="191">
        <f>D251+E251</f>
        <v>111891</v>
      </c>
      <c r="D251" s="191">
        <f>88336+1647+550</f>
        <v>90533</v>
      </c>
      <c r="E251" s="191">
        <f>20839+389+130</f>
        <v>21358</v>
      </c>
      <c r="F251" s="191"/>
      <c r="G251" s="117"/>
      <c r="H251" s="117"/>
      <c r="I251" s="117">
        <v>229</v>
      </c>
      <c r="J251" s="117"/>
      <c r="K251" s="117"/>
      <c r="L251" s="117"/>
      <c r="M251" s="117"/>
      <c r="N251" s="117"/>
      <c r="O251" s="117"/>
      <c r="P251" s="117"/>
    </row>
    <row r="252" spans="1:20" ht="15" customHeight="1" x14ac:dyDescent="0.35">
      <c r="A252" s="116" t="s">
        <v>213</v>
      </c>
      <c r="B252" s="114">
        <f>SUM(C252+F252,L252:P252)</f>
        <v>906199</v>
      </c>
      <c r="C252" s="191">
        <f>D252+E252</f>
        <v>787565</v>
      </c>
      <c r="D252" s="191">
        <f>135711+22320+8104+242117+54684+14810+6078-6502+D253</f>
        <v>635320</v>
      </c>
      <c r="E252" s="191">
        <f>34398+5265+1912+57115+12890+3494+1434-1534+E253</f>
        <v>152245</v>
      </c>
      <c r="F252" s="191">
        <f>SUM(G252:K252)</f>
        <v>115445</v>
      </c>
      <c r="G252" s="117">
        <f>30+74+G253</f>
        <v>128</v>
      </c>
      <c r="H252" s="117">
        <f>23572-74+H253</f>
        <v>32231</v>
      </c>
      <c r="I252" s="117">
        <f>49508+1635+I253</f>
        <v>83079</v>
      </c>
      <c r="J252" s="117"/>
      <c r="K252" s="117">
        <f>K253</f>
        <v>7</v>
      </c>
      <c r="L252" s="117"/>
      <c r="M252" s="117"/>
      <c r="N252" s="117">
        <f>2139+N253</f>
        <v>3189</v>
      </c>
      <c r="O252" s="117"/>
      <c r="P252" s="117"/>
    </row>
    <row r="253" spans="1:20" ht="15" customHeight="1" x14ac:dyDescent="0.35">
      <c r="A253" s="232" t="s">
        <v>726</v>
      </c>
      <c r="B253" s="114">
        <f>SUM(C253+F253,L253:P253)</f>
        <v>237019</v>
      </c>
      <c r="C253" s="191">
        <f>D253+E253</f>
        <v>195269</v>
      </c>
      <c r="D253" s="191">
        <f>19358+6269+127607+2932+1832</f>
        <v>157998</v>
      </c>
      <c r="E253" s="191">
        <f>4566+1479+30102+692+432</f>
        <v>37271</v>
      </c>
      <c r="F253" s="191">
        <f>SUM(G253:K253)</f>
        <v>40700</v>
      </c>
      <c r="G253" s="117">
        <v>24</v>
      </c>
      <c r="H253" s="117">
        <f>8135+598</f>
        <v>8733</v>
      </c>
      <c r="I253" s="117">
        <f>13284+18881-229</f>
        <v>31936</v>
      </c>
      <c r="J253" s="117"/>
      <c r="K253" s="117">
        <v>7</v>
      </c>
      <c r="L253" s="117"/>
      <c r="M253" s="117"/>
      <c r="N253" s="117">
        <v>1050</v>
      </c>
      <c r="O253" s="117"/>
      <c r="P253" s="117"/>
    </row>
    <row r="254" spans="1:20" ht="30" customHeight="1" x14ac:dyDescent="0.35">
      <c r="A254" s="116" t="s">
        <v>215</v>
      </c>
      <c r="B254" s="114">
        <f t="shared" ref="B254:B259" si="34">SUM(C254+F254,L254:P254)</f>
        <v>150888</v>
      </c>
      <c r="C254" s="191">
        <f t="shared" si="33"/>
        <v>128556</v>
      </c>
      <c r="D254" s="191">
        <f>52056+50820</f>
        <v>102876</v>
      </c>
      <c r="E254" s="191">
        <f>13692+11988</f>
        <v>25680</v>
      </c>
      <c r="F254" s="191">
        <f t="shared" ref="F254:F280" si="35">SUM(G254:K254)</f>
        <v>22332</v>
      </c>
      <c r="G254" s="117"/>
      <c r="H254" s="117">
        <v>5967</v>
      </c>
      <c r="I254" s="117">
        <v>16365</v>
      </c>
      <c r="J254" s="117"/>
      <c r="K254" s="117"/>
      <c r="L254" s="117"/>
      <c r="M254" s="117"/>
      <c r="N254" s="117"/>
      <c r="O254" s="117"/>
      <c r="P254" s="117"/>
    </row>
    <row r="255" spans="1:20" ht="30" customHeight="1" x14ac:dyDescent="0.35">
      <c r="A255" s="116" t="s">
        <v>214</v>
      </c>
      <c r="B255" s="114">
        <f t="shared" si="34"/>
        <v>111416</v>
      </c>
      <c r="C255" s="191">
        <f t="shared" si="33"/>
        <v>94018</v>
      </c>
      <c r="D255" s="191">
        <f>38834+36731</f>
        <v>75565</v>
      </c>
      <c r="E255" s="191">
        <f>9788+8665</f>
        <v>18453</v>
      </c>
      <c r="F255" s="191">
        <f t="shared" si="35"/>
        <v>17398</v>
      </c>
      <c r="G255" s="117"/>
      <c r="H255" s="117">
        <v>11603</v>
      </c>
      <c r="I255" s="117">
        <v>5795</v>
      </c>
      <c r="J255" s="117"/>
      <c r="K255" s="117"/>
      <c r="L255" s="117"/>
      <c r="M255" s="117"/>
      <c r="N255" s="117"/>
      <c r="O255" s="117"/>
      <c r="P255" s="117"/>
    </row>
    <row r="256" spans="1:20" ht="15" customHeight="1" x14ac:dyDescent="0.35">
      <c r="A256" s="116" t="s">
        <v>144</v>
      </c>
      <c r="B256" s="114">
        <f t="shared" si="34"/>
        <v>470983</v>
      </c>
      <c r="C256" s="191">
        <f>D256+E256</f>
        <v>439738</v>
      </c>
      <c r="D256" s="191">
        <f>116483+128878+29498+3877+72336+4563</f>
        <v>355635</v>
      </c>
      <c r="E256" s="191">
        <f>27687+30402+915+6958+17064+1077</f>
        <v>84103</v>
      </c>
      <c r="F256" s="191">
        <f t="shared" si="35"/>
        <v>31004</v>
      </c>
      <c r="G256" s="117">
        <v>0</v>
      </c>
      <c r="H256" s="117">
        <v>11302</v>
      </c>
      <c r="I256" s="117">
        <f>22031+I257</f>
        <v>19462</v>
      </c>
      <c r="J256" s="117">
        <v>55</v>
      </c>
      <c r="K256" s="117">
        <v>185</v>
      </c>
      <c r="L256" s="117"/>
      <c r="M256" s="117"/>
      <c r="N256" s="117">
        <f>2037+N257</f>
        <v>241</v>
      </c>
      <c r="O256" s="117"/>
      <c r="P256" s="117"/>
    </row>
    <row r="257" spans="1:16" ht="15" customHeight="1" x14ac:dyDescent="0.35">
      <c r="A257" s="232" t="s">
        <v>726</v>
      </c>
      <c r="B257" s="114">
        <f t="shared" si="34"/>
        <v>-4365</v>
      </c>
      <c r="C257" s="191">
        <f>D257+E257</f>
        <v>0</v>
      </c>
      <c r="D257" s="191"/>
      <c r="E257" s="191"/>
      <c r="F257" s="191">
        <f t="shared" si="35"/>
        <v>-2569</v>
      </c>
      <c r="G257" s="117"/>
      <c r="H257" s="117"/>
      <c r="I257" s="117">
        <f>-740+(-1829)</f>
        <v>-2569</v>
      </c>
      <c r="J257" s="117"/>
      <c r="K257" s="117"/>
      <c r="L257" s="117"/>
      <c r="M257" s="117"/>
      <c r="N257" s="117">
        <v>-1796</v>
      </c>
      <c r="O257" s="117"/>
      <c r="P257" s="117"/>
    </row>
    <row r="258" spans="1:16" ht="15" customHeight="1" x14ac:dyDescent="0.35">
      <c r="A258" s="116" t="s">
        <v>228</v>
      </c>
      <c r="B258" s="114">
        <f t="shared" si="34"/>
        <v>133916</v>
      </c>
      <c r="C258" s="191">
        <f t="shared" si="33"/>
        <v>96033</v>
      </c>
      <c r="D258" s="191">
        <v>77614</v>
      </c>
      <c r="E258" s="191">
        <v>18419</v>
      </c>
      <c r="F258" s="191">
        <f t="shared" si="35"/>
        <v>37883</v>
      </c>
      <c r="G258" s="117"/>
      <c r="H258" s="117">
        <f>9257+H259</f>
        <v>8844</v>
      </c>
      <c r="I258" s="117">
        <f>30575+I259</f>
        <v>28989</v>
      </c>
      <c r="J258" s="117">
        <v>50</v>
      </c>
      <c r="K258" s="117"/>
      <c r="L258" s="117"/>
      <c r="M258" s="117"/>
      <c r="N258" s="117"/>
      <c r="O258" s="117"/>
      <c r="P258" s="117"/>
    </row>
    <row r="259" spans="1:16" ht="15" customHeight="1" x14ac:dyDescent="0.35">
      <c r="A259" s="232" t="s">
        <v>726</v>
      </c>
      <c r="B259" s="114">
        <f t="shared" si="34"/>
        <v>-1999</v>
      </c>
      <c r="C259" s="191">
        <f t="shared" si="33"/>
        <v>0</v>
      </c>
      <c r="D259" s="191"/>
      <c r="E259" s="191"/>
      <c r="F259" s="191">
        <f t="shared" si="35"/>
        <v>-1999</v>
      </c>
      <c r="G259" s="117"/>
      <c r="H259" s="117">
        <v>-413</v>
      </c>
      <c r="I259" s="117">
        <f>-100+(-1486)</f>
        <v>-1586</v>
      </c>
      <c r="J259" s="117"/>
      <c r="K259" s="117"/>
      <c r="L259" s="117"/>
      <c r="M259" s="117"/>
      <c r="N259" s="117"/>
      <c r="O259" s="117"/>
      <c r="P259" s="117"/>
    </row>
    <row r="260" spans="1:16" ht="15" customHeight="1" x14ac:dyDescent="0.35">
      <c r="A260" s="116" t="s">
        <v>48</v>
      </c>
      <c r="B260" s="114">
        <f t="shared" ref="B260:B265" si="36">SUM(C260+F260,L260:P260)</f>
        <v>1269887</v>
      </c>
      <c r="C260" s="191">
        <f t="shared" si="33"/>
        <v>1060861</v>
      </c>
      <c r="D260" s="191">
        <f>212945+8454+35255+407243-13152+D261</f>
        <v>857977</v>
      </c>
      <c r="E260" s="191">
        <f>50721+1994+8317+96069-3103+E261</f>
        <v>202884</v>
      </c>
      <c r="F260" s="191">
        <f>SUM(G260:K260)</f>
        <v>202428</v>
      </c>
      <c r="G260" s="117"/>
      <c r="H260" s="117">
        <f>63186+5273</f>
        <v>68459</v>
      </c>
      <c r="I260" s="117">
        <f>130144+3825</f>
        <v>133969</v>
      </c>
      <c r="J260" s="117"/>
      <c r="K260" s="117"/>
      <c r="L260" s="117"/>
      <c r="M260" s="117"/>
      <c r="N260" s="117">
        <v>6598</v>
      </c>
      <c r="O260" s="117"/>
      <c r="P260" s="117"/>
    </row>
    <row r="261" spans="1:16" ht="15" customHeight="1" x14ac:dyDescent="0.35">
      <c r="A261" s="232" t="s">
        <v>726</v>
      </c>
      <c r="B261" s="114">
        <f t="shared" si="36"/>
        <v>256118</v>
      </c>
      <c r="C261" s="191">
        <f t="shared" si="33"/>
        <v>256118</v>
      </c>
      <c r="D261" s="191">
        <f>201371+4761+1100</f>
        <v>207232</v>
      </c>
      <c r="E261" s="191">
        <f>47503+1123+260</f>
        <v>48886</v>
      </c>
      <c r="F261" s="191"/>
      <c r="G261" s="117"/>
      <c r="H261" s="117"/>
      <c r="I261" s="117"/>
      <c r="J261" s="117"/>
      <c r="K261" s="117"/>
      <c r="L261" s="117"/>
      <c r="M261" s="117"/>
      <c r="N261" s="117"/>
      <c r="O261" s="117"/>
      <c r="P261" s="117"/>
    </row>
    <row r="262" spans="1:16" ht="15" customHeight="1" x14ac:dyDescent="0.35">
      <c r="A262" s="116" t="s">
        <v>644</v>
      </c>
      <c r="B262" s="114">
        <f t="shared" si="36"/>
        <v>823376</v>
      </c>
      <c r="C262" s="191">
        <f>D262+E262</f>
        <v>702164</v>
      </c>
      <c r="D262" s="191">
        <f>178637+8454+209654+25076-6128+3156+D263</f>
        <v>567194</v>
      </c>
      <c r="E262" s="191">
        <f>43308+1994+49458+5916-1445+744+E263</f>
        <v>134970</v>
      </c>
      <c r="F262" s="191">
        <f t="shared" si="35"/>
        <v>118174</v>
      </c>
      <c r="G262" s="117">
        <f>160+G263</f>
        <v>360</v>
      </c>
      <c r="H262" s="117">
        <f>35898+H263</f>
        <v>33049</v>
      </c>
      <c r="I262" s="117">
        <f>76260+2835+I263</f>
        <v>84236</v>
      </c>
      <c r="J262" s="117">
        <v>213</v>
      </c>
      <c r="K262" s="117">
        <f>306+K263</f>
        <v>316</v>
      </c>
      <c r="L262" s="117"/>
      <c r="M262" s="117"/>
      <c r="N262" s="117">
        <f>2000+N263</f>
        <v>3038</v>
      </c>
      <c r="O262" s="117"/>
      <c r="P262" s="117"/>
    </row>
    <row r="263" spans="1:16" ht="15" customHeight="1" x14ac:dyDescent="0.35">
      <c r="A263" s="232" t="s">
        <v>726</v>
      </c>
      <c r="B263" s="114">
        <f t="shared" si="36"/>
        <v>186880</v>
      </c>
      <c r="C263" s="191">
        <f>D263+E263</f>
        <v>183340</v>
      </c>
      <c r="D263" s="191">
        <f>2369+140662+3479+1835</f>
        <v>148345</v>
      </c>
      <c r="E263" s="191">
        <f>559+33182+821+433</f>
        <v>34995</v>
      </c>
      <c r="F263" s="191">
        <f>SUM(G263:K263)</f>
        <v>2502</v>
      </c>
      <c r="G263" s="117">
        <v>200</v>
      </c>
      <c r="H263" s="117">
        <v>-2849</v>
      </c>
      <c r="I263" s="117">
        <f>2639+444+2058</f>
        <v>5141</v>
      </c>
      <c r="J263" s="117"/>
      <c r="K263" s="117">
        <v>10</v>
      </c>
      <c r="L263" s="117"/>
      <c r="M263" s="117"/>
      <c r="N263" s="117">
        <v>1038</v>
      </c>
      <c r="O263" s="117"/>
      <c r="P263" s="117"/>
    </row>
    <row r="264" spans="1:16" ht="30" customHeight="1" x14ac:dyDescent="0.35">
      <c r="A264" s="116" t="s">
        <v>59</v>
      </c>
      <c r="B264" s="114">
        <f t="shared" si="36"/>
        <v>1180586</v>
      </c>
      <c r="C264" s="191">
        <f t="shared" si="33"/>
        <v>938283</v>
      </c>
      <c r="D264" s="191">
        <f>148405+51888+8803+224911+147261-11394+1722+961+D265</f>
        <v>758626</v>
      </c>
      <c r="E264" s="191">
        <f>35706+12240+2077+53057+34739-2688+406+227+E265</f>
        <v>179657</v>
      </c>
      <c r="F264" s="191">
        <f t="shared" si="35"/>
        <v>229108</v>
      </c>
      <c r="G264" s="117">
        <v>250</v>
      </c>
      <c r="H264" s="117">
        <v>82639</v>
      </c>
      <c r="I264" s="117">
        <f>86831+59260+I265</f>
        <v>146103</v>
      </c>
      <c r="J264" s="117"/>
      <c r="K264" s="117">
        <v>116</v>
      </c>
      <c r="L264" s="117"/>
      <c r="M264" s="117"/>
      <c r="N264" s="117">
        <f>2566+N265</f>
        <v>2595</v>
      </c>
      <c r="O264" s="117">
        <v>10600</v>
      </c>
      <c r="P264" s="117"/>
    </row>
    <row r="265" spans="1:16" ht="30" customHeight="1" x14ac:dyDescent="0.35">
      <c r="A265" s="232" t="s">
        <v>726</v>
      </c>
      <c r="B265" s="114">
        <f t="shared" si="36"/>
        <v>230003</v>
      </c>
      <c r="C265" s="191">
        <f t="shared" si="33"/>
        <v>229962</v>
      </c>
      <c r="D265" s="191">
        <f>-2719+105546+79393+1282+2567</f>
        <v>186069</v>
      </c>
      <c r="E265" s="191">
        <f>-641+24898+18729+302+605</f>
        <v>43893</v>
      </c>
      <c r="F265" s="191">
        <f t="shared" si="35"/>
        <v>12</v>
      </c>
      <c r="G265" s="117"/>
      <c r="H265" s="117"/>
      <c r="I265" s="117">
        <v>12</v>
      </c>
      <c r="J265" s="117"/>
      <c r="K265" s="117"/>
      <c r="L265" s="117"/>
      <c r="M265" s="117"/>
      <c r="N265" s="117">
        <v>29</v>
      </c>
      <c r="O265" s="117"/>
      <c r="P265" s="117"/>
    </row>
    <row r="266" spans="1:16" ht="45" customHeight="1" x14ac:dyDescent="0.35">
      <c r="A266" s="116" t="s">
        <v>633</v>
      </c>
      <c r="B266" s="114">
        <f>SUM(C266+F266,L266:P266)</f>
        <v>72796</v>
      </c>
      <c r="C266" s="191">
        <f t="shared" si="33"/>
        <v>16631</v>
      </c>
      <c r="D266" s="191">
        <f>44329-7388+D267</f>
        <v>12178</v>
      </c>
      <c r="E266" s="191">
        <f>13084-1743+E267</f>
        <v>4453</v>
      </c>
      <c r="F266" s="191">
        <f>SUM(G266:K266)</f>
        <v>56165</v>
      </c>
      <c r="G266" s="117">
        <v>40</v>
      </c>
      <c r="H266" s="117">
        <f>48280+6255+H267</f>
        <v>54487</v>
      </c>
      <c r="I266" s="117">
        <f>1590+I267</f>
        <v>1623</v>
      </c>
      <c r="J266" s="117"/>
      <c r="K266" s="117">
        <f>K267</f>
        <v>15</v>
      </c>
      <c r="L266" s="117"/>
      <c r="M266" s="117"/>
      <c r="N266" s="117"/>
      <c r="O266" s="117"/>
      <c r="P266" s="117"/>
    </row>
    <row r="267" spans="1:16" ht="30" customHeight="1" x14ac:dyDescent="0.35">
      <c r="A267" s="232" t="s">
        <v>726</v>
      </c>
      <c r="B267" s="114">
        <f t="shared" ref="B267:B273" si="37">SUM(C267+F267,L267:P267)</f>
        <v>-31651</v>
      </c>
      <c r="C267" s="191">
        <f t="shared" si="33"/>
        <v>-31651</v>
      </c>
      <c r="D267" s="191">
        <v>-24763</v>
      </c>
      <c r="E267" s="191">
        <v>-6888</v>
      </c>
      <c r="F267" s="191">
        <f>SUM(G267:K267)</f>
        <v>0</v>
      </c>
      <c r="G267" s="117"/>
      <c r="H267" s="117">
        <v>-48</v>
      </c>
      <c r="I267" s="117">
        <v>33</v>
      </c>
      <c r="J267" s="117"/>
      <c r="K267" s="117">
        <v>15</v>
      </c>
      <c r="L267" s="117"/>
      <c r="M267" s="117"/>
      <c r="N267" s="117"/>
      <c r="O267" s="117"/>
      <c r="P267" s="117"/>
    </row>
    <row r="268" spans="1:16" ht="19.5" customHeight="1" x14ac:dyDescent="0.35">
      <c r="A268" s="116" t="s">
        <v>151</v>
      </c>
      <c r="B268" s="114">
        <f t="shared" si="37"/>
        <v>576236</v>
      </c>
      <c r="C268" s="191">
        <f t="shared" ref="C268:C273" si="38">D268+E268</f>
        <v>482088</v>
      </c>
      <c r="D268" s="191">
        <f>95944+30680+48392+39720+75462-6546+3156+D269</f>
        <v>389817</v>
      </c>
      <c r="E268" s="191">
        <f>22948+7237+11416+9370+17802-1545+744+E269</f>
        <v>92271</v>
      </c>
      <c r="F268" s="191">
        <f>SUM(G268:K268)</f>
        <v>90248</v>
      </c>
      <c r="G268" s="117"/>
      <c r="H268" s="117">
        <f>23526+3327+720</f>
        <v>27573</v>
      </c>
      <c r="I268" s="117">
        <f>61057+1860+I269</f>
        <v>62117</v>
      </c>
      <c r="J268" s="117"/>
      <c r="K268" s="117">
        <v>558</v>
      </c>
      <c r="L268" s="117"/>
      <c r="M268" s="117"/>
      <c r="N268" s="117">
        <v>3900</v>
      </c>
      <c r="O268" s="117"/>
      <c r="P268" s="117"/>
    </row>
    <row r="269" spans="1:16" ht="17.25" customHeight="1" x14ac:dyDescent="0.35">
      <c r="A269" s="232" t="s">
        <v>726</v>
      </c>
      <c r="B269" s="114">
        <f t="shared" si="37"/>
        <v>126508</v>
      </c>
      <c r="C269" s="191">
        <f t="shared" si="38"/>
        <v>127308</v>
      </c>
      <c r="D269" s="191">
        <f>19542+14244+65743+2748+732</f>
        <v>103009</v>
      </c>
      <c r="E269" s="191">
        <f>4610+3360+15509+648+172</f>
        <v>24299</v>
      </c>
      <c r="F269" s="191">
        <f>SUM(G269:K269)</f>
        <v>-800</v>
      </c>
      <c r="G269" s="117"/>
      <c r="H269" s="117"/>
      <c r="I269" s="117">
        <v>-800</v>
      </c>
      <c r="J269" s="117"/>
      <c r="K269" s="117"/>
      <c r="L269" s="117"/>
      <c r="M269" s="117"/>
      <c r="N269" s="117"/>
      <c r="O269" s="117"/>
      <c r="P269" s="117"/>
    </row>
    <row r="270" spans="1:16" ht="15.75" customHeight="1" x14ac:dyDescent="0.35">
      <c r="A270" s="116" t="s">
        <v>143</v>
      </c>
      <c r="B270" s="114">
        <f>SUM(C270+F270,L270:P270)</f>
        <v>827546</v>
      </c>
      <c r="C270" s="191">
        <f t="shared" si="38"/>
        <v>723636</v>
      </c>
      <c r="D270" s="191">
        <f>158345+59529+31491+138891+62186+5638-4612+8807+121+D271</f>
        <v>585176</v>
      </c>
      <c r="E270" s="191">
        <f>37770+14043+7429+32765+14670+1330-1088+2077+28+E271</f>
        <v>138460</v>
      </c>
      <c r="F270" s="191">
        <f t="shared" ref="F270:F273" si="39">SUM(G270:K270)</f>
        <v>101062</v>
      </c>
      <c r="G270" s="117"/>
      <c r="H270" s="117">
        <v>24232</v>
      </c>
      <c r="I270" s="117">
        <f>72918+2325+I271</f>
        <v>76620</v>
      </c>
      <c r="J270" s="117"/>
      <c r="K270" s="117">
        <v>210</v>
      </c>
      <c r="L270" s="117"/>
      <c r="M270" s="117"/>
      <c r="N270" s="117">
        <f>2300+N271</f>
        <v>2848</v>
      </c>
      <c r="O270" s="117"/>
      <c r="P270" s="117"/>
    </row>
    <row r="271" spans="1:16" ht="15.75" customHeight="1" x14ac:dyDescent="0.35">
      <c r="A271" s="235" t="s">
        <v>726</v>
      </c>
      <c r="B271" s="114">
        <f>SUM(C271+F271,L271:P271)</f>
        <v>156141</v>
      </c>
      <c r="C271" s="191">
        <f t="shared" si="38"/>
        <v>154216</v>
      </c>
      <c r="D271" s="191">
        <f>16196+18597+86874+2013+1100</f>
        <v>124780</v>
      </c>
      <c r="E271" s="191">
        <f>3820+4387+20494+475+260</f>
        <v>29436</v>
      </c>
      <c r="F271" s="191">
        <f t="shared" si="39"/>
        <v>1377</v>
      </c>
      <c r="G271" s="117"/>
      <c r="H271" s="117"/>
      <c r="I271" s="117">
        <f>234+1143</f>
        <v>1377</v>
      </c>
      <c r="J271" s="117"/>
      <c r="K271" s="117"/>
      <c r="L271" s="117"/>
      <c r="M271" s="117"/>
      <c r="N271" s="117">
        <v>548</v>
      </c>
      <c r="O271" s="117"/>
      <c r="P271" s="117"/>
    </row>
    <row r="272" spans="1:16" ht="15" customHeight="1" x14ac:dyDescent="0.35">
      <c r="A272" s="119" t="s">
        <v>154</v>
      </c>
      <c r="B272" s="114">
        <f t="shared" si="37"/>
        <v>962369</v>
      </c>
      <c r="C272" s="202">
        <f t="shared" si="38"/>
        <v>812188</v>
      </c>
      <c r="D272" s="202">
        <f>207321+17050+67501+7399+196165+38741-6684+3156+D273</f>
        <v>656439</v>
      </c>
      <c r="E272" s="202">
        <f>49804+4022+15923+1745+46275+9139-1577+744+E273</f>
        <v>155749</v>
      </c>
      <c r="F272" s="191">
        <f t="shared" si="39"/>
        <v>136480</v>
      </c>
      <c r="G272" s="143">
        <v>160</v>
      </c>
      <c r="H272" s="143">
        <v>37273</v>
      </c>
      <c r="I272" s="143">
        <f>88882-811+9440+I273</f>
        <v>98997</v>
      </c>
      <c r="J272" s="143">
        <v>50</v>
      </c>
      <c r="K272" s="143"/>
      <c r="L272" s="143"/>
      <c r="M272" s="143"/>
      <c r="N272" s="143">
        <f>4000+811+8890</f>
        <v>13701</v>
      </c>
      <c r="O272" s="143"/>
      <c r="P272" s="143"/>
    </row>
    <row r="273" spans="1:16" ht="15" customHeight="1" x14ac:dyDescent="0.35">
      <c r="A273" s="234" t="s">
        <v>726</v>
      </c>
      <c r="B273" s="114">
        <f t="shared" si="37"/>
        <v>156950</v>
      </c>
      <c r="C273" s="202">
        <f t="shared" si="38"/>
        <v>155464</v>
      </c>
      <c r="D273" s="202">
        <f>7428+13674+100474+2748+1466</f>
        <v>125790</v>
      </c>
      <c r="E273" s="202">
        <f>1752+3226+23702+346+648</f>
        <v>29674</v>
      </c>
      <c r="F273" s="191">
        <f t="shared" si="39"/>
        <v>1486</v>
      </c>
      <c r="G273" s="143"/>
      <c r="H273" s="143"/>
      <c r="I273" s="143">
        <v>1486</v>
      </c>
      <c r="J273" s="143"/>
      <c r="K273" s="143"/>
      <c r="L273" s="143"/>
      <c r="M273" s="143"/>
      <c r="N273" s="143"/>
      <c r="O273" s="143"/>
      <c r="P273" s="143"/>
    </row>
    <row r="274" spans="1:16" ht="15" customHeight="1" x14ac:dyDescent="0.35">
      <c r="A274" s="116" t="s">
        <v>49</v>
      </c>
      <c r="B274" s="114">
        <f t="shared" ref="B274:B279" si="40">SUM(C274+F274,L274:P274)</f>
        <v>770702</v>
      </c>
      <c r="C274" s="191">
        <f t="shared" si="33"/>
        <v>738767</v>
      </c>
      <c r="D274" s="191">
        <f>394927+D275</f>
        <v>598711</v>
      </c>
      <c r="E274" s="191">
        <f>91983+E275</f>
        <v>140056</v>
      </c>
      <c r="F274" s="191">
        <f t="shared" si="35"/>
        <v>29503</v>
      </c>
      <c r="G274" s="117">
        <v>1520</v>
      </c>
      <c r="H274" s="117">
        <f>19736+500</f>
        <v>20236</v>
      </c>
      <c r="I274" s="117">
        <f>8079+(-500)</f>
        <v>7579</v>
      </c>
      <c r="J274" s="117"/>
      <c r="K274" s="117">
        <v>168</v>
      </c>
      <c r="L274" s="117"/>
      <c r="M274" s="117"/>
      <c r="N274" s="117">
        <v>1840</v>
      </c>
      <c r="O274" s="117"/>
      <c r="P274" s="117">
        <f>P275</f>
        <v>592</v>
      </c>
    </row>
    <row r="275" spans="1:16" ht="15" customHeight="1" x14ac:dyDescent="0.35">
      <c r="A275" s="232" t="s">
        <v>726</v>
      </c>
      <c r="B275" s="114">
        <f t="shared" si="40"/>
        <v>252449</v>
      </c>
      <c r="C275" s="191">
        <f t="shared" si="33"/>
        <v>251857</v>
      </c>
      <c r="D275" s="191">
        <f>3301+4214+196269</f>
        <v>203784</v>
      </c>
      <c r="E275" s="191">
        <f>779+994+46300</f>
        <v>48073</v>
      </c>
      <c r="F275" s="191"/>
      <c r="G275" s="117"/>
      <c r="H275" s="117"/>
      <c r="I275" s="117"/>
      <c r="J275" s="117"/>
      <c r="K275" s="117"/>
      <c r="L275" s="117"/>
      <c r="M275" s="117"/>
      <c r="N275" s="117"/>
      <c r="O275" s="117"/>
      <c r="P275" s="117">
        <v>592</v>
      </c>
    </row>
    <row r="276" spans="1:16" ht="15" customHeight="1" x14ac:dyDescent="0.35">
      <c r="A276" s="116" t="s">
        <v>50</v>
      </c>
      <c r="B276" s="114">
        <f t="shared" si="40"/>
        <v>230079</v>
      </c>
      <c r="C276" s="191">
        <f>D276+E276</f>
        <v>203286</v>
      </c>
      <c r="D276" s="191">
        <f>137865+D277</f>
        <v>163434</v>
      </c>
      <c r="E276" s="191">
        <f>33820+E277</f>
        <v>39852</v>
      </c>
      <c r="F276" s="191">
        <f>SUM(G276:K276)</f>
        <v>24861</v>
      </c>
      <c r="G276" s="191">
        <v>106</v>
      </c>
      <c r="H276" s="117">
        <f>13537+500+(-1300)</f>
        <v>12737</v>
      </c>
      <c r="I276" s="117">
        <f>11218+(-500)+1300</f>
        <v>12018</v>
      </c>
      <c r="J276" s="117"/>
      <c r="K276" s="117"/>
      <c r="L276" s="117"/>
      <c r="M276" s="117"/>
      <c r="N276" s="117">
        <v>1200</v>
      </c>
      <c r="O276" s="117"/>
      <c r="P276" s="117">
        <f>P277</f>
        <v>732</v>
      </c>
    </row>
    <row r="277" spans="1:16" ht="15" customHeight="1" x14ac:dyDescent="0.35">
      <c r="A277" s="232" t="s">
        <v>726</v>
      </c>
      <c r="B277" s="114">
        <f t="shared" si="40"/>
        <v>32333</v>
      </c>
      <c r="C277" s="191">
        <f t="shared" si="33"/>
        <v>31601</v>
      </c>
      <c r="D277" s="191">
        <f>2641+735+731+21462</f>
        <v>25569</v>
      </c>
      <c r="E277" s="191">
        <f>623+173+173+5063</f>
        <v>6032</v>
      </c>
      <c r="F277" s="191"/>
      <c r="G277" s="191"/>
      <c r="H277" s="117"/>
      <c r="I277" s="117"/>
      <c r="J277" s="117"/>
      <c r="K277" s="117"/>
      <c r="L277" s="117"/>
      <c r="M277" s="117"/>
      <c r="N277" s="117"/>
      <c r="O277" s="117"/>
      <c r="P277" s="117">
        <v>732</v>
      </c>
    </row>
    <row r="278" spans="1:16" ht="15" customHeight="1" x14ac:dyDescent="0.35">
      <c r="A278" s="121" t="s">
        <v>150</v>
      </c>
      <c r="B278" s="114">
        <f t="shared" si="40"/>
        <v>173082</v>
      </c>
      <c r="C278" s="191">
        <f t="shared" si="33"/>
        <v>155037</v>
      </c>
      <c r="D278" s="191">
        <v>125197</v>
      </c>
      <c r="E278" s="191">
        <v>29840</v>
      </c>
      <c r="F278" s="191">
        <f t="shared" si="35"/>
        <v>15893</v>
      </c>
      <c r="G278" s="117">
        <v>120</v>
      </c>
      <c r="H278" s="117">
        <v>8485</v>
      </c>
      <c r="I278" s="117">
        <v>7215</v>
      </c>
      <c r="J278" s="117">
        <v>73</v>
      </c>
      <c r="K278" s="117"/>
      <c r="L278" s="117"/>
      <c r="M278" s="117"/>
      <c r="N278" s="117">
        <v>1590</v>
      </c>
      <c r="O278" s="117"/>
      <c r="P278" s="117">
        <f>P279</f>
        <v>562</v>
      </c>
    </row>
    <row r="279" spans="1:16" ht="15" customHeight="1" x14ac:dyDescent="0.35">
      <c r="A279" s="245" t="s">
        <v>726</v>
      </c>
      <c r="B279" s="114">
        <f t="shared" si="40"/>
        <v>562</v>
      </c>
      <c r="C279" s="191"/>
      <c r="D279" s="191"/>
      <c r="E279" s="191"/>
      <c r="F279" s="191"/>
      <c r="G279" s="117"/>
      <c r="H279" s="117"/>
      <c r="I279" s="117"/>
      <c r="J279" s="117"/>
      <c r="K279" s="117"/>
      <c r="L279" s="117"/>
      <c r="M279" s="117"/>
      <c r="N279" s="117"/>
      <c r="O279" s="117"/>
      <c r="P279" s="117">
        <v>562</v>
      </c>
    </row>
    <row r="280" spans="1:16" ht="15" customHeight="1" x14ac:dyDescent="0.35">
      <c r="A280" s="118" t="s">
        <v>142</v>
      </c>
      <c r="B280" s="114">
        <f t="shared" ref="B280:B302" si="41">SUM(C280+F280,L280:P280)</f>
        <v>151606</v>
      </c>
      <c r="C280" s="192">
        <f t="shared" si="33"/>
        <v>143639</v>
      </c>
      <c r="D280" s="191">
        <v>116075</v>
      </c>
      <c r="E280" s="191">
        <v>27564</v>
      </c>
      <c r="F280" s="191">
        <f t="shared" si="35"/>
        <v>5555</v>
      </c>
      <c r="G280" s="117">
        <v>130</v>
      </c>
      <c r="H280" s="117">
        <v>2040</v>
      </c>
      <c r="I280" s="117">
        <v>3385</v>
      </c>
      <c r="J280" s="117"/>
      <c r="K280" s="117"/>
      <c r="L280" s="117"/>
      <c r="M280" s="117"/>
      <c r="N280" s="117">
        <v>800</v>
      </c>
      <c r="O280" s="117"/>
      <c r="P280" s="117">
        <f>P281</f>
        <v>1612</v>
      </c>
    </row>
    <row r="281" spans="1:16" ht="15" customHeight="1" x14ac:dyDescent="0.35">
      <c r="A281" s="232" t="s">
        <v>726</v>
      </c>
      <c r="B281" s="114">
        <f t="shared" si="41"/>
        <v>1612</v>
      </c>
      <c r="C281" s="192"/>
      <c r="D281" s="191"/>
      <c r="E281" s="191"/>
      <c r="F281" s="191"/>
      <c r="G281" s="117"/>
      <c r="H281" s="117"/>
      <c r="I281" s="117"/>
      <c r="J281" s="117"/>
      <c r="K281" s="117"/>
      <c r="L281" s="117"/>
      <c r="M281" s="117"/>
      <c r="N281" s="117"/>
      <c r="O281" s="117"/>
      <c r="P281" s="117">
        <v>1612</v>
      </c>
    </row>
    <row r="282" spans="1:16" ht="15" customHeight="1" x14ac:dyDescent="0.35">
      <c r="A282" s="118" t="s">
        <v>51</v>
      </c>
      <c r="B282" s="114">
        <f>SUM(C282+F282,L282:P282)</f>
        <v>659869</v>
      </c>
      <c r="C282" s="192">
        <f t="shared" si="33"/>
        <v>571135</v>
      </c>
      <c r="D282" s="191">
        <f>461518+(-14988)+D283</f>
        <v>454506</v>
      </c>
      <c r="E282" s="191">
        <f>114747+E283</f>
        <v>116629</v>
      </c>
      <c r="F282" s="191">
        <f>SUM(G282:K282)</f>
        <v>71676</v>
      </c>
      <c r="G282" s="117">
        <f>13000+G283</f>
        <v>11700</v>
      </c>
      <c r="H282" s="117">
        <f>24966+H283</f>
        <v>26266</v>
      </c>
      <c r="I282" s="117">
        <f>35180+I283</f>
        <v>33110</v>
      </c>
      <c r="J282" s="117"/>
      <c r="K282" s="117">
        <v>600</v>
      </c>
      <c r="L282" s="117"/>
      <c r="M282" s="117"/>
      <c r="N282" s="117">
        <f>14988+N283</f>
        <v>17058</v>
      </c>
      <c r="O282" s="117"/>
      <c r="P282" s="117"/>
    </row>
    <row r="283" spans="1:16" ht="15" customHeight="1" x14ac:dyDescent="0.35">
      <c r="A283" s="232" t="s">
        <v>726</v>
      </c>
      <c r="B283" s="114">
        <f>SUM(C283+F283,L283:P283)</f>
        <v>9858</v>
      </c>
      <c r="C283" s="192">
        <f t="shared" si="33"/>
        <v>9858</v>
      </c>
      <c r="D283" s="191">
        <f>4029+3947</f>
        <v>7976</v>
      </c>
      <c r="E283" s="191">
        <f>951+931</f>
        <v>1882</v>
      </c>
      <c r="F283" s="191">
        <f>SUM(G283:K283)</f>
        <v>-2070</v>
      </c>
      <c r="G283" s="117">
        <v>-1300</v>
      </c>
      <c r="H283" s="117">
        <v>1300</v>
      </c>
      <c r="I283" s="117">
        <v>-2070</v>
      </c>
      <c r="J283" s="117"/>
      <c r="K283" s="117"/>
      <c r="L283" s="117"/>
      <c r="M283" s="117"/>
      <c r="N283" s="117">
        <v>2070</v>
      </c>
      <c r="O283" s="117"/>
      <c r="P283" s="117"/>
    </row>
    <row r="284" spans="1:16" ht="15" customHeight="1" x14ac:dyDescent="0.35">
      <c r="A284" s="118" t="s">
        <v>58</v>
      </c>
      <c r="B284" s="114">
        <f t="shared" si="41"/>
        <v>224247</v>
      </c>
      <c r="C284" s="191">
        <f t="shared" si="33"/>
        <v>90094</v>
      </c>
      <c r="D284" s="191">
        <v>70175</v>
      </c>
      <c r="E284" s="191">
        <v>19919</v>
      </c>
      <c r="F284" s="191">
        <f t="shared" ref="F284:F300" si="42">SUM(G284:K284)</f>
        <v>134153</v>
      </c>
      <c r="G284" s="117"/>
      <c r="H284" s="117">
        <v>122405</v>
      </c>
      <c r="I284" s="117">
        <v>11748</v>
      </c>
      <c r="J284" s="117"/>
      <c r="K284" s="117"/>
      <c r="L284" s="117"/>
      <c r="M284" s="117"/>
      <c r="N284" s="117"/>
      <c r="O284" s="117"/>
      <c r="P284" s="117"/>
    </row>
    <row r="285" spans="1:16" ht="30" customHeight="1" x14ac:dyDescent="0.35">
      <c r="A285" s="118" t="s">
        <v>216</v>
      </c>
      <c r="B285" s="114">
        <f>SUM(C285+F285,L285:P285)</f>
        <v>286100</v>
      </c>
      <c r="C285" s="191">
        <f t="shared" si="33"/>
        <v>242169</v>
      </c>
      <c r="D285" s="191">
        <f>130124+21778+28979+D286</f>
        <v>195934</v>
      </c>
      <c r="E285" s="191">
        <f>30710+5138+6836+E286</f>
        <v>46235</v>
      </c>
      <c r="F285" s="191">
        <f t="shared" si="42"/>
        <v>43931</v>
      </c>
      <c r="G285" s="117">
        <v>300</v>
      </c>
      <c r="H285" s="117">
        <v>27551</v>
      </c>
      <c r="I285" s="117">
        <v>16080</v>
      </c>
      <c r="J285" s="117"/>
      <c r="K285" s="117"/>
      <c r="L285" s="117"/>
      <c r="M285" s="117"/>
      <c r="N285" s="117"/>
      <c r="O285" s="117"/>
      <c r="P285" s="117"/>
    </row>
    <row r="286" spans="1:16" ht="30" customHeight="1" x14ac:dyDescent="0.35">
      <c r="A286" s="232" t="s">
        <v>726</v>
      </c>
      <c r="B286" s="114">
        <f>SUM(C286+F286,L286:P286)</f>
        <v>18604</v>
      </c>
      <c r="C286" s="191">
        <f t="shared" si="33"/>
        <v>18604</v>
      </c>
      <c r="D286" s="191">
        <v>15053</v>
      </c>
      <c r="E286" s="191">
        <v>3551</v>
      </c>
      <c r="F286" s="191"/>
      <c r="G286" s="117"/>
      <c r="H286" s="117"/>
      <c r="I286" s="117"/>
      <c r="J286" s="117"/>
      <c r="K286" s="117"/>
      <c r="L286" s="117"/>
      <c r="M286" s="117"/>
      <c r="N286" s="117"/>
      <c r="O286" s="117"/>
      <c r="P286" s="117"/>
    </row>
    <row r="287" spans="1:16" ht="15" customHeight="1" x14ac:dyDescent="0.35">
      <c r="A287" s="118" t="s">
        <v>149</v>
      </c>
      <c r="B287" s="114">
        <f t="shared" si="41"/>
        <v>245793</v>
      </c>
      <c r="C287" s="191">
        <f t="shared" si="33"/>
        <v>236740</v>
      </c>
      <c r="D287" s="191">
        <v>192440</v>
      </c>
      <c r="E287" s="191">
        <v>44300</v>
      </c>
      <c r="F287" s="191">
        <f t="shared" si="42"/>
        <v>9053</v>
      </c>
      <c r="G287" s="117">
        <v>440</v>
      </c>
      <c r="H287" s="117">
        <v>3533</v>
      </c>
      <c r="I287" s="117">
        <v>4930</v>
      </c>
      <c r="J287" s="117"/>
      <c r="K287" s="117">
        <v>150</v>
      </c>
      <c r="L287" s="117"/>
      <c r="M287" s="117"/>
      <c r="N287" s="117">
        <v>0</v>
      </c>
      <c r="O287" s="117"/>
      <c r="P287" s="117">
        <v>0</v>
      </c>
    </row>
    <row r="288" spans="1:16" ht="15" customHeight="1" x14ac:dyDescent="0.35">
      <c r="A288" s="118" t="s">
        <v>156</v>
      </c>
      <c r="B288" s="114">
        <f t="shared" si="41"/>
        <v>56980</v>
      </c>
      <c r="C288" s="191">
        <f t="shared" si="33"/>
        <v>8560</v>
      </c>
      <c r="D288" s="191">
        <v>8560</v>
      </c>
      <c r="E288" s="211"/>
      <c r="F288" s="191">
        <f t="shared" si="42"/>
        <v>39420</v>
      </c>
      <c r="G288" s="117">
        <v>1120</v>
      </c>
      <c r="H288" s="117">
        <v>4030</v>
      </c>
      <c r="I288" s="117">
        <v>34270</v>
      </c>
      <c r="J288" s="117"/>
      <c r="K288" s="117"/>
      <c r="L288" s="117"/>
      <c r="M288" s="117"/>
      <c r="N288" s="117"/>
      <c r="O288" s="117">
        <v>9000</v>
      </c>
      <c r="P288" s="117"/>
    </row>
    <row r="289" spans="1:16" ht="22.5" customHeight="1" x14ac:dyDescent="0.35">
      <c r="A289" s="118" t="s">
        <v>67</v>
      </c>
      <c r="B289" s="114">
        <f>SUM(C289+F289,L289:P289)</f>
        <v>48689</v>
      </c>
      <c r="C289" s="191"/>
      <c r="D289" s="191"/>
      <c r="E289" s="191"/>
      <c r="F289" s="191">
        <f>SUM(G289:K289)</f>
        <v>48689</v>
      </c>
      <c r="G289" s="117"/>
      <c r="H289" s="117">
        <f>12789+35900</f>
        <v>48689</v>
      </c>
      <c r="I289" s="117"/>
      <c r="J289" s="117"/>
      <c r="K289" s="117"/>
      <c r="L289" s="117"/>
      <c r="M289" s="117"/>
      <c r="N289" s="117"/>
      <c r="O289" s="117"/>
      <c r="P289" s="117"/>
    </row>
    <row r="290" spans="1:16" ht="30" customHeight="1" x14ac:dyDescent="0.35">
      <c r="A290" s="113" t="s">
        <v>189</v>
      </c>
      <c r="B290" s="114">
        <f t="shared" si="41"/>
        <v>19080</v>
      </c>
      <c r="C290" s="191">
        <f t="shared" ref="C290:C295" si="43">D290+E290</f>
        <v>7617</v>
      </c>
      <c r="D290" s="191">
        <v>6163</v>
      </c>
      <c r="E290" s="191">
        <v>1454</v>
      </c>
      <c r="F290" s="191">
        <f t="shared" si="42"/>
        <v>11463</v>
      </c>
      <c r="G290" s="117"/>
      <c r="H290" s="117">
        <v>5537</v>
      </c>
      <c r="I290" s="117">
        <v>5670</v>
      </c>
      <c r="J290" s="117"/>
      <c r="K290" s="117">
        <v>256</v>
      </c>
      <c r="L290" s="117"/>
      <c r="M290" s="117"/>
      <c r="N290" s="117"/>
      <c r="O290" s="117"/>
      <c r="P290" s="111"/>
    </row>
    <row r="291" spans="1:16" ht="30" customHeight="1" x14ac:dyDescent="0.35">
      <c r="A291" s="118" t="s">
        <v>174</v>
      </c>
      <c r="B291" s="114">
        <f t="shared" si="41"/>
        <v>20934</v>
      </c>
      <c r="C291" s="191">
        <f>D291+E291</f>
        <v>14313</v>
      </c>
      <c r="D291" s="191">
        <v>11604</v>
      </c>
      <c r="E291" s="191">
        <v>2709</v>
      </c>
      <c r="F291" s="191">
        <f t="shared" si="42"/>
        <v>6621</v>
      </c>
      <c r="G291" s="117">
        <v>24</v>
      </c>
      <c r="H291" s="117">
        <v>3619</v>
      </c>
      <c r="I291" s="117">
        <v>2858</v>
      </c>
      <c r="J291" s="117"/>
      <c r="K291" s="117">
        <v>120</v>
      </c>
      <c r="L291" s="117"/>
      <c r="M291" s="117"/>
      <c r="N291" s="117"/>
      <c r="O291" s="117"/>
      <c r="P291" s="117"/>
    </row>
    <row r="292" spans="1:16" ht="30" customHeight="1" x14ac:dyDescent="0.35">
      <c r="A292" s="116" t="s">
        <v>175</v>
      </c>
      <c r="B292" s="114">
        <f>SUM(C292+F292,L292:P292)</f>
        <v>27677</v>
      </c>
      <c r="C292" s="191">
        <f t="shared" si="43"/>
        <v>14717</v>
      </c>
      <c r="D292" s="191">
        <f>11808+100</f>
        <v>11908</v>
      </c>
      <c r="E292" s="191">
        <v>2809</v>
      </c>
      <c r="F292" s="191">
        <f>SUM(G292:K292)</f>
        <v>12960</v>
      </c>
      <c r="G292" s="117">
        <v>80</v>
      </c>
      <c r="H292" s="117">
        <f>3660+(-4322)+10022</f>
        <v>9360</v>
      </c>
      <c r="I292" s="117">
        <f>4500+(-1100)</f>
        <v>3400</v>
      </c>
      <c r="J292" s="117"/>
      <c r="K292" s="117">
        <v>120</v>
      </c>
      <c r="L292" s="117"/>
      <c r="M292" s="117"/>
      <c r="N292" s="117">
        <f>4322+(-4322)</f>
        <v>0</v>
      </c>
      <c r="O292" s="117"/>
      <c r="P292" s="117"/>
    </row>
    <row r="293" spans="1:16" ht="30" customHeight="1" x14ac:dyDescent="0.35">
      <c r="A293" s="116" t="s">
        <v>171</v>
      </c>
      <c r="B293" s="114">
        <f t="shared" si="41"/>
        <v>27334</v>
      </c>
      <c r="C293" s="191">
        <f t="shared" si="43"/>
        <v>12795</v>
      </c>
      <c r="D293" s="191">
        <v>10272</v>
      </c>
      <c r="E293" s="191">
        <f>2423+100</f>
        <v>2523</v>
      </c>
      <c r="F293" s="191">
        <f t="shared" si="42"/>
        <v>14539</v>
      </c>
      <c r="G293" s="117"/>
      <c r="H293" s="117">
        <v>5306</v>
      </c>
      <c r="I293" s="117">
        <v>9130</v>
      </c>
      <c r="J293" s="117"/>
      <c r="K293" s="117">
        <v>103</v>
      </c>
      <c r="L293" s="117"/>
      <c r="M293" s="117"/>
      <c r="N293" s="117"/>
      <c r="O293" s="117"/>
      <c r="P293" s="117"/>
    </row>
    <row r="294" spans="1:16" ht="30" customHeight="1" x14ac:dyDescent="0.35">
      <c r="A294" s="116" t="s">
        <v>192</v>
      </c>
      <c r="B294" s="114">
        <f t="shared" si="41"/>
        <v>24564</v>
      </c>
      <c r="C294" s="191">
        <f t="shared" si="43"/>
        <v>13036</v>
      </c>
      <c r="D294" s="191">
        <v>10548</v>
      </c>
      <c r="E294" s="191">
        <v>2488</v>
      </c>
      <c r="F294" s="191">
        <f t="shared" si="42"/>
        <v>11528</v>
      </c>
      <c r="G294" s="117">
        <v>120</v>
      </c>
      <c r="H294" s="117">
        <v>2748</v>
      </c>
      <c r="I294" s="117">
        <v>8540</v>
      </c>
      <c r="J294" s="117"/>
      <c r="K294" s="117">
        <v>120</v>
      </c>
      <c r="L294" s="117"/>
      <c r="M294" s="117"/>
      <c r="N294" s="117"/>
      <c r="O294" s="117"/>
      <c r="P294" s="117"/>
    </row>
    <row r="295" spans="1:16" ht="30" customHeight="1" x14ac:dyDescent="0.35">
      <c r="A295" s="116" t="s">
        <v>173</v>
      </c>
      <c r="B295" s="114">
        <f t="shared" si="41"/>
        <v>21750</v>
      </c>
      <c r="C295" s="191">
        <f t="shared" si="43"/>
        <v>12117</v>
      </c>
      <c r="D295" s="191">
        <v>9804</v>
      </c>
      <c r="E295" s="191">
        <v>2313</v>
      </c>
      <c r="F295" s="191">
        <f t="shared" si="42"/>
        <v>9633</v>
      </c>
      <c r="G295" s="117">
        <v>180</v>
      </c>
      <c r="H295" s="117">
        <v>5083</v>
      </c>
      <c r="I295" s="117">
        <v>4250</v>
      </c>
      <c r="J295" s="117"/>
      <c r="K295" s="117">
        <v>120</v>
      </c>
      <c r="L295" s="117"/>
      <c r="M295" s="117"/>
      <c r="N295" s="117"/>
      <c r="O295" s="117"/>
      <c r="P295" s="117"/>
    </row>
    <row r="296" spans="1:16" ht="30" customHeight="1" x14ac:dyDescent="0.35">
      <c r="A296" s="119" t="s">
        <v>181</v>
      </c>
      <c r="B296" s="223">
        <f>SUM(C296+F296,L296:P296)</f>
        <v>98130</v>
      </c>
      <c r="C296" s="212">
        <f>D296+E296</f>
        <v>40585</v>
      </c>
      <c r="D296" s="203">
        <f>31098+515</f>
        <v>31613</v>
      </c>
      <c r="E296" s="202">
        <v>8972</v>
      </c>
      <c r="F296" s="206">
        <f t="shared" si="42"/>
        <v>57545</v>
      </c>
      <c r="G296" s="145">
        <f>240+(-180)</f>
        <v>60</v>
      </c>
      <c r="H296" s="145">
        <f>12160+1165+3500</f>
        <v>16825</v>
      </c>
      <c r="I296" s="145">
        <f>41700+(-1500)</f>
        <v>40200</v>
      </c>
      <c r="J296" s="145"/>
      <c r="K296" s="145">
        <v>460</v>
      </c>
      <c r="L296" s="145"/>
      <c r="M296" s="145"/>
      <c r="N296" s="145"/>
      <c r="O296" s="145"/>
      <c r="P296" s="145"/>
    </row>
    <row r="297" spans="1:16" ht="30" customHeight="1" x14ac:dyDescent="0.35">
      <c r="A297" s="116" t="s">
        <v>641</v>
      </c>
      <c r="B297" s="114">
        <f t="shared" si="41"/>
        <v>23705</v>
      </c>
      <c r="C297" s="191">
        <f t="shared" ref="C297:C302" si="44">D297+E297</f>
        <v>19555</v>
      </c>
      <c r="D297" s="191">
        <v>15822</v>
      </c>
      <c r="E297" s="191">
        <v>3733</v>
      </c>
      <c r="F297" s="191">
        <f t="shared" si="42"/>
        <v>4150</v>
      </c>
      <c r="G297" s="117">
        <v>32</v>
      </c>
      <c r="H297" s="117">
        <v>1953</v>
      </c>
      <c r="I297" s="117">
        <v>1995</v>
      </c>
      <c r="J297" s="117"/>
      <c r="K297" s="117">
        <v>170</v>
      </c>
      <c r="L297" s="117"/>
      <c r="M297" s="117"/>
      <c r="N297" s="117"/>
      <c r="O297" s="117"/>
      <c r="P297" s="117"/>
    </row>
    <row r="298" spans="1:16" ht="30" customHeight="1" x14ac:dyDescent="0.35">
      <c r="A298" s="116" t="s">
        <v>141</v>
      </c>
      <c r="B298" s="114">
        <f>SUM(C298+F298,L298:P298)</f>
        <v>37432</v>
      </c>
      <c r="C298" s="191">
        <f t="shared" si="44"/>
        <v>12117</v>
      </c>
      <c r="D298" s="191">
        <v>9804</v>
      </c>
      <c r="E298" s="191">
        <v>2313</v>
      </c>
      <c r="F298" s="191">
        <f>SUM(G298:K298)</f>
        <v>25315</v>
      </c>
      <c r="G298" s="117">
        <v>40</v>
      </c>
      <c r="H298" s="117">
        <f>6099+8788</f>
        <v>14887</v>
      </c>
      <c r="I298" s="117">
        <v>10232</v>
      </c>
      <c r="J298" s="117"/>
      <c r="K298" s="117">
        <v>156</v>
      </c>
      <c r="L298" s="117"/>
      <c r="M298" s="117"/>
      <c r="N298" s="117"/>
      <c r="O298" s="117"/>
      <c r="P298" s="117"/>
    </row>
    <row r="299" spans="1:16" ht="20.25" customHeight="1" x14ac:dyDescent="0.35">
      <c r="A299" s="116" t="s">
        <v>194</v>
      </c>
      <c r="B299" s="114">
        <f t="shared" si="41"/>
        <v>35852</v>
      </c>
      <c r="C299" s="191">
        <f t="shared" si="44"/>
        <v>23084</v>
      </c>
      <c r="D299" s="191">
        <f>18648+30</f>
        <v>18678</v>
      </c>
      <c r="E299" s="191">
        <v>4406</v>
      </c>
      <c r="F299" s="191">
        <f t="shared" si="42"/>
        <v>12696</v>
      </c>
      <c r="G299" s="117"/>
      <c r="H299" s="117">
        <v>6301</v>
      </c>
      <c r="I299" s="117">
        <v>5995</v>
      </c>
      <c r="J299" s="117"/>
      <c r="K299" s="117">
        <v>400</v>
      </c>
      <c r="L299" s="117"/>
      <c r="M299" s="117"/>
      <c r="N299" s="117">
        <v>72</v>
      </c>
      <c r="O299" s="117"/>
      <c r="P299" s="117"/>
    </row>
    <row r="300" spans="1:16" ht="30" customHeight="1" x14ac:dyDescent="0.35">
      <c r="A300" s="116" t="s">
        <v>188</v>
      </c>
      <c r="B300" s="114">
        <f t="shared" si="41"/>
        <v>21643</v>
      </c>
      <c r="C300" s="191">
        <f t="shared" si="44"/>
        <v>12695</v>
      </c>
      <c r="D300" s="191">
        <v>10272</v>
      </c>
      <c r="E300" s="191">
        <v>2423</v>
      </c>
      <c r="F300" s="191">
        <f t="shared" si="42"/>
        <v>8948</v>
      </c>
      <c r="G300" s="117">
        <v>60</v>
      </c>
      <c r="H300" s="117">
        <v>3288</v>
      </c>
      <c r="I300" s="117">
        <v>5196</v>
      </c>
      <c r="J300" s="117"/>
      <c r="K300" s="117">
        <v>404</v>
      </c>
      <c r="L300" s="117"/>
      <c r="M300" s="117"/>
      <c r="N300" s="117"/>
      <c r="O300" s="117"/>
      <c r="P300" s="117"/>
    </row>
    <row r="301" spans="1:16" ht="19.5" customHeight="1" x14ac:dyDescent="0.35">
      <c r="A301" s="116" t="s">
        <v>190</v>
      </c>
      <c r="B301" s="114">
        <f t="shared" si="41"/>
        <v>24953.98</v>
      </c>
      <c r="C301" s="191">
        <f t="shared" si="44"/>
        <v>13485.98</v>
      </c>
      <c r="D301" s="191">
        <f>10272+640</f>
        <v>10912</v>
      </c>
      <c r="E301" s="191">
        <f>2423+150.98</f>
        <v>2573.98</v>
      </c>
      <c r="F301" s="191">
        <f>SUM(G301:K301)</f>
        <v>11468</v>
      </c>
      <c r="G301" s="117"/>
      <c r="H301" s="117">
        <f>6036+902</f>
        <v>6938</v>
      </c>
      <c r="I301" s="117">
        <f>3750+558</f>
        <v>4308</v>
      </c>
      <c r="J301" s="117"/>
      <c r="K301" s="117">
        <v>222</v>
      </c>
      <c r="L301" s="117"/>
      <c r="M301" s="117"/>
      <c r="N301" s="117"/>
      <c r="O301" s="117"/>
      <c r="P301" s="117"/>
    </row>
    <row r="302" spans="1:16" ht="30" customHeight="1" x14ac:dyDescent="0.35">
      <c r="A302" s="116" t="s">
        <v>180</v>
      </c>
      <c r="B302" s="114">
        <f t="shared" si="41"/>
        <v>28778</v>
      </c>
      <c r="C302" s="191">
        <f t="shared" si="44"/>
        <v>13160</v>
      </c>
      <c r="D302" s="191">
        <f>10548+100</f>
        <v>10648</v>
      </c>
      <c r="E302" s="191">
        <v>2512</v>
      </c>
      <c r="F302" s="191">
        <f t="shared" ref="F302:F330" si="45">SUM(G302:K302)</f>
        <v>15618</v>
      </c>
      <c r="G302" s="117">
        <v>104</v>
      </c>
      <c r="H302" s="117">
        <v>2540</v>
      </c>
      <c r="I302" s="117">
        <v>12774</v>
      </c>
      <c r="J302" s="117"/>
      <c r="K302" s="117">
        <v>200</v>
      </c>
      <c r="L302" s="117"/>
      <c r="M302" s="117"/>
      <c r="N302" s="117"/>
      <c r="O302" s="117"/>
      <c r="P302" s="117"/>
    </row>
    <row r="303" spans="1:16" ht="30" customHeight="1" x14ac:dyDescent="0.35">
      <c r="A303" s="116" t="s">
        <v>52</v>
      </c>
      <c r="B303" s="114">
        <f>SUM(C303:F303,L303:P303)</f>
        <v>8000</v>
      </c>
      <c r="C303" s="191"/>
      <c r="D303" s="191"/>
      <c r="E303" s="191"/>
      <c r="F303" s="191">
        <f t="shared" si="45"/>
        <v>0</v>
      </c>
      <c r="G303" s="117"/>
      <c r="H303" s="117"/>
      <c r="I303" s="117"/>
      <c r="J303" s="117"/>
      <c r="K303" s="117"/>
      <c r="L303" s="117"/>
      <c r="M303" s="117"/>
      <c r="N303" s="117"/>
      <c r="O303" s="117">
        <v>8000</v>
      </c>
      <c r="P303" s="117"/>
    </row>
    <row r="304" spans="1:16" ht="30" customHeight="1" x14ac:dyDescent="0.35">
      <c r="A304" s="115" t="s">
        <v>81</v>
      </c>
      <c r="B304" s="114">
        <f>SUM(C304+F304,L304:P304)</f>
        <v>140000</v>
      </c>
      <c r="C304" s="191"/>
      <c r="D304" s="191"/>
      <c r="E304" s="191"/>
      <c r="F304" s="191">
        <f t="shared" si="45"/>
        <v>0</v>
      </c>
      <c r="G304" s="117"/>
      <c r="H304" s="117"/>
      <c r="I304" s="117"/>
      <c r="J304" s="117"/>
      <c r="K304" s="117"/>
      <c r="L304" s="117"/>
      <c r="M304" s="117"/>
      <c r="N304" s="117"/>
      <c r="O304" s="117"/>
      <c r="P304" s="117">
        <v>140000</v>
      </c>
    </row>
    <row r="305" spans="1:17" ht="35.25" customHeight="1" x14ac:dyDescent="0.35">
      <c r="A305" s="115" t="s">
        <v>64</v>
      </c>
      <c r="B305" s="114">
        <f>SUM(C305+F305,L305:P305)</f>
        <v>3561</v>
      </c>
      <c r="C305" s="191">
        <f>D305+E305</f>
        <v>371</v>
      </c>
      <c r="D305" s="191">
        <v>300</v>
      </c>
      <c r="E305" s="191">
        <v>71</v>
      </c>
      <c r="F305" s="191">
        <f t="shared" si="45"/>
        <v>3190</v>
      </c>
      <c r="G305" s="117"/>
      <c r="H305" s="117"/>
      <c r="I305" s="117">
        <v>3190</v>
      </c>
      <c r="J305" s="117"/>
      <c r="K305" s="117"/>
      <c r="L305" s="117"/>
      <c r="M305" s="117"/>
      <c r="N305" s="117">
        <v>0</v>
      </c>
      <c r="O305" s="117"/>
      <c r="P305" s="117"/>
    </row>
    <row r="306" spans="1:17" ht="30" customHeight="1" x14ac:dyDescent="0.35">
      <c r="A306" s="115" t="s">
        <v>206</v>
      </c>
      <c r="B306" s="114">
        <f>SUM(C306+F306,L306:P306)</f>
        <v>26568</v>
      </c>
      <c r="C306" s="191">
        <f>D306+E306</f>
        <v>22246</v>
      </c>
      <c r="D306" s="191">
        <v>18000</v>
      </c>
      <c r="E306" s="191">
        <v>4246</v>
      </c>
      <c r="F306" s="191">
        <f t="shared" si="45"/>
        <v>4322</v>
      </c>
      <c r="G306" s="117"/>
      <c r="H306" s="117"/>
      <c r="I306" s="117">
        <v>4322</v>
      </c>
      <c r="J306" s="117"/>
      <c r="K306" s="117"/>
      <c r="L306" s="117">
        <v>0</v>
      </c>
      <c r="M306" s="117"/>
      <c r="N306" s="117"/>
      <c r="O306" s="117"/>
      <c r="P306" s="117"/>
    </row>
    <row r="307" spans="1:17" ht="30" customHeight="1" x14ac:dyDescent="0.35">
      <c r="A307" s="116" t="s">
        <v>145</v>
      </c>
      <c r="B307" s="114">
        <f>SUM(C307+F307,L307:P307)</f>
        <v>58588</v>
      </c>
      <c r="C307" s="191">
        <f>D307+E307</f>
        <v>43280</v>
      </c>
      <c r="D307" s="191">
        <v>35000</v>
      </c>
      <c r="E307" s="191">
        <v>8280</v>
      </c>
      <c r="F307" s="191">
        <f t="shared" si="45"/>
        <v>12308</v>
      </c>
      <c r="G307" s="117"/>
      <c r="H307" s="117"/>
      <c r="I307" s="117">
        <v>12308</v>
      </c>
      <c r="J307" s="117"/>
      <c r="K307" s="117"/>
      <c r="L307" s="117"/>
      <c r="M307" s="117"/>
      <c r="N307" s="117">
        <v>3000</v>
      </c>
      <c r="O307" s="117"/>
      <c r="P307" s="117"/>
    </row>
    <row r="308" spans="1:17" ht="45" customHeight="1" x14ac:dyDescent="0.35">
      <c r="A308" s="120" t="s">
        <v>896</v>
      </c>
      <c r="B308" s="114">
        <f>SUM(C308+F308,L308:P308)</f>
        <v>26232</v>
      </c>
      <c r="C308" s="201"/>
      <c r="D308" s="202"/>
      <c r="E308" s="204"/>
      <c r="F308" s="191">
        <f t="shared" si="45"/>
        <v>26232</v>
      </c>
      <c r="G308" s="141">
        <v>17536</v>
      </c>
      <c r="H308" s="141">
        <v>6152</v>
      </c>
      <c r="I308" s="141">
        <v>2544</v>
      </c>
      <c r="J308" s="141"/>
      <c r="K308" s="141"/>
      <c r="L308" s="141"/>
      <c r="M308" s="141"/>
      <c r="N308" s="141"/>
      <c r="O308" s="141"/>
      <c r="P308" s="141"/>
    </row>
    <row r="309" spans="1:17" ht="52.95" customHeight="1" x14ac:dyDescent="0.35">
      <c r="A309" s="113" t="s">
        <v>229</v>
      </c>
      <c r="B309" s="114">
        <f>SUM(C309:F309,L309:P309)</f>
        <v>8901</v>
      </c>
      <c r="C309" s="191"/>
      <c r="D309" s="191"/>
      <c r="E309" s="191"/>
      <c r="F309" s="191">
        <f t="shared" si="45"/>
        <v>8901</v>
      </c>
      <c r="G309" s="117"/>
      <c r="H309" s="117">
        <v>8901</v>
      </c>
      <c r="I309" s="117"/>
      <c r="J309" s="117"/>
      <c r="K309" s="117"/>
      <c r="L309" s="117"/>
      <c r="M309" s="117"/>
      <c r="N309" s="117"/>
      <c r="O309" s="117"/>
      <c r="P309" s="117"/>
    </row>
    <row r="310" spans="1:17" ht="54" customHeight="1" x14ac:dyDescent="0.35">
      <c r="A310" s="113" t="s">
        <v>808</v>
      </c>
      <c r="B310" s="114">
        <f>SUM(C310:F310,L310:P310)</f>
        <v>3555</v>
      </c>
      <c r="C310" s="191"/>
      <c r="D310" s="191"/>
      <c r="E310" s="191"/>
      <c r="F310" s="191">
        <f t="shared" si="45"/>
        <v>3555</v>
      </c>
      <c r="G310" s="117"/>
      <c r="H310" s="117">
        <v>3555</v>
      </c>
      <c r="I310" s="117"/>
      <c r="J310" s="117"/>
      <c r="K310" s="117"/>
      <c r="L310" s="117"/>
      <c r="M310" s="117"/>
      <c r="N310" s="117"/>
      <c r="O310" s="117"/>
      <c r="P310" s="117"/>
    </row>
    <row r="311" spans="1:17" ht="19.5" customHeight="1" x14ac:dyDescent="0.35">
      <c r="A311" s="113" t="s">
        <v>227</v>
      </c>
      <c r="B311" s="114">
        <f t="shared" ref="B311:B316" si="46">SUM(C311+F311,L311:P311)</f>
        <v>37317</v>
      </c>
      <c r="C311" s="191"/>
      <c r="D311" s="191"/>
      <c r="E311" s="191"/>
      <c r="F311" s="191">
        <f t="shared" si="45"/>
        <v>0</v>
      </c>
      <c r="G311" s="117"/>
      <c r="H311" s="117"/>
      <c r="I311" s="117"/>
      <c r="J311" s="117"/>
      <c r="K311" s="117"/>
      <c r="L311" s="117"/>
      <c r="M311" s="117"/>
      <c r="N311" s="117">
        <v>37317</v>
      </c>
      <c r="O311" s="117"/>
      <c r="P311" s="117"/>
      <c r="Q311" s="67"/>
    </row>
    <row r="312" spans="1:17" ht="19.5" customHeight="1" x14ac:dyDescent="0.35">
      <c r="A312" s="113" t="s">
        <v>755</v>
      </c>
      <c r="B312" s="114">
        <f t="shared" si="46"/>
        <v>300</v>
      </c>
      <c r="C312" s="191"/>
      <c r="D312" s="191"/>
      <c r="E312" s="191"/>
      <c r="F312" s="191">
        <f t="shared" si="45"/>
        <v>0</v>
      </c>
      <c r="G312" s="117"/>
      <c r="H312" s="117"/>
      <c r="I312" s="117"/>
      <c r="J312" s="117"/>
      <c r="K312" s="117"/>
      <c r="L312" s="117">
        <v>300</v>
      </c>
      <c r="M312" s="117"/>
      <c r="N312" s="117"/>
      <c r="O312" s="117"/>
      <c r="P312" s="117"/>
    </row>
    <row r="313" spans="1:17" ht="39.75" customHeight="1" x14ac:dyDescent="0.35">
      <c r="A313" s="113" t="s">
        <v>225</v>
      </c>
      <c r="B313" s="114">
        <f>SUM(C313+F313,L313:P313)</f>
        <v>96710</v>
      </c>
      <c r="C313" s="191"/>
      <c r="D313" s="191"/>
      <c r="E313" s="191"/>
      <c r="F313" s="191">
        <f t="shared" si="45"/>
        <v>0</v>
      </c>
      <c r="G313" s="117"/>
      <c r="H313" s="117"/>
      <c r="I313" s="117"/>
      <c r="J313" s="117"/>
      <c r="K313" s="117"/>
      <c r="L313" s="117"/>
      <c r="M313" s="117"/>
      <c r="N313" s="117">
        <f>96710</f>
        <v>96710</v>
      </c>
      <c r="O313" s="117"/>
      <c r="P313" s="117"/>
      <c r="Q313" s="67"/>
    </row>
    <row r="314" spans="1:17" ht="15" customHeight="1" x14ac:dyDescent="0.35">
      <c r="A314" s="116" t="s">
        <v>54</v>
      </c>
      <c r="B314" s="114">
        <f t="shared" si="46"/>
        <v>217845</v>
      </c>
      <c r="C314" s="191">
        <f>D314+E314</f>
        <v>195975</v>
      </c>
      <c r="D314" s="191">
        <v>156371</v>
      </c>
      <c r="E314" s="191">
        <v>39604</v>
      </c>
      <c r="F314" s="191">
        <f t="shared" si="45"/>
        <v>21870</v>
      </c>
      <c r="G314" s="117">
        <v>350</v>
      </c>
      <c r="H314" s="117">
        <v>12440</v>
      </c>
      <c r="I314" s="117">
        <v>9080</v>
      </c>
      <c r="J314" s="117"/>
      <c r="K314" s="117"/>
      <c r="L314" s="117"/>
      <c r="M314" s="117"/>
      <c r="N314" s="117"/>
      <c r="O314" s="117"/>
      <c r="P314" s="117"/>
    </row>
    <row r="315" spans="1:17" ht="15" customHeight="1" x14ac:dyDescent="0.35">
      <c r="A315" s="118" t="s">
        <v>164</v>
      </c>
      <c r="B315" s="114">
        <f t="shared" si="46"/>
        <v>623737</v>
      </c>
      <c r="C315" s="191">
        <f>D315+E315</f>
        <v>548793</v>
      </c>
      <c r="D315" s="191">
        <v>436806</v>
      </c>
      <c r="E315" s="191">
        <v>111987</v>
      </c>
      <c r="F315" s="191">
        <f t="shared" si="45"/>
        <v>74944</v>
      </c>
      <c r="G315" s="117">
        <v>1200</v>
      </c>
      <c r="H315" s="117">
        <v>45403</v>
      </c>
      <c r="I315" s="117">
        <v>27841</v>
      </c>
      <c r="J315" s="117"/>
      <c r="K315" s="117">
        <v>500</v>
      </c>
      <c r="L315" s="117"/>
      <c r="M315" s="117"/>
      <c r="N315" s="117"/>
      <c r="O315" s="117"/>
      <c r="P315" s="117"/>
    </row>
    <row r="316" spans="1:17" ht="15" customHeight="1" x14ac:dyDescent="0.35">
      <c r="A316" s="118" t="s">
        <v>217</v>
      </c>
      <c r="B316" s="114">
        <f t="shared" si="46"/>
        <v>1190000</v>
      </c>
      <c r="C316" s="191"/>
      <c r="D316" s="191"/>
      <c r="E316" s="191"/>
      <c r="F316" s="191">
        <f t="shared" si="45"/>
        <v>0</v>
      </c>
      <c r="G316" s="117"/>
      <c r="H316" s="117"/>
      <c r="I316" s="117"/>
      <c r="J316" s="117"/>
      <c r="K316" s="117"/>
      <c r="L316" s="117"/>
      <c r="M316" s="117"/>
      <c r="N316" s="117"/>
      <c r="O316" s="117">
        <f>1084000+106000</f>
        <v>1190000</v>
      </c>
      <c r="P316" s="117"/>
    </row>
    <row r="317" spans="1:17" ht="15" customHeight="1" x14ac:dyDescent="0.35">
      <c r="A317" s="118" t="s">
        <v>160</v>
      </c>
      <c r="B317" s="114">
        <f>SUM(C317:F317,L317:P317)</f>
        <v>19690</v>
      </c>
      <c r="C317" s="191"/>
      <c r="D317" s="191"/>
      <c r="E317" s="191"/>
      <c r="F317" s="191">
        <f t="shared" si="45"/>
        <v>0</v>
      </c>
      <c r="G317" s="117"/>
      <c r="H317" s="117"/>
      <c r="I317" s="117"/>
      <c r="J317" s="117"/>
      <c r="K317" s="117"/>
      <c r="L317" s="117"/>
      <c r="M317" s="117"/>
      <c r="N317" s="117"/>
      <c r="O317" s="117">
        <v>19690</v>
      </c>
      <c r="P317" s="117"/>
    </row>
    <row r="318" spans="1:17" ht="15" customHeight="1" x14ac:dyDescent="0.35">
      <c r="A318" s="118" t="s">
        <v>55</v>
      </c>
      <c r="B318" s="114">
        <f t="shared" ref="B318:B350" si="47">SUM(C318+F318,L318:P318)</f>
        <v>22137</v>
      </c>
      <c r="C318" s="191"/>
      <c r="D318" s="191"/>
      <c r="E318" s="191"/>
      <c r="F318" s="191">
        <f t="shared" si="45"/>
        <v>22137</v>
      </c>
      <c r="G318" s="117"/>
      <c r="H318" s="117">
        <v>19517</v>
      </c>
      <c r="I318" s="117">
        <v>2620</v>
      </c>
      <c r="J318" s="117"/>
      <c r="K318" s="117"/>
      <c r="L318" s="117"/>
      <c r="M318" s="117"/>
      <c r="N318" s="117"/>
      <c r="O318" s="117"/>
      <c r="P318" s="117"/>
    </row>
    <row r="319" spans="1:17" ht="15" customHeight="1" x14ac:dyDescent="0.35">
      <c r="A319" s="118" t="s">
        <v>66</v>
      </c>
      <c r="B319" s="114">
        <f t="shared" si="47"/>
        <v>270172</v>
      </c>
      <c r="C319" s="191">
        <f>D319+E319</f>
        <v>119620</v>
      </c>
      <c r="D319" s="191">
        <v>110627</v>
      </c>
      <c r="E319" s="191">
        <v>8993</v>
      </c>
      <c r="F319" s="191">
        <f t="shared" si="45"/>
        <v>28883</v>
      </c>
      <c r="G319" s="117"/>
      <c r="H319" s="117">
        <v>27443</v>
      </c>
      <c r="I319" s="117">
        <v>1440</v>
      </c>
      <c r="J319" s="117"/>
      <c r="K319" s="117"/>
      <c r="L319" s="117"/>
      <c r="M319" s="117"/>
      <c r="N319" s="117">
        <v>3505</v>
      </c>
      <c r="O319" s="117">
        <v>118164</v>
      </c>
      <c r="P319" s="117"/>
    </row>
    <row r="320" spans="1:17" ht="15" customHeight="1" x14ac:dyDescent="0.35">
      <c r="A320" s="118" t="s">
        <v>53</v>
      </c>
      <c r="B320" s="114">
        <f>SUM(C320+F320,L320:P320)</f>
        <v>1846824</v>
      </c>
      <c r="C320" s="191">
        <f t="shared" ref="C320:C329" si="48">D320+E320</f>
        <v>1079885</v>
      </c>
      <c r="D320" s="191">
        <v>861217</v>
      </c>
      <c r="E320" s="191">
        <v>218668</v>
      </c>
      <c r="F320" s="191">
        <f t="shared" si="45"/>
        <v>744879</v>
      </c>
      <c r="G320" s="117">
        <v>500</v>
      </c>
      <c r="H320" s="117">
        <v>110365</v>
      </c>
      <c r="I320" s="117">
        <v>631334</v>
      </c>
      <c r="J320" s="117">
        <v>680</v>
      </c>
      <c r="K320" s="117">
        <v>2000</v>
      </c>
      <c r="L320" s="117"/>
      <c r="M320" s="117"/>
      <c r="N320" s="117">
        <f>3000+N321</f>
        <v>19860</v>
      </c>
      <c r="O320" s="117">
        <v>2200</v>
      </c>
      <c r="P320" s="117"/>
    </row>
    <row r="321" spans="1:16" ht="15" customHeight="1" x14ac:dyDescent="0.35">
      <c r="A321" s="232" t="s">
        <v>726</v>
      </c>
      <c r="B321" s="114">
        <f t="shared" si="47"/>
        <v>16860</v>
      </c>
      <c r="C321" s="191"/>
      <c r="D321" s="191"/>
      <c r="E321" s="191"/>
      <c r="F321" s="191"/>
      <c r="G321" s="117"/>
      <c r="H321" s="117"/>
      <c r="I321" s="117"/>
      <c r="J321" s="117"/>
      <c r="K321" s="117"/>
      <c r="L321" s="117"/>
      <c r="M321" s="117"/>
      <c r="N321" s="117">
        <v>16860</v>
      </c>
      <c r="O321" s="117"/>
      <c r="P321" s="117"/>
    </row>
    <row r="322" spans="1:16" ht="15" customHeight="1" x14ac:dyDescent="0.35">
      <c r="A322" s="118" t="s">
        <v>117</v>
      </c>
      <c r="B322" s="114">
        <f t="shared" si="47"/>
        <v>340109</v>
      </c>
      <c r="C322" s="191">
        <f t="shared" si="48"/>
        <v>231763</v>
      </c>
      <c r="D322" s="191">
        <v>196250</v>
      </c>
      <c r="E322" s="191">
        <v>35513</v>
      </c>
      <c r="F322" s="191">
        <f t="shared" si="45"/>
        <v>103183</v>
      </c>
      <c r="G322" s="117">
        <v>342</v>
      </c>
      <c r="H322" s="117">
        <v>18936</v>
      </c>
      <c r="I322" s="117">
        <f>88868+(-5163)</f>
        <v>83705</v>
      </c>
      <c r="J322" s="117">
        <v>0</v>
      </c>
      <c r="K322" s="117">
        <v>200</v>
      </c>
      <c r="L322" s="117"/>
      <c r="M322" s="117"/>
      <c r="N322" s="117">
        <v>5163</v>
      </c>
      <c r="O322" s="117"/>
      <c r="P322" s="117"/>
    </row>
    <row r="323" spans="1:16" ht="15" customHeight="1" x14ac:dyDescent="0.35">
      <c r="A323" s="115" t="s">
        <v>119</v>
      </c>
      <c r="B323" s="114">
        <f t="shared" si="47"/>
        <v>218380</v>
      </c>
      <c r="C323" s="191">
        <f t="shared" si="48"/>
        <v>148772</v>
      </c>
      <c r="D323" s="191">
        <f>116902</f>
        <v>116902</v>
      </c>
      <c r="E323" s="191">
        <v>31870</v>
      </c>
      <c r="F323" s="191">
        <f t="shared" si="45"/>
        <v>67466</v>
      </c>
      <c r="G323" s="117">
        <f>60+G324</f>
        <v>47</v>
      </c>
      <c r="H323" s="117">
        <f>20076+H324</f>
        <v>19089</v>
      </c>
      <c r="I323" s="117">
        <f>47330+I324</f>
        <v>48330</v>
      </c>
      <c r="J323" s="117"/>
      <c r="K323" s="117"/>
      <c r="L323" s="117"/>
      <c r="M323" s="117"/>
      <c r="N323" s="117"/>
      <c r="O323" s="117">
        <v>2142</v>
      </c>
      <c r="P323" s="117"/>
    </row>
    <row r="324" spans="1:16" ht="15" customHeight="1" x14ac:dyDescent="0.35">
      <c r="A324" s="233" t="s">
        <v>726</v>
      </c>
      <c r="B324" s="114">
        <f>SUM(C324+F324,L324:P324)</f>
        <v>0</v>
      </c>
      <c r="C324" s="191"/>
      <c r="D324" s="191"/>
      <c r="E324" s="191"/>
      <c r="F324" s="191">
        <f t="shared" si="45"/>
        <v>0</v>
      </c>
      <c r="G324" s="117">
        <v>-13</v>
      </c>
      <c r="H324" s="117">
        <v>-987</v>
      </c>
      <c r="I324" s="117">
        <v>1000</v>
      </c>
      <c r="J324" s="117"/>
      <c r="K324" s="117"/>
      <c r="L324" s="117"/>
      <c r="M324" s="117"/>
      <c r="N324" s="117"/>
      <c r="O324" s="117"/>
      <c r="P324" s="117"/>
    </row>
    <row r="325" spans="1:16" ht="15" customHeight="1" x14ac:dyDescent="0.35">
      <c r="A325" s="115" t="s">
        <v>118</v>
      </c>
      <c r="B325" s="114">
        <f>SUM(C325+F325,L325:P325)</f>
        <v>305263</v>
      </c>
      <c r="C325" s="191">
        <f>D325+E325</f>
        <v>218750</v>
      </c>
      <c r="D325" s="191">
        <f>176675</f>
        <v>176675</v>
      </c>
      <c r="E325" s="191">
        <v>42075</v>
      </c>
      <c r="F325" s="191">
        <f>SUM(G325:K325)</f>
        <v>84514</v>
      </c>
      <c r="G325" s="117">
        <v>60</v>
      </c>
      <c r="H325" s="117">
        <f>21173+670</f>
        <v>21843</v>
      </c>
      <c r="I325" s="117">
        <v>62364</v>
      </c>
      <c r="J325" s="117"/>
      <c r="K325" s="117">
        <f>226+21</f>
        <v>247</v>
      </c>
      <c r="L325" s="117"/>
      <c r="M325" s="117"/>
      <c r="N325" s="117">
        <v>1999</v>
      </c>
      <c r="O325" s="117">
        <f>2690+(-2690)</f>
        <v>0</v>
      </c>
      <c r="P325" s="117"/>
    </row>
    <row r="326" spans="1:16" ht="30" customHeight="1" x14ac:dyDescent="0.35">
      <c r="A326" s="113" t="s">
        <v>84</v>
      </c>
      <c r="B326" s="114">
        <f t="shared" si="47"/>
        <v>257427</v>
      </c>
      <c r="C326" s="191">
        <f t="shared" si="48"/>
        <v>205391</v>
      </c>
      <c r="D326" s="191">
        <v>165726</v>
      </c>
      <c r="E326" s="191">
        <v>39665</v>
      </c>
      <c r="F326" s="191">
        <f t="shared" si="45"/>
        <v>52036</v>
      </c>
      <c r="G326" s="117">
        <v>476</v>
      </c>
      <c r="H326" s="117">
        <v>40827</v>
      </c>
      <c r="I326" s="117">
        <v>10733</v>
      </c>
      <c r="J326" s="117"/>
      <c r="K326" s="117"/>
      <c r="L326" s="117"/>
      <c r="M326" s="117"/>
      <c r="N326" s="117"/>
      <c r="O326" s="117"/>
      <c r="P326" s="117"/>
    </row>
    <row r="327" spans="1:16" ht="30" customHeight="1" x14ac:dyDescent="0.35">
      <c r="A327" s="120" t="s">
        <v>165</v>
      </c>
      <c r="B327" s="114">
        <f t="shared" si="47"/>
        <v>73881</v>
      </c>
      <c r="C327" s="213">
        <f t="shared" si="48"/>
        <v>64866</v>
      </c>
      <c r="D327" s="202">
        <v>51752</v>
      </c>
      <c r="E327" s="202">
        <v>13114</v>
      </c>
      <c r="F327" s="191">
        <f t="shared" si="45"/>
        <v>9015</v>
      </c>
      <c r="G327" s="144">
        <v>100</v>
      </c>
      <c r="H327" s="144">
        <v>2543</v>
      </c>
      <c r="I327" s="144">
        <v>6372</v>
      </c>
      <c r="J327" s="144"/>
      <c r="K327" s="144"/>
      <c r="L327" s="144"/>
      <c r="M327" s="144"/>
      <c r="N327" s="144"/>
      <c r="O327" s="144"/>
      <c r="P327" s="144"/>
    </row>
    <row r="328" spans="1:16" ht="30" customHeight="1" x14ac:dyDescent="0.35">
      <c r="A328" s="118" t="s">
        <v>166</v>
      </c>
      <c r="B328" s="114">
        <f t="shared" si="47"/>
        <v>134929</v>
      </c>
      <c r="C328" s="191">
        <f t="shared" si="48"/>
        <v>111491</v>
      </c>
      <c r="D328" s="191">
        <v>90064</v>
      </c>
      <c r="E328" s="191">
        <v>21427</v>
      </c>
      <c r="F328" s="191">
        <f t="shared" si="45"/>
        <v>18188</v>
      </c>
      <c r="G328" s="117"/>
      <c r="H328" s="117">
        <v>6499</v>
      </c>
      <c r="I328" s="117">
        <v>11689</v>
      </c>
      <c r="J328" s="117"/>
      <c r="K328" s="117"/>
      <c r="L328" s="117"/>
      <c r="M328" s="117"/>
      <c r="N328" s="117"/>
      <c r="O328" s="117">
        <v>5250</v>
      </c>
      <c r="P328" s="117"/>
    </row>
    <row r="329" spans="1:16" ht="30" customHeight="1" x14ac:dyDescent="0.35">
      <c r="A329" s="122" t="s">
        <v>152</v>
      </c>
      <c r="B329" s="223">
        <f t="shared" si="47"/>
        <v>5201</v>
      </c>
      <c r="C329" s="212">
        <f t="shared" si="48"/>
        <v>4326</v>
      </c>
      <c r="D329" s="202">
        <v>3500</v>
      </c>
      <c r="E329" s="204">
        <v>826</v>
      </c>
      <c r="F329" s="191">
        <f t="shared" si="45"/>
        <v>875</v>
      </c>
      <c r="G329" s="145"/>
      <c r="H329" s="145">
        <v>580</v>
      </c>
      <c r="I329" s="145">
        <v>295</v>
      </c>
      <c r="J329" s="145"/>
      <c r="K329" s="145"/>
      <c r="L329" s="145"/>
      <c r="M329" s="145"/>
      <c r="N329" s="145"/>
      <c r="O329" s="145"/>
      <c r="P329" s="145"/>
    </row>
    <row r="330" spans="1:16" ht="30" customHeight="1" x14ac:dyDescent="0.35">
      <c r="A330" s="123" t="s">
        <v>614</v>
      </c>
      <c r="B330" s="114">
        <f t="shared" si="47"/>
        <v>500</v>
      </c>
      <c r="C330" s="202"/>
      <c r="D330" s="202"/>
      <c r="E330" s="202"/>
      <c r="F330" s="191">
        <f t="shared" si="45"/>
        <v>500</v>
      </c>
      <c r="G330" s="143"/>
      <c r="H330" s="143">
        <v>200</v>
      </c>
      <c r="I330" s="143">
        <v>300</v>
      </c>
      <c r="J330" s="143"/>
      <c r="K330" s="143"/>
      <c r="L330" s="143"/>
      <c r="M330" s="143"/>
      <c r="N330" s="143"/>
      <c r="O330" s="143"/>
      <c r="P330" s="143"/>
    </row>
    <row r="331" spans="1:16" ht="30" customHeight="1" x14ac:dyDescent="0.35">
      <c r="A331" s="118" t="s">
        <v>56</v>
      </c>
      <c r="B331" s="114">
        <f t="shared" si="47"/>
        <v>632852</v>
      </c>
      <c r="C331" s="191">
        <f>D331+E331</f>
        <v>585311</v>
      </c>
      <c r="D331" s="191">
        <v>473612</v>
      </c>
      <c r="E331" s="191">
        <v>111699</v>
      </c>
      <c r="F331" s="191">
        <f t="shared" ref="F331:F345" si="49">SUM(G331:K331)</f>
        <v>41541</v>
      </c>
      <c r="G331" s="117">
        <v>0</v>
      </c>
      <c r="H331" s="117">
        <v>23302</v>
      </c>
      <c r="I331" s="117">
        <v>18239</v>
      </c>
      <c r="J331" s="117"/>
      <c r="K331" s="117"/>
      <c r="L331" s="117"/>
      <c r="M331" s="117"/>
      <c r="N331" s="117">
        <v>6000</v>
      </c>
      <c r="O331" s="117"/>
      <c r="P331" s="117"/>
    </row>
    <row r="332" spans="1:16" ht="30" customHeight="1" x14ac:dyDescent="0.35">
      <c r="A332" s="113" t="s">
        <v>62</v>
      </c>
      <c r="B332" s="114">
        <f t="shared" si="47"/>
        <v>42383</v>
      </c>
      <c r="C332" s="191">
        <f>D332+E332</f>
        <v>0</v>
      </c>
      <c r="D332" s="191"/>
      <c r="E332" s="191"/>
      <c r="F332" s="191">
        <f t="shared" si="49"/>
        <v>0</v>
      </c>
      <c r="G332" s="117"/>
      <c r="H332" s="117"/>
      <c r="I332" s="117">
        <v>0</v>
      </c>
      <c r="J332" s="117"/>
      <c r="K332" s="117"/>
      <c r="L332" s="117"/>
      <c r="M332" s="117"/>
      <c r="N332" s="117">
        <v>42383</v>
      </c>
      <c r="O332" s="117">
        <v>0</v>
      </c>
      <c r="P332" s="117"/>
    </row>
    <row r="333" spans="1:16" ht="30" customHeight="1" x14ac:dyDescent="0.35">
      <c r="A333" s="118" t="s">
        <v>61</v>
      </c>
      <c r="B333" s="114">
        <f t="shared" si="47"/>
        <v>23100</v>
      </c>
      <c r="C333" s="191">
        <f>D333+E333</f>
        <v>0</v>
      </c>
      <c r="D333" s="191"/>
      <c r="E333" s="191"/>
      <c r="F333" s="191">
        <f t="shared" si="49"/>
        <v>23100</v>
      </c>
      <c r="G333" s="117">
        <v>0</v>
      </c>
      <c r="H333" s="117">
        <v>23100</v>
      </c>
      <c r="I333" s="117"/>
      <c r="J333" s="117"/>
      <c r="K333" s="117"/>
      <c r="L333" s="117"/>
      <c r="M333" s="117"/>
      <c r="N333" s="117">
        <v>0</v>
      </c>
      <c r="O333" s="117"/>
      <c r="P333" s="117"/>
    </row>
    <row r="334" spans="1:16" ht="26.25" customHeight="1" x14ac:dyDescent="0.35">
      <c r="A334" s="113" t="s">
        <v>209</v>
      </c>
      <c r="B334" s="114">
        <f t="shared" si="47"/>
        <v>400</v>
      </c>
      <c r="C334" s="191"/>
      <c r="D334" s="191"/>
      <c r="E334" s="191"/>
      <c r="F334" s="191">
        <f t="shared" si="49"/>
        <v>0</v>
      </c>
      <c r="G334" s="117"/>
      <c r="H334" s="117"/>
      <c r="I334" s="117"/>
      <c r="J334" s="117"/>
      <c r="K334" s="117"/>
      <c r="L334" s="117">
        <v>400</v>
      </c>
      <c r="M334" s="117"/>
      <c r="N334" s="117"/>
      <c r="O334" s="117"/>
      <c r="P334" s="117"/>
    </row>
    <row r="335" spans="1:16" ht="18" customHeight="1" x14ac:dyDescent="0.35">
      <c r="A335" s="113" t="s">
        <v>210</v>
      </c>
      <c r="B335" s="114">
        <f t="shared" si="47"/>
        <v>400</v>
      </c>
      <c r="C335" s="191"/>
      <c r="D335" s="191"/>
      <c r="E335" s="191"/>
      <c r="F335" s="191">
        <f t="shared" si="49"/>
        <v>0</v>
      </c>
      <c r="G335" s="117"/>
      <c r="H335" s="117"/>
      <c r="I335" s="117"/>
      <c r="J335" s="117"/>
      <c r="K335" s="117"/>
      <c r="L335" s="117">
        <v>400</v>
      </c>
      <c r="M335" s="117"/>
      <c r="N335" s="117"/>
      <c r="O335" s="117"/>
      <c r="P335" s="117"/>
    </row>
    <row r="336" spans="1:16" ht="19.5" customHeight="1" x14ac:dyDescent="0.35">
      <c r="A336" s="113" t="s">
        <v>211</v>
      </c>
      <c r="B336" s="114">
        <f t="shared" si="47"/>
        <v>400</v>
      </c>
      <c r="C336" s="191"/>
      <c r="D336" s="191"/>
      <c r="E336" s="191"/>
      <c r="F336" s="191">
        <f t="shared" si="49"/>
        <v>0</v>
      </c>
      <c r="G336" s="117"/>
      <c r="H336" s="117"/>
      <c r="I336" s="117"/>
      <c r="J336" s="117"/>
      <c r="K336" s="117"/>
      <c r="L336" s="117">
        <v>400</v>
      </c>
      <c r="M336" s="117"/>
      <c r="N336" s="117"/>
      <c r="O336" s="117"/>
      <c r="P336" s="117"/>
    </row>
    <row r="337" spans="1:16" ht="17.25" customHeight="1" x14ac:dyDescent="0.35">
      <c r="A337" s="113" t="s">
        <v>722</v>
      </c>
      <c r="B337" s="114">
        <f t="shared" si="47"/>
        <v>300</v>
      </c>
      <c r="C337" s="191"/>
      <c r="D337" s="191"/>
      <c r="E337" s="191"/>
      <c r="F337" s="191"/>
      <c r="G337" s="117"/>
      <c r="H337" s="117"/>
      <c r="I337" s="117"/>
      <c r="J337" s="117"/>
      <c r="K337" s="117"/>
      <c r="L337" s="117">
        <v>300</v>
      </c>
      <c r="M337" s="117"/>
      <c r="N337" s="117"/>
      <c r="O337" s="117"/>
      <c r="P337" s="117"/>
    </row>
    <row r="338" spans="1:16" ht="30" customHeight="1" x14ac:dyDescent="0.35">
      <c r="A338" s="113" t="s">
        <v>220</v>
      </c>
      <c r="B338" s="114">
        <f t="shared" si="47"/>
        <v>188210</v>
      </c>
      <c r="C338" s="191"/>
      <c r="D338" s="191"/>
      <c r="E338" s="191"/>
      <c r="F338" s="191">
        <f t="shared" si="49"/>
        <v>0</v>
      </c>
      <c r="G338" s="117"/>
      <c r="H338" s="117"/>
      <c r="I338" s="117"/>
      <c r="J338" s="117"/>
      <c r="K338" s="117"/>
      <c r="L338" s="117"/>
      <c r="M338" s="117"/>
      <c r="N338" s="117">
        <v>188210</v>
      </c>
      <c r="O338" s="117"/>
      <c r="P338" s="117"/>
    </row>
    <row r="339" spans="1:16" ht="30" customHeight="1" x14ac:dyDescent="0.35">
      <c r="A339" s="113" t="s">
        <v>638</v>
      </c>
      <c r="B339" s="114">
        <f t="shared" si="47"/>
        <v>29524</v>
      </c>
      <c r="C339" s="191"/>
      <c r="D339" s="191"/>
      <c r="E339" s="191"/>
      <c r="F339" s="191">
        <f t="shared" si="49"/>
        <v>0</v>
      </c>
      <c r="G339" s="117"/>
      <c r="H339" s="117"/>
      <c r="I339" s="117"/>
      <c r="J339" s="117"/>
      <c r="K339" s="117"/>
      <c r="L339" s="117"/>
      <c r="M339" s="117"/>
      <c r="N339" s="117">
        <v>29524</v>
      </c>
      <c r="O339" s="117"/>
      <c r="P339" s="117"/>
    </row>
    <row r="340" spans="1:16" ht="30" customHeight="1" x14ac:dyDescent="0.35">
      <c r="A340" s="123" t="s">
        <v>617</v>
      </c>
      <c r="B340" s="114">
        <f>SUM(C340+F340,L340:P340)</f>
        <v>5846</v>
      </c>
      <c r="C340" s="191">
        <f>D340+E340</f>
        <v>534</v>
      </c>
      <c r="D340" s="191">
        <v>241</v>
      </c>
      <c r="E340" s="191">
        <v>293</v>
      </c>
      <c r="F340" s="191">
        <f>SUM(G340:K340)</f>
        <v>5312</v>
      </c>
      <c r="G340" s="117"/>
      <c r="H340" s="117">
        <f>2000+3312</f>
        <v>5312</v>
      </c>
      <c r="I340" s="117">
        <v>0</v>
      </c>
      <c r="J340" s="117"/>
      <c r="K340" s="117"/>
      <c r="L340" s="117"/>
      <c r="M340" s="117"/>
      <c r="N340" s="117"/>
      <c r="O340" s="117">
        <v>0</v>
      </c>
      <c r="P340" s="117">
        <v>0</v>
      </c>
    </row>
    <row r="341" spans="1:16" ht="15" customHeight="1" x14ac:dyDescent="0.35">
      <c r="A341" s="113" t="s">
        <v>163</v>
      </c>
      <c r="B341" s="114">
        <f t="shared" si="47"/>
        <v>100000</v>
      </c>
      <c r="C341" s="191"/>
      <c r="D341" s="191"/>
      <c r="E341" s="191"/>
      <c r="F341" s="191">
        <f t="shared" si="49"/>
        <v>5687</v>
      </c>
      <c r="G341" s="117"/>
      <c r="H341" s="117">
        <v>5687</v>
      </c>
      <c r="I341" s="117"/>
      <c r="J341" s="117"/>
      <c r="K341" s="117"/>
      <c r="L341" s="117"/>
      <c r="M341" s="117"/>
      <c r="N341" s="117">
        <f>100000+(-5687)</f>
        <v>94313</v>
      </c>
      <c r="O341" s="117"/>
      <c r="P341" s="117"/>
    </row>
    <row r="342" spans="1:16" ht="30" customHeight="1" x14ac:dyDescent="0.35">
      <c r="A342" s="113" t="s">
        <v>218</v>
      </c>
      <c r="B342" s="114">
        <f>SUM(C342+F342,L342:P342)</f>
        <v>311642</v>
      </c>
      <c r="C342" s="191"/>
      <c r="D342" s="191"/>
      <c r="E342" s="191"/>
      <c r="F342" s="191">
        <f t="shared" si="49"/>
        <v>2720</v>
      </c>
      <c r="G342" s="117"/>
      <c r="H342" s="117">
        <v>2720</v>
      </c>
      <c r="I342" s="117"/>
      <c r="J342" s="117"/>
      <c r="K342" s="117"/>
      <c r="L342" s="117"/>
      <c r="M342" s="117"/>
      <c r="N342" s="117">
        <f>311642+(-2720)</f>
        <v>308922</v>
      </c>
      <c r="O342" s="117"/>
      <c r="P342" s="117"/>
    </row>
    <row r="343" spans="1:16" ht="32.25" customHeight="1" x14ac:dyDescent="0.35">
      <c r="A343" s="113" t="s">
        <v>219</v>
      </c>
      <c r="B343" s="114">
        <f t="shared" si="47"/>
        <v>380947</v>
      </c>
      <c r="C343" s="191"/>
      <c r="D343" s="191"/>
      <c r="E343" s="191"/>
      <c r="F343" s="191">
        <f t="shared" si="49"/>
        <v>0</v>
      </c>
      <c r="G343" s="117"/>
      <c r="H343" s="117"/>
      <c r="I343" s="117"/>
      <c r="J343" s="117"/>
      <c r="K343" s="117"/>
      <c r="L343" s="117"/>
      <c r="M343" s="117"/>
      <c r="N343" s="117">
        <v>380947</v>
      </c>
      <c r="O343" s="117"/>
      <c r="P343" s="117"/>
    </row>
    <row r="344" spans="1:16" ht="21.75" customHeight="1" x14ac:dyDescent="0.35">
      <c r="A344" s="113" t="s">
        <v>651</v>
      </c>
      <c r="B344" s="114">
        <f t="shared" si="47"/>
        <v>60000</v>
      </c>
      <c r="C344" s="191"/>
      <c r="D344" s="191"/>
      <c r="E344" s="191"/>
      <c r="F344" s="191">
        <f>SUM(G344:K344)</f>
        <v>60000</v>
      </c>
      <c r="G344" s="117"/>
      <c r="H344" s="117">
        <v>60000</v>
      </c>
      <c r="I344" s="117"/>
      <c r="J344" s="117"/>
      <c r="K344" s="117"/>
      <c r="L344" s="117"/>
      <c r="M344" s="117"/>
      <c r="N344" s="117"/>
      <c r="O344" s="117"/>
      <c r="P344" s="117"/>
    </row>
    <row r="345" spans="1:16" ht="35.25" customHeight="1" x14ac:dyDescent="0.35">
      <c r="A345" s="113" t="s">
        <v>646</v>
      </c>
      <c r="B345" s="114">
        <f t="shared" si="47"/>
        <v>3000</v>
      </c>
      <c r="C345" s="191"/>
      <c r="D345" s="191"/>
      <c r="E345" s="191"/>
      <c r="F345" s="191">
        <f t="shared" si="49"/>
        <v>0</v>
      </c>
      <c r="G345" s="117"/>
      <c r="H345" s="117"/>
      <c r="I345" s="117"/>
      <c r="J345" s="117"/>
      <c r="K345" s="117"/>
      <c r="L345" s="117"/>
      <c r="M345" s="117"/>
      <c r="N345" s="117">
        <v>3000</v>
      </c>
      <c r="O345" s="117"/>
      <c r="P345" s="117"/>
    </row>
    <row r="346" spans="1:16" ht="19.5" customHeight="1" x14ac:dyDescent="0.35">
      <c r="A346" s="113" t="s">
        <v>665</v>
      </c>
      <c r="B346" s="114">
        <f t="shared" si="47"/>
        <v>188613</v>
      </c>
      <c r="C346" s="191"/>
      <c r="D346" s="191"/>
      <c r="E346" s="191"/>
      <c r="F346" s="191"/>
      <c r="G346" s="117"/>
      <c r="H346" s="117"/>
      <c r="I346" s="117"/>
      <c r="J346" s="117"/>
      <c r="K346" s="117"/>
      <c r="L346" s="117"/>
      <c r="M346" s="117"/>
      <c r="N346" s="117">
        <v>188613</v>
      </c>
      <c r="O346" s="117"/>
      <c r="P346" s="117"/>
    </row>
    <row r="347" spans="1:16" ht="30" customHeight="1" x14ac:dyDescent="0.35">
      <c r="A347" s="113" t="s">
        <v>664</v>
      </c>
      <c r="B347" s="114">
        <f>SUM(C347+F347,L347:P347)</f>
        <v>12210</v>
      </c>
      <c r="C347" s="191"/>
      <c r="D347" s="191"/>
      <c r="E347" s="191"/>
      <c r="F347" s="191">
        <f>SUM(G347:K347)</f>
        <v>12210</v>
      </c>
      <c r="G347" s="117"/>
      <c r="H347" s="117">
        <f>12210</f>
        <v>12210</v>
      </c>
      <c r="I347" s="117"/>
      <c r="J347" s="117"/>
      <c r="K347" s="117"/>
      <c r="L347" s="117"/>
      <c r="M347" s="117"/>
      <c r="N347" s="117"/>
      <c r="O347" s="117"/>
      <c r="P347" s="117"/>
    </row>
    <row r="348" spans="1:16" ht="49.5" customHeight="1" x14ac:dyDescent="0.35">
      <c r="A348" s="113" t="s">
        <v>711</v>
      </c>
      <c r="B348" s="114">
        <f t="shared" si="47"/>
        <v>5956</v>
      </c>
      <c r="C348" s="191"/>
      <c r="D348" s="191"/>
      <c r="E348" s="191"/>
      <c r="F348" s="191"/>
      <c r="G348" s="117"/>
      <c r="H348" s="117"/>
      <c r="I348" s="117"/>
      <c r="J348" s="117"/>
      <c r="K348" s="117"/>
      <c r="L348" s="117">
        <v>5956</v>
      </c>
      <c r="M348" s="117"/>
      <c r="N348" s="117"/>
      <c r="O348" s="117"/>
      <c r="P348" s="117"/>
    </row>
    <row r="349" spans="1:16" ht="30" customHeight="1" x14ac:dyDescent="0.35">
      <c r="A349" s="113" t="s">
        <v>675</v>
      </c>
      <c r="B349" s="114">
        <f t="shared" si="47"/>
        <v>21130</v>
      </c>
      <c r="C349" s="191"/>
      <c r="D349" s="191"/>
      <c r="E349" s="191"/>
      <c r="F349" s="191"/>
      <c r="G349" s="117"/>
      <c r="H349" s="117"/>
      <c r="I349" s="117"/>
      <c r="J349" s="117"/>
      <c r="K349" s="117"/>
      <c r="L349" s="117">
        <v>21130</v>
      </c>
      <c r="M349" s="117"/>
      <c r="N349" s="117">
        <f>21130+(-21130)</f>
        <v>0</v>
      </c>
      <c r="O349" s="117"/>
      <c r="P349" s="117"/>
    </row>
    <row r="350" spans="1:16" ht="30" customHeight="1" x14ac:dyDescent="0.35">
      <c r="A350" s="113" t="s">
        <v>897</v>
      </c>
      <c r="B350" s="114">
        <f t="shared" si="47"/>
        <v>12000</v>
      </c>
      <c r="C350" s="191"/>
      <c r="D350" s="191"/>
      <c r="E350" s="191"/>
      <c r="F350" s="191"/>
      <c r="G350" s="117"/>
      <c r="H350" s="117"/>
      <c r="I350" s="117"/>
      <c r="J350" s="117"/>
      <c r="K350" s="117"/>
      <c r="L350" s="117">
        <v>12000</v>
      </c>
      <c r="M350" s="117"/>
      <c r="N350" s="117"/>
      <c r="O350" s="117"/>
      <c r="P350" s="117"/>
    </row>
    <row r="351" spans="1:16" ht="30" customHeight="1" x14ac:dyDescent="0.35">
      <c r="A351" s="113" t="s">
        <v>676</v>
      </c>
      <c r="B351" s="114">
        <f>SUM(C351+F351,L351:P351)</f>
        <v>5614</v>
      </c>
      <c r="C351" s="191"/>
      <c r="D351" s="191"/>
      <c r="E351" s="191"/>
      <c r="F351" s="191">
        <f>G351+H351+I351+J351+K351</f>
        <v>5614</v>
      </c>
      <c r="G351" s="117">
        <f>5614+(-131)</f>
        <v>5483</v>
      </c>
      <c r="H351" s="117"/>
      <c r="I351" s="117">
        <v>131</v>
      </c>
      <c r="J351" s="117"/>
      <c r="K351" s="117"/>
      <c r="L351" s="117"/>
      <c r="M351" s="117"/>
      <c r="N351" s="117"/>
      <c r="O351" s="117"/>
      <c r="P351" s="117"/>
    </row>
    <row r="352" spans="1:16" ht="48.75" customHeight="1" x14ac:dyDescent="0.35">
      <c r="A352" s="214" t="s">
        <v>734</v>
      </c>
      <c r="B352" s="114">
        <f>SUM(C352+F352,L352:P352)</f>
        <v>3500</v>
      </c>
      <c r="C352" s="191">
        <f>D352+E352</f>
        <v>1900</v>
      </c>
      <c r="D352" s="191">
        <v>1900</v>
      </c>
      <c r="E352" s="191"/>
      <c r="F352" s="191">
        <f>G352+H352+I352+J352+K352</f>
        <v>1600</v>
      </c>
      <c r="G352" s="117"/>
      <c r="H352" s="117">
        <v>250</v>
      </c>
      <c r="I352" s="117">
        <v>1350</v>
      </c>
      <c r="J352" s="117"/>
      <c r="K352" s="117"/>
      <c r="L352" s="117"/>
      <c r="M352" s="117"/>
      <c r="N352" s="117"/>
      <c r="O352" s="117"/>
      <c r="P352" s="117"/>
    </row>
    <row r="353" spans="1:17" ht="42.75" customHeight="1" x14ac:dyDescent="0.35">
      <c r="A353" s="115" t="s">
        <v>735</v>
      </c>
      <c r="B353" s="114">
        <f>SUM(C353+F353,L353:P353)</f>
        <v>2000</v>
      </c>
      <c r="C353" s="191">
        <f t="shared" ref="C353:C368" si="50">D353+E353</f>
        <v>230</v>
      </c>
      <c r="D353" s="191">
        <v>186</v>
      </c>
      <c r="E353" s="191">
        <v>44</v>
      </c>
      <c r="F353" s="191">
        <f t="shared" ref="F353:F371" si="51">G353+H353+I353+K353</f>
        <v>1770</v>
      </c>
      <c r="G353" s="117"/>
      <c r="H353" s="117">
        <v>1770</v>
      </c>
      <c r="I353" s="117"/>
      <c r="J353" s="117"/>
      <c r="K353" s="117"/>
      <c r="L353" s="117"/>
      <c r="M353" s="117"/>
      <c r="N353" s="117"/>
      <c r="O353" s="117"/>
      <c r="P353" s="117"/>
    </row>
    <row r="354" spans="1:17" ht="42.75" customHeight="1" x14ac:dyDescent="0.35">
      <c r="A354" s="115" t="s">
        <v>739</v>
      </c>
      <c r="B354" s="114">
        <f t="shared" ref="B354:B361" si="52">SUM(C354+F354,L354:P354)</f>
        <v>2400</v>
      </c>
      <c r="C354" s="191">
        <f t="shared" si="50"/>
        <v>750</v>
      </c>
      <c r="D354" s="191">
        <v>750</v>
      </c>
      <c r="E354" s="191"/>
      <c r="F354" s="191">
        <f t="shared" si="51"/>
        <v>1650</v>
      </c>
      <c r="G354" s="117"/>
      <c r="H354" s="117"/>
      <c r="I354" s="117">
        <v>1650</v>
      </c>
      <c r="J354" s="117"/>
      <c r="K354" s="117"/>
      <c r="L354" s="117"/>
      <c r="M354" s="117"/>
      <c r="N354" s="117"/>
      <c r="O354" s="117"/>
      <c r="P354" s="117"/>
      <c r="Q354" s="67"/>
    </row>
    <row r="355" spans="1:17" ht="33.75" customHeight="1" x14ac:dyDescent="0.35">
      <c r="A355" s="115" t="s">
        <v>805</v>
      </c>
      <c r="B355" s="114">
        <f t="shared" si="52"/>
        <v>2000</v>
      </c>
      <c r="C355" s="191">
        <f t="shared" si="50"/>
        <v>710</v>
      </c>
      <c r="D355" s="191">
        <v>710</v>
      </c>
      <c r="E355" s="191"/>
      <c r="F355" s="191">
        <f t="shared" si="51"/>
        <v>1290</v>
      </c>
      <c r="G355" s="117"/>
      <c r="H355" s="117">
        <v>915</v>
      </c>
      <c r="I355" s="117">
        <v>375</v>
      </c>
      <c r="J355" s="117"/>
      <c r="K355" s="117"/>
      <c r="L355" s="117"/>
      <c r="M355" s="117"/>
      <c r="N355" s="117"/>
      <c r="O355" s="117"/>
      <c r="P355" s="117"/>
    </row>
    <row r="356" spans="1:17" ht="36.75" customHeight="1" x14ac:dyDescent="0.35">
      <c r="A356" s="115" t="s">
        <v>738</v>
      </c>
      <c r="B356" s="114">
        <f t="shared" si="52"/>
        <v>1000</v>
      </c>
      <c r="C356" s="191">
        <f t="shared" si="50"/>
        <v>1000</v>
      </c>
      <c r="D356" s="191">
        <v>1000</v>
      </c>
      <c r="E356" s="191"/>
      <c r="F356" s="191">
        <f t="shared" si="51"/>
        <v>0</v>
      </c>
      <c r="G356" s="117"/>
      <c r="H356" s="117"/>
      <c r="I356" s="117"/>
      <c r="J356" s="117"/>
      <c r="K356" s="117"/>
      <c r="L356" s="117"/>
      <c r="M356" s="117"/>
      <c r="N356" s="117"/>
      <c r="O356" s="117"/>
      <c r="P356" s="117"/>
      <c r="Q356" s="67"/>
    </row>
    <row r="357" spans="1:17" ht="47.25" customHeight="1" x14ac:dyDescent="0.35">
      <c r="A357" s="115" t="s">
        <v>745</v>
      </c>
      <c r="B357" s="114">
        <f t="shared" si="52"/>
        <v>400</v>
      </c>
      <c r="C357" s="191">
        <f t="shared" si="50"/>
        <v>400</v>
      </c>
      <c r="D357" s="191">
        <v>400</v>
      </c>
      <c r="E357" s="191"/>
      <c r="F357" s="191"/>
      <c r="G357" s="117"/>
      <c r="H357" s="117"/>
      <c r="I357" s="117"/>
      <c r="J357" s="117"/>
      <c r="K357" s="117"/>
      <c r="L357" s="117"/>
      <c r="M357" s="117"/>
      <c r="N357" s="117"/>
      <c r="O357" s="117"/>
      <c r="P357" s="117"/>
    </row>
    <row r="358" spans="1:17" ht="42.75" customHeight="1" x14ac:dyDescent="0.35">
      <c r="A358" s="115" t="s">
        <v>898</v>
      </c>
      <c r="B358" s="114">
        <f t="shared" si="52"/>
        <v>5300</v>
      </c>
      <c r="C358" s="191">
        <f t="shared" si="50"/>
        <v>0</v>
      </c>
      <c r="D358" s="191"/>
      <c r="E358" s="191"/>
      <c r="F358" s="191">
        <f t="shared" si="51"/>
        <v>5300</v>
      </c>
      <c r="G358" s="117"/>
      <c r="H358" s="117">
        <v>5300</v>
      </c>
      <c r="I358" s="117"/>
      <c r="J358" s="117"/>
      <c r="K358" s="117"/>
      <c r="L358" s="117"/>
      <c r="M358" s="117"/>
      <c r="N358" s="117"/>
      <c r="O358" s="117"/>
      <c r="P358" s="117"/>
    </row>
    <row r="359" spans="1:17" ht="51" customHeight="1" x14ac:dyDescent="0.35">
      <c r="A359" s="115" t="s">
        <v>741</v>
      </c>
      <c r="B359" s="114">
        <f t="shared" si="52"/>
        <v>10000</v>
      </c>
      <c r="C359" s="191">
        <f t="shared" si="50"/>
        <v>0</v>
      </c>
      <c r="D359" s="191"/>
      <c r="E359" s="191"/>
      <c r="F359" s="191">
        <f t="shared" si="51"/>
        <v>0</v>
      </c>
      <c r="G359" s="117"/>
      <c r="H359" s="117"/>
      <c r="I359" s="117"/>
      <c r="J359" s="117"/>
      <c r="K359" s="117"/>
      <c r="L359" s="117"/>
      <c r="M359" s="117"/>
      <c r="N359" s="117">
        <v>10000</v>
      </c>
      <c r="O359" s="117"/>
      <c r="P359" s="117"/>
    </row>
    <row r="360" spans="1:17" ht="25.5" customHeight="1" x14ac:dyDescent="0.35">
      <c r="A360" s="115" t="s">
        <v>742</v>
      </c>
      <c r="B360" s="114">
        <f t="shared" si="52"/>
        <v>6492</v>
      </c>
      <c r="C360" s="191">
        <f t="shared" si="50"/>
        <v>271</v>
      </c>
      <c r="D360" s="191">
        <v>219</v>
      </c>
      <c r="E360" s="191">
        <v>52</v>
      </c>
      <c r="F360" s="191">
        <f t="shared" si="51"/>
        <v>6221</v>
      </c>
      <c r="G360" s="117"/>
      <c r="H360" s="117">
        <v>1256</v>
      </c>
      <c r="I360" s="117">
        <v>4965</v>
      </c>
      <c r="J360" s="117"/>
      <c r="K360" s="117"/>
      <c r="L360" s="117"/>
      <c r="M360" s="117"/>
      <c r="N360" s="117"/>
      <c r="O360" s="117"/>
      <c r="P360" s="117"/>
    </row>
    <row r="361" spans="1:17" ht="36.75" customHeight="1" x14ac:dyDescent="0.35">
      <c r="A361" s="115" t="s">
        <v>759</v>
      </c>
      <c r="B361" s="114">
        <f t="shared" si="52"/>
        <v>661.23</v>
      </c>
      <c r="C361" s="191"/>
      <c r="D361" s="191"/>
      <c r="E361" s="191"/>
      <c r="F361" s="191"/>
      <c r="G361" s="117"/>
      <c r="H361" s="117"/>
      <c r="I361" s="117"/>
      <c r="J361" s="117"/>
      <c r="K361" s="117"/>
      <c r="L361" s="117"/>
      <c r="M361" s="117"/>
      <c r="N361" s="117"/>
      <c r="O361" s="117"/>
      <c r="P361" s="117">
        <v>661.23</v>
      </c>
    </row>
    <row r="362" spans="1:17" ht="51.75" customHeight="1" x14ac:dyDescent="0.35">
      <c r="A362" s="115" t="s">
        <v>809</v>
      </c>
      <c r="B362" s="114">
        <f t="shared" ref="B362:B372" si="53">SUM(C362+F362,L362:P362)</f>
        <v>3500</v>
      </c>
      <c r="C362" s="191">
        <f t="shared" si="50"/>
        <v>0</v>
      </c>
      <c r="D362" s="191"/>
      <c r="E362" s="191"/>
      <c r="F362" s="191">
        <f t="shared" si="51"/>
        <v>3500</v>
      </c>
      <c r="G362" s="117"/>
      <c r="H362" s="117">
        <v>3500</v>
      </c>
      <c r="I362" s="117"/>
      <c r="J362" s="117"/>
      <c r="K362" s="117"/>
      <c r="L362" s="117"/>
      <c r="M362" s="117"/>
      <c r="N362" s="117"/>
      <c r="O362" s="117"/>
      <c r="P362" s="117"/>
    </row>
    <row r="363" spans="1:17" ht="42" customHeight="1" x14ac:dyDescent="0.35">
      <c r="A363" s="115" t="s">
        <v>749</v>
      </c>
      <c r="B363" s="114">
        <f t="shared" si="53"/>
        <v>36004</v>
      </c>
      <c r="C363" s="191">
        <f t="shared" si="50"/>
        <v>0</v>
      </c>
      <c r="D363" s="191"/>
      <c r="E363" s="191"/>
      <c r="F363" s="191">
        <f t="shared" si="51"/>
        <v>36004</v>
      </c>
      <c r="G363" s="117"/>
      <c r="H363" s="117">
        <v>36004</v>
      </c>
      <c r="I363" s="117"/>
      <c r="J363" s="117"/>
      <c r="K363" s="117"/>
      <c r="L363" s="117"/>
      <c r="M363" s="117"/>
      <c r="N363" s="117"/>
      <c r="O363" s="117"/>
      <c r="P363" s="117"/>
    </row>
    <row r="364" spans="1:17" ht="26.4" customHeight="1" x14ac:dyDescent="0.35">
      <c r="A364" s="115" t="s">
        <v>753</v>
      </c>
      <c r="B364" s="114">
        <f t="shared" si="53"/>
        <v>40280</v>
      </c>
      <c r="C364" s="191">
        <f t="shared" si="50"/>
        <v>40000</v>
      </c>
      <c r="D364" s="191">
        <v>32365</v>
      </c>
      <c r="E364" s="191">
        <v>7635</v>
      </c>
      <c r="F364" s="191">
        <f t="shared" si="51"/>
        <v>280</v>
      </c>
      <c r="G364" s="117"/>
      <c r="H364" s="117">
        <v>280</v>
      </c>
      <c r="I364" s="117"/>
      <c r="J364" s="117"/>
      <c r="K364" s="117"/>
      <c r="L364" s="117"/>
      <c r="M364" s="117"/>
      <c r="N364" s="117"/>
      <c r="O364" s="117"/>
      <c r="P364" s="117"/>
    </row>
    <row r="365" spans="1:17" ht="36" customHeight="1" x14ac:dyDescent="0.35">
      <c r="A365" s="115" t="s">
        <v>761</v>
      </c>
      <c r="B365" s="114">
        <f t="shared" si="53"/>
        <v>7057</v>
      </c>
      <c r="C365" s="191">
        <f t="shared" si="50"/>
        <v>7057</v>
      </c>
      <c r="D365" s="191">
        <v>5709</v>
      </c>
      <c r="E365" s="191">
        <v>1348</v>
      </c>
      <c r="F365" s="191">
        <f t="shared" si="51"/>
        <v>0</v>
      </c>
      <c r="G365" s="117"/>
      <c r="H365" s="117"/>
      <c r="I365" s="117"/>
      <c r="J365" s="117"/>
      <c r="K365" s="117"/>
      <c r="L365" s="117"/>
      <c r="M365" s="117"/>
      <c r="N365" s="117"/>
      <c r="O365" s="117"/>
      <c r="P365" s="117"/>
    </row>
    <row r="366" spans="1:17" ht="36" customHeight="1" x14ac:dyDescent="0.35">
      <c r="A366" s="115" t="s">
        <v>762</v>
      </c>
      <c r="B366" s="114">
        <f t="shared" si="53"/>
        <v>1078</v>
      </c>
      <c r="C366" s="191">
        <f t="shared" si="50"/>
        <v>0</v>
      </c>
      <c r="D366" s="191"/>
      <c r="E366" s="191"/>
      <c r="F366" s="191">
        <f t="shared" si="51"/>
        <v>1078</v>
      </c>
      <c r="G366" s="117"/>
      <c r="H366" s="117">
        <v>1078</v>
      </c>
      <c r="I366" s="117"/>
      <c r="J366" s="117"/>
      <c r="K366" s="117"/>
      <c r="L366" s="117"/>
      <c r="M366" s="117"/>
      <c r="N366" s="117"/>
      <c r="O366" s="117"/>
      <c r="P366" s="117"/>
    </row>
    <row r="367" spans="1:17" ht="36" customHeight="1" x14ac:dyDescent="0.35">
      <c r="A367" s="115" t="s">
        <v>765</v>
      </c>
      <c r="B367" s="114">
        <f t="shared" si="53"/>
        <v>8500</v>
      </c>
      <c r="C367" s="191">
        <f t="shared" si="50"/>
        <v>821</v>
      </c>
      <c r="D367" s="191">
        <v>821</v>
      </c>
      <c r="E367" s="191"/>
      <c r="F367" s="191">
        <f t="shared" si="51"/>
        <v>7679</v>
      </c>
      <c r="G367" s="117"/>
      <c r="H367" s="117">
        <v>4879</v>
      </c>
      <c r="I367" s="117">
        <v>2800</v>
      </c>
      <c r="J367" s="117"/>
      <c r="K367" s="117"/>
      <c r="L367" s="117"/>
      <c r="M367" s="117"/>
      <c r="N367" s="117"/>
      <c r="O367" s="117"/>
      <c r="P367" s="117"/>
    </row>
    <row r="368" spans="1:17" ht="45.75" customHeight="1" x14ac:dyDescent="0.35">
      <c r="A368" s="230" t="s">
        <v>769</v>
      </c>
      <c r="B368" s="114">
        <f t="shared" si="53"/>
        <v>1513</v>
      </c>
      <c r="C368" s="191">
        <f t="shared" si="50"/>
        <v>340</v>
      </c>
      <c r="D368" s="191">
        <v>340</v>
      </c>
      <c r="E368" s="191"/>
      <c r="F368" s="191">
        <f t="shared" si="51"/>
        <v>1173</v>
      </c>
      <c r="G368" s="117"/>
      <c r="H368" s="117">
        <v>155</v>
      </c>
      <c r="I368" s="117">
        <v>1018</v>
      </c>
      <c r="J368" s="117"/>
      <c r="K368" s="117"/>
      <c r="L368" s="117"/>
      <c r="M368" s="117"/>
      <c r="N368" s="117"/>
      <c r="O368" s="117"/>
      <c r="P368" s="117"/>
    </row>
    <row r="369" spans="1:19" ht="45.75" customHeight="1" x14ac:dyDescent="0.35">
      <c r="A369" s="230" t="s">
        <v>776</v>
      </c>
      <c r="B369" s="114">
        <f t="shared" si="53"/>
        <v>23808</v>
      </c>
      <c r="C369" s="191"/>
      <c r="D369" s="191"/>
      <c r="E369" s="191"/>
      <c r="F369" s="191">
        <f t="shared" si="51"/>
        <v>23808</v>
      </c>
      <c r="G369" s="117">
        <v>5000</v>
      </c>
      <c r="H369" s="117">
        <v>18808</v>
      </c>
      <c r="I369" s="117"/>
      <c r="J369" s="117"/>
      <c r="K369" s="117"/>
      <c r="L369" s="117"/>
      <c r="M369" s="117"/>
      <c r="N369" s="117"/>
      <c r="O369" s="117"/>
      <c r="P369" s="117"/>
    </row>
    <row r="370" spans="1:19" ht="61.2" customHeight="1" x14ac:dyDescent="0.35">
      <c r="A370" s="240" t="s">
        <v>779</v>
      </c>
      <c r="B370" s="114">
        <f t="shared" si="53"/>
        <v>7792</v>
      </c>
      <c r="C370" s="191"/>
      <c r="D370" s="191"/>
      <c r="E370" s="191"/>
      <c r="F370" s="191">
        <f t="shared" si="51"/>
        <v>7792</v>
      </c>
      <c r="G370" s="117">
        <v>4364</v>
      </c>
      <c r="H370" s="117"/>
      <c r="I370" s="117">
        <v>3428</v>
      </c>
      <c r="J370" s="117"/>
      <c r="K370" s="117"/>
      <c r="L370" s="117"/>
      <c r="M370" s="117"/>
      <c r="N370" s="117"/>
      <c r="O370" s="117"/>
      <c r="P370" s="117"/>
    </row>
    <row r="371" spans="1:19" ht="88.5" customHeight="1" x14ac:dyDescent="0.35">
      <c r="A371" s="241" t="s">
        <v>863</v>
      </c>
      <c r="B371" s="114">
        <f t="shared" si="53"/>
        <v>69465</v>
      </c>
      <c r="C371" s="191"/>
      <c r="D371" s="191"/>
      <c r="E371" s="191"/>
      <c r="F371" s="191">
        <f t="shared" si="51"/>
        <v>69465</v>
      </c>
      <c r="G371" s="117">
        <v>68156</v>
      </c>
      <c r="H371" s="117">
        <v>1309</v>
      </c>
      <c r="I371" s="117"/>
      <c r="J371" s="117"/>
      <c r="K371" s="117"/>
      <c r="L371" s="117"/>
      <c r="M371" s="117"/>
      <c r="N371" s="117"/>
      <c r="O371" s="117"/>
      <c r="P371" s="117"/>
    </row>
    <row r="372" spans="1:19" ht="74.25" customHeight="1" x14ac:dyDescent="0.35">
      <c r="A372" s="240" t="s">
        <v>780</v>
      </c>
      <c r="B372" s="114">
        <f t="shared" si="53"/>
        <v>72509</v>
      </c>
      <c r="C372" s="191"/>
      <c r="D372" s="191"/>
      <c r="E372" s="191"/>
      <c r="F372" s="191"/>
      <c r="G372" s="117"/>
      <c r="H372" s="117"/>
      <c r="I372" s="117"/>
      <c r="J372" s="117"/>
      <c r="K372" s="117"/>
      <c r="L372" s="117"/>
      <c r="M372" s="117"/>
      <c r="N372" s="117"/>
      <c r="O372" s="117"/>
      <c r="P372" s="117">
        <v>72509</v>
      </c>
    </row>
    <row r="373" spans="1:19" ht="26.4" customHeight="1" x14ac:dyDescent="0.3">
      <c r="A373" s="215" t="s">
        <v>57</v>
      </c>
      <c r="B373" s="111">
        <f>SUM(B18:B372)-B324-B286-B283-B277-B275-B273-B271-B269-B267-B265-B263-B261-B259-B257-B253-B251-B249-B246-B244-B242-B240-B238-B236-B234-B232-B207-B197-B168-B164-B161-B150-B128-B124-B120-B117-B103-B98-B94-B91-B40-B36-B32-B29-B24-B321-B156-B281-B279-B222-B45</f>
        <v>38627588.210000001</v>
      </c>
      <c r="C373" s="111">
        <f>SUM(C18:C372)-C324-C286-C283-C277-C275-C273-C271-C269-C267-C265-C263-C261-C259-C257-C253-C251-C249-C246-C244-C242-C240-C238-C236-C234-C232-C207-C197-C168-C164-C161-C150-C128-C124-C120-C117-C103-C98-C94-C91-C40-C36-C32-C29-C24-C321-C156-C281-C279-C222-C45</f>
        <v>24429512.98</v>
      </c>
      <c r="D373" s="111">
        <f t="shared" ref="D373:K373" si="54">SUM(D18:D372)-D324-D286-D283-D277-D275-D273-D271-D269-D267-D265-D263-D261-D259-D257-D253-D251-D249-D246-D244-D242-D240-D238-D236-D234-D232-D207-D197-D168-D164-D161-D150-D128-D124-D120-D117-D103-D98-D94-D91-D40-D36-D32-D29-D24-D321-D156-D281-D279-D222-D45</f>
        <v>19672461</v>
      </c>
      <c r="E373" s="111">
        <f t="shared" si="54"/>
        <v>4757051.9800000004</v>
      </c>
      <c r="F373" s="111">
        <f t="shared" si="54"/>
        <v>9170769</v>
      </c>
      <c r="G373" s="111">
        <f t="shared" si="54"/>
        <v>136579</v>
      </c>
      <c r="H373" s="111">
        <f t="shared" si="54"/>
        <v>4746216</v>
      </c>
      <c r="I373" s="111">
        <f t="shared" si="54"/>
        <v>3873322</v>
      </c>
      <c r="J373" s="111">
        <f t="shared" si="54"/>
        <v>14620</v>
      </c>
      <c r="K373" s="111">
        <f t="shared" si="54"/>
        <v>400032</v>
      </c>
      <c r="L373" s="111">
        <f>SUM(L18:L372)-L324-L286-L283-L277-L275-L273-L271-L269-L267-L265-L263-L261-L259-L257-L253-L251-L249-L246-L244-L242-L240-L238-L236-L234-L232-L207-L197-L168-L164-L161-L150-L128-L124-L120-L117-L103-L98-L94-L91-L40-L36-L32-L29-L24-L321-L156-L281-L279-L222-L45</f>
        <v>102031</v>
      </c>
      <c r="M373" s="111">
        <f>SUM(M18:M372)-M324-M286-M283-M277-M275-M273-M271-M269-M267-M265-M263-M261-M259-M257-M253-M251-M249-M246-M244-M242-M240-M238-M236-M234-M232-M207-M197-M168-M164-M161-M150-M128-M124-M120-M117-M103-M98-M94-M91-M40-M36-M32-M29-M24-M321-M156-M281-M279-M222-M45</f>
        <v>860221</v>
      </c>
      <c r="N373" s="111">
        <f t="shared" ref="N373" si="55">SUM(N18:N372)-N324-N286-N283-N277-N275-N273-N271-N269-N267-N265-N263-N261-N259-N257-N253-N251-N249-N246-N244-N242-N240-N238-N236-N234-N232-N207-N197-N168-N164-N161-N150-N128-N124-N120-N117-N103-N98-N94-N91-N40-N36-N32-N29-N24-N321-N156-N281-N279-N222-N45</f>
        <v>2119007</v>
      </c>
      <c r="O373" s="111">
        <f t="shared" ref="O373" si="56">SUM(O18:O372)-O324-O286-O283-O277-O275-O273-O271-O269-O267-O265-O263-O261-O259-O257-O253-O251-O249-O246-O244-O242-O240-O238-O236-O234-O232-O207-O197-O168-O164-O161-O150-O128-O124-O120-O117-O103-O98-O94-O91-O40-O36-O32-O29-O24-O321-O156-O281-O279-O222-O45</f>
        <v>1709061</v>
      </c>
      <c r="P373" s="111">
        <f>SUM(P18:P372)-P324-P286-P283-P277-P275-P273-P271-P269-P267-P265-P263-P261-P259-P257-P253-P251-P249-P246-P244-P242-P240-P238-P236-P234-P232-P207-P197-P168-P164-P161-P150-P128-P124-P120-P117-P103-P98-P94-P91-P40-P36-P32-P29-P24-P321-P156-P281-P279-P222-P45</f>
        <v>236986.23</v>
      </c>
      <c r="Q373" s="239"/>
      <c r="R373" s="64"/>
      <c r="S373" s="64"/>
    </row>
    <row r="374" spans="1:19" ht="15" customHeight="1" x14ac:dyDescent="0.3">
      <c r="A374" s="9"/>
      <c r="B374" s="243"/>
      <c r="C374" s="243"/>
      <c r="D374" s="243"/>
      <c r="E374" s="243"/>
      <c r="F374" s="243"/>
      <c r="G374" s="243"/>
      <c r="H374" s="243"/>
      <c r="I374" s="243"/>
      <c r="J374" s="193"/>
      <c r="K374" s="193"/>
      <c r="L374" s="193"/>
      <c r="M374" s="193"/>
      <c r="N374" s="193"/>
      <c r="O374" s="193"/>
      <c r="P374" s="193"/>
    </row>
    <row r="375" spans="1:19" ht="15" customHeight="1" x14ac:dyDescent="0.25">
      <c r="A375" s="9"/>
      <c r="B375" s="238"/>
      <c r="C375" s="193"/>
      <c r="D375" s="193"/>
      <c r="E375" s="179"/>
      <c r="F375" s="193"/>
      <c r="G375" s="179"/>
      <c r="H375" s="179"/>
      <c r="I375" s="193"/>
      <c r="J375" s="193"/>
      <c r="K375" s="193"/>
      <c r="L375" s="193"/>
      <c r="M375" s="193"/>
      <c r="N375" s="193"/>
      <c r="O375" s="193"/>
      <c r="P375" s="193"/>
    </row>
    <row r="376" spans="1:19" ht="15" customHeight="1" x14ac:dyDescent="0.35">
      <c r="B376" s="272" t="s">
        <v>790</v>
      </c>
      <c r="C376" s="272"/>
      <c r="D376" s="272"/>
      <c r="E376" s="272"/>
      <c r="F376" s="272"/>
      <c r="G376" s="272"/>
      <c r="H376" s="272"/>
      <c r="I376" s="272"/>
      <c r="J376" s="272"/>
      <c r="K376" s="272"/>
      <c r="L376" s="272"/>
      <c r="M376" s="272"/>
      <c r="N376" s="272"/>
      <c r="O376" s="272"/>
      <c r="P376" s="272"/>
    </row>
    <row r="377" spans="1:19" ht="18" x14ac:dyDescent="0.35">
      <c r="A377" s="63"/>
      <c r="B377" s="63"/>
      <c r="D377" s="64"/>
      <c r="E377" s="179"/>
      <c r="F377" s="179"/>
      <c r="G377" s="179"/>
      <c r="H377" s="179"/>
      <c r="I377" s="63"/>
      <c r="J377" s="63"/>
      <c r="K377" s="63"/>
      <c r="L377" s="63"/>
      <c r="M377" s="63"/>
      <c r="N377" s="63"/>
      <c r="O377" s="63"/>
      <c r="P377" s="63"/>
    </row>
    <row r="378" spans="1:19" x14ac:dyDescent="0.25">
      <c r="B378" s="43"/>
      <c r="C378" s="64"/>
      <c r="D378" s="64"/>
      <c r="E378" s="179"/>
      <c r="F378" s="179"/>
      <c r="G378" s="179"/>
      <c r="H378" s="179"/>
      <c r="I378" s="64"/>
      <c r="J378" s="64"/>
      <c r="K378" s="64"/>
      <c r="L378" s="64"/>
      <c r="M378" s="64"/>
      <c r="N378" s="64"/>
      <c r="O378" s="64"/>
      <c r="P378" s="64"/>
    </row>
    <row r="379" spans="1:19" x14ac:dyDescent="0.25">
      <c r="B379" s="67"/>
      <c r="C379" s="67"/>
      <c r="D379" s="67"/>
      <c r="E379" s="179"/>
      <c r="F379" s="179"/>
      <c r="G379" s="179"/>
      <c r="H379" s="179"/>
      <c r="I379" s="43"/>
      <c r="J379" s="43"/>
      <c r="K379" s="43"/>
      <c r="L379" s="43"/>
      <c r="M379" s="43"/>
      <c r="N379" s="43"/>
      <c r="O379" s="43"/>
      <c r="P379" s="64"/>
    </row>
    <row r="380" spans="1:19" x14ac:dyDescent="0.25">
      <c r="B380" s="43"/>
      <c r="D380" s="67"/>
      <c r="E380" s="179"/>
      <c r="F380" s="179"/>
      <c r="G380" s="179"/>
      <c r="H380" s="179"/>
      <c r="I380" s="43"/>
      <c r="J380" s="43"/>
      <c r="K380" s="43"/>
      <c r="L380" s="43"/>
      <c r="M380" s="43"/>
      <c r="N380" s="43"/>
      <c r="O380" s="43"/>
      <c r="P380" s="43"/>
    </row>
    <row r="381" spans="1:19" x14ac:dyDescent="0.25">
      <c r="B381" s="43"/>
      <c r="E381" s="179"/>
      <c r="F381" s="179"/>
      <c r="G381" s="179"/>
      <c r="H381" s="179"/>
      <c r="I381" s="43"/>
      <c r="J381" s="43"/>
      <c r="K381" s="43"/>
      <c r="L381" s="43"/>
      <c r="M381" s="43"/>
      <c r="N381" s="43"/>
      <c r="O381" s="43"/>
      <c r="P381" s="43"/>
    </row>
    <row r="382" spans="1:19" x14ac:dyDescent="0.25">
      <c r="B382" s="43"/>
      <c r="G382" s="43"/>
      <c r="H382" s="43"/>
      <c r="I382" s="43"/>
      <c r="J382" s="43"/>
      <c r="K382" s="43"/>
      <c r="L382" s="43"/>
      <c r="M382" s="43"/>
      <c r="N382" s="43"/>
      <c r="O382" s="43"/>
      <c r="P382" s="43"/>
    </row>
    <row r="383" spans="1:19" x14ac:dyDescent="0.25">
      <c r="B383" s="43"/>
      <c r="G383" s="43"/>
      <c r="H383" s="43"/>
      <c r="I383" s="43"/>
      <c r="J383" s="43"/>
      <c r="K383" s="43"/>
      <c r="L383" s="43"/>
      <c r="M383" s="43"/>
      <c r="N383" s="43"/>
      <c r="O383" s="43"/>
      <c r="P383" s="43"/>
    </row>
    <row r="384" spans="1:19" x14ac:dyDescent="0.25">
      <c r="B384" s="43"/>
      <c r="G384" s="64"/>
      <c r="H384" s="64"/>
      <c r="I384" s="64"/>
      <c r="J384" s="64"/>
      <c r="K384" s="64"/>
      <c r="L384" s="64"/>
      <c r="M384" s="43"/>
      <c r="N384" s="43"/>
      <c r="O384" s="43"/>
      <c r="P384" s="43"/>
    </row>
    <row r="385" spans="2:16" x14ac:dyDescent="0.25">
      <c r="B385" s="43"/>
      <c r="G385" s="43"/>
      <c r="H385" s="43"/>
      <c r="I385" s="43"/>
      <c r="J385" s="43"/>
      <c r="K385" s="43"/>
      <c r="L385" s="43"/>
      <c r="M385" s="43"/>
      <c r="N385" s="43"/>
      <c r="O385" s="43"/>
      <c r="P385" s="43"/>
    </row>
    <row r="386" spans="2:16" x14ac:dyDescent="0.25">
      <c r="B386" s="43"/>
      <c r="G386" s="43"/>
      <c r="H386" s="43"/>
      <c r="I386" s="43"/>
      <c r="J386" s="43"/>
      <c r="K386" s="43"/>
      <c r="L386" s="43"/>
      <c r="M386" s="43"/>
      <c r="N386" s="43"/>
      <c r="O386" s="43"/>
      <c r="P386" s="43"/>
    </row>
    <row r="387" spans="2:16" x14ac:dyDescent="0.25">
      <c r="B387" s="43"/>
      <c r="G387" s="43"/>
      <c r="H387" s="43"/>
      <c r="I387" s="43"/>
      <c r="J387" s="43"/>
      <c r="K387" s="43"/>
      <c r="L387" s="43"/>
      <c r="M387" s="43"/>
      <c r="N387" s="43"/>
      <c r="O387" s="43"/>
      <c r="P387" s="43"/>
    </row>
    <row r="388" spans="2:16" x14ac:dyDescent="0.25">
      <c r="B388" s="43"/>
      <c r="G388" s="43"/>
      <c r="H388" s="43"/>
      <c r="I388" s="43"/>
      <c r="J388" s="43"/>
      <c r="K388" s="43"/>
      <c r="L388" s="43"/>
      <c r="M388" s="43"/>
      <c r="N388" s="43"/>
      <c r="O388" s="43"/>
      <c r="P388" s="43"/>
    </row>
    <row r="389" spans="2:16" x14ac:dyDescent="0.25">
      <c r="B389" s="43"/>
      <c r="G389" s="43"/>
      <c r="H389" s="43"/>
      <c r="I389" s="43"/>
      <c r="J389" s="43"/>
      <c r="K389" s="43"/>
      <c r="L389" s="43"/>
      <c r="M389" s="43"/>
      <c r="N389" s="43"/>
      <c r="O389" s="43"/>
      <c r="P389" s="43"/>
    </row>
    <row r="390" spans="2:16" x14ac:dyDescent="0.25">
      <c r="B390" s="43"/>
    </row>
  </sheetData>
  <autoFilter ref="A15:P373" xr:uid="{00000000-0009-0000-0000-000003000000}">
    <filterColumn colId="2" showButton="0"/>
    <filterColumn colId="3" showButton="0"/>
    <filterColumn colId="4" showButton="0"/>
    <filterColumn colId="5" showButton="0"/>
    <filterColumn colId="6" showButton="0"/>
    <filterColumn colId="7" showButton="0"/>
    <filterColumn colId="8" showButton="0"/>
    <filterColumn colId="9" showButton="0"/>
    <filterColumn colId="10" showButton="0"/>
    <filterColumn colId="11" showButton="0"/>
    <filterColumn colId="12" showButton="0"/>
    <filterColumn colId="13" showButton="0"/>
    <filterColumn colId="14" showButton="0"/>
  </autoFilter>
  <mergeCells count="7">
    <mergeCell ref="B376:P376"/>
    <mergeCell ref="A13:P13"/>
    <mergeCell ref="C15:P15"/>
    <mergeCell ref="A15:A17"/>
    <mergeCell ref="B15:B17"/>
    <mergeCell ref="A1:A12"/>
    <mergeCell ref="B1:E12"/>
  </mergeCells>
  <printOptions horizontalCentered="1"/>
  <pageMargins left="0.70866141732283505" right="0.70866141732283505" top="0.74803149606299202" bottom="0.74803149606299202" header="0.31496062992126" footer="0.31496062992126"/>
  <pageSetup paperSize="9" scale="55" fitToHeight="0" orientation="landscape" r:id="rId1"/>
  <headerFooter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1.pielikums</vt:lpstr>
      <vt:lpstr>2.pielikums</vt:lpstr>
      <vt:lpstr>3.pielikums</vt:lpstr>
      <vt:lpstr>4.pielikums</vt:lpstr>
      <vt:lpstr>'4.pielikums'!Print_Area</vt:lpstr>
    </vt:vector>
  </TitlesOfParts>
  <Manager/>
  <Company>Grizli777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cp:keywords/>
  <dc:description/>
  <cp:lastModifiedBy>Sanita Djadela</cp:lastModifiedBy>
  <cp:lastPrinted>2024-10-29T13:48:21Z</cp:lastPrinted>
  <dcterms:created xsi:type="dcterms:W3CDTF">2014-01-31T18:56:56Z</dcterms:created>
  <dcterms:modified xsi:type="dcterms:W3CDTF">2024-11-05T08:02:30Z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NewReviewCycle">
    <vt:lpwstr/>
  </property>
</Properties>
</file>