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C4BB490-7632-46C7-B2DC-4627342AC6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_pielikums" sheetId="1" r:id="rId1"/>
  </sheets>
  <definedNames>
    <definedName name="Excel_BuiltIn_Print_Titles_1" localSheetId="0">'6_pielikums'!$A$4:$IN$6</definedName>
    <definedName name="Excel_BuiltIn_Print_Titles_1">#REF!</definedName>
    <definedName name="_xlnm.Print_Area" localSheetId="0">'6_pielikums'!$A:$Q</definedName>
    <definedName name="_xlnm.Print_Titles" localSheetId="0">'6_pielikums'!$4:$6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O161" i="1"/>
  <c r="N161" i="1"/>
  <c r="M161" i="1"/>
  <c r="L161" i="1"/>
  <c r="K161" i="1"/>
  <c r="J161" i="1"/>
  <c r="I161" i="1"/>
  <c r="Q159" i="1"/>
  <c r="P159" i="1"/>
  <c r="O159" i="1"/>
  <c r="N159" i="1"/>
  <c r="M159" i="1"/>
  <c r="L159" i="1"/>
  <c r="K159" i="1"/>
  <c r="J159" i="1"/>
  <c r="I159" i="1"/>
  <c r="H159" i="1"/>
  <c r="G159" i="1"/>
  <c r="Q155" i="1"/>
  <c r="P155" i="1"/>
  <c r="O155" i="1"/>
  <c r="N155" i="1"/>
  <c r="M155" i="1"/>
  <c r="L155" i="1"/>
  <c r="K155" i="1"/>
  <c r="J155" i="1"/>
  <c r="I155" i="1"/>
  <c r="H155" i="1"/>
  <c r="G155" i="1"/>
  <c r="Q154" i="1"/>
  <c r="Q153" i="1"/>
  <c r="Q152" i="1"/>
  <c r="Q151" i="1"/>
  <c r="Q150" i="1"/>
  <c r="Q149" i="1"/>
  <c r="Q148" i="1"/>
  <c r="Q147" i="1"/>
  <c r="Q146" i="1"/>
  <c r="Q145" i="1"/>
  <c r="Q144" i="1"/>
  <c r="Q143" i="1"/>
  <c r="AL140" i="1"/>
  <c r="AK140" i="1"/>
  <c r="AJ140" i="1"/>
  <c r="AI140" i="1"/>
  <c r="AH140" i="1"/>
  <c r="AG140" i="1"/>
  <c r="AF140" i="1"/>
  <c r="AE140" i="1"/>
  <c r="AD140" i="1"/>
  <c r="AC140" i="1"/>
  <c r="AB140" i="1"/>
  <c r="AA140" i="1"/>
  <c r="Z140" i="1"/>
  <c r="Y140" i="1"/>
  <c r="X140" i="1"/>
  <c r="W140" i="1"/>
  <c r="V140" i="1"/>
  <c r="U140" i="1"/>
  <c r="T140" i="1"/>
  <c r="S140" i="1"/>
  <c r="R140" i="1"/>
  <c r="Q140" i="1"/>
  <c r="P140" i="1"/>
  <c r="O140" i="1"/>
  <c r="N140" i="1"/>
  <c r="M140" i="1"/>
  <c r="L140" i="1"/>
  <c r="K140" i="1"/>
  <c r="J140" i="1"/>
  <c r="I140" i="1"/>
  <c r="H140" i="1"/>
  <c r="G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H120" i="1"/>
  <c r="Q119" i="1"/>
  <c r="H119" i="1"/>
  <c r="Q118" i="1"/>
  <c r="Q117" i="1"/>
  <c r="H117" i="1"/>
  <c r="Q116" i="1"/>
  <c r="H116" i="1"/>
  <c r="Q115" i="1"/>
  <c r="Q114" i="1"/>
  <c r="Q113" i="1"/>
  <c r="Q112" i="1"/>
  <c r="Q111" i="1"/>
  <c r="H111" i="1"/>
  <c r="Q110" i="1"/>
  <c r="H110" i="1"/>
  <c r="Q109" i="1"/>
  <c r="H109" i="1"/>
  <c r="Q108" i="1"/>
  <c r="H108" i="1"/>
  <c r="Q107" i="1"/>
  <c r="H107" i="1"/>
  <c r="Q106" i="1"/>
  <c r="H106" i="1"/>
  <c r="Q105" i="1"/>
  <c r="H105" i="1"/>
  <c r="Q104" i="1"/>
  <c r="Q103" i="1"/>
  <c r="H103" i="1"/>
  <c r="Q102" i="1"/>
  <c r="H102" i="1"/>
  <c r="Q101" i="1"/>
  <c r="H101" i="1"/>
  <c r="Q100" i="1"/>
  <c r="H100" i="1"/>
  <c r="Q99" i="1"/>
  <c r="H99" i="1"/>
  <c r="Q98" i="1"/>
  <c r="H98" i="1"/>
  <c r="Q97" i="1"/>
  <c r="H97" i="1"/>
  <c r="Q96" i="1"/>
  <c r="H96" i="1"/>
  <c r="Q95" i="1"/>
  <c r="H95" i="1"/>
  <c r="Q94" i="1"/>
  <c r="Q93" i="1"/>
  <c r="H93" i="1"/>
  <c r="Q92" i="1"/>
  <c r="H92" i="1"/>
  <c r="Q91" i="1"/>
  <c r="H91" i="1"/>
  <c r="Q90" i="1"/>
  <c r="H90" i="1"/>
  <c r="Q89" i="1"/>
  <c r="H89" i="1"/>
  <c r="Q88" i="1"/>
  <c r="H88" i="1"/>
  <c r="Q87" i="1"/>
  <c r="H87" i="1"/>
  <c r="Q86" i="1"/>
  <c r="H86" i="1"/>
  <c r="Q85" i="1"/>
  <c r="H85" i="1"/>
  <c r="Q84" i="1"/>
  <c r="H84" i="1"/>
  <c r="Q83" i="1"/>
  <c r="H83" i="1"/>
  <c r="Q82" i="1"/>
  <c r="H82" i="1"/>
  <c r="Q81" i="1"/>
  <c r="H81" i="1"/>
  <c r="Q80" i="1"/>
  <c r="H80" i="1"/>
  <c r="Q79" i="1"/>
  <c r="H79" i="1"/>
  <c r="Q78" i="1"/>
  <c r="H78" i="1"/>
  <c r="Q77" i="1"/>
  <c r="H77" i="1"/>
  <c r="Q76" i="1"/>
  <c r="H76" i="1"/>
  <c r="Q75" i="1"/>
  <c r="H75" i="1"/>
  <c r="Q74" i="1"/>
  <c r="H74" i="1"/>
  <c r="Q73" i="1"/>
  <c r="H73" i="1"/>
  <c r="Q72" i="1"/>
  <c r="H72" i="1"/>
  <c r="Q71" i="1"/>
  <c r="H71" i="1"/>
  <c r="Q70" i="1"/>
  <c r="H70" i="1"/>
  <c r="Q69" i="1"/>
  <c r="H69" i="1"/>
  <c r="Q68" i="1"/>
  <c r="H68" i="1"/>
  <c r="Q67" i="1"/>
  <c r="H67" i="1"/>
  <c r="Q66" i="1"/>
  <c r="H66" i="1"/>
  <c r="Q65" i="1"/>
  <c r="Q64" i="1"/>
  <c r="H64" i="1"/>
  <c r="Q63" i="1"/>
  <c r="H63" i="1"/>
  <c r="Q62" i="1"/>
  <c r="H62" i="1"/>
  <c r="Q61" i="1"/>
  <c r="H61" i="1"/>
  <c r="Q60" i="1"/>
  <c r="H60" i="1"/>
  <c r="Q59" i="1"/>
  <c r="H59" i="1"/>
  <c r="Q58" i="1"/>
  <c r="H58" i="1"/>
  <c r="Q57" i="1"/>
  <c r="H57" i="1"/>
  <c r="Q56" i="1"/>
  <c r="H56" i="1"/>
  <c r="Q55" i="1"/>
  <c r="H55" i="1"/>
  <c r="Q54" i="1"/>
  <c r="H54" i="1"/>
  <c r="Q53" i="1"/>
  <c r="H53" i="1"/>
  <c r="Q52" i="1"/>
  <c r="H52" i="1"/>
  <c r="Q51" i="1"/>
  <c r="H51" i="1"/>
  <c r="Q50" i="1"/>
  <c r="H50" i="1"/>
  <c r="Q49" i="1"/>
  <c r="H49" i="1"/>
  <c r="Q48" i="1"/>
  <c r="H48" i="1"/>
  <c r="Q47" i="1"/>
  <c r="H47" i="1"/>
  <c r="Q46" i="1"/>
  <c r="H46" i="1"/>
  <c r="Q45" i="1"/>
  <c r="H45" i="1"/>
  <c r="Q44" i="1"/>
  <c r="H44" i="1"/>
  <c r="Q43" i="1"/>
  <c r="H43" i="1"/>
  <c r="Q42" i="1"/>
  <c r="H42" i="1"/>
  <c r="Q41" i="1"/>
  <c r="H41" i="1"/>
  <c r="Q40" i="1"/>
  <c r="H40" i="1"/>
  <c r="Q39" i="1"/>
  <c r="H39" i="1"/>
  <c r="Q38" i="1"/>
  <c r="H38" i="1"/>
  <c r="Q37" i="1"/>
  <c r="H37" i="1"/>
  <c r="Q36" i="1"/>
  <c r="H36" i="1"/>
  <c r="Q35" i="1"/>
  <c r="H35" i="1"/>
  <c r="Q34" i="1"/>
  <c r="H34" i="1"/>
  <c r="Q33" i="1"/>
  <c r="H33" i="1"/>
  <c r="Q32" i="1"/>
  <c r="H32" i="1"/>
  <c r="Q31" i="1"/>
  <c r="H31" i="1"/>
  <c r="Q30" i="1"/>
  <c r="H30" i="1"/>
  <c r="Q29" i="1"/>
  <c r="H29" i="1"/>
  <c r="Q28" i="1"/>
  <c r="H28" i="1"/>
  <c r="Q27" i="1"/>
  <c r="H27" i="1"/>
  <c r="Q26" i="1"/>
  <c r="H26" i="1"/>
  <c r="Q25" i="1"/>
  <c r="H25" i="1"/>
  <c r="Q24" i="1"/>
  <c r="H24" i="1"/>
  <c r="Q23" i="1"/>
  <c r="H23" i="1"/>
  <c r="Q22" i="1"/>
  <c r="H22" i="1"/>
  <c r="Q21" i="1"/>
  <c r="H21" i="1"/>
  <c r="Q20" i="1"/>
  <c r="H20" i="1"/>
  <c r="Q19" i="1"/>
  <c r="H19" i="1"/>
  <c r="Q18" i="1"/>
  <c r="H18" i="1"/>
  <c r="Q17" i="1"/>
  <c r="H17" i="1"/>
  <c r="Q16" i="1"/>
  <c r="H16" i="1"/>
  <c r="Q15" i="1"/>
  <c r="Q14" i="1"/>
  <c r="H14" i="1"/>
  <c r="Q13" i="1"/>
  <c r="Q12" i="1"/>
  <c r="Q11" i="1"/>
  <c r="Q10" i="1"/>
  <c r="H10" i="1"/>
  <c r="Q9" i="1"/>
  <c r="Q8" i="1"/>
</calcChain>
</file>

<file path=xl/sharedStrings.xml><?xml version="1.0" encoding="utf-8"?>
<sst xmlns="http://schemas.openxmlformats.org/spreadsheetml/2006/main" count="763" uniqueCount="522">
  <si>
    <t>6. pielikums</t>
  </si>
  <si>
    <t>Bauskas novada pašvaldības saistību apmērs 2024. gadā un turpmākajos gados (EUR)</t>
  </si>
  <si>
    <t>Nr.p.k.</t>
  </si>
  <si>
    <t>Aizdevējs</t>
  </si>
  <si>
    <t>Mērķis</t>
  </si>
  <si>
    <t>Līguma Nr.</t>
  </si>
  <si>
    <t>Līguma noslēgšanas datums</t>
  </si>
  <si>
    <t>Atmaksas termiņš</t>
  </si>
  <si>
    <t>Aizņēmuma summa</t>
  </si>
  <si>
    <t>Saistību pamatsummas parāds uz 01.01.2024.</t>
  </si>
  <si>
    <t>Saistību apmērs (pamatsumma+procenti)</t>
  </si>
  <si>
    <t>turpmākajos gados</t>
  </si>
  <si>
    <t>kopā</t>
  </si>
  <si>
    <t>Aizņēmumi</t>
  </si>
  <si>
    <t>Valsts kase</t>
  </si>
  <si>
    <t>ERAF projekta "Rundāles pagasta ūdensssaimniecības attīstība" īstenošanai</t>
  </si>
  <si>
    <t>A2/1/06/68</t>
  </si>
  <si>
    <t>24.02.2006.</t>
  </si>
  <si>
    <t>20.01.2026.</t>
  </si>
  <si>
    <t xml:space="preserve">A2/1/06/699   </t>
  </si>
  <si>
    <t>30.11.2006.</t>
  </si>
  <si>
    <t>20.11.2026.</t>
  </si>
  <si>
    <t xml:space="preserve">Valles vidusskolas sporta halles celtniecībai </t>
  </si>
  <si>
    <t xml:space="preserve">A2/1/06/806   </t>
  </si>
  <si>
    <t>28.12.2006.</t>
  </si>
  <si>
    <t>20.09.2032.</t>
  </si>
  <si>
    <t>Centralizētās siltumapgādes sistēmas rekonstrukcijai (Vecumnieku)</t>
  </si>
  <si>
    <t xml:space="preserve">A2/1/07/243   </t>
  </si>
  <si>
    <t>01.06.2007.</t>
  </si>
  <si>
    <t>22.03.2027.</t>
  </si>
  <si>
    <t>Kurmenes skolas ēkas rekonstrukcijai</t>
  </si>
  <si>
    <t xml:space="preserve">A2/1/08/716   </t>
  </si>
  <si>
    <t>25.08.2008.</t>
  </si>
  <si>
    <t>20.08.2028.</t>
  </si>
  <si>
    <t>Jauna bērnudārza celtniecībai Rundāles pagasta Saulainē</t>
  </si>
  <si>
    <t>A2/1/08/949</t>
  </si>
  <si>
    <t>05.12.2008.</t>
  </si>
  <si>
    <t>20.07.2033.</t>
  </si>
  <si>
    <t>ELFLA projekta (Nr.10-06-L32100-000257) "Publiskās infrastruktūras kvalitātes uzlabošana Rundāles novadā_2" īstenošanai</t>
  </si>
  <si>
    <t>A2/1/11/67</t>
  </si>
  <si>
    <t>02.03.2011.</t>
  </si>
  <si>
    <t>20.02.2036.</t>
  </si>
  <si>
    <t>Projekta "Pirmsskolas izglītības iestādes Svitene vienkāršotā renovācija" īstenošanai</t>
  </si>
  <si>
    <t>A2/1/13/90</t>
  </si>
  <si>
    <t>18.03.2013.</t>
  </si>
  <si>
    <t>20.03.2028.</t>
  </si>
  <si>
    <t xml:space="preserve">A2/1/14/158   </t>
  </si>
  <si>
    <t>20.03.2014.</t>
  </si>
  <si>
    <t>20.03.2024.</t>
  </si>
  <si>
    <t>KPFI projekta (Nr. KPFI-15.2/33) "Kompleksi risinājumi siltumnīcefekta gāzu emisiju samazināšanai Pilsrundāles vidusskolas un Pilsrundāles vidusskolas Bērsteles struktūrvienības ēkā" īstenošanai</t>
  </si>
  <si>
    <t>A2/1/14/271</t>
  </si>
  <si>
    <t>23.04.2014.</t>
  </si>
  <si>
    <t>20.03.2034.</t>
  </si>
  <si>
    <t xml:space="preserve">A2/1/14/595   </t>
  </si>
  <si>
    <t>26.08.2014.</t>
  </si>
  <si>
    <t>20.08.2024.</t>
  </si>
  <si>
    <t xml:space="preserve">A2/1/14/596   </t>
  </si>
  <si>
    <t>A2/1/14/732</t>
  </si>
  <si>
    <t>30.09.2014.</t>
  </si>
  <si>
    <t>20.09.2029.</t>
  </si>
  <si>
    <t>A2/1/15/114</t>
  </si>
  <si>
    <t>18.03.2015.</t>
  </si>
  <si>
    <t>20.03.2025.</t>
  </si>
  <si>
    <t>A2/1/15/195</t>
  </si>
  <si>
    <t>07.05.2015.</t>
  </si>
  <si>
    <t>23.04.2030.</t>
  </si>
  <si>
    <t xml:space="preserve">Projekta "Apkures griestu paneļu uzstādīšana Bauskas 2.vidusskolas sporta zālē" īstenošanai </t>
  </si>
  <si>
    <t>A2/1/15/220</t>
  </si>
  <si>
    <t>18.05.2015.</t>
  </si>
  <si>
    <t>20.05.2025.</t>
  </si>
  <si>
    <t>Projekta "Ūdensvada un kanalizācijas tīklu remontdarbi Bauskas novada pašvaldības izglītības iestādēs" īstenošanai</t>
  </si>
  <si>
    <t>A2/1/15/221</t>
  </si>
  <si>
    <t>20.05.2015.</t>
  </si>
  <si>
    <t xml:space="preserve">A2/1/15/252   </t>
  </si>
  <si>
    <t>21.05.2015.</t>
  </si>
  <si>
    <t>Projekta "Remontdarbu veikšana Bauskas novada pašvaldības izglītības iestādēs" īstenošanai</t>
  </si>
  <si>
    <t>A2/1/15/297</t>
  </si>
  <si>
    <t>12.06.2015.</t>
  </si>
  <si>
    <t>20.05.2035.</t>
  </si>
  <si>
    <t xml:space="preserve">A2/1/15/303   </t>
  </si>
  <si>
    <t>17.06.2015.</t>
  </si>
  <si>
    <t>20.06.2025.</t>
  </si>
  <si>
    <t xml:space="preserve">A2/1/15/370   </t>
  </si>
  <si>
    <t>21.07.2015.</t>
  </si>
  <si>
    <t>20.07.2025.</t>
  </si>
  <si>
    <t xml:space="preserve">Projekta "Bauskas pilsētas pamatskolas sporta zāles renovācija" īstenošanai </t>
  </si>
  <si>
    <t>A2/1/15/454</t>
  </si>
  <si>
    <t>20.08.2015.</t>
  </si>
  <si>
    <t>20.08.2035.</t>
  </si>
  <si>
    <t xml:space="preserve">Projekta "Zemgaļu ielas, Bauskā seguma rekonstrukcija" īstenošanai </t>
  </si>
  <si>
    <t>A2/1/15/524</t>
  </si>
  <si>
    <t>16.09.2015.</t>
  </si>
  <si>
    <t>22.09.2025.</t>
  </si>
  <si>
    <t>Projekta "Gājēju un veloceliņa uz Rītausmām, Īslīces pagastā būvniecība" īstenošanai</t>
  </si>
  <si>
    <t>A2/1/15/526</t>
  </si>
  <si>
    <t>18.09.2015.</t>
  </si>
  <si>
    <t>20.09.2040.</t>
  </si>
  <si>
    <t>A2/1/15/570</t>
  </si>
  <si>
    <t>02.10.2015.</t>
  </si>
  <si>
    <t>20.12.2035.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</si>
  <si>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</si>
  <si>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</si>
  <si>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</si>
  <si>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</si>
  <si>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</si>
  <si>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>20.02.2041.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</si>
  <si>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</si>
  <si>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</si>
  <si>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</si>
  <si>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>20.04.2046.</t>
  </si>
  <si>
    <t xml:space="preserve">Projekta "Bauskas Mūzikas skolas rekonstrukcijas 1.kārta" īstenošanai </t>
  </si>
  <si>
    <t>A2/1/16/108</t>
  </si>
  <si>
    <t>20.04.2031.</t>
  </si>
  <si>
    <t xml:space="preserve">Projekta "Dreņģerkalna un Torņa ielas pārbūve" īstenošanai </t>
  </si>
  <si>
    <t>A2/1/16/141</t>
  </si>
  <si>
    <t>18.05.2016.</t>
  </si>
  <si>
    <t>20.05.2031.</t>
  </si>
  <si>
    <t xml:space="preserve">Projekta "Remontdarbu veikšana Bauskas novada pašvaldības izglītības iestādēs" īstenošanai </t>
  </si>
  <si>
    <t>A2/1/16/277</t>
  </si>
  <si>
    <t>27.07.2016.</t>
  </si>
  <si>
    <t>20.07.2036.</t>
  </si>
  <si>
    <t xml:space="preserve">Projekta "Gājēju tilta pār Mūsu būvniecība" īstenošanai </t>
  </si>
  <si>
    <t>A2/1/16/313</t>
  </si>
  <si>
    <t>17.08.2016.</t>
  </si>
  <si>
    <t>20.08.2046.</t>
  </si>
  <si>
    <t xml:space="preserve">A2/1/16/398   </t>
  </si>
  <si>
    <t>07.10.2016.</t>
  </si>
  <si>
    <t>20.09.2026.</t>
  </si>
  <si>
    <t>Projekta "Iecavas pirmsskolas izglītības iestādes "Cālītis" teritorijas labiekārtošana" īstenošanai</t>
  </si>
  <si>
    <t>A2/1/16/424</t>
  </si>
  <si>
    <t>06.10.2016.</t>
  </si>
  <si>
    <t>20.12.2032.</t>
  </si>
  <si>
    <t xml:space="preserve">Projekta "Miera ielas un Mūsas ielas, Bauskā seguma pārbūve" īstenošanai </t>
  </si>
  <si>
    <t>A2/1/16/453</t>
  </si>
  <si>
    <t>25.10.2016.</t>
  </si>
  <si>
    <t>20.10.2031.</t>
  </si>
  <si>
    <t>Prioritārā investīciju projekta "Multifunkcionālā centra 1. un 3. kārtas būvniecība" īstenošanai</t>
  </si>
  <si>
    <t>A2/1/16/494</t>
  </si>
  <si>
    <t>08.12.2016.</t>
  </si>
  <si>
    <t>20.12.2041.</t>
  </si>
  <si>
    <t>ELFLA projekta (Nr.16-06-AL07-A019.2202-000003) "Apgaismota gājēju celiņa būvniecība Pilsrundāles ciemā (II kārta)" īstenošanai</t>
  </si>
  <si>
    <t>A2/1/16/511</t>
  </si>
  <si>
    <t>19.12.2016.</t>
  </si>
  <si>
    <t>22.12.2031.</t>
  </si>
  <si>
    <t>A2/1/16/512</t>
  </si>
  <si>
    <t>ELFLA projekta (Nr.16-06-AL07-A019.2201-000006) "Viļa Plūdoņa muzeja ratnīcas restaurācija" īstenošanai</t>
  </si>
  <si>
    <t>A2/1/17/92</t>
  </si>
  <si>
    <t>01.03.2017.</t>
  </si>
  <si>
    <t>20.12.2026.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</si>
  <si>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</si>
  <si>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</si>
  <si>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</si>
  <si>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</si>
  <si>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</si>
  <si>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20.03.2037.</t>
  </si>
  <si>
    <t>A2/1/17/174</t>
  </si>
  <si>
    <t>03.04.2017.</t>
  </si>
  <si>
    <t>20.03.2042.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</si>
  <si>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</si>
  <si>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</si>
  <si>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</si>
  <si>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22.04.2047.</t>
  </si>
  <si>
    <t>Ceļu un to kompleksa investīciju projekta "Skolas ielas rekonstrukcija, Iecavā, Iecavas novadā" īstenošanai</t>
  </si>
  <si>
    <t>A2/1/17/398</t>
  </si>
  <si>
    <t>22.06.2017.</t>
  </si>
  <si>
    <t xml:space="preserve">Projekta " Bauskas Mūzikas skolas rekonstrukcijas 2. kārta" īstenošanai </t>
  </si>
  <si>
    <t>A2/1/17/423</t>
  </si>
  <si>
    <t>28.06.2017.</t>
  </si>
  <si>
    <t>20.06.2042.</t>
  </si>
  <si>
    <t>Projekta "Mežotnes pamatskolas pārbūve " īstenošanai</t>
  </si>
  <si>
    <t>A2/1/17/424</t>
  </si>
  <si>
    <t>20.06.2047.</t>
  </si>
  <si>
    <t>Projekta "Remontdarbu veikšana Bauskas novada pašvaldības izglītības iestādēs"īstenošanai (atbilstoši iepirkumu komisijas lēmumos minētajām izglītības iestādēm)</t>
  </si>
  <si>
    <t>A2/1/17/425</t>
  </si>
  <si>
    <t>22.06.2037.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</si>
  <si>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</si>
  <si>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</si>
  <si>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</si>
  <si>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</si>
  <si>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</si>
  <si>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>22.07.2047.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</si>
  <si>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</si>
  <si>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</si>
  <si>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</si>
  <si>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>20.08.2047.</t>
  </si>
  <si>
    <t xml:space="preserve">Pašvaldības autonomo funkciju veikšanai nepieciešamā transporta (automašīnu un autobusu) iegādei </t>
  </si>
  <si>
    <t>A2/1/17/626</t>
  </si>
  <si>
    <t xml:space="preserve">Projekta "Gājēju un veloceliņa gar Ziedoņu ielu izbūve" īstenošanai </t>
  </si>
  <si>
    <t>A2/1/17/767</t>
  </si>
  <si>
    <t>19.10.2017.</t>
  </si>
  <si>
    <t>20.10.2032.</t>
  </si>
  <si>
    <t>ELFLA projekta (Nr.17-06-A00702-000053) ''Bauskas novada pašvaldības grants ceļu pārbūve Brunavas pagastā" īstenošanai</t>
  </si>
  <si>
    <t>A2/1/17/778</t>
  </si>
  <si>
    <t>27.10.2017.</t>
  </si>
  <si>
    <t>20.12.2028.</t>
  </si>
  <si>
    <t>Projekta "Ielu seguma pārbūve Bauskas novada Codes un Ceraukstes pagastā" īstenošanai</t>
  </si>
  <si>
    <t>A2/1/17/894</t>
  </si>
  <si>
    <t>14.12.2017.</t>
  </si>
  <si>
    <t>A2/1/18/68</t>
  </si>
  <si>
    <t>02.03.2018.</t>
  </si>
  <si>
    <t>20.02.2043.</t>
  </si>
  <si>
    <t>A2/1/18/180</t>
  </si>
  <si>
    <t>25.04.2018.</t>
  </si>
  <si>
    <t>20.04.2048.</t>
  </si>
  <si>
    <t>Prioritārā investīciju projekta "Multifunkcionālā centra 4. kārtas būvniecība" īstenošanai</t>
  </si>
  <si>
    <t>A2/1/18/188</t>
  </si>
  <si>
    <t>26.04.2018.</t>
  </si>
  <si>
    <t>20.04.2043.</t>
  </si>
  <si>
    <t>Prioritārā investīciju projekta "Pašvaldības aģentūras "Iecavas veselības centrs" teritorijas labiekārtošana" īstenošanai</t>
  </si>
  <si>
    <t>A2/1/18/247</t>
  </si>
  <si>
    <t>25.05.2018.</t>
  </si>
  <si>
    <t>A2/1/18/271</t>
  </si>
  <si>
    <t>30.05.2018.</t>
  </si>
  <si>
    <t>20.12.2024.</t>
  </si>
  <si>
    <t>A2/1/18/272</t>
  </si>
  <si>
    <t>20.05.2033.</t>
  </si>
  <si>
    <t>A2/1/18/273</t>
  </si>
  <si>
    <t>A2/1/18/274</t>
  </si>
  <si>
    <t>20.12.2030.</t>
  </si>
  <si>
    <t>A2/1/18/275</t>
  </si>
  <si>
    <t>22.12.2025.</t>
  </si>
  <si>
    <t>A2/1/18/276</t>
  </si>
  <si>
    <t>22.05.2034.</t>
  </si>
  <si>
    <t>A2/1/18/277</t>
  </si>
  <si>
    <t>20.05.2038.</t>
  </si>
  <si>
    <t xml:space="preserve">Investīciju projektu īstenošanai (saistību pārjaunojums) _x000D_
</t>
  </si>
  <si>
    <t>A2/1/18/353</t>
  </si>
  <si>
    <t>26.06.2018.</t>
  </si>
  <si>
    <t>20.05.2044.</t>
  </si>
  <si>
    <t>A2/1/18/407</t>
  </si>
  <si>
    <t>04.07.2018.</t>
  </si>
  <si>
    <t>20.06.2028.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</si>
  <si>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</si>
  <si>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</si>
  <si>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31.07.2018.</t>
  </si>
  <si>
    <t>20.07.2048.</t>
  </si>
  <si>
    <t xml:space="preserve">A2/1/18/519   </t>
  </si>
  <si>
    <t>02.08.2018.</t>
  </si>
  <si>
    <t>20.07.2028.</t>
  </si>
  <si>
    <t>Investīciju projektu īstenošanai (saistību pārjaunojums)</t>
  </si>
  <si>
    <t>A2/1/18/547</t>
  </si>
  <si>
    <t>08.08.2018.</t>
  </si>
  <si>
    <t>A2/1/18/590</t>
  </si>
  <si>
    <t>30.08.2018.</t>
  </si>
  <si>
    <t>A2/1/18/739</t>
  </si>
  <si>
    <t>23.10.2018.</t>
  </si>
  <si>
    <t>20.10.2043.</t>
  </si>
  <si>
    <t xml:space="preserve">Projekta "Ielu seguma atjaunošana Bauskas novada Dāviņu un Vecsaules pagastā" īstenošanai </t>
  </si>
  <si>
    <t>A2/1/18/805</t>
  </si>
  <si>
    <t>16.11.2018.</t>
  </si>
  <si>
    <t>20.11.2033.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</si>
  <si>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</si>
  <si>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</si>
  <si>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</si>
  <si>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20.06.2031.</t>
  </si>
  <si>
    <t>ERAF projekta (Nr.5.6.2.0/17/I/021) "Bauskas industriālās teritorijas attīstība, reģenerējot degradētās teritorijas" īstenošanai</t>
  </si>
  <si>
    <t>A2/1/19/197</t>
  </si>
  <si>
    <t>05.06.2019.</t>
  </si>
  <si>
    <t>20.03.2040.</t>
  </si>
  <si>
    <t>ELFLA projekta (Nr.18-06-A00702-000043) "Bauskas novada pašvaldības grants ceļu pārbūve Ceraukstes pagastā" īstenošanai</t>
  </si>
  <si>
    <t>A2/1/19/301</t>
  </si>
  <si>
    <t>12.08.2019.</t>
  </si>
  <si>
    <t>21.07.2031.</t>
  </si>
  <si>
    <t>ELFLA projekta (Nr.18-06-A00702-000065) "Bauskas novada pašvaldības grants ceļu pārbūve Mežotnes pagastā" īstenošanai</t>
  </si>
  <si>
    <t>A2/1/19/311</t>
  </si>
  <si>
    <t>02.09.2019.</t>
  </si>
  <si>
    <t>20.08.2026.</t>
  </si>
  <si>
    <t>ELFLA projekta (Nr.18-06-A00702-000061) "Bauskas novada pašvaldības grants ceļu pārbūve Īslīces pagastā" īstenošanai</t>
  </si>
  <si>
    <t>A2/1/19/312</t>
  </si>
  <si>
    <t>20.12.2027.</t>
  </si>
  <si>
    <t>ELFLA projekta (Nr.-18-06-A00702-000040) "Bauskas novada pašvaldības grants ceļu pārbūve Codes pagastā" īstenošanai</t>
  </si>
  <si>
    <t>A2/1/19/313</t>
  </si>
  <si>
    <t>A2/1/19/448</t>
  </si>
  <si>
    <t>04.12.2019.</t>
  </si>
  <si>
    <t>20.11.2034.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</si>
  <si>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</si>
  <si>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</si>
  <si>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</si>
  <si>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20.01.2040.</t>
  </si>
  <si>
    <t>ERAF projekta (Nr.5.6.2.0/19/I/004) "Teritorijas revitalizācija Bauskas pilsētas ziemeļu aglomerācijā" īstenošanai</t>
  </si>
  <si>
    <t>A2/1/20/39</t>
  </si>
  <si>
    <t>11.02.2020.</t>
  </si>
  <si>
    <t>20.09.2047.</t>
  </si>
  <si>
    <t>A2/1/20/43</t>
  </si>
  <si>
    <t>18.02.2020.</t>
  </si>
  <si>
    <t>20.01.2050.</t>
  </si>
  <si>
    <t>ERAF projekta (Nr.8.1.2.0/17/I/011) "Bauskas Valsts ģimnāzijas un Bauskas 2.vidusskolas infrastruktūras sakārtošana" īstenošanai</t>
  </si>
  <si>
    <t>A2/1/20/352</t>
  </si>
  <si>
    <t>17.06.2020.</t>
  </si>
  <si>
    <t>20.05.2050.</t>
  </si>
  <si>
    <t>A2/1/20/373</t>
  </si>
  <si>
    <t>02.07.2020.</t>
  </si>
  <si>
    <t>25.01.2029.</t>
  </si>
  <si>
    <t>Projekta "Bauskas novada pašvaldības grants ceļu pārbūve Dāviņu pagastā" īstenošanai</t>
  </si>
  <si>
    <t>A2/1/20/481</t>
  </si>
  <si>
    <t>03.08.2020.</t>
  </si>
  <si>
    <t>20.07.2050.</t>
  </si>
  <si>
    <t xml:space="preserve">A2/1/20/580        </t>
  </si>
  <si>
    <t>26.08.2020.</t>
  </si>
  <si>
    <t>20.08.2025.</t>
  </si>
  <si>
    <t>A2/1/20/582</t>
  </si>
  <si>
    <t>27.08.2020.</t>
  </si>
  <si>
    <t>20.08.2050.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</si>
  <si>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</si>
  <si>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</si>
  <si>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</si>
  <si>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</si>
  <si>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</si>
  <si>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20.12.2040.</t>
  </si>
  <si>
    <t>A2/1/20/616</t>
  </si>
  <si>
    <t>Projekta "Lauku ielas pārbūve posmā no Lauku ielas un Baldones ielas krustojuma līdz Iecavas vidusskolas iebrauktuvei" īstenošanai</t>
  </si>
  <si>
    <t>A2/1/20/617</t>
  </si>
  <si>
    <t>A2/1/20/691</t>
  </si>
  <si>
    <t>02.10.2020.</t>
  </si>
  <si>
    <t>20.09.2035.</t>
  </si>
  <si>
    <t>A2/1/20/795</t>
  </si>
  <si>
    <t>02.11.2020.</t>
  </si>
  <si>
    <t>20.10.2027.</t>
  </si>
  <si>
    <t>Prioritārā investīciju projekta "Mežotnes baznīcas ēkas pārbūve II kārta" īstenošanai</t>
  </si>
  <si>
    <t>A2/1/21/239</t>
  </si>
  <si>
    <t>27.05.2021.</t>
  </si>
  <si>
    <t>20.05.2041.</t>
  </si>
  <si>
    <t>Projekta "Pārupes ielas pārbūve Bauskā" īstenošanai</t>
  </si>
  <si>
    <t>A2/1/21/343</t>
  </si>
  <si>
    <t>28.06.2021.</t>
  </si>
  <si>
    <t>21.06.2027.</t>
  </si>
  <si>
    <t>Projekta "Vecumnieku vidusskolas ēkas pārbūve" īstenošanai</t>
  </si>
  <si>
    <t xml:space="preserve">A2/1/21/346       </t>
  </si>
  <si>
    <t>20.06.2051.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</si>
  <si>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</si>
  <si>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</si>
  <si>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</si>
  <si>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</si>
  <si>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</si>
  <si>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</si>
  <si>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A2/1/21/510</t>
  </si>
  <si>
    <t>27.08.2021.</t>
  </si>
  <si>
    <t>22.06.2026.</t>
  </si>
  <si>
    <t>Prioritārā investīciju projekta "Mēmeles gaisa tiltiņa rekonstrukcija" īstenošanai</t>
  </si>
  <si>
    <t>A2/1/21/511</t>
  </si>
  <si>
    <t>20.08.2031.</t>
  </si>
  <si>
    <t>Projekta "Ceriņu ielas pārbūve Vecumniekos, Bauskas novadā, Sporta un Strauta ielu pārbūve Skaistkalnē, Bauskas novadā" īstenošanai</t>
  </si>
  <si>
    <t>A2/1/21/597</t>
  </si>
  <si>
    <t>05.10.2021.</t>
  </si>
  <si>
    <t>22.09.2031.</t>
  </si>
  <si>
    <t>A2/1/21/631</t>
  </si>
  <si>
    <t>14.10.2021.</t>
  </si>
  <si>
    <t>A2/1/21/725</t>
  </si>
  <si>
    <t>30.11.2021.</t>
  </si>
  <si>
    <t>20.03.2029.</t>
  </si>
  <si>
    <t>A2/1/22/106</t>
  </si>
  <si>
    <t>26.05.2022.</t>
  </si>
  <si>
    <t>20.06.2050.</t>
  </si>
  <si>
    <t>A2/1/22/107</t>
  </si>
  <si>
    <t>20.05.2042.</t>
  </si>
  <si>
    <t>A2/1/22/196</t>
  </si>
  <si>
    <t>07.07.2022.</t>
  </si>
  <si>
    <t>A2/1/22/197</t>
  </si>
  <si>
    <t>21.06.2032.</t>
  </si>
  <si>
    <t>A2/1/22/277</t>
  </si>
  <si>
    <t>12.08.2022.</t>
  </si>
  <si>
    <t>A2/1/22/279</t>
  </si>
  <si>
    <t>20.07.2032.</t>
  </si>
  <si>
    <t>A2/1/22/280</t>
  </si>
  <si>
    <t>A2/1/22/281</t>
  </si>
  <si>
    <t>A2/1/22/282</t>
  </si>
  <si>
    <t>A2/1/22/285</t>
  </si>
  <si>
    <t>A2/1/22/485</t>
  </si>
  <si>
    <t>04.11.2022.</t>
  </si>
  <si>
    <t>22.09.2042.</t>
  </si>
  <si>
    <t>ERAF projekta (Nr.4.2.2.0/21/A/055) "Energoefektivitātes paaugstināšana sabiedrībā balstītu sociālo pakalpojumu ēkai Bauskā, Slimnīcas ielā 4" īstenošanai</t>
  </si>
  <si>
    <t>A2/1/22/486</t>
  </si>
  <si>
    <t>ERAF projekta (Nr.4.2.2.0/21/A/056) "Energoefektivitātes paaugstināšana veselības aprūpes pakalpojumu ēkai Bauskā, Slimnīcas ielā 4" īstenošanai</t>
  </si>
  <si>
    <t>A2/1/22/487</t>
  </si>
  <si>
    <t>A2/1/23/22</t>
  </si>
  <si>
    <t>20.02.2023.</t>
  </si>
  <si>
    <t>20.01.2043.</t>
  </si>
  <si>
    <t>A2/1/23/98</t>
  </si>
  <si>
    <t>03.05.2023.</t>
  </si>
  <si>
    <t>A2/1/23/142</t>
  </si>
  <si>
    <t>19.06.2023.</t>
  </si>
  <si>
    <t>21.03.2033.</t>
  </si>
  <si>
    <t>A2/1/23/200</t>
  </si>
  <si>
    <t>12.07.2023.</t>
  </si>
  <si>
    <t>21.06.2038.</t>
  </si>
  <si>
    <t>A2/1/23/201</t>
  </si>
  <si>
    <t>A2/1/23/242</t>
  </si>
  <si>
    <t>03.08.2023.</t>
  </si>
  <si>
    <t>18.04.2024.</t>
  </si>
  <si>
    <t>A2/1/23/262</t>
  </si>
  <si>
    <t>14.08.2023.</t>
  </si>
  <si>
    <t>A2/1/23/297</t>
  </si>
  <si>
    <t>06.09.2023.</t>
  </si>
  <si>
    <t>20.08.2038.</t>
  </si>
  <si>
    <t>A2/1/23/298</t>
  </si>
  <si>
    <t>A2/1/23/299</t>
  </si>
  <si>
    <t>A2/1/23/404</t>
  </si>
  <si>
    <t>26.09.2023.</t>
  </si>
  <si>
    <t>20.09.2053.</t>
  </si>
  <si>
    <t>Transporta iegāde skolēnu pārvadāšanai</t>
  </si>
  <si>
    <t>A2/1/23/405</t>
  </si>
  <si>
    <t>20.09.2030.</t>
  </si>
  <si>
    <t>A2/1/24/37</t>
  </si>
  <si>
    <t>30.05.2024.</t>
  </si>
  <si>
    <t>A2/1/24/38</t>
  </si>
  <si>
    <t>A2/1/24/39</t>
  </si>
  <si>
    <t>20.05.2054.</t>
  </si>
  <si>
    <t>KOPĀ:</t>
  </si>
  <si>
    <t>x</t>
  </si>
  <si>
    <t>1</t>
  </si>
  <si>
    <t>Ūdenssaimniecības pakalpojumu attīstība Iecavas novadā</t>
  </si>
  <si>
    <t>G/12/496</t>
  </si>
  <si>
    <t>10.09.2012.</t>
  </si>
  <si>
    <t>20.10.2034.</t>
  </si>
  <si>
    <t>2</t>
  </si>
  <si>
    <t>Ūdenssaimniecības pakalpojumu attīstība Iecavas novada Zorģu ciemā</t>
  </si>
  <si>
    <t>G/12/498</t>
  </si>
  <si>
    <t>20.04.2032.</t>
  </si>
  <si>
    <t>3</t>
  </si>
  <si>
    <t>Ūdenssaimniecības pakalpojumu attīstība Iecavas novada Zālītes ciemā</t>
  </si>
  <si>
    <t>G/12/500</t>
  </si>
  <si>
    <t>4</t>
  </si>
  <si>
    <t>Kohēzijas fonda projekta "Ūdenssaimniecības pakalpojuma attīstība Bauskā" īstenošanai</t>
  </si>
  <si>
    <t>G/12/820</t>
  </si>
  <si>
    <t>21.12.2012.</t>
  </si>
  <si>
    <t>5</t>
  </si>
  <si>
    <t>SIA "Mūsu saimnieks" projekta "Siltumtrašu rekonstrukcija Vecumnieku novada Vecumniekos" īstenošanai</t>
  </si>
  <si>
    <t>G/14/25</t>
  </si>
  <si>
    <t>27.01.2014.</t>
  </si>
  <si>
    <t>20.01.2034.</t>
  </si>
  <si>
    <t>6</t>
  </si>
  <si>
    <t>SIA "Mūsu saimnieks" projekta "Ūdenssaimniecības  pakalpojumu attīstība Vecumnieku pagasta Vecumniekos" realizācija</t>
  </si>
  <si>
    <t>G/14/27</t>
  </si>
  <si>
    <t>20.12.2033.</t>
  </si>
  <si>
    <t>7</t>
  </si>
  <si>
    <t>Kohēzijas fonda projekta "Siltuma ražošanas efektivitātes paaugstināšana Bauskā" īstenošanai</t>
  </si>
  <si>
    <t>G/15/623</t>
  </si>
  <si>
    <t>20.11.2015.</t>
  </si>
  <si>
    <t>20.11.2032.</t>
  </si>
  <si>
    <t>8</t>
  </si>
  <si>
    <t>Kohēzijas fonda projekta "Ūdenssaimniecības pakalpojumu attīstība Iecavā, 2.kārta" īstenošanai</t>
  </si>
  <si>
    <t>G/18/727</t>
  </si>
  <si>
    <t>15.10.2018.</t>
  </si>
  <si>
    <t>22.09.2039.</t>
  </si>
  <si>
    <t>9</t>
  </si>
  <si>
    <t>Kohēzijas fonda projekta Nr.4.3.1.0/17/A/078 "Esošā siltumavota pārbūve Iecavā, uzstādot jaunu biomasas katlu" īstenošanai</t>
  </si>
  <si>
    <t>G/20/309</t>
  </si>
  <si>
    <t>04.06.2020.</t>
  </si>
  <si>
    <t>10</t>
  </si>
  <si>
    <t>Kohēzijas fonda projekta Nr. 4.3.1.0/17/A077 "Siltumtīklu pārbūve Iecavā" īstenošanai</t>
  </si>
  <si>
    <t>G/20/311</t>
  </si>
  <si>
    <t>11</t>
  </si>
  <si>
    <t>Kohēzijas fonda projekta Nr. 5.3.1.0/17/I/020 "Bauskas ūdenssaimniecības attīstība III kārta" īstenošanai</t>
  </si>
  <si>
    <t>G/20/773</t>
  </si>
  <si>
    <t>27.10.2020.</t>
  </si>
  <si>
    <t>12</t>
  </si>
  <si>
    <t>SIA "Mūsu saimnieks" kurināmā iegādei</t>
  </si>
  <si>
    <t>G/22/520</t>
  </si>
  <si>
    <t>16.11.2022.</t>
  </si>
  <si>
    <t>21.10.2024.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</si>
  <si>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</si>
  <si>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</si>
  <si>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</si>
  <si>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</si>
  <si>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Galvojumi </t>
  </si>
  <si>
    <t>Bauskas novada domes 27.06.2024.
    saistošajiem noteikumiem Nr. 14</t>
  </si>
  <si>
    <t>Projekta "Vecumnieku centralizētās siltumapgādes sistēmas rekonstrukcija" īstenošanai</t>
  </si>
  <si>
    <t xml:space="preserve">KPFI projekta (Nr.KPFI-15.2/11) "Energoefektivitātes uzlabošana Skaistkalnes vidusskolas sākumskolas korpusā" īstenošanai </t>
  </si>
  <si>
    <t xml:space="preserve">KPFI projekta (Nr.KPFI-15.3/149) "Kompleksi risinājumi siltumnīcefekta gāzu emisijas samazināšanai Misas vidusskolā" īstenošanai </t>
  </si>
  <si>
    <t>Projekta "Seguma maiņa Zemgaļu ielas posmam no Skolas ielas līdz Lauku ielai un Lauku ielai Bauskas pilsētā" īstenošanai</t>
  </si>
  <si>
    <t>ERAF projekta (Nr.9.3.1.1/19/I/046) "Deinstitucionalizācijas plāna īstenošana Bauskas novadā" īstenošanai</t>
  </si>
  <si>
    <t xml:space="preserve">ERAF projekta (Nr.3DP/3.4.1.1.0/13/APIA/CFLA/137/112) "Ūdenssaimniecības attīstība Vecumnieku novada Valles ciemā" īstenošanai </t>
  </si>
  <si>
    <t xml:space="preserve">Projekta "Rātsnama vēsturiskā interjera izveide" īstenošanai </t>
  </si>
  <si>
    <t xml:space="preserve">Prioritārā investīciju projekta "Bērnu laukuma un sadzīves atkritumu konteineru laukumu izbūves II-III kārta" īstenošanai </t>
  </si>
  <si>
    <t xml:space="preserve">Projekta "Celtnieku ielas, Līdumnieku ielas posma no Celtnieku ielas līdz Rudzu ielai, Ainavu ielas posma no Celtnieku ielas līdz Pārupes ielai pārbūve" īstenošanai </t>
  </si>
  <si>
    <t>ERAF projekta (Nr.3DP/3.4.1.1.0/13APIA/CFLA/045/054) "Ūdenssaimniecības attīstība Rundāles novada Rundāles pagasta Pilsrundāles ciemā" īstenošanai</t>
  </si>
  <si>
    <t>ERAF projekta (Nr.3DP/3.4.1.1.0/13/APIA/CFLA/048/075) "Ūdenssaimniecības attīstība Rundāles novada Svitenes pagasta Svitenes ciemā" īstenošanai</t>
  </si>
  <si>
    <t xml:space="preserve">Projekta "Vecumnieku novada izglītības iestāžu remontdarbi" īstenošanai </t>
  </si>
  <si>
    <t>Projekta "Labiekārtošana un remontdarbi Vecumnieku novada izglītības iestādēs" īstenošanai</t>
  </si>
  <si>
    <t>Projekta "Ēkas Liepu ielā 2, Vecumniekos, Vecumnieku pagastā, Vecumnieku novadā pārbūve atbilstoši pirmsskolas izglītības iestādes prasībām" īstenošanai</t>
  </si>
  <si>
    <t>ELFLA projekta (Nr.17-06-AL07-A019.2202-000007) "Ceraukstes tautas nama fasādes atjaunošana pakalpojumu nodrošināšanai" īstenošanai</t>
  </si>
  <si>
    <t>ELFLA projekta (Nr.17-06-A00702-000046) "Bauskas novada pašvaldības grants ceļu pārbūve Gailīšu pagastā" īstenošanai</t>
  </si>
  <si>
    <t>ERAF projekta (Nr.5.6.2.0/17/I/011) "Teritorijas revitalizācija Codes pagastā, rekonstruējot vietējā autoceļa posmu" īstenošanai</t>
  </si>
  <si>
    <t>ELFLA projekta (Nr.17-06-AL07-A019.2201-000008) "Rītausmu ciema sporta un atpūtas parka izveide" īstenošanai</t>
  </si>
  <si>
    <t>ERAF projekta (Nr.5.6.2.0/17/I/009) "Brīvības bulvāra revitalizācija uzņēmējdarbības veicināšanai" īstenošanai</t>
  </si>
  <si>
    <t xml:space="preserve">Prioritārā investīciju projekta "Videonovērošanas sistēmas Bauskā izbūves 2. un 3.kārta" īstenošanai </t>
  </si>
  <si>
    <t>ERAF projekta (Nr.5.6.2.0/21/I/001) "Privāto investīciju palielināšana Gailīšu pagastā uzņēmējdarbības veicināšanai" īstenošanai</t>
  </si>
  <si>
    <t>Prioritārā investīciju projekta  "Liepu ielas Brunavas pagastā pārbūve" īstenošanai</t>
  </si>
  <si>
    <t>Projekta "Pašvaldības autoceļa B7 "Priedītes–Mežotnes stacija" pārbūve (1806 m) posmā no 0,0 km līdz 1,806 km" investīciju īstenošanai</t>
  </si>
  <si>
    <t>Projekta "Seguma maiņa objektā "Bauskas pilsētas Krasta ielas posms no Skolas ielas līdz Mūsas tiltam"" investīciju īstenošanai</t>
  </si>
  <si>
    <t>Prioritārā investīciju projekta "Liepu ielas Brunavas pagastā pārbūve" īstenošanai</t>
  </si>
  <si>
    <t>ERAF projekta (Nr.4.2.2.0/22/A/005) "Energoefektivitātes paaugstināšana sporta namam "Dartija"" īstenošanai</t>
  </si>
  <si>
    <t>Projekta "Seguma maiņa objektā "Ceriņu ielas posms no Dārza ielas līdz Biržu ielai", Bauskā, Bauskas novadā" īstenošanai</t>
  </si>
  <si>
    <t>Projekta "Seguma maiņa objektā "Bauskas pilsētas Biržu iela no Dārza ielas līdz Biržu 23", Bauskā, Bauskas novadā" īstenošanai</t>
  </si>
  <si>
    <t>Prioritārā investīciju projekta
"Pilsrundāles vidusskolas fasādes atjaunošana" īstenošanai</t>
  </si>
  <si>
    <t>ERAF projekts (Nr.8.1.2.0/17/I/011) "Bauskas Valsts ģimnāzijas un Bauskas 2. vidusskolas infrastruktūras sakārtošana" īstenošanai</t>
  </si>
  <si>
    <t>Projekta "Kalna un Zaļās ielas seguma atjaunošanas un rotācijas apļa izbūves projektēšana, autoruzraudzība un būvuzraudzība" īstenošanai</t>
  </si>
  <si>
    <t>Projekta "Vecumnieku vidusskolas ēkas pārbūve" pabeigšanai</t>
  </si>
  <si>
    <t>Projekta "Ēkas rekonstrukcija un funkcijas maiņa – Iecavas mākslas un mūzikas skola" īstenošanai</t>
  </si>
  <si>
    <t>ELFLA projekta (Nr.16-06-AL07-A019.2201-000004) "Atklātas daudzfunkcionālas arēnas būvniecība Svitenē" īstenošanai</t>
  </si>
  <si>
    <t>ELFLA projekta (Nr.17-06+A00702-000105) "Pašvaldības ceļa "Pilsrundāle–Svitene" pārbūve"  īstenošanai</t>
  </si>
  <si>
    <t>ELFLA projekta (Nr.17-06-AL07-A019.2201-000009) "Garozas muižas parka labiekārtošana" īstenošanai</t>
  </si>
  <si>
    <t>ERAF projekta (Nr.5.6.2.0/17/I/010) "Teritorijas revitalizācija Gailīšu pagastā, rekonstruējot vietējā autoceļa posmu" īstenošanai</t>
  </si>
  <si>
    <t xml:space="preserve">ELFLA projekta (Nr.18-06-A00702-000026) "Vecumnieku novada pašvaldības autoceļa A10 (Mednieki–Gali), autoceļa posma A1 (Ķekavas šoseja–Dzeguzes) un autoceļa posma B2 (Spodras–Krieviņi) pārbūve Vecumnieku novadā" īstenošanai </t>
  </si>
  <si>
    <t>Latvijas–Krievijas pārrobežu sadarbības programmas projekta (Nr.LV-RU-052) "Ainava kā resurss: atbalsts jauniem pakalpojumiem un tūrismam Rundālē, Raunā, Ropšā" investīciju daļas īstenošanai</t>
  </si>
  <si>
    <t>Latvijas–Lietuvas -Baltkrievijas pārrobežu sadarbības programmas projekta (Nr.ENI-LLB-2-340) "Inovatīvs kultūras tūrisms: atslēga Rundāles un Svisločas pievilcības un konkurētspējas uzlabošanai" investīciju daļas īstenošanai</t>
  </si>
  <si>
    <t xml:space="preserve">Latvijas–Lietuvas pārrobežu sadarbības programmas projekta (Nr.LLI-425) "Daudzfunkcionālo centru kā vietējās kopienas sociālās iekļaušanas un attīstības virzītājspēka attīstība" investīciju daļas īstenošanai </t>
  </si>
  <si>
    <t>Projekta "Pilskalna ielas pārbūve Bauskā" īstenošanai</t>
  </si>
  <si>
    <t>Projekta "Autoceļa A7–Papardes–Gāršas–Spītes–Podāzeļi pārbūve (1.kārta)" īstenošanai</t>
  </si>
  <si>
    <t>Projekta "Pašvaldības autocļa A3 "Pilsrundāle–Dzirnavu pietura" posma pārbūve" īstenošanai</t>
  </si>
  <si>
    <t>Latvijas–Lietuvas pārrobežu sadarbības programmas projekta (Nr.LLI-498) "Vēsturiskais ceļš: Raudondvaris-Bauska" investīciju daļas īstenošanai</t>
  </si>
  <si>
    <t>Projekta "Autoceļa "V1040–Roņi–Tāmas–Renceles–A7" pārbūves 2.kārta" īstenošanai</t>
  </si>
  <si>
    <t>ERAF projekta (Nr.8.1.2.0/17/I/011) "Bauskas Valsts ģimnāzijas un Bauskas 2. vidusskolas infrastruktūras sakārtošana" īstenošanai</t>
  </si>
  <si>
    <t>ERAF projekta (Nr.9.3.1.1/18/I/023) "Dienas aprūpes centra izveide Iecavā, Bauskas novadā" īstenošanai</t>
  </si>
  <si>
    <t>Latvijas–Lietuvas pārrobežu sadarbības programmas projekta (Nr.LLI-498) "Vēsturiskais ceļš: Raudondvaris–Bauska" investīciju daļas īstenošanai</t>
  </si>
  <si>
    <t>Projekta "Seguma atjaunošana objektā Mežotnes pagasta autoceļa B2 "Jumpravu kapi–Tomi" posmam" investīciju īstenošanai</t>
  </si>
  <si>
    <t>Projekta "Seguma maiņa objektā Vecsaules pagasta autoceļa A6 "Kalte–Cīruļi" posms" investīciju īstenošanai</t>
  </si>
  <si>
    <t>Projekta "Piebraucamā ceļa izbūve posmā no Valsts reģionālā autoceļa P92 Iecava–Stelpe" investīciju īstenošanai</t>
  </si>
  <si>
    <t>Projekta "Autoceļa A18 "Plūdoņi–Bērziņi" pārbūve" investīciju īstenošanai</t>
  </si>
  <si>
    <t>Investīciju projekta "Autoceļa "Dārza iela–Cielavas–Bružas–P93" un Dārza ielas posma no Dzintaru ielas līdz autoceļam
A9 "Dārza iela – Cielavas –Bružas – P93" pārbūve" īstenošanai</t>
  </si>
  <si>
    <t>Investīciju projekta "Autoceļa A10 "V 1040–Smiltaiņi–Audrupi–Jaunsvirkaļi" pārbūve" īstenošanai</t>
  </si>
  <si>
    <t>Projekts "Autoceļa A18 "Plūdoņi–Bērziņi" pārbūves 2. kārta"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</si>
</sst>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sz val="10"/>
      <name val="Times New Roman"/>
      <family val="1"/>
      <charset val="186"/>
    </font>
    <font>
      <i/>
      <sz val="10"/>
      <name val="Arial"/>
      <family val="2"/>
      <charset val="186"/>
    </font>
    <font>
      <b/>
      <sz val="12"/>
      <name val="Arial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68108157597583"/>
      </left>
      <right style="thin">
        <color theme="0" tint="-0.34968108157597583"/>
      </right>
      <top style="thin">
        <color theme="0" tint="-0.34968108157597583"/>
      </top>
      <bottom style="thin">
        <color theme="0" tint="-0.34968108157597583"/>
      </bottom>
      <diagonal/>
    </border>
    <border>
      <left style="thin">
        <color theme="0" tint="-0.34968108157597583"/>
      </left>
      <right style="thin">
        <color theme="0" tint="-0.34968108157597583"/>
      </right>
      <top style="thin">
        <color theme="0" tint="-0.34968108157597583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</borders>
  <cellStyleXfs count="7">
    <xf numFmtId="0" fontId="0" fillId="0" borderId="0"/>
    <xf numFmtId="43" fontId="11" fillId="0" borderId="0" applyFont="0" applyFill="0" applyBorder="0" applyAlignment="0" applyProtection="0"/>
    <xf numFmtId="0" fontId="1" fillId="0" borderId="0"/>
    <xf numFmtId="0" fontId="1" fillId="0" borderId="0"/>
    <xf numFmtId="43" fontId="11" fillId="0" borderId="0" applyFont="0" applyFill="0" applyBorder="0" applyAlignment="0" applyProtection="0"/>
    <xf numFmtId="0" fontId="1" fillId="0" borderId="0"/>
    <xf numFmtId="0" fontId="1" fillId="0" borderId="0"/>
  </cellStyleXfs>
  <cellXfs count="166">
    <xf numFmtId="0" fontId="0" fillId="0" borderId="0" xfId="0"/>
    <xf numFmtId="49" fontId="1" fillId="0" borderId="3" xfId="2" applyNumberFormat="1" applyBorder="1" applyAlignment="1" applyProtection="1">
      <alignment horizontal="left" vertical="center" wrapText="1"/>
      <protection locked="0"/>
    </xf>
    <xf numFmtId="0" fontId="1" fillId="0" borderId="3" xfId="2" applyBorder="1" applyAlignment="1" applyProtection="1">
      <alignment horizontal="center" vertical="center" wrapText="1"/>
      <protection locked="0"/>
    </xf>
    <xf numFmtId="0" fontId="2" fillId="0" borderId="0" xfId="2" applyFont="1" applyProtection="1">
      <protection locked="0"/>
    </xf>
    <xf numFmtId="0" fontId="2" fillId="0" borderId="0" xfId="2" applyFont="1"/>
    <xf numFmtId="0" fontId="2" fillId="2" borderId="0" xfId="2" applyFont="1" applyFill="1"/>
    <xf numFmtId="0" fontId="4" fillId="0" borderId="0" xfId="2" applyFont="1" applyAlignment="1" applyProtection="1">
      <alignment horizontal="right"/>
      <protection locked="0"/>
    </xf>
    <xf numFmtId="0" fontId="5" fillId="0" borderId="3" xfId="2" applyFont="1" applyBorder="1" applyAlignment="1">
      <alignment horizontal="center" vertical="center" wrapText="1"/>
    </xf>
    <xf numFmtId="0" fontId="6" fillId="0" borderId="0" xfId="2" applyFont="1" applyAlignment="1">
      <alignment horizontal="center" wrapText="1"/>
    </xf>
    <xf numFmtId="0" fontId="6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wrapText="1"/>
    </xf>
    <xf numFmtId="49" fontId="5" fillId="0" borderId="0" xfId="2" applyNumberFormat="1" applyFont="1" applyAlignment="1">
      <alignment horizontal="left" wrapText="1"/>
    </xf>
    <xf numFmtId="49" fontId="6" fillId="2" borderId="0" xfId="2" applyNumberFormat="1" applyFont="1" applyFill="1" applyAlignment="1">
      <alignment horizontal="left" wrapText="1"/>
    </xf>
    <xf numFmtId="0" fontId="2" fillId="0" borderId="0" xfId="2" applyFont="1" applyAlignment="1">
      <alignment horizontal="center"/>
    </xf>
    <xf numFmtId="164" fontId="1" fillId="2" borderId="3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wrapText="1"/>
    </xf>
    <xf numFmtId="49" fontId="1" fillId="0" borderId="5" xfId="0" applyNumberFormat="1" applyFont="1" applyBorder="1" applyAlignment="1">
      <alignment horizontal="center" vertical="center"/>
    </xf>
    <xf numFmtId="164" fontId="1" fillId="2" borderId="5" xfId="1" applyNumberFormat="1" applyFont="1" applyFill="1" applyBorder="1" applyAlignment="1">
      <alignment horizontal="center" vertical="center"/>
    </xf>
    <xf numFmtId="164" fontId="1" fillId="0" borderId="5" xfId="1" applyNumberFormat="1" applyFont="1" applyFill="1" applyBorder="1" applyAlignment="1">
      <alignment horizontal="center" vertical="center"/>
    </xf>
    <xf numFmtId="164" fontId="1" fillId="0" borderId="5" xfId="1" applyNumberFormat="1" applyFont="1" applyFill="1" applyBorder="1" applyAlignment="1" applyProtection="1">
      <alignment horizontal="center" vertical="center"/>
      <protection locked="0"/>
    </xf>
    <xf numFmtId="164" fontId="5" fillId="0" borderId="5" xfId="1" applyNumberFormat="1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left" wrapText="1"/>
    </xf>
    <xf numFmtId="49" fontId="1" fillId="0" borderId="6" xfId="0" applyNumberFormat="1" applyFont="1" applyBorder="1" applyAlignment="1">
      <alignment horizontal="center" vertical="center"/>
    </xf>
    <xf numFmtId="164" fontId="1" fillId="2" borderId="6" xfId="1" applyNumberFormat="1" applyFont="1" applyFill="1" applyBorder="1" applyAlignment="1">
      <alignment horizontal="center" vertical="center"/>
    </xf>
    <xf numFmtId="164" fontId="1" fillId="0" borderId="6" xfId="1" applyNumberFormat="1" applyFont="1" applyFill="1" applyBorder="1" applyAlignment="1">
      <alignment horizontal="center" vertical="center"/>
    </xf>
    <xf numFmtId="164" fontId="1" fillId="0" borderId="6" xfId="1" applyNumberFormat="1" applyFont="1" applyFill="1" applyBorder="1" applyAlignment="1" applyProtection="1">
      <alignment horizontal="center" vertical="center"/>
      <protection locked="0"/>
    </xf>
    <xf numFmtId="164" fontId="5" fillId="0" borderId="6" xfId="1" applyNumberFormat="1" applyFont="1" applyFill="1" applyBorder="1" applyAlignment="1">
      <alignment horizontal="center" vertical="center" wrapText="1"/>
    </xf>
    <xf numFmtId="164" fontId="1" fillId="0" borderId="3" xfId="1" applyNumberFormat="1" applyFont="1" applyFill="1" applyBorder="1" applyAlignment="1" applyProtection="1">
      <alignment horizontal="center" vertical="center"/>
      <protection locked="0"/>
    </xf>
    <xf numFmtId="164" fontId="5" fillId="0" borderId="3" xfId="1" applyNumberFormat="1" applyFont="1" applyFill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164" fontId="1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>
      <alignment horizontal="left" vertical="center" wrapText="1"/>
    </xf>
    <xf numFmtId="164" fontId="1" fillId="2" borderId="3" xfId="1" applyNumberFormat="1" applyFont="1" applyFill="1" applyBorder="1" applyAlignment="1" applyProtection="1">
      <alignment horizontal="center" vertical="center"/>
      <protection locked="0"/>
    </xf>
    <xf numFmtId="164" fontId="5" fillId="2" borderId="3" xfId="1" applyNumberFormat="1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center"/>
    </xf>
    <xf numFmtId="0" fontId="2" fillId="2" borderId="0" xfId="2" applyFont="1" applyFill="1" applyAlignment="1">
      <alignment horizontal="center" wrapText="1"/>
    </xf>
    <xf numFmtId="0" fontId="2" fillId="2" borderId="0" xfId="2" applyFont="1" applyFill="1" applyAlignment="1">
      <alignment horizontal="center" vertical="center" wrapText="1"/>
    </xf>
    <xf numFmtId="164" fontId="1" fillId="0" borderId="3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/>
    </xf>
    <xf numFmtId="164" fontId="1" fillId="2" borderId="8" xfId="1" applyNumberFormat="1" applyFont="1" applyFill="1" applyBorder="1" applyAlignment="1">
      <alignment horizontal="center" vertical="center"/>
    </xf>
    <xf numFmtId="164" fontId="1" fillId="0" borderId="8" xfId="1" applyNumberFormat="1" applyFont="1" applyFill="1" applyBorder="1" applyAlignment="1">
      <alignment horizontal="center" vertical="center"/>
    </xf>
    <xf numFmtId="164" fontId="1" fillId="0" borderId="8" xfId="1" applyNumberFormat="1" applyFont="1" applyFill="1" applyBorder="1" applyAlignment="1" applyProtection="1">
      <alignment horizontal="center" vertical="center"/>
      <protection locked="0"/>
    </xf>
    <xf numFmtId="164" fontId="5" fillId="0" borderId="8" xfId="1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wrapText="1"/>
    </xf>
    <xf numFmtId="0" fontId="2" fillId="0" borderId="9" xfId="2" applyFont="1" applyBorder="1" applyAlignment="1">
      <alignment horizontal="center"/>
    </xf>
    <xf numFmtId="0" fontId="2" fillId="0" borderId="5" xfId="2" applyFont="1" applyBorder="1" applyAlignment="1">
      <alignment horizontal="center"/>
    </xf>
    <xf numFmtId="0" fontId="2" fillId="0" borderId="5" xfId="2" applyFont="1" applyBorder="1" applyAlignment="1">
      <alignment horizontal="center" wrapText="1"/>
    </xf>
    <xf numFmtId="0" fontId="2" fillId="0" borderId="10" xfId="2" applyFont="1" applyBorder="1" applyAlignment="1">
      <alignment horizontal="center" wrapText="1"/>
    </xf>
    <xf numFmtId="164" fontId="1" fillId="0" borderId="0" xfId="1" applyNumberFormat="1" applyFont="1" applyAlignment="1">
      <alignment horizontal="center" vertical="center" wrapText="1"/>
    </xf>
    <xf numFmtId="0" fontId="1" fillId="0" borderId="6" xfId="0" applyFont="1" applyBorder="1" applyAlignment="1">
      <alignment wrapText="1"/>
    </xf>
    <xf numFmtId="0" fontId="1" fillId="0" borderId="5" xfId="0" applyFont="1" applyBorder="1" applyAlignment="1">
      <alignment horizontal="left" wrapText="1"/>
    </xf>
    <xf numFmtId="0" fontId="1" fillId="0" borderId="11" xfId="0" applyFont="1" applyBorder="1" applyAlignment="1">
      <alignment wrapText="1"/>
    </xf>
    <xf numFmtId="49" fontId="1" fillId="2" borderId="5" xfId="0" applyNumberFormat="1" applyFont="1" applyFill="1" applyBorder="1" applyAlignment="1">
      <alignment horizontal="center" vertical="center"/>
    </xf>
    <xf numFmtId="164" fontId="1" fillId="2" borderId="5" xfId="1" applyNumberFormat="1" applyFont="1" applyFill="1" applyBorder="1" applyAlignment="1">
      <alignment horizontal="center" vertical="center" wrapText="1"/>
    </xf>
    <xf numFmtId="164" fontId="1" fillId="0" borderId="5" xfId="1" applyNumberFormat="1" applyFont="1" applyBorder="1" applyAlignment="1">
      <alignment horizontal="center" vertical="center" wrapText="1"/>
    </xf>
    <xf numFmtId="164" fontId="1" fillId="0" borderId="5" xfId="1" applyNumberFormat="1" applyFont="1" applyBorder="1" applyAlignment="1">
      <alignment horizontal="right" vertical="center" wrapText="1"/>
    </xf>
    <xf numFmtId="164" fontId="1" fillId="0" borderId="5" xfId="1" applyNumberFormat="1" applyFont="1" applyFill="1" applyBorder="1" applyAlignment="1">
      <alignment horizontal="right" vertical="center"/>
    </xf>
    <xf numFmtId="164" fontId="1" fillId="0" borderId="5" xfId="1" applyNumberFormat="1" applyFont="1" applyFill="1" applyBorder="1" applyAlignment="1" applyProtection="1">
      <alignment horizontal="right" vertical="center"/>
      <protection locked="0"/>
    </xf>
    <xf numFmtId="0" fontId="1" fillId="0" borderId="12" xfId="0" applyFont="1" applyBorder="1" applyAlignment="1">
      <alignment wrapText="1"/>
    </xf>
    <xf numFmtId="49" fontId="5" fillId="0" borderId="13" xfId="2" applyNumberFormat="1" applyFont="1" applyBorder="1" applyAlignment="1" applyProtection="1">
      <alignment horizontal="left" vertical="center" wrapText="1"/>
      <protection locked="0"/>
    </xf>
    <xf numFmtId="0" fontId="7" fillId="0" borderId="11" xfId="0" applyFont="1" applyBorder="1"/>
    <xf numFmtId="164" fontId="5" fillId="2" borderId="1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0" xfId="2" applyNumberFormat="1" applyFont="1" applyProtection="1">
      <protection locked="0"/>
    </xf>
    <xf numFmtId="164" fontId="1" fillId="2" borderId="0" xfId="1" applyNumberFormat="1" applyFont="1" applyFill="1" applyAlignment="1" applyProtection="1">
      <alignment horizontal="center" vertical="center" wrapText="1"/>
      <protection locked="0"/>
    </xf>
    <xf numFmtId="0" fontId="2" fillId="0" borderId="0" xfId="2" applyFont="1" applyAlignment="1" applyProtection="1">
      <alignment horizontal="center" vertical="center" wrapText="1"/>
      <protection locked="0"/>
    </xf>
    <xf numFmtId="49" fontId="5" fillId="0" borderId="0" xfId="2" applyNumberFormat="1" applyFont="1" applyAlignment="1" applyProtection="1">
      <alignment horizontal="left" wrapText="1"/>
      <protection locked="0"/>
    </xf>
    <xf numFmtId="49" fontId="5" fillId="0" borderId="0" xfId="2" applyNumberFormat="1" applyFont="1" applyAlignment="1" applyProtection="1">
      <alignment wrapText="1"/>
      <protection locked="0"/>
    </xf>
    <xf numFmtId="49" fontId="5" fillId="0" borderId="0" xfId="2" applyNumberFormat="1" applyFont="1" applyAlignment="1" applyProtection="1">
      <alignment horizontal="center" vertical="center" wrapText="1"/>
      <protection locked="0"/>
    </xf>
    <xf numFmtId="164" fontId="5" fillId="2" borderId="0" xfId="1" applyNumberFormat="1" applyFont="1" applyFill="1" applyAlignment="1" applyProtection="1">
      <alignment horizontal="center" vertical="center" wrapText="1"/>
      <protection locked="0"/>
    </xf>
    <xf numFmtId="164" fontId="1" fillId="0" borderId="0" xfId="1" applyNumberFormat="1" applyFont="1" applyAlignment="1" applyProtection="1">
      <alignment horizontal="center" vertical="center" wrapText="1"/>
      <protection locked="0"/>
    </xf>
    <xf numFmtId="164" fontId="1" fillId="2" borderId="5" xfId="1" applyNumberFormat="1" applyFont="1" applyFill="1" applyBorder="1" applyAlignment="1" applyProtection="1">
      <alignment horizontal="center" vertical="center"/>
      <protection locked="0"/>
    </xf>
    <xf numFmtId="164" fontId="1" fillId="2" borderId="2" xfId="1" applyNumberFormat="1" applyFont="1" applyFill="1" applyBorder="1" applyAlignment="1" applyProtection="1">
      <alignment horizontal="center" vertical="center" wrapText="1"/>
      <protection locked="0"/>
    </xf>
    <xf numFmtId="164" fontId="1" fillId="2" borderId="2" xfId="1" applyNumberFormat="1" applyFont="1" applyFill="1" applyBorder="1" applyAlignment="1" applyProtection="1">
      <alignment horizontal="center" vertical="center"/>
      <protection locked="0"/>
    </xf>
    <xf numFmtId="164" fontId="5" fillId="0" borderId="2" xfId="1" applyNumberFormat="1" applyFont="1" applyFill="1" applyBorder="1" applyAlignment="1">
      <alignment horizontal="center" vertical="center" wrapText="1"/>
    </xf>
    <xf numFmtId="164" fontId="1" fillId="2" borderId="3" xfId="4" applyNumberFormat="1" applyFont="1" applyFill="1" applyBorder="1" applyAlignment="1" applyProtection="1">
      <alignment horizontal="center" vertical="center"/>
      <protection locked="0"/>
    </xf>
    <xf numFmtId="164" fontId="1" fillId="2" borderId="5" xfId="1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2" applyNumberFormat="1" applyFont="1" applyBorder="1" applyAlignment="1" applyProtection="1">
      <alignment vertical="center" wrapText="1"/>
      <protection locked="0"/>
    </xf>
    <xf numFmtId="164" fontId="5" fillId="2" borderId="5" xfId="1" applyNumberFormat="1" applyFont="1" applyFill="1" applyBorder="1" applyAlignment="1" applyProtection="1">
      <alignment horizontal="center" vertical="center" wrapText="1"/>
      <protection locked="0"/>
    </xf>
    <xf numFmtId="164" fontId="5" fillId="0" borderId="5" xfId="1" applyNumberFormat="1" applyFont="1" applyFill="1" applyBorder="1" applyAlignment="1" applyProtection="1">
      <alignment horizontal="center" vertical="center" wrapText="1"/>
      <protection locked="0"/>
    </xf>
    <xf numFmtId="164" fontId="1" fillId="0" borderId="0" xfId="1" applyNumberFormat="1" applyFont="1" applyFill="1" applyAlignment="1" applyProtection="1">
      <alignment horizontal="center" vertical="center" wrapText="1"/>
      <protection locked="0"/>
    </xf>
    <xf numFmtId="164" fontId="1" fillId="0" borderId="0" xfId="1" applyNumberFormat="1" applyFont="1" applyFill="1" applyBorder="1" applyAlignment="1">
      <alignment horizontal="center" vertical="center" wrapText="1"/>
    </xf>
    <xf numFmtId="49" fontId="5" fillId="0" borderId="14" xfId="2" applyNumberFormat="1" applyFont="1" applyBorder="1" applyAlignment="1" applyProtection="1">
      <alignment vertical="center" wrapText="1"/>
      <protection locked="0"/>
    </xf>
    <xf numFmtId="164" fontId="5" fillId="0" borderId="3" xfId="1" applyNumberFormat="1" applyFont="1" applyFill="1" applyBorder="1" applyAlignment="1" applyProtection="1">
      <alignment horizontal="center" vertical="center" wrapText="1"/>
      <protection locked="0"/>
    </xf>
    <xf numFmtId="164" fontId="5" fillId="0" borderId="1" xfId="1" applyNumberFormat="1" applyFont="1" applyFill="1" applyBorder="1" applyAlignment="1">
      <alignment horizontal="center" vertical="center" wrapText="1"/>
    </xf>
    <xf numFmtId="49" fontId="5" fillId="0" borderId="0" xfId="2" applyNumberFormat="1" applyFont="1" applyAlignment="1" applyProtection="1">
      <alignment vertical="center" wrapText="1"/>
      <protection locked="0"/>
    </xf>
    <xf numFmtId="164" fontId="1" fillId="0" borderId="4" xfId="1" applyNumberFormat="1" applyFont="1" applyFill="1" applyBorder="1" applyAlignment="1">
      <alignment horizontal="center" vertical="center" wrapText="1"/>
    </xf>
    <xf numFmtId="164" fontId="5" fillId="2" borderId="15" xfId="1" applyNumberFormat="1" applyFont="1" applyFill="1" applyBorder="1" applyAlignment="1">
      <alignment horizontal="center" vertical="center" wrapText="1"/>
    </xf>
    <xf numFmtId="164" fontId="5" fillId="0" borderId="15" xfId="1" applyNumberFormat="1" applyFont="1" applyFill="1" applyBorder="1" applyAlignment="1">
      <alignment horizontal="center" vertical="center" wrapText="1"/>
    </xf>
    <xf numFmtId="164" fontId="1" fillId="0" borderId="0" xfId="1" applyNumberFormat="1" applyFont="1" applyFill="1" applyAlignment="1">
      <alignment horizontal="center" vertical="center" wrapText="1"/>
    </xf>
    <xf numFmtId="43" fontId="1" fillId="0" borderId="3" xfId="1" applyFont="1" applyBorder="1" applyAlignment="1">
      <alignment horizontal="center" vertical="center" wrapText="1"/>
    </xf>
    <xf numFmtId="164" fontId="1" fillId="0" borderId="3" xfId="1" applyNumberFormat="1" applyFont="1" applyBorder="1" applyAlignment="1">
      <alignment horizontal="center" vertical="center" wrapText="1"/>
    </xf>
    <xf numFmtId="49" fontId="8" fillId="0" borderId="0" xfId="2" applyNumberFormat="1" applyFont="1" applyAlignment="1">
      <alignment vertical="center" wrapText="1"/>
    </xf>
    <xf numFmtId="49" fontId="8" fillId="2" borderId="0" xfId="2" applyNumberFormat="1" applyFont="1" applyFill="1" applyAlignment="1">
      <alignment vertical="center" wrapText="1"/>
    </xf>
    <xf numFmtId="0" fontId="8" fillId="0" borderId="16" xfId="2" applyFont="1" applyBorder="1" applyAlignment="1" applyProtection="1">
      <alignment vertical="center"/>
      <protection locked="0"/>
    </xf>
    <xf numFmtId="49" fontId="2" fillId="2" borderId="0" xfId="2" applyNumberFormat="1" applyFont="1" applyFill="1" applyAlignment="1">
      <alignment horizontal="left" vertical="center" wrapText="1"/>
    </xf>
    <xf numFmtId="0" fontId="9" fillId="0" borderId="0" xfId="2" applyFont="1" applyAlignment="1" applyProtection="1">
      <alignment vertical="top"/>
      <protection locked="0"/>
    </xf>
    <xf numFmtId="49" fontId="2" fillId="0" borderId="0" xfId="2" applyNumberFormat="1" applyFont="1" applyProtection="1">
      <protection locked="0"/>
    </xf>
    <xf numFmtId="49" fontId="4" fillId="2" borderId="0" xfId="2" applyNumberFormat="1" applyFont="1" applyFill="1" applyProtection="1">
      <protection locked="0"/>
    </xf>
    <xf numFmtId="0" fontId="4" fillId="0" borderId="0" xfId="2" applyFont="1" applyProtection="1">
      <protection locked="0"/>
    </xf>
    <xf numFmtId="0" fontId="10" fillId="0" borderId="0" xfId="0" applyFont="1" applyAlignment="1">
      <alignment horizontal="center" wrapText="1"/>
    </xf>
    <xf numFmtId="0" fontId="2" fillId="0" borderId="0" xfId="2" applyFont="1" applyAlignment="1" applyProtection="1">
      <alignment wrapText="1"/>
      <protection locked="0"/>
    </xf>
    <xf numFmtId="164" fontId="2" fillId="0" borderId="0" xfId="2" applyNumberFormat="1" applyFont="1" applyAlignment="1" applyProtection="1">
      <alignment wrapText="1"/>
      <protection locked="0"/>
    </xf>
    <xf numFmtId="0" fontId="2" fillId="0" borderId="0" xfId="6" applyFont="1"/>
    <xf numFmtId="49" fontId="1" fillId="0" borderId="0" xfId="2" applyNumberFormat="1" applyAlignment="1" applyProtection="1">
      <alignment horizontal="center" vertical="center" wrapText="1"/>
      <protection locked="0"/>
    </xf>
    <xf numFmtId="0" fontId="1" fillId="0" borderId="3" xfId="2" applyBorder="1" applyAlignment="1">
      <alignment horizontal="center" vertical="center" wrapText="1"/>
    </xf>
    <xf numFmtId="0" fontId="1" fillId="0" borderId="0" xfId="2" applyAlignment="1">
      <alignment horizontal="center" wrapText="1"/>
    </xf>
    <xf numFmtId="0" fontId="1" fillId="0" borderId="0" xfId="2" applyAlignment="1">
      <alignment horizontal="center"/>
    </xf>
    <xf numFmtId="49" fontId="1" fillId="0" borderId="3" xfId="2" applyNumberFormat="1" applyBorder="1" applyAlignment="1" applyProtection="1">
      <alignment horizontal="center" vertical="center" wrapText="1"/>
      <protection locked="0"/>
    </xf>
    <xf numFmtId="0" fontId="1" fillId="0" borderId="2" xfId="2" applyBorder="1" applyAlignment="1" applyProtection="1">
      <alignment horizontal="center" vertical="center" wrapText="1"/>
      <protection locked="0"/>
    </xf>
    <xf numFmtId="49" fontId="1" fillId="0" borderId="1" xfId="2" applyNumberFormat="1" applyBorder="1" applyAlignment="1" applyProtection="1">
      <alignment horizontal="center" vertical="center" wrapText="1"/>
      <protection locked="0"/>
    </xf>
    <xf numFmtId="49" fontId="1" fillId="0" borderId="1" xfId="2" applyNumberFormat="1" applyBorder="1" applyAlignment="1" applyProtection="1">
      <alignment horizontal="left" vertical="center" wrapText="1"/>
      <protection locked="0"/>
    </xf>
    <xf numFmtId="164" fontId="1" fillId="0" borderId="1" xfId="1" applyNumberFormat="1" applyFont="1" applyFill="1" applyBorder="1" applyAlignment="1" applyProtection="1">
      <alignment horizontal="center" vertical="center"/>
      <protection locked="0"/>
    </xf>
    <xf numFmtId="164" fontId="5" fillId="0" borderId="1" xfId="1" applyNumberFormat="1" applyFont="1" applyBorder="1" applyAlignment="1">
      <alignment horizontal="center" vertical="center" wrapText="1"/>
    </xf>
    <xf numFmtId="49" fontId="1" fillId="2" borderId="3" xfId="2" applyNumberFormat="1" applyFill="1" applyBorder="1" applyAlignment="1" applyProtection="1">
      <alignment horizontal="center" vertical="center" wrapText="1"/>
      <protection locked="0"/>
    </xf>
    <xf numFmtId="0" fontId="1" fillId="2" borderId="2" xfId="2" applyFill="1" applyBorder="1" applyAlignment="1" applyProtection="1">
      <alignment horizontal="center" vertical="center" wrapText="1"/>
      <protection locked="0"/>
    </xf>
    <xf numFmtId="49" fontId="1" fillId="2" borderId="3" xfId="2" applyNumberFormat="1" applyFill="1" applyBorder="1" applyAlignment="1" applyProtection="1">
      <alignment horizontal="left" vertical="center" wrapText="1"/>
      <protection locked="0"/>
    </xf>
    <xf numFmtId="0" fontId="1" fillId="2" borderId="3" xfId="2" applyFill="1" applyBorder="1" applyAlignment="1" applyProtection="1">
      <alignment horizontal="center" vertical="center" wrapText="1"/>
      <protection locked="0"/>
    </xf>
    <xf numFmtId="49" fontId="1" fillId="0" borderId="5" xfId="2" applyNumberFormat="1" applyBorder="1" applyAlignment="1" applyProtection="1">
      <alignment horizontal="left" vertical="center" wrapText="1"/>
      <protection locked="0"/>
    </xf>
    <xf numFmtId="49" fontId="1" fillId="0" borderId="5" xfId="2" applyNumberFormat="1" applyBorder="1" applyAlignment="1" applyProtection="1">
      <alignment horizontal="center" vertical="center" wrapText="1"/>
      <protection locked="0"/>
    </xf>
    <xf numFmtId="164" fontId="5" fillId="2" borderId="5" xfId="1" applyNumberFormat="1" applyFont="1" applyFill="1" applyBorder="1" applyAlignment="1">
      <alignment horizontal="center" vertical="center" wrapText="1"/>
    </xf>
    <xf numFmtId="49" fontId="1" fillId="0" borderId="5" xfId="2" applyNumberFormat="1" applyBorder="1" applyAlignment="1" applyProtection="1">
      <alignment horizontal="left" wrapText="1"/>
      <protection locked="0"/>
    </xf>
    <xf numFmtId="49" fontId="1" fillId="0" borderId="8" xfId="2" applyNumberFormat="1" applyBorder="1" applyAlignment="1" applyProtection="1">
      <alignment horizontal="left" wrapText="1"/>
      <protection locked="0"/>
    </xf>
    <xf numFmtId="49" fontId="1" fillId="0" borderId="17" xfId="2" applyNumberFormat="1" applyBorder="1" applyAlignment="1" applyProtection="1">
      <alignment horizontal="center" vertical="center" wrapText="1"/>
      <protection locked="0"/>
    </xf>
    <xf numFmtId="49" fontId="1" fillId="0" borderId="18" xfId="2" applyNumberFormat="1" applyBorder="1" applyAlignment="1" applyProtection="1">
      <alignment horizontal="center" vertical="center" wrapText="1"/>
      <protection locked="0"/>
    </xf>
    <xf numFmtId="49" fontId="1" fillId="0" borderId="6" xfId="2" applyNumberFormat="1" applyBorder="1" applyAlignment="1" applyProtection="1">
      <alignment horizontal="left" wrapText="1"/>
      <protection locked="0"/>
    </xf>
    <xf numFmtId="49" fontId="1" fillId="0" borderId="6" xfId="2" applyNumberFormat="1" applyBorder="1" applyAlignment="1" applyProtection="1">
      <alignment horizontal="center" vertical="center" wrapText="1"/>
      <protection locked="0"/>
    </xf>
    <xf numFmtId="0" fontId="1" fillId="0" borderId="5" xfId="2" applyBorder="1" applyAlignment="1">
      <alignment horizontal="left" wrapText="1"/>
    </xf>
    <xf numFmtId="0" fontId="1" fillId="0" borderId="5" xfId="2" applyBorder="1" applyAlignment="1">
      <alignment horizontal="center" vertical="center" wrapText="1"/>
    </xf>
    <xf numFmtId="3" fontId="1" fillId="0" borderId="5" xfId="2" applyNumberFormat="1" applyBorder="1" applyAlignment="1">
      <alignment horizontal="right" vertical="center" wrapText="1"/>
    </xf>
    <xf numFmtId="0" fontId="1" fillId="0" borderId="5" xfId="2" applyBorder="1" applyAlignment="1" applyProtection="1">
      <alignment horizontal="center" vertical="center" wrapText="1"/>
      <protection locked="0"/>
    </xf>
    <xf numFmtId="49" fontId="1" fillId="0" borderId="19" xfId="2" applyNumberFormat="1" applyBorder="1" applyAlignment="1" applyProtection="1">
      <alignment horizontal="center" vertical="center" wrapText="1"/>
      <protection locked="0"/>
    </xf>
    <xf numFmtId="49" fontId="1" fillId="0" borderId="0" xfId="2" applyNumberFormat="1" applyAlignment="1" applyProtection="1">
      <alignment wrapText="1"/>
      <protection locked="0"/>
    </xf>
    <xf numFmtId="49" fontId="1" fillId="0" borderId="5" xfId="3" applyNumberFormat="1" applyBorder="1" applyAlignment="1">
      <alignment horizontal="left" wrapText="1"/>
    </xf>
    <xf numFmtId="49" fontId="1" fillId="0" borderId="20" xfId="3" applyNumberFormat="1" applyBorder="1" applyAlignment="1">
      <alignment horizontal="center" vertical="center" wrapText="1"/>
    </xf>
    <xf numFmtId="49" fontId="1" fillId="2" borderId="5" xfId="3" applyNumberFormat="1" applyFill="1" applyBorder="1" applyAlignment="1">
      <alignment horizontal="center" vertical="center"/>
    </xf>
    <xf numFmtId="49" fontId="1" fillId="0" borderId="5" xfId="3" applyNumberFormat="1" applyBorder="1" applyAlignment="1">
      <alignment horizontal="center" vertical="center"/>
    </xf>
    <xf numFmtId="49" fontId="1" fillId="0" borderId="2" xfId="2" applyNumberFormat="1" applyBorder="1" applyAlignment="1" applyProtection="1">
      <alignment horizontal="center" vertical="center" wrapText="1"/>
      <protection locked="0"/>
    </xf>
    <xf numFmtId="49" fontId="1" fillId="0" borderId="2" xfId="2" applyNumberFormat="1" applyBorder="1" applyAlignment="1" applyProtection="1">
      <alignment horizontal="left" vertical="center" wrapText="1"/>
      <protection locked="0"/>
    </xf>
    <xf numFmtId="49" fontId="1" fillId="0" borderId="21" xfId="3" applyNumberFormat="1" applyBorder="1" applyAlignment="1">
      <alignment horizontal="center" vertical="center" wrapText="1"/>
    </xf>
    <xf numFmtId="49" fontId="1" fillId="0" borderId="5" xfId="3" applyNumberFormat="1" applyBorder="1" applyAlignment="1">
      <alignment horizontal="center" vertical="center" wrapText="1"/>
    </xf>
    <xf numFmtId="49" fontId="1" fillId="0" borderId="22" xfId="5" applyNumberFormat="1" applyBorder="1" applyAlignment="1">
      <alignment vertical="center" wrapText="1"/>
    </xf>
    <xf numFmtId="49" fontId="1" fillId="0" borderId="15" xfId="5" applyNumberFormat="1" applyBorder="1" applyAlignment="1">
      <alignment horizontal="center" vertical="center" wrapText="1"/>
    </xf>
    <xf numFmtId="49" fontId="1" fillId="0" borderId="0" xfId="2" applyNumberFormat="1" applyAlignment="1" applyProtection="1">
      <alignment vertical="center" wrapText="1"/>
      <protection locked="0"/>
    </xf>
    <xf numFmtId="0" fontId="1" fillId="0" borderId="4" xfId="2" applyBorder="1" applyAlignment="1" applyProtection="1">
      <alignment vertical="center"/>
      <protection locked="0"/>
    </xf>
    <xf numFmtId="49" fontId="1" fillId="0" borderId="23" xfId="2" applyNumberFormat="1" applyBorder="1" applyAlignment="1">
      <alignment horizontal="left" vertical="center" wrapText="1"/>
    </xf>
    <xf numFmtId="49" fontId="1" fillId="2" borderId="0" xfId="2" applyNumberFormat="1" applyFill="1" applyAlignment="1">
      <alignment horizontal="left" vertical="center" wrapText="1"/>
    </xf>
    <xf numFmtId="0" fontId="1" fillId="0" borderId="0" xfId="2" applyAlignment="1">
      <alignment vertical="center"/>
    </xf>
    <xf numFmtId="0" fontId="1" fillId="0" borderId="24" xfId="2" applyBorder="1" applyAlignment="1">
      <alignment horizontal="right" vertical="center"/>
    </xf>
    <xf numFmtId="3" fontId="1" fillId="3" borderId="19" xfId="2" applyNumberFormat="1" applyFill="1" applyBorder="1" applyAlignment="1" applyProtection="1">
      <alignment horizontal="right" vertical="center"/>
      <protection locked="0"/>
    </xf>
    <xf numFmtId="49" fontId="4" fillId="0" borderId="0" xfId="2" applyNumberFormat="1" applyFont="1" applyAlignment="1" applyProtection="1">
      <alignment horizontal="left" wrapText="1"/>
      <protection locked="0"/>
    </xf>
    <xf numFmtId="49" fontId="1" fillId="2" borderId="2" xfId="2" applyNumberFormat="1" applyFill="1" applyBorder="1" applyAlignment="1">
      <alignment horizontal="center" vertical="center" wrapText="1"/>
    </xf>
    <xf numFmtId="49" fontId="1" fillId="2" borderId="1" xfId="2" applyNumberFormat="1" applyFill="1" applyBorder="1" applyAlignment="1">
      <alignment horizontal="center" vertical="center" wrapText="1"/>
    </xf>
    <xf numFmtId="0" fontId="1" fillId="0" borderId="3" xfId="2" applyBorder="1" applyAlignment="1" applyProtection="1">
      <alignment horizontal="center" vertical="center" wrapText="1"/>
      <protection locked="0"/>
    </xf>
    <xf numFmtId="49" fontId="3" fillId="0" borderId="4" xfId="2" applyNumberFormat="1" applyFont="1" applyBorder="1" applyAlignment="1">
      <alignment horizontal="center" vertical="center" wrapText="1"/>
    </xf>
    <xf numFmtId="49" fontId="3" fillId="0" borderId="4" xfId="2" applyNumberFormat="1" applyFont="1" applyBorder="1" applyAlignment="1" applyProtection="1">
      <alignment horizontal="center" vertical="center" wrapText="1"/>
      <protection locked="0"/>
    </xf>
    <xf numFmtId="49" fontId="1" fillId="0" borderId="3" xfId="2" applyNumberFormat="1" applyBorder="1" applyAlignment="1" applyProtection="1">
      <alignment horizontal="left" vertical="center" wrapText="1"/>
      <protection locked="0"/>
    </xf>
    <xf numFmtId="49" fontId="1" fillId="0" borderId="3" xfId="2" applyNumberFormat="1" applyBorder="1" applyAlignment="1">
      <alignment horizontal="left" vertical="center" wrapText="1"/>
    </xf>
    <xf numFmtId="0" fontId="2" fillId="0" borderId="0" xfId="2" applyFont="1" applyAlignment="1" applyProtection="1">
      <alignment horizontal="right"/>
      <protection locked="0"/>
    </xf>
    <xf numFmtId="0" fontId="2" fillId="0" borderId="0" xfId="2" applyFont="1" applyAlignment="1" applyProtection="1">
      <alignment horizontal="right" wrapText="1"/>
      <protection locked="0"/>
    </xf>
    <xf numFmtId="0" fontId="3" fillId="0" borderId="0" xfId="2" applyFont="1" applyAlignment="1" applyProtection="1">
      <alignment horizontal="center"/>
      <protection locked="0"/>
    </xf>
    <xf numFmtId="49" fontId="1" fillId="0" borderId="3" xfId="2" applyNumberFormat="1" applyBorder="1" applyAlignment="1">
      <alignment horizontal="center" vertical="center" wrapText="1"/>
    </xf>
    <xf numFmtId="49" fontId="1" fillId="0" borderId="2" xfId="2" applyNumberFormat="1" applyBorder="1" applyAlignment="1">
      <alignment horizontal="center" vertical="center" wrapText="1"/>
    </xf>
    <xf numFmtId="49" fontId="1" fillId="0" borderId="1" xfId="2" applyNumberFormat="1" applyBorder="1" applyAlignment="1">
      <alignment horizontal="center" vertical="center" wrapText="1"/>
    </xf>
  </cellXfs>
  <cellStyles count="7">
    <cellStyle name="Comma" xfId="1" builtinId="3"/>
    <cellStyle name="Comma 2" xfId="4" xr:uid="{00000000-0005-0000-0000-000008000000}"/>
    <cellStyle name="Normal" xfId="0" builtinId="0"/>
    <cellStyle name="Normal 2 2" xfId="6" xr:uid="{00000000-0005-0000-0000-00000A000000}"/>
    <cellStyle name="Normal_Pamatformas" xfId="2" xr:uid="{00000000-0005-0000-0000-000006000000}"/>
    <cellStyle name="Normal_Veidlapa_2008_oktobris_(4.piel)" xfId="3" xr:uid="{00000000-0005-0000-0000-000007000000}"/>
    <cellStyle name="Normal_Veidlapa_2008_oktobris_(5.piel)_(2)" xfId="5" xr:uid="{00000000-0005-0000-0000-000009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370B5-4AC6-4B68-82E5-1A3C7A173A17}">
  <sheetPr>
    <pageSetUpPr fitToPage="1"/>
  </sheetPr>
  <dimension ref="A1:IO167"/>
  <sheetViews>
    <sheetView showGridLines="0" tabSelected="1" topLeftCell="A151" zoomScale="90" zoomScaleNormal="90" zoomScaleSheetLayoutView="100" workbookViewId="0">
      <selection activeCell="C131" sqref="C131"/>
    </sheetView>
  </sheetViews>
  <sheetFormatPr defaultRowHeight="11.4" x14ac:dyDescent="0.2"/>
  <cols>
    <col min="1" max="1" width="7.44140625" style="3" customWidth="1"/>
    <col min="2" max="2" width="11.44140625" style="4" customWidth="1"/>
    <col min="3" max="3" width="28.88671875" style="4" customWidth="1"/>
    <col min="4" max="4" width="12.88671875" style="4" customWidth="1"/>
    <col min="5" max="6" width="12.33203125" style="4" customWidth="1"/>
    <col min="7" max="7" width="12.33203125" style="5" customWidth="1"/>
    <col min="8" max="8" width="13.5546875" style="5" customWidth="1"/>
    <col min="9" max="17" width="13.33203125" style="3" customWidth="1"/>
    <col min="18" max="21" width="0" style="3" hidden="1" customWidth="1"/>
    <col min="22" max="22" width="0" style="4" hidden="1" customWidth="1"/>
    <col min="23" max="24" width="0" style="3" hidden="1" customWidth="1"/>
    <col min="25" max="25" width="0" style="4" hidden="1" customWidth="1"/>
    <col min="26" max="38" width="0" style="3" hidden="1" customWidth="1"/>
    <col min="39" max="39" width="10.88671875" style="3" customWidth="1"/>
    <col min="40" max="40" width="11.6640625" style="3" customWidth="1"/>
    <col min="41" max="41" width="12.109375" style="3" customWidth="1"/>
    <col min="42" max="249" width="8.88671875" style="3"/>
    <col min="250" max="259" width="8.88671875" style="105"/>
    <col min="260" max="260" width="11.109375" style="105" customWidth="1"/>
    <col min="261" max="261" width="29.6640625" style="105" customWidth="1"/>
    <col min="262" max="262" width="12.44140625" style="105" customWidth="1"/>
    <col min="263" max="263" width="25" style="105" customWidth="1"/>
    <col min="264" max="264" width="12.33203125" style="105" customWidth="1"/>
    <col min="265" max="273" width="13.33203125" style="105" customWidth="1"/>
    <col min="274" max="294" width="0" style="105" hidden="1" customWidth="1"/>
    <col min="295" max="515" width="8.88671875" style="105"/>
    <col min="516" max="516" width="11.109375" style="105" customWidth="1"/>
    <col min="517" max="517" width="29.6640625" style="105" customWidth="1"/>
    <col min="518" max="518" width="12.44140625" style="105" customWidth="1"/>
    <col min="519" max="519" width="25" style="105" customWidth="1"/>
    <col min="520" max="520" width="12.33203125" style="105" customWidth="1"/>
    <col min="521" max="529" width="13.33203125" style="105" customWidth="1"/>
    <col min="530" max="550" width="0" style="105" hidden="1" customWidth="1"/>
    <col min="551" max="771" width="8.88671875" style="105"/>
    <col min="772" max="772" width="11.109375" style="105" customWidth="1"/>
    <col min="773" max="773" width="29.6640625" style="105" customWidth="1"/>
    <col min="774" max="774" width="12.44140625" style="105" customWidth="1"/>
    <col min="775" max="775" width="25" style="105" customWidth="1"/>
    <col min="776" max="776" width="12.33203125" style="105" customWidth="1"/>
    <col min="777" max="785" width="13.33203125" style="105" customWidth="1"/>
    <col min="786" max="806" width="0" style="105" hidden="1" customWidth="1"/>
    <col min="807" max="1027" width="8.88671875" style="105"/>
    <col min="1028" max="1028" width="11.109375" style="105" customWidth="1"/>
    <col min="1029" max="1029" width="29.6640625" style="105" customWidth="1"/>
    <col min="1030" max="1030" width="12.44140625" style="105" customWidth="1"/>
    <col min="1031" max="1031" width="25" style="105" customWidth="1"/>
    <col min="1032" max="1032" width="12.33203125" style="105" customWidth="1"/>
    <col min="1033" max="1041" width="13.33203125" style="105" customWidth="1"/>
    <col min="1042" max="1062" width="0" style="105" hidden="1" customWidth="1"/>
    <col min="1063" max="1283" width="8.88671875" style="105"/>
    <col min="1284" max="1284" width="11.109375" style="105" customWidth="1"/>
    <col min="1285" max="1285" width="29.6640625" style="105" customWidth="1"/>
    <col min="1286" max="1286" width="12.44140625" style="105" customWidth="1"/>
    <col min="1287" max="1287" width="25" style="105" customWidth="1"/>
    <col min="1288" max="1288" width="12.33203125" style="105" customWidth="1"/>
    <col min="1289" max="1297" width="13.33203125" style="105" customWidth="1"/>
    <col min="1298" max="1318" width="0" style="105" hidden="1" customWidth="1"/>
    <col min="1319" max="1539" width="8.88671875" style="105"/>
    <col min="1540" max="1540" width="11.109375" style="105" customWidth="1"/>
    <col min="1541" max="1541" width="29.6640625" style="105" customWidth="1"/>
    <col min="1542" max="1542" width="12.44140625" style="105" customWidth="1"/>
    <col min="1543" max="1543" width="25" style="105" customWidth="1"/>
    <col min="1544" max="1544" width="12.33203125" style="105" customWidth="1"/>
    <col min="1545" max="1553" width="13.33203125" style="105" customWidth="1"/>
    <col min="1554" max="1574" width="0" style="105" hidden="1" customWidth="1"/>
    <col min="1575" max="1795" width="8.88671875" style="105"/>
    <col min="1796" max="1796" width="11.109375" style="105" customWidth="1"/>
    <col min="1797" max="1797" width="29.6640625" style="105" customWidth="1"/>
    <col min="1798" max="1798" width="12.44140625" style="105" customWidth="1"/>
    <col min="1799" max="1799" width="25" style="105" customWidth="1"/>
    <col min="1800" max="1800" width="12.33203125" style="105" customWidth="1"/>
    <col min="1801" max="1809" width="13.33203125" style="105" customWidth="1"/>
    <col min="1810" max="1830" width="0" style="105" hidden="1" customWidth="1"/>
    <col min="1831" max="2051" width="8.88671875" style="105"/>
    <col min="2052" max="2052" width="11.109375" style="105" customWidth="1"/>
    <col min="2053" max="2053" width="29.6640625" style="105" customWidth="1"/>
    <col min="2054" max="2054" width="12.44140625" style="105" customWidth="1"/>
    <col min="2055" max="2055" width="25" style="105" customWidth="1"/>
    <col min="2056" max="2056" width="12.33203125" style="105" customWidth="1"/>
    <col min="2057" max="2065" width="13.33203125" style="105" customWidth="1"/>
    <col min="2066" max="2086" width="0" style="105" hidden="1" customWidth="1"/>
    <col min="2087" max="2307" width="8.88671875" style="105"/>
    <col min="2308" max="2308" width="11.109375" style="105" customWidth="1"/>
    <col min="2309" max="2309" width="29.6640625" style="105" customWidth="1"/>
    <col min="2310" max="2310" width="12.44140625" style="105" customWidth="1"/>
    <col min="2311" max="2311" width="25" style="105" customWidth="1"/>
    <col min="2312" max="2312" width="12.33203125" style="105" customWidth="1"/>
    <col min="2313" max="2321" width="13.33203125" style="105" customWidth="1"/>
    <col min="2322" max="2342" width="0" style="105" hidden="1" customWidth="1"/>
    <col min="2343" max="2563" width="8.88671875" style="105"/>
    <col min="2564" max="2564" width="11.109375" style="105" customWidth="1"/>
    <col min="2565" max="2565" width="29.6640625" style="105" customWidth="1"/>
    <col min="2566" max="2566" width="12.44140625" style="105" customWidth="1"/>
    <col min="2567" max="2567" width="25" style="105" customWidth="1"/>
    <col min="2568" max="2568" width="12.33203125" style="105" customWidth="1"/>
    <col min="2569" max="2577" width="13.33203125" style="105" customWidth="1"/>
    <col min="2578" max="2598" width="0" style="105" hidden="1" customWidth="1"/>
    <col min="2599" max="2819" width="8.88671875" style="105"/>
    <col min="2820" max="2820" width="11.109375" style="105" customWidth="1"/>
    <col min="2821" max="2821" width="29.6640625" style="105" customWidth="1"/>
    <col min="2822" max="2822" width="12.44140625" style="105" customWidth="1"/>
    <col min="2823" max="2823" width="25" style="105" customWidth="1"/>
    <col min="2824" max="2824" width="12.33203125" style="105" customWidth="1"/>
    <col min="2825" max="2833" width="13.33203125" style="105" customWidth="1"/>
    <col min="2834" max="2854" width="0" style="105" hidden="1" customWidth="1"/>
    <col min="2855" max="3075" width="8.88671875" style="105"/>
    <col min="3076" max="3076" width="11.109375" style="105" customWidth="1"/>
    <col min="3077" max="3077" width="29.6640625" style="105" customWidth="1"/>
    <col min="3078" max="3078" width="12.44140625" style="105" customWidth="1"/>
    <col min="3079" max="3079" width="25" style="105" customWidth="1"/>
    <col min="3080" max="3080" width="12.33203125" style="105" customWidth="1"/>
    <col min="3081" max="3089" width="13.33203125" style="105" customWidth="1"/>
    <col min="3090" max="3110" width="0" style="105" hidden="1" customWidth="1"/>
    <col min="3111" max="3331" width="8.88671875" style="105"/>
    <col min="3332" max="3332" width="11.109375" style="105" customWidth="1"/>
    <col min="3333" max="3333" width="29.6640625" style="105" customWidth="1"/>
    <col min="3334" max="3334" width="12.44140625" style="105" customWidth="1"/>
    <col min="3335" max="3335" width="25" style="105" customWidth="1"/>
    <col min="3336" max="3336" width="12.33203125" style="105" customWidth="1"/>
    <col min="3337" max="3345" width="13.33203125" style="105" customWidth="1"/>
    <col min="3346" max="3366" width="0" style="105" hidden="1" customWidth="1"/>
    <col min="3367" max="3587" width="8.88671875" style="105"/>
    <col min="3588" max="3588" width="11.109375" style="105" customWidth="1"/>
    <col min="3589" max="3589" width="29.6640625" style="105" customWidth="1"/>
    <col min="3590" max="3590" width="12.44140625" style="105" customWidth="1"/>
    <col min="3591" max="3591" width="25" style="105" customWidth="1"/>
    <col min="3592" max="3592" width="12.33203125" style="105" customWidth="1"/>
    <col min="3593" max="3601" width="13.33203125" style="105" customWidth="1"/>
    <col min="3602" max="3622" width="0" style="105" hidden="1" customWidth="1"/>
    <col min="3623" max="3843" width="8.88671875" style="105"/>
    <col min="3844" max="3844" width="11.109375" style="105" customWidth="1"/>
    <col min="3845" max="3845" width="29.6640625" style="105" customWidth="1"/>
    <col min="3846" max="3846" width="12.44140625" style="105" customWidth="1"/>
    <col min="3847" max="3847" width="25" style="105" customWidth="1"/>
    <col min="3848" max="3848" width="12.33203125" style="105" customWidth="1"/>
    <col min="3849" max="3857" width="13.33203125" style="105" customWidth="1"/>
    <col min="3858" max="3878" width="0" style="105" hidden="1" customWidth="1"/>
    <col min="3879" max="4099" width="8.88671875" style="105"/>
    <col min="4100" max="4100" width="11.109375" style="105" customWidth="1"/>
    <col min="4101" max="4101" width="29.6640625" style="105" customWidth="1"/>
    <col min="4102" max="4102" width="12.44140625" style="105" customWidth="1"/>
    <col min="4103" max="4103" width="25" style="105" customWidth="1"/>
    <col min="4104" max="4104" width="12.33203125" style="105" customWidth="1"/>
    <col min="4105" max="4113" width="13.33203125" style="105" customWidth="1"/>
    <col min="4114" max="4134" width="0" style="105" hidden="1" customWidth="1"/>
    <col min="4135" max="4355" width="8.88671875" style="105"/>
    <col min="4356" max="4356" width="11.109375" style="105" customWidth="1"/>
    <col min="4357" max="4357" width="29.6640625" style="105" customWidth="1"/>
    <col min="4358" max="4358" width="12.44140625" style="105" customWidth="1"/>
    <col min="4359" max="4359" width="25" style="105" customWidth="1"/>
    <col min="4360" max="4360" width="12.33203125" style="105" customWidth="1"/>
    <col min="4361" max="4369" width="13.33203125" style="105" customWidth="1"/>
    <col min="4370" max="4390" width="0" style="105" hidden="1" customWidth="1"/>
    <col min="4391" max="4611" width="8.88671875" style="105"/>
    <col min="4612" max="4612" width="11.109375" style="105" customWidth="1"/>
    <col min="4613" max="4613" width="29.6640625" style="105" customWidth="1"/>
    <col min="4614" max="4614" width="12.44140625" style="105" customWidth="1"/>
    <col min="4615" max="4615" width="25" style="105" customWidth="1"/>
    <col min="4616" max="4616" width="12.33203125" style="105" customWidth="1"/>
    <col min="4617" max="4625" width="13.33203125" style="105" customWidth="1"/>
    <col min="4626" max="4646" width="0" style="105" hidden="1" customWidth="1"/>
    <col min="4647" max="4867" width="8.88671875" style="105"/>
    <col min="4868" max="4868" width="11.109375" style="105" customWidth="1"/>
    <col min="4869" max="4869" width="29.6640625" style="105" customWidth="1"/>
    <col min="4870" max="4870" width="12.44140625" style="105" customWidth="1"/>
    <col min="4871" max="4871" width="25" style="105" customWidth="1"/>
    <col min="4872" max="4872" width="12.33203125" style="105" customWidth="1"/>
    <col min="4873" max="4881" width="13.33203125" style="105" customWidth="1"/>
    <col min="4882" max="4902" width="0" style="105" hidden="1" customWidth="1"/>
    <col min="4903" max="5123" width="8.88671875" style="105"/>
    <col min="5124" max="5124" width="11.109375" style="105" customWidth="1"/>
    <col min="5125" max="5125" width="29.6640625" style="105" customWidth="1"/>
    <col min="5126" max="5126" width="12.44140625" style="105" customWidth="1"/>
    <col min="5127" max="5127" width="25" style="105" customWidth="1"/>
    <col min="5128" max="5128" width="12.33203125" style="105" customWidth="1"/>
    <col min="5129" max="5137" width="13.33203125" style="105" customWidth="1"/>
    <col min="5138" max="5158" width="0" style="105" hidden="1" customWidth="1"/>
    <col min="5159" max="5379" width="8.88671875" style="105"/>
    <col min="5380" max="5380" width="11.109375" style="105" customWidth="1"/>
    <col min="5381" max="5381" width="29.6640625" style="105" customWidth="1"/>
    <col min="5382" max="5382" width="12.44140625" style="105" customWidth="1"/>
    <col min="5383" max="5383" width="25" style="105" customWidth="1"/>
    <col min="5384" max="5384" width="12.33203125" style="105" customWidth="1"/>
    <col min="5385" max="5393" width="13.33203125" style="105" customWidth="1"/>
    <col min="5394" max="5414" width="0" style="105" hidden="1" customWidth="1"/>
    <col min="5415" max="5635" width="8.88671875" style="105"/>
    <col min="5636" max="5636" width="11.109375" style="105" customWidth="1"/>
    <col min="5637" max="5637" width="29.6640625" style="105" customWidth="1"/>
    <col min="5638" max="5638" width="12.44140625" style="105" customWidth="1"/>
    <col min="5639" max="5639" width="25" style="105" customWidth="1"/>
    <col min="5640" max="5640" width="12.33203125" style="105" customWidth="1"/>
    <col min="5641" max="5649" width="13.33203125" style="105" customWidth="1"/>
    <col min="5650" max="5670" width="0" style="105" hidden="1" customWidth="1"/>
    <col min="5671" max="5891" width="8.88671875" style="105"/>
    <col min="5892" max="5892" width="11.109375" style="105" customWidth="1"/>
    <col min="5893" max="5893" width="29.6640625" style="105" customWidth="1"/>
    <col min="5894" max="5894" width="12.44140625" style="105" customWidth="1"/>
    <col min="5895" max="5895" width="25" style="105" customWidth="1"/>
    <col min="5896" max="5896" width="12.33203125" style="105" customWidth="1"/>
    <col min="5897" max="5905" width="13.33203125" style="105" customWidth="1"/>
    <col min="5906" max="5926" width="0" style="105" hidden="1" customWidth="1"/>
    <col min="5927" max="6147" width="8.88671875" style="105"/>
    <col min="6148" max="6148" width="11.109375" style="105" customWidth="1"/>
    <col min="6149" max="6149" width="29.6640625" style="105" customWidth="1"/>
    <col min="6150" max="6150" width="12.44140625" style="105" customWidth="1"/>
    <col min="6151" max="6151" width="25" style="105" customWidth="1"/>
    <col min="6152" max="6152" width="12.33203125" style="105" customWidth="1"/>
    <col min="6153" max="6161" width="13.33203125" style="105" customWidth="1"/>
    <col min="6162" max="6182" width="0" style="105" hidden="1" customWidth="1"/>
    <col min="6183" max="6403" width="8.88671875" style="105"/>
    <col min="6404" max="6404" width="11.109375" style="105" customWidth="1"/>
    <col min="6405" max="6405" width="29.6640625" style="105" customWidth="1"/>
    <col min="6406" max="6406" width="12.44140625" style="105" customWidth="1"/>
    <col min="6407" max="6407" width="25" style="105" customWidth="1"/>
    <col min="6408" max="6408" width="12.33203125" style="105" customWidth="1"/>
    <col min="6409" max="6417" width="13.33203125" style="105" customWidth="1"/>
    <col min="6418" max="6438" width="0" style="105" hidden="1" customWidth="1"/>
    <col min="6439" max="6659" width="8.88671875" style="105"/>
    <col min="6660" max="6660" width="11.109375" style="105" customWidth="1"/>
    <col min="6661" max="6661" width="29.6640625" style="105" customWidth="1"/>
    <col min="6662" max="6662" width="12.44140625" style="105" customWidth="1"/>
    <col min="6663" max="6663" width="25" style="105" customWidth="1"/>
    <col min="6664" max="6664" width="12.33203125" style="105" customWidth="1"/>
    <col min="6665" max="6673" width="13.33203125" style="105" customWidth="1"/>
    <col min="6674" max="6694" width="0" style="105" hidden="1" customWidth="1"/>
    <col min="6695" max="6915" width="8.88671875" style="105"/>
    <col min="6916" max="6916" width="11.109375" style="105" customWidth="1"/>
    <col min="6917" max="6917" width="29.6640625" style="105" customWidth="1"/>
    <col min="6918" max="6918" width="12.44140625" style="105" customWidth="1"/>
    <col min="6919" max="6919" width="25" style="105" customWidth="1"/>
    <col min="6920" max="6920" width="12.33203125" style="105" customWidth="1"/>
    <col min="6921" max="6929" width="13.33203125" style="105" customWidth="1"/>
    <col min="6930" max="6950" width="0" style="105" hidden="1" customWidth="1"/>
    <col min="6951" max="7171" width="8.88671875" style="105"/>
    <col min="7172" max="7172" width="11.109375" style="105" customWidth="1"/>
    <col min="7173" max="7173" width="29.6640625" style="105" customWidth="1"/>
    <col min="7174" max="7174" width="12.44140625" style="105" customWidth="1"/>
    <col min="7175" max="7175" width="25" style="105" customWidth="1"/>
    <col min="7176" max="7176" width="12.33203125" style="105" customWidth="1"/>
    <col min="7177" max="7185" width="13.33203125" style="105" customWidth="1"/>
    <col min="7186" max="7206" width="0" style="105" hidden="1" customWidth="1"/>
    <col min="7207" max="7427" width="8.88671875" style="105"/>
    <col min="7428" max="7428" width="11.109375" style="105" customWidth="1"/>
    <col min="7429" max="7429" width="29.6640625" style="105" customWidth="1"/>
    <col min="7430" max="7430" width="12.44140625" style="105" customWidth="1"/>
    <col min="7431" max="7431" width="25" style="105" customWidth="1"/>
    <col min="7432" max="7432" width="12.33203125" style="105" customWidth="1"/>
    <col min="7433" max="7441" width="13.33203125" style="105" customWidth="1"/>
    <col min="7442" max="7462" width="0" style="105" hidden="1" customWidth="1"/>
    <col min="7463" max="7683" width="8.88671875" style="105"/>
    <col min="7684" max="7684" width="11.109375" style="105" customWidth="1"/>
    <col min="7685" max="7685" width="29.6640625" style="105" customWidth="1"/>
    <col min="7686" max="7686" width="12.44140625" style="105" customWidth="1"/>
    <col min="7687" max="7687" width="25" style="105" customWidth="1"/>
    <col min="7688" max="7688" width="12.33203125" style="105" customWidth="1"/>
    <col min="7689" max="7697" width="13.33203125" style="105" customWidth="1"/>
    <col min="7698" max="7718" width="0" style="105" hidden="1" customWidth="1"/>
    <col min="7719" max="7939" width="8.88671875" style="105"/>
    <col min="7940" max="7940" width="11.109375" style="105" customWidth="1"/>
    <col min="7941" max="7941" width="29.6640625" style="105" customWidth="1"/>
    <col min="7942" max="7942" width="12.44140625" style="105" customWidth="1"/>
    <col min="7943" max="7943" width="25" style="105" customWidth="1"/>
    <col min="7944" max="7944" width="12.33203125" style="105" customWidth="1"/>
    <col min="7945" max="7953" width="13.33203125" style="105" customWidth="1"/>
    <col min="7954" max="7974" width="0" style="105" hidden="1" customWidth="1"/>
    <col min="7975" max="8195" width="8.88671875" style="105"/>
    <col min="8196" max="8196" width="11.109375" style="105" customWidth="1"/>
    <col min="8197" max="8197" width="29.6640625" style="105" customWidth="1"/>
    <col min="8198" max="8198" width="12.44140625" style="105" customWidth="1"/>
    <col min="8199" max="8199" width="25" style="105" customWidth="1"/>
    <col min="8200" max="8200" width="12.33203125" style="105" customWidth="1"/>
    <col min="8201" max="8209" width="13.33203125" style="105" customWidth="1"/>
    <col min="8210" max="8230" width="0" style="105" hidden="1" customWidth="1"/>
    <col min="8231" max="8451" width="8.88671875" style="105"/>
    <col min="8452" max="8452" width="11.109375" style="105" customWidth="1"/>
    <col min="8453" max="8453" width="29.6640625" style="105" customWidth="1"/>
    <col min="8454" max="8454" width="12.44140625" style="105" customWidth="1"/>
    <col min="8455" max="8455" width="25" style="105" customWidth="1"/>
    <col min="8456" max="8456" width="12.33203125" style="105" customWidth="1"/>
    <col min="8457" max="8465" width="13.33203125" style="105" customWidth="1"/>
    <col min="8466" max="8486" width="0" style="105" hidden="1" customWidth="1"/>
    <col min="8487" max="8707" width="8.88671875" style="105"/>
    <col min="8708" max="8708" width="11.109375" style="105" customWidth="1"/>
    <col min="8709" max="8709" width="29.6640625" style="105" customWidth="1"/>
    <col min="8710" max="8710" width="12.44140625" style="105" customWidth="1"/>
    <col min="8711" max="8711" width="25" style="105" customWidth="1"/>
    <col min="8712" max="8712" width="12.33203125" style="105" customWidth="1"/>
    <col min="8713" max="8721" width="13.33203125" style="105" customWidth="1"/>
    <col min="8722" max="8742" width="0" style="105" hidden="1" customWidth="1"/>
    <col min="8743" max="8963" width="8.88671875" style="105"/>
    <col min="8964" max="8964" width="11.109375" style="105" customWidth="1"/>
    <col min="8965" max="8965" width="29.6640625" style="105" customWidth="1"/>
    <col min="8966" max="8966" width="12.44140625" style="105" customWidth="1"/>
    <col min="8967" max="8967" width="25" style="105" customWidth="1"/>
    <col min="8968" max="8968" width="12.33203125" style="105" customWidth="1"/>
    <col min="8969" max="8977" width="13.33203125" style="105" customWidth="1"/>
    <col min="8978" max="8998" width="0" style="105" hidden="1" customWidth="1"/>
    <col min="8999" max="9219" width="8.88671875" style="105"/>
    <col min="9220" max="9220" width="11.109375" style="105" customWidth="1"/>
    <col min="9221" max="9221" width="29.6640625" style="105" customWidth="1"/>
    <col min="9222" max="9222" width="12.44140625" style="105" customWidth="1"/>
    <col min="9223" max="9223" width="25" style="105" customWidth="1"/>
    <col min="9224" max="9224" width="12.33203125" style="105" customWidth="1"/>
    <col min="9225" max="9233" width="13.33203125" style="105" customWidth="1"/>
    <col min="9234" max="9254" width="0" style="105" hidden="1" customWidth="1"/>
    <col min="9255" max="9475" width="8.88671875" style="105"/>
    <col min="9476" max="9476" width="11.109375" style="105" customWidth="1"/>
    <col min="9477" max="9477" width="29.6640625" style="105" customWidth="1"/>
    <col min="9478" max="9478" width="12.44140625" style="105" customWidth="1"/>
    <col min="9479" max="9479" width="25" style="105" customWidth="1"/>
    <col min="9480" max="9480" width="12.33203125" style="105" customWidth="1"/>
    <col min="9481" max="9489" width="13.33203125" style="105" customWidth="1"/>
    <col min="9490" max="9510" width="0" style="105" hidden="1" customWidth="1"/>
    <col min="9511" max="9731" width="8.88671875" style="105"/>
    <col min="9732" max="9732" width="11.109375" style="105" customWidth="1"/>
    <col min="9733" max="9733" width="29.6640625" style="105" customWidth="1"/>
    <col min="9734" max="9734" width="12.44140625" style="105" customWidth="1"/>
    <col min="9735" max="9735" width="25" style="105" customWidth="1"/>
    <col min="9736" max="9736" width="12.33203125" style="105" customWidth="1"/>
    <col min="9737" max="9745" width="13.33203125" style="105" customWidth="1"/>
    <col min="9746" max="9766" width="0" style="105" hidden="1" customWidth="1"/>
    <col min="9767" max="9987" width="8.88671875" style="105"/>
    <col min="9988" max="9988" width="11.109375" style="105" customWidth="1"/>
    <col min="9989" max="9989" width="29.6640625" style="105" customWidth="1"/>
    <col min="9990" max="9990" width="12.44140625" style="105" customWidth="1"/>
    <col min="9991" max="9991" width="25" style="105" customWidth="1"/>
    <col min="9992" max="9992" width="12.33203125" style="105" customWidth="1"/>
    <col min="9993" max="10001" width="13.33203125" style="105" customWidth="1"/>
    <col min="10002" max="10022" width="0" style="105" hidden="1" customWidth="1"/>
    <col min="10023" max="10243" width="8.88671875" style="105"/>
    <col min="10244" max="10244" width="11.109375" style="105" customWidth="1"/>
    <col min="10245" max="10245" width="29.6640625" style="105" customWidth="1"/>
    <col min="10246" max="10246" width="12.44140625" style="105" customWidth="1"/>
    <col min="10247" max="10247" width="25" style="105" customWidth="1"/>
    <col min="10248" max="10248" width="12.33203125" style="105" customWidth="1"/>
    <col min="10249" max="10257" width="13.33203125" style="105" customWidth="1"/>
    <col min="10258" max="10278" width="0" style="105" hidden="1" customWidth="1"/>
    <col min="10279" max="10499" width="8.88671875" style="105"/>
    <col min="10500" max="10500" width="11.109375" style="105" customWidth="1"/>
    <col min="10501" max="10501" width="29.6640625" style="105" customWidth="1"/>
    <col min="10502" max="10502" width="12.44140625" style="105" customWidth="1"/>
    <col min="10503" max="10503" width="25" style="105" customWidth="1"/>
    <col min="10504" max="10504" width="12.33203125" style="105" customWidth="1"/>
    <col min="10505" max="10513" width="13.33203125" style="105" customWidth="1"/>
    <col min="10514" max="10534" width="0" style="105" hidden="1" customWidth="1"/>
    <col min="10535" max="10755" width="8.88671875" style="105"/>
    <col min="10756" max="10756" width="11.109375" style="105" customWidth="1"/>
    <col min="10757" max="10757" width="29.6640625" style="105" customWidth="1"/>
    <col min="10758" max="10758" width="12.44140625" style="105" customWidth="1"/>
    <col min="10759" max="10759" width="25" style="105" customWidth="1"/>
    <col min="10760" max="10760" width="12.33203125" style="105" customWidth="1"/>
    <col min="10761" max="10769" width="13.33203125" style="105" customWidth="1"/>
    <col min="10770" max="10790" width="0" style="105" hidden="1" customWidth="1"/>
    <col min="10791" max="11011" width="8.88671875" style="105"/>
    <col min="11012" max="11012" width="11.109375" style="105" customWidth="1"/>
    <col min="11013" max="11013" width="29.6640625" style="105" customWidth="1"/>
    <col min="11014" max="11014" width="12.44140625" style="105" customWidth="1"/>
    <col min="11015" max="11015" width="25" style="105" customWidth="1"/>
    <col min="11016" max="11016" width="12.33203125" style="105" customWidth="1"/>
    <col min="11017" max="11025" width="13.33203125" style="105" customWidth="1"/>
    <col min="11026" max="11046" width="0" style="105" hidden="1" customWidth="1"/>
    <col min="11047" max="11267" width="8.88671875" style="105"/>
    <col min="11268" max="11268" width="11.109375" style="105" customWidth="1"/>
    <col min="11269" max="11269" width="29.6640625" style="105" customWidth="1"/>
    <col min="11270" max="11270" width="12.44140625" style="105" customWidth="1"/>
    <col min="11271" max="11271" width="25" style="105" customWidth="1"/>
    <col min="11272" max="11272" width="12.33203125" style="105" customWidth="1"/>
    <col min="11273" max="11281" width="13.33203125" style="105" customWidth="1"/>
    <col min="11282" max="11302" width="0" style="105" hidden="1" customWidth="1"/>
    <col min="11303" max="11523" width="8.88671875" style="105"/>
    <col min="11524" max="11524" width="11.109375" style="105" customWidth="1"/>
    <col min="11525" max="11525" width="29.6640625" style="105" customWidth="1"/>
    <col min="11526" max="11526" width="12.44140625" style="105" customWidth="1"/>
    <col min="11527" max="11527" width="25" style="105" customWidth="1"/>
    <col min="11528" max="11528" width="12.33203125" style="105" customWidth="1"/>
    <col min="11529" max="11537" width="13.33203125" style="105" customWidth="1"/>
    <col min="11538" max="11558" width="0" style="105" hidden="1" customWidth="1"/>
    <col min="11559" max="11779" width="8.88671875" style="105"/>
    <col min="11780" max="11780" width="11.109375" style="105" customWidth="1"/>
    <col min="11781" max="11781" width="29.6640625" style="105" customWidth="1"/>
    <col min="11782" max="11782" width="12.44140625" style="105" customWidth="1"/>
    <col min="11783" max="11783" width="25" style="105" customWidth="1"/>
    <col min="11784" max="11784" width="12.33203125" style="105" customWidth="1"/>
    <col min="11785" max="11793" width="13.33203125" style="105" customWidth="1"/>
    <col min="11794" max="11814" width="0" style="105" hidden="1" customWidth="1"/>
    <col min="11815" max="12035" width="8.88671875" style="105"/>
    <col min="12036" max="12036" width="11.109375" style="105" customWidth="1"/>
    <col min="12037" max="12037" width="29.6640625" style="105" customWidth="1"/>
    <col min="12038" max="12038" width="12.44140625" style="105" customWidth="1"/>
    <col min="12039" max="12039" width="25" style="105" customWidth="1"/>
    <col min="12040" max="12040" width="12.33203125" style="105" customWidth="1"/>
    <col min="12041" max="12049" width="13.33203125" style="105" customWidth="1"/>
    <col min="12050" max="12070" width="0" style="105" hidden="1" customWidth="1"/>
    <col min="12071" max="12291" width="8.88671875" style="105"/>
    <col min="12292" max="12292" width="11.109375" style="105" customWidth="1"/>
    <col min="12293" max="12293" width="29.6640625" style="105" customWidth="1"/>
    <col min="12294" max="12294" width="12.44140625" style="105" customWidth="1"/>
    <col min="12295" max="12295" width="25" style="105" customWidth="1"/>
    <col min="12296" max="12296" width="12.33203125" style="105" customWidth="1"/>
    <col min="12297" max="12305" width="13.33203125" style="105" customWidth="1"/>
    <col min="12306" max="12326" width="0" style="105" hidden="1" customWidth="1"/>
    <col min="12327" max="12547" width="8.88671875" style="105"/>
    <col min="12548" max="12548" width="11.109375" style="105" customWidth="1"/>
    <col min="12549" max="12549" width="29.6640625" style="105" customWidth="1"/>
    <col min="12550" max="12550" width="12.44140625" style="105" customWidth="1"/>
    <col min="12551" max="12551" width="25" style="105" customWidth="1"/>
    <col min="12552" max="12552" width="12.33203125" style="105" customWidth="1"/>
    <col min="12553" max="12561" width="13.33203125" style="105" customWidth="1"/>
    <col min="12562" max="12582" width="0" style="105" hidden="1" customWidth="1"/>
    <col min="12583" max="12803" width="8.88671875" style="105"/>
    <col min="12804" max="12804" width="11.109375" style="105" customWidth="1"/>
    <col min="12805" max="12805" width="29.6640625" style="105" customWidth="1"/>
    <col min="12806" max="12806" width="12.44140625" style="105" customWidth="1"/>
    <col min="12807" max="12807" width="25" style="105" customWidth="1"/>
    <col min="12808" max="12808" width="12.33203125" style="105" customWidth="1"/>
    <col min="12809" max="12817" width="13.33203125" style="105" customWidth="1"/>
    <col min="12818" max="12838" width="0" style="105" hidden="1" customWidth="1"/>
    <col min="12839" max="13059" width="8.88671875" style="105"/>
    <col min="13060" max="13060" width="11.109375" style="105" customWidth="1"/>
    <col min="13061" max="13061" width="29.6640625" style="105" customWidth="1"/>
    <col min="13062" max="13062" width="12.44140625" style="105" customWidth="1"/>
    <col min="13063" max="13063" width="25" style="105" customWidth="1"/>
    <col min="13064" max="13064" width="12.33203125" style="105" customWidth="1"/>
    <col min="13065" max="13073" width="13.33203125" style="105" customWidth="1"/>
    <col min="13074" max="13094" width="0" style="105" hidden="1" customWidth="1"/>
    <col min="13095" max="13315" width="8.88671875" style="105"/>
    <col min="13316" max="13316" width="11.109375" style="105" customWidth="1"/>
    <col min="13317" max="13317" width="29.6640625" style="105" customWidth="1"/>
    <col min="13318" max="13318" width="12.44140625" style="105" customWidth="1"/>
    <col min="13319" max="13319" width="25" style="105" customWidth="1"/>
    <col min="13320" max="13320" width="12.33203125" style="105" customWidth="1"/>
    <col min="13321" max="13329" width="13.33203125" style="105" customWidth="1"/>
    <col min="13330" max="13350" width="0" style="105" hidden="1" customWidth="1"/>
    <col min="13351" max="13571" width="8.88671875" style="105"/>
    <col min="13572" max="13572" width="11.109375" style="105" customWidth="1"/>
    <col min="13573" max="13573" width="29.6640625" style="105" customWidth="1"/>
    <col min="13574" max="13574" width="12.44140625" style="105" customWidth="1"/>
    <col min="13575" max="13575" width="25" style="105" customWidth="1"/>
    <col min="13576" max="13576" width="12.33203125" style="105" customWidth="1"/>
    <col min="13577" max="13585" width="13.33203125" style="105" customWidth="1"/>
    <col min="13586" max="13606" width="0" style="105" hidden="1" customWidth="1"/>
    <col min="13607" max="13827" width="8.88671875" style="105"/>
    <col min="13828" max="13828" width="11.109375" style="105" customWidth="1"/>
    <col min="13829" max="13829" width="29.6640625" style="105" customWidth="1"/>
    <col min="13830" max="13830" width="12.44140625" style="105" customWidth="1"/>
    <col min="13831" max="13831" width="25" style="105" customWidth="1"/>
    <col min="13832" max="13832" width="12.33203125" style="105" customWidth="1"/>
    <col min="13833" max="13841" width="13.33203125" style="105" customWidth="1"/>
    <col min="13842" max="13862" width="0" style="105" hidden="1" customWidth="1"/>
    <col min="13863" max="14083" width="8.88671875" style="105"/>
    <col min="14084" max="14084" width="11.109375" style="105" customWidth="1"/>
    <col min="14085" max="14085" width="29.6640625" style="105" customWidth="1"/>
    <col min="14086" max="14086" width="12.44140625" style="105" customWidth="1"/>
    <col min="14087" max="14087" width="25" style="105" customWidth="1"/>
    <col min="14088" max="14088" width="12.33203125" style="105" customWidth="1"/>
    <col min="14089" max="14097" width="13.33203125" style="105" customWidth="1"/>
    <col min="14098" max="14118" width="0" style="105" hidden="1" customWidth="1"/>
    <col min="14119" max="14339" width="8.88671875" style="105"/>
    <col min="14340" max="14340" width="11.109375" style="105" customWidth="1"/>
    <col min="14341" max="14341" width="29.6640625" style="105" customWidth="1"/>
    <col min="14342" max="14342" width="12.44140625" style="105" customWidth="1"/>
    <col min="14343" max="14343" width="25" style="105" customWidth="1"/>
    <col min="14344" max="14344" width="12.33203125" style="105" customWidth="1"/>
    <col min="14345" max="14353" width="13.33203125" style="105" customWidth="1"/>
    <col min="14354" max="14374" width="0" style="105" hidden="1" customWidth="1"/>
    <col min="14375" max="14595" width="8.88671875" style="105"/>
    <col min="14596" max="14596" width="11.109375" style="105" customWidth="1"/>
    <col min="14597" max="14597" width="29.6640625" style="105" customWidth="1"/>
    <col min="14598" max="14598" width="12.44140625" style="105" customWidth="1"/>
    <col min="14599" max="14599" width="25" style="105" customWidth="1"/>
    <col min="14600" max="14600" width="12.33203125" style="105" customWidth="1"/>
    <col min="14601" max="14609" width="13.33203125" style="105" customWidth="1"/>
    <col min="14610" max="14630" width="0" style="105" hidden="1" customWidth="1"/>
    <col min="14631" max="14851" width="8.88671875" style="105"/>
    <col min="14852" max="14852" width="11.109375" style="105" customWidth="1"/>
    <col min="14853" max="14853" width="29.6640625" style="105" customWidth="1"/>
    <col min="14854" max="14854" width="12.44140625" style="105" customWidth="1"/>
    <col min="14855" max="14855" width="25" style="105" customWidth="1"/>
    <col min="14856" max="14856" width="12.33203125" style="105" customWidth="1"/>
    <col min="14857" max="14865" width="13.33203125" style="105" customWidth="1"/>
    <col min="14866" max="14886" width="0" style="105" hidden="1" customWidth="1"/>
    <col min="14887" max="15107" width="8.88671875" style="105"/>
    <col min="15108" max="15108" width="11.109375" style="105" customWidth="1"/>
    <col min="15109" max="15109" width="29.6640625" style="105" customWidth="1"/>
    <col min="15110" max="15110" width="12.44140625" style="105" customWidth="1"/>
    <col min="15111" max="15111" width="25" style="105" customWidth="1"/>
    <col min="15112" max="15112" width="12.33203125" style="105" customWidth="1"/>
    <col min="15113" max="15121" width="13.33203125" style="105" customWidth="1"/>
    <col min="15122" max="15142" width="0" style="105" hidden="1" customWidth="1"/>
    <col min="15143" max="15363" width="8.88671875" style="105"/>
    <col min="15364" max="15364" width="11.109375" style="105" customWidth="1"/>
    <col min="15365" max="15365" width="29.6640625" style="105" customWidth="1"/>
    <col min="15366" max="15366" width="12.44140625" style="105" customWidth="1"/>
    <col min="15367" max="15367" width="25" style="105" customWidth="1"/>
    <col min="15368" max="15368" width="12.33203125" style="105" customWidth="1"/>
    <col min="15369" max="15377" width="13.33203125" style="105" customWidth="1"/>
    <col min="15378" max="15398" width="0" style="105" hidden="1" customWidth="1"/>
    <col min="15399" max="15619" width="8.88671875" style="105"/>
    <col min="15620" max="15620" width="11.109375" style="105" customWidth="1"/>
    <col min="15621" max="15621" width="29.6640625" style="105" customWidth="1"/>
    <col min="15622" max="15622" width="12.44140625" style="105" customWidth="1"/>
    <col min="15623" max="15623" width="25" style="105" customWidth="1"/>
    <col min="15624" max="15624" width="12.33203125" style="105" customWidth="1"/>
    <col min="15625" max="15633" width="13.33203125" style="105" customWidth="1"/>
    <col min="15634" max="15654" width="0" style="105" hidden="1" customWidth="1"/>
    <col min="15655" max="15875" width="8.88671875" style="105"/>
    <col min="15876" max="15876" width="11.109375" style="105" customWidth="1"/>
    <col min="15877" max="15877" width="29.6640625" style="105" customWidth="1"/>
    <col min="15878" max="15878" width="12.44140625" style="105" customWidth="1"/>
    <col min="15879" max="15879" width="25" style="105" customWidth="1"/>
    <col min="15880" max="15880" width="12.33203125" style="105" customWidth="1"/>
    <col min="15881" max="15889" width="13.33203125" style="105" customWidth="1"/>
    <col min="15890" max="15910" width="0" style="105" hidden="1" customWidth="1"/>
    <col min="15911" max="16131" width="8.88671875" style="105"/>
    <col min="16132" max="16132" width="11.109375" style="105" customWidth="1"/>
    <col min="16133" max="16133" width="29.6640625" style="105" customWidth="1"/>
    <col min="16134" max="16134" width="12.44140625" style="105" customWidth="1"/>
    <col min="16135" max="16135" width="25" style="105" customWidth="1"/>
    <col min="16136" max="16136" width="12.33203125" style="105" customWidth="1"/>
    <col min="16137" max="16145" width="13.33203125" style="105" customWidth="1"/>
    <col min="16146" max="16166" width="0" style="105" hidden="1" customWidth="1"/>
    <col min="16167" max="16384" width="8.88671875" style="105"/>
  </cols>
  <sheetData>
    <row r="1" spans="1:39" s="3" customFormat="1" ht="13.2" x14ac:dyDescent="0.2">
      <c r="B1" s="4"/>
      <c r="C1" s="4"/>
      <c r="D1" s="106"/>
      <c r="E1" s="4"/>
      <c r="F1" s="4"/>
      <c r="G1" s="5"/>
      <c r="H1" s="5"/>
      <c r="O1" s="160" t="s">
        <v>0</v>
      </c>
      <c r="P1" s="160"/>
      <c r="Q1" s="160"/>
      <c r="V1" s="4"/>
      <c r="Y1" s="4"/>
    </row>
    <row r="2" spans="1:39" s="3" customFormat="1" ht="24.75" customHeight="1" x14ac:dyDescent="0.2">
      <c r="B2" s="4"/>
      <c r="C2" s="4"/>
      <c r="D2" s="4"/>
      <c r="E2" s="4"/>
      <c r="F2" s="4"/>
      <c r="G2" s="5"/>
      <c r="H2" s="5"/>
      <c r="O2" s="161" t="s">
        <v>465</v>
      </c>
      <c r="P2" s="161"/>
      <c r="Q2" s="161"/>
      <c r="V2" s="4"/>
      <c r="Y2" s="4"/>
    </row>
    <row r="3" spans="1:39" s="3" customFormat="1" ht="13.8" x14ac:dyDescent="0.25">
      <c r="A3" s="162" t="s">
        <v>1</v>
      </c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V3" s="4"/>
      <c r="Y3" s="4"/>
    </row>
    <row r="4" spans="1:39" s="3" customFormat="1" x14ac:dyDescent="0.2">
      <c r="B4" s="4"/>
      <c r="C4" s="4"/>
      <c r="D4" s="4"/>
      <c r="E4" s="4"/>
      <c r="F4" s="4"/>
      <c r="G4" s="5"/>
      <c r="H4" s="5"/>
      <c r="Q4" s="6"/>
      <c r="V4" s="4"/>
      <c r="Y4" s="4"/>
    </row>
    <row r="5" spans="1:39" s="3" customFormat="1" ht="15.75" customHeight="1" x14ac:dyDescent="0.2">
      <c r="A5" s="163" t="s">
        <v>2</v>
      </c>
      <c r="B5" s="163" t="s">
        <v>3</v>
      </c>
      <c r="C5" s="163" t="s">
        <v>4</v>
      </c>
      <c r="D5" s="164" t="s">
        <v>5</v>
      </c>
      <c r="E5" s="163" t="s">
        <v>6</v>
      </c>
      <c r="F5" s="164" t="s">
        <v>7</v>
      </c>
      <c r="G5" s="153" t="s">
        <v>8</v>
      </c>
      <c r="H5" s="153" t="s">
        <v>9</v>
      </c>
      <c r="I5" s="155" t="s">
        <v>10</v>
      </c>
      <c r="J5" s="155"/>
      <c r="K5" s="155"/>
      <c r="L5" s="155"/>
      <c r="M5" s="155"/>
      <c r="N5" s="155"/>
      <c r="O5" s="155"/>
      <c r="P5" s="155"/>
      <c r="Q5" s="155"/>
      <c r="V5" s="4"/>
      <c r="Y5" s="4"/>
    </row>
    <row r="6" spans="1:39" s="10" customFormat="1" ht="45.75" customHeight="1" x14ac:dyDescent="0.25">
      <c r="A6" s="163"/>
      <c r="B6" s="163"/>
      <c r="C6" s="163"/>
      <c r="D6" s="165"/>
      <c r="E6" s="163"/>
      <c r="F6" s="165"/>
      <c r="G6" s="154"/>
      <c r="H6" s="154"/>
      <c r="I6" s="107">
        <v>2024</v>
      </c>
      <c r="J6" s="107">
        <v>2025</v>
      </c>
      <c r="K6" s="107">
        <v>2026</v>
      </c>
      <c r="L6" s="107">
        <v>2027</v>
      </c>
      <c r="M6" s="107">
        <v>2028</v>
      </c>
      <c r="N6" s="107">
        <v>2029</v>
      </c>
      <c r="O6" s="107">
        <v>2030</v>
      </c>
      <c r="P6" s="107" t="s">
        <v>11</v>
      </c>
      <c r="Q6" s="7" t="s">
        <v>12</v>
      </c>
      <c r="R6" s="8"/>
      <c r="S6" s="8"/>
      <c r="T6" s="8"/>
      <c r="U6" s="8"/>
      <c r="V6" s="9"/>
      <c r="W6" s="8"/>
      <c r="X6" s="8"/>
      <c r="Y6" s="9"/>
    </row>
    <row r="7" spans="1:39" s="10" customFormat="1" ht="13.8" x14ac:dyDescent="0.25">
      <c r="A7" s="108"/>
      <c r="B7" s="156" t="s">
        <v>13</v>
      </c>
      <c r="C7" s="156"/>
      <c r="D7" s="11"/>
      <c r="E7" s="11"/>
      <c r="F7" s="11"/>
      <c r="G7" s="12"/>
      <c r="H7" s="12"/>
      <c r="I7" s="109"/>
      <c r="J7" s="109"/>
      <c r="K7" s="109"/>
      <c r="L7" s="109"/>
      <c r="M7" s="109"/>
      <c r="N7" s="109"/>
      <c r="O7" s="109"/>
      <c r="P7" s="109"/>
      <c r="Q7" s="109"/>
      <c r="R7" s="13"/>
      <c r="S7" s="13"/>
      <c r="T7" s="13"/>
      <c r="U7" s="13"/>
      <c r="V7" s="13"/>
      <c r="W7" s="13"/>
      <c r="X7" s="13"/>
      <c r="Y7" s="13"/>
    </row>
    <row r="8" spans="1:39" s="10" customFormat="1" ht="39.6" x14ac:dyDescent="0.2">
      <c r="A8" s="2">
        <v>1</v>
      </c>
      <c r="B8" s="110" t="s">
        <v>14</v>
      </c>
      <c r="C8" s="1" t="s">
        <v>15</v>
      </c>
      <c r="D8" s="110" t="s">
        <v>16</v>
      </c>
      <c r="E8" s="110" t="s">
        <v>17</v>
      </c>
      <c r="F8" s="110" t="s">
        <v>18</v>
      </c>
      <c r="G8" s="14">
        <v>640292</v>
      </c>
      <c r="H8" s="14">
        <f>59600-5960</f>
        <v>53640</v>
      </c>
      <c r="I8" s="29">
        <v>26026</v>
      </c>
      <c r="J8" s="29">
        <v>24913</v>
      </c>
      <c r="K8" s="29">
        <v>6089</v>
      </c>
      <c r="L8" s="29">
        <v>0</v>
      </c>
      <c r="M8" s="29">
        <v>0</v>
      </c>
      <c r="N8" s="29"/>
      <c r="O8" s="29">
        <v>0</v>
      </c>
      <c r="P8" s="29">
        <v>0</v>
      </c>
      <c r="Q8" s="30">
        <f t="shared" ref="Q8:Q38" si="0">SUM(I8:P8)</f>
        <v>57028</v>
      </c>
      <c r="R8" s="13"/>
      <c r="S8" s="13"/>
      <c r="T8" s="13"/>
      <c r="U8" s="13"/>
      <c r="V8" s="13"/>
      <c r="W8" s="13"/>
      <c r="X8" s="13"/>
      <c r="Y8" s="13"/>
    </row>
    <row r="9" spans="1:39" s="10" customFormat="1" ht="52.8" x14ac:dyDescent="0.25">
      <c r="A9" s="2">
        <v>2</v>
      </c>
      <c r="B9" s="15" t="s">
        <v>14</v>
      </c>
      <c r="C9" s="16" t="s">
        <v>466</v>
      </c>
      <c r="D9" s="15" t="s">
        <v>19</v>
      </c>
      <c r="E9" s="17" t="s">
        <v>20</v>
      </c>
      <c r="F9" s="17" t="s">
        <v>21</v>
      </c>
      <c r="G9" s="18">
        <v>643379</v>
      </c>
      <c r="H9" s="18">
        <v>95744</v>
      </c>
      <c r="I9" s="19">
        <v>33284</v>
      </c>
      <c r="J9" s="19">
        <v>32902</v>
      </c>
      <c r="K9" s="19">
        <v>31626</v>
      </c>
      <c r="L9" s="19">
        <v>12</v>
      </c>
      <c r="M9" s="19">
        <v>0</v>
      </c>
      <c r="N9" s="19">
        <v>0</v>
      </c>
      <c r="O9" s="20">
        <v>0</v>
      </c>
      <c r="P9" s="19">
        <v>0</v>
      </c>
      <c r="Q9" s="21">
        <f t="shared" si="0"/>
        <v>97824</v>
      </c>
      <c r="R9" s="13"/>
      <c r="S9" s="13"/>
      <c r="T9" s="13"/>
      <c r="U9" s="13"/>
      <c r="V9" s="13"/>
      <c r="W9" s="13"/>
      <c r="X9" s="13"/>
      <c r="Y9" s="13"/>
    </row>
    <row r="10" spans="1:39" s="10" customFormat="1" ht="26.4" x14ac:dyDescent="0.25">
      <c r="A10" s="111">
        <v>3</v>
      </c>
      <c r="B10" s="22" t="s">
        <v>14</v>
      </c>
      <c r="C10" s="23" t="s">
        <v>22</v>
      </c>
      <c r="D10" s="22" t="s">
        <v>23</v>
      </c>
      <c r="E10" s="24" t="s">
        <v>24</v>
      </c>
      <c r="F10" s="24" t="s">
        <v>25</v>
      </c>
      <c r="G10" s="25">
        <v>569149</v>
      </c>
      <c r="H10" s="25">
        <f>181764-5049</f>
        <v>176715</v>
      </c>
      <c r="I10" s="26">
        <v>22243</v>
      </c>
      <c r="J10" s="26">
        <v>22000</v>
      </c>
      <c r="K10" s="26">
        <v>21763</v>
      </c>
      <c r="L10" s="26">
        <v>21525</v>
      </c>
      <c r="M10" s="26">
        <v>23356</v>
      </c>
      <c r="N10" s="26">
        <v>22910</v>
      </c>
      <c r="O10" s="27">
        <v>22155</v>
      </c>
      <c r="P10" s="26">
        <v>37000</v>
      </c>
      <c r="Q10" s="28">
        <f t="shared" si="0"/>
        <v>192952</v>
      </c>
      <c r="R10" s="13"/>
      <c r="S10" s="13"/>
      <c r="T10" s="13"/>
      <c r="U10" s="13"/>
      <c r="V10" s="13"/>
      <c r="W10" s="13"/>
      <c r="X10" s="13"/>
      <c r="Y10" s="13"/>
    </row>
    <row r="11" spans="1:39" s="10" customFormat="1" ht="39.6" x14ac:dyDescent="0.25">
      <c r="A11" s="2">
        <v>4</v>
      </c>
      <c r="B11" s="15" t="s">
        <v>14</v>
      </c>
      <c r="C11" s="16" t="s">
        <v>26</v>
      </c>
      <c r="D11" s="15" t="s">
        <v>27</v>
      </c>
      <c r="E11" s="17" t="s">
        <v>28</v>
      </c>
      <c r="F11" s="17" t="s">
        <v>29</v>
      </c>
      <c r="G11" s="18">
        <v>256117</v>
      </c>
      <c r="H11" s="18">
        <v>42097</v>
      </c>
      <c r="I11" s="19">
        <v>13443</v>
      </c>
      <c r="J11" s="19">
        <v>13290</v>
      </c>
      <c r="K11" s="19">
        <v>13137</v>
      </c>
      <c r="L11" s="19">
        <v>3211</v>
      </c>
      <c r="M11" s="19">
        <v>0</v>
      </c>
      <c r="N11" s="19">
        <v>0</v>
      </c>
      <c r="O11" s="20">
        <v>0</v>
      </c>
      <c r="P11" s="19">
        <v>0</v>
      </c>
      <c r="Q11" s="21">
        <f t="shared" si="0"/>
        <v>43081</v>
      </c>
      <c r="R11" s="13"/>
      <c r="S11" s="13"/>
      <c r="T11" s="13"/>
      <c r="U11" s="13"/>
      <c r="V11" s="13"/>
      <c r="W11" s="13"/>
      <c r="X11" s="13"/>
      <c r="Y11" s="13"/>
    </row>
    <row r="12" spans="1:39" s="10" customFormat="1" ht="26.4" x14ac:dyDescent="0.25">
      <c r="A12" s="2">
        <v>5</v>
      </c>
      <c r="B12" s="15" t="s">
        <v>14</v>
      </c>
      <c r="C12" s="16" t="s">
        <v>30</v>
      </c>
      <c r="D12" s="15" t="s">
        <v>31</v>
      </c>
      <c r="E12" s="17" t="s">
        <v>32</v>
      </c>
      <c r="F12" s="17" t="s">
        <v>33</v>
      </c>
      <c r="G12" s="18">
        <v>261808</v>
      </c>
      <c r="H12" s="18">
        <v>64570</v>
      </c>
      <c r="I12" s="19">
        <v>14339</v>
      </c>
      <c r="J12" s="19">
        <v>14177</v>
      </c>
      <c r="K12" s="19">
        <v>14018</v>
      </c>
      <c r="L12" s="19">
        <v>13857</v>
      </c>
      <c r="M12" s="19">
        <v>10408</v>
      </c>
      <c r="N12" s="19">
        <v>0</v>
      </c>
      <c r="O12" s="20">
        <v>0</v>
      </c>
      <c r="P12" s="19">
        <v>0</v>
      </c>
      <c r="Q12" s="21">
        <f t="shared" si="0"/>
        <v>66799</v>
      </c>
      <c r="R12" s="13"/>
      <c r="S12" s="13"/>
      <c r="T12" s="13"/>
      <c r="U12" s="13"/>
      <c r="V12" s="13"/>
      <c r="W12" s="13"/>
      <c r="X12" s="13"/>
      <c r="Y12" s="13"/>
    </row>
    <row r="13" spans="1:39" s="10" customFormat="1" ht="26.4" x14ac:dyDescent="0.2">
      <c r="A13" s="2">
        <v>6</v>
      </c>
      <c r="B13" s="110" t="s">
        <v>14</v>
      </c>
      <c r="C13" s="1" t="s">
        <v>34</v>
      </c>
      <c r="D13" s="110" t="s">
        <v>35</v>
      </c>
      <c r="E13" s="110" t="s">
        <v>36</v>
      </c>
      <c r="F13" s="110" t="s">
        <v>37</v>
      </c>
      <c r="G13" s="14">
        <v>1410533</v>
      </c>
      <c r="H13" s="14">
        <v>535467</v>
      </c>
      <c r="I13" s="29">
        <v>108637</v>
      </c>
      <c r="J13" s="29">
        <v>103734</v>
      </c>
      <c r="K13" s="29">
        <v>100153</v>
      </c>
      <c r="L13" s="29">
        <v>96562</v>
      </c>
      <c r="M13" s="29">
        <v>92986</v>
      </c>
      <c r="N13" s="29">
        <v>89375</v>
      </c>
      <c r="O13" s="29">
        <v>23905</v>
      </c>
      <c r="P13" s="29">
        <v>0</v>
      </c>
      <c r="Q13" s="30">
        <f t="shared" si="0"/>
        <v>615352</v>
      </c>
      <c r="R13" s="13"/>
      <c r="S13" s="13"/>
      <c r="T13" s="13"/>
      <c r="U13" s="13"/>
      <c r="V13" s="13"/>
      <c r="W13" s="13"/>
      <c r="X13" s="13"/>
      <c r="Y13" s="13"/>
    </row>
    <row r="14" spans="1:39" s="10" customFormat="1" ht="66" x14ac:dyDescent="0.2">
      <c r="A14" s="111">
        <v>7</v>
      </c>
      <c r="B14" s="110" t="s">
        <v>14</v>
      </c>
      <c r="C14" s="1" t="s">
        <v>38</v>
      </c>
      <c r="D14" s="110" t="s">
        <v>39</v>
      </c>
      <c r="E14" s="110" t="s">
        <v>40</v>
      </c>
      <c r="F14" s="110" t="s">
        <v>41</v>
      </c>
      <c r="G14" s="14">
        <v>82912</v>
      </c>
      <c r="H14" s="14">
        <f>46565-932</f>
        <v>45633</v>
      </c>
      <c r="I14" s="29">
        <v>5569</v>
      </c>
      <c r="J14" s="29">
        <v>5436</v>
      </c>
      <c r="K14" s="29">
        <v>5288</v>
      </c>
      <c r="L14" s="29">
        <v>5133</v>
      </c>
      <c r="M14" s="29">
        <v>4982</v>
      </c>
      <c r="N14" s="29">
        <v>4824</v>
      </c>
      <c r="O14" s="29">
        <v>4669</v>
      </c>
      <c r="P14" s="29">
        <v>21948</v>
      </c>
      <c r="Q14" s="30">
        <f t="shared" si="0"/>
        <v>57849</v>
      </c>
      <c r="R14" s="13"/>
      <c r="S14" s="13"/>
      <c r="T14" s="13"/>
      <c r="U14" s="13"/>
      <c r="V14" s="13"/>
      <c r="W14" s="13"/>
      <c r="X14" s="13"/>
      <c r="Y14" s="13"/>
      <c r="AM14" s="31"/>
    </row>
    <row r="15" spans="1:39" s="10" customFormat="1" ht="39.6" x14ac:dyDescent="0.2">
      <c r="A15" s="2">
        <v>8</v>
      </c>
      <c r="B15" s="110" t="s">
        <v>14</v>
      </c>
      <c r="C15" s="1" t="s">
        <v>42</v>
      </c>
      <c r="D15" s="110" t="s">
        <v>43</v>
      </c>
      <c r="E15" s="110" t="s">
        <v>44</v>
      </c>
      <c r="F15" s="110" t="s">
        <v>45</v>
      </c>
      <c r="G15" s="14">
        <v>357811</v>
      </c>
      <c r="H15" s="14">
        <v>108608</v>
      </c>
      <c r="I15" s="29">
        <v>29959</v>
      </c>
      <c r="J15" s="29">
        <v>28832</v>
      </c>
      <c r="K15" s="29">
        <v>27778</v>
      </c>
      <c r="L15" s="29">
        <v>26717</v>
      </c>
      <c r="M15" s="29">
        <v>6570</v>
      </c>
      <c r="N15" s="29">
        <v>0</v>
      </c>
      <c r="O15" s="29">
        <v>0</v>
      </c>
      <c r="P15" s="29"/>
      <c r="Q15" s="30">
        <f t="shared" si="0"/>
        <v>119856</v>
      </c>
      <c r="R15" s="13"/>
      <c r="S15" s="13"/>
      <c r="T15" s="13"/>
      <c r="U15" s="13"/>
      <c r="V15" s="13"/>
      <c r="W15" s="13"/>
      <c r="X15" s="13"/>
      <c r="Y15" s="13"/>
      <c r="AM15" s="31"/>
    </row>
    <row r="16" spans="1:39" s="10" customFormat="1" ht="66" x14ac:dyDescent="0.25">
      <c r="A16" s="2">
        <v>9</v>
      </c>
      <c r="B16" s="15" t="s">
        <v>14</v>
      </c>
      <c r="C16" s="16" t="s">
        <v>467</v>
      </c>
      <c r="D16" s="15" t="s">
        <v>46</v>
      </c>
      <c r="E16" s="17" t="s">
        <v>47</v>
      </c>
      <c r="F16" s="17" t="s">
        <v>48</v>
      </c>
      <c r="G16" s="18">
        <v>208227</v>
      </c>
      <c r="H16" s="18">
        <f>9696-4848</f>
        <v>4848</v>
      </c>
      <c r="I16" s="19">
        <v>4970</v>
      </c>
      <c r="J16" s="19">
        <v>0</v>
      </c>
      <c r="K16" s="19">
        <v>0</v>
      </c>
      <c r="L16" s="19">
        <v>0</v>
      </c>
      <c r="M16" s="19">
        <v>0</v>
      </c>
      <c r="N16" s="19">
        <v>0</v>
      </c>
      <c r="O16" s="19">
        <v>0</v>
      </c>
      <c r="P16" s="19">
        <v>0</v>
      </c>
      <c r="Q16" s="21">
        <f t="shared" si="0"/>
        <v>4970</v>
      </c>
      <c r="R16" s="13"/>
      <c r="S16" s="13"/>
      <c r="T16" s="13"/>
      <c r="U16" s="13"/>
      <c r="V16" s="13"/>
      <c r="W16" s="13"/>
      <c r="X16" s="13"/>
      <c r="Y16" s="13"/>
      <c r="AM16" s="31"/>
    </row>
    <row r="17" spans="1:39" s="10" customFormat="1" ht="112.5" customHeight="1" x14ac:dyDescent="0.2">
      <c r="A17" s="2">
        <v>10</v>
      </c>
      <c r="B17" s="110" t="s">
        <v>14</v>
      </c>
      <c r="C17" s="1" t="s">
        <v>49</v>
      </c>
      <c r="D17" s="110" t="s">
        <v>50</v>
      </c>
      <c r="E17" s="110" t="s">
        <v>51</v>
      </c>
      <c r="F17" s="110" t="s">
        <v>52</v>
      </c>
      <c r="G17" s="14">
        <v>586346</v>
      </c>
      <c r="H17" s="14">
        <f>180726-4303</f>
        <v>176423</v>
      </c>
      <c r="I17" s="29">
        <v>24136</v>
      </c>
      <c r="J17" s="29">
        <v>23573</v>
      </c>
      <c r="K17" s="29">
        <v>22840</v>
      </c>
      <c r="L17" s="29">
        <v>22144</v>
      </c>
      <c r="M17" s="29">
        <v>21459</v>
      </c>
      <c r="N17" s="29">
        <v>20752</v>
      </c>
      <c r="O17" s="29">
        <v>20057</v>
      </c>
      <c r="P17" s="29">
        <v>60431</v>
      </c>
      <c r="Q17" s="30">
        <f t="shared" si="0"/>
        <v>215392</v>
      </c>
      <c r="R17" s="13"/>
      <c r="S17" s="13"/>
      <c r="T17" s="13"/>
      <c r="U17" s="13"/>
      <c r="V17" s="13"/>
      <c r="W17" s="13"/>
      <c r="X17" s="13"/>
      <c r="Y17" s="13"/>
      <c r="AM17" s="31"/>
    </row>
    <row r="18" spans="1:39" s="10" customFormat="1" ht="66" x14ac:dyDescent="0.25">
      <c r="A18" s="2">
        <v>11</v>
      </c>
      <c r="B18" s="15" t="s">
        <v>14</v>
      </c>
      <c r="C18" s="16" t="s">
        <v>471</v>
      </c>
      <c r="D18" s="15" t="s">
        <v>53</v>
      </c>
      <c r="E18" s="17" t="s">
        <v>54</v>
      </c>
      <c r="F18" s="17" t="s">
        <v>55</v>
      </c>
      <c r="G18" s="18">
        <v>128058</v>
      </c>
      <c r="H18" s="18">
        <f>9012-2253</f>
        <v>6759</v>
      </c>
      <c r="I18" s="19">
        <v>6988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  <c r="O18" s="19">
        <v>0</v>
      </c>
      <c r="P18" s="19">
        <v>0</v>
      </c>
      <c r="Q18" s="21">
        <f t="shared" si="0"/>
        <v>6988</v>
      </c>
      <c r="R18" s="13"/>
      <c r="S18" s="13"/>
      <c r="T18" s="13"/>
      <c r="U18" s="13"/>
      <c r="V18" s="13"/>
      <c r="W18" s="13"/>
      <c r="X18" s="13"/>
      <c r="Y18" s="13"/>
      <c r="AM18" s="31"/>
    </row>
    <row r="19" spans="1:39" s="10" customFormat="1" ht="66" x14ac:dyDescent="0.25">
      <c r="A19" s="111">
        <v>12</v>
      </c>
      <c r="B19" s="15" t="s">
        <v>14</v>
      </c>
      <c r="C19" s="16" t="s">
        <v>468</v>
      </c>
      <c r="D19" s="15" t="s">
        <v>56</v>
      </c>
      <c r="E19" s="17" t="s">
        <v>54</v>
      </c>
      <c r="F19" s="17" t="s">
        <v>55</v>
      </c>
      <c r="G19" s="18">
        <v>426467</v>
      </c>
      <c r="H19" s="18">
        <f>43292-10823</f>
        <v>32469</v>
      </c>
      <c r="I19" s="19">
        <v>33570</v>
      </c>
      <c r="J19" s="19">
        <v>0</v>
      </c>
      <c r="K19" s="19">
        <v>0</v>
      </c>
      <c r="L19" s="19">
        <v>0</v>
      </c>
      <c r="M19" s="19">
        <v>0</v>
      </c>
      <c r="N19" s="19">
        <v>0</v>
      </c>
      <c r="O19" s="19">
        <v>0</v>
      </c>
      <c r="P19" s="19">
        <v>0</v>
      </c>
      <c r="Q19" s="21">
        <f t="shared" si="0"/>
        <v>33570</v>
      </c>
      <c r="R19" s="13"/>
      <c r="S19" s="13"/>
      <c r="T19" s="13"/>
      <c r="U19" s="13"/>
      <c r="V19" s="13"/>
      <c r="W19" s="13"/>
      <c r="X19" s="13"/>
      <c r="Y19" s="13"/>
      <c r="AM19" s="31"/>
    </row>
    <row r="20" spans="1:39" s="10" customFormat="1" ht="79.2" x14ac:dyDescent="0.2">
      <c r="A20" s="2">
        <v>13</v>
      </c>
      <c r="B20" s="110" t="s">
        <v>14</v>
      </c>
      <c r="C20" s="1" t="s">
        <v>475</v>
      </c>
      <c r="D20" s="110" t="s">
        <v>57</v>
      </c>
      <c r="E20" s="110" t="s">
        <v>58</v>
      </c>
      <c r="F20" s="110" t="s">
        <v>59</v>
      </c>
      <c r="G20" s="14">
        <v>151196</v>
      </c>
      <c r="H20" s="14">
        <f>32856-1369</f>
        <v>31487</v>
      </c>
      <c r="I20" s="29">
        <v>6861</v>
      </c>
      <c r="J20" s="29">
        <v>6534</v>
      </c>
      <c r="K20" s="29">
        <v>6304</v>
      </c>
      <c r="L20" s="29">
        <v>6074</v>
      </c>
      <c r="M20" s="29">
        <v>5844</v>
      </c>
      <c r="N20" s="29">
        <v>4243</v>
      </c>
      <c r="O20" s="29">
        <v>0</v>
      </c>
      <c r="P20" s="29">
        <v>0</v>
      </c>
      <c r="Q20" s="30">
        <f t="shared" si="0"/>
        <v>35860</v>
      </c>
      <c r="R20" s="13"/>
      <c r="S20" s="13"/>
      <c r="T20" s="13"/>
      <c r="U20" s="13"/>
      <c r="V20" s="13"/>
      <c r="W20" s="13"/>
      <c r="X20" s="13"/>
      <c r="Y20" s="13"/>
      <c r="AM20" s="31"/>
    </row>
    <row r="21" spans="1:39" s="10" customFormat="1" ht="26.4" x14ac:dyDescent="0.2">
      <c r="A21" s="2">
        <v>14</v>
      </c>
      <c r="B21" s="112" t="s">
        <v>14</v>
      </c>
      <c r="C21" s="113" t="s">
        <v>472</v>
      </c>
      <c r="D21" s="112" t="s">
        <v>60</v>
      </c>
      <c r="E21" s="112" t="s">
        <v>61</v>
      </c>
      <c r="F21" s="112" t="s">
        <v>62</v>
      </c>
      <c r="G21" s="32">
        <v>186591</v>
      </c>
      <c r="H21" s="32">
        <f>34278-5724</f>
        <v>28554</v>
      </c>
      <c r="I21" s="114">
        <v>23862</v>
      </c>
      <c r="J21" s="114">
        <v>5819</v>
      </c>
      <c r="K21" s="114">
        <v>0</v>
      </c>
      <c r="L21" s="114">
        <v>0</v>
      </c>
      <c r="M21" s="114">
        <v>0</v>
      </c>
      <c r="N21" s="114">
        <v>0</v>
      </c>
      <c r="O21" s="114">
        <v>0</v>
      </c>
      <c r="P21" s="114">
        <v>0</v>
      </c>
      <c r="Q21" s="115">
        <f t="shared" si="0"/>
        <v>29681</v>
      </c>
      <c r="R21" s="13"/>
      <c r="S21" s="13"/>
      <c r="T21" s="13"/>
      <c r="U21" s="13"/>
      <c r="V21" s="13"/>
      <c r="W21" s="13"/>
      <c r="X21" s="13"/>
      <c r="Y21" s="13"/>
      <c r="AM21" s="31"/>
    </row>
    <row r="22" spans="1:39" s="10" customFormat="1" ht="79.2" x14ac:dyDescent="0.2">
      <c r="A22" s="2">
        <v>15</v>
      </c>
      <c r="B22" s="110" t="s">
        <v>14</v>
      </c>
      <c r="C22" s="1" t="s">
        <v>476</v>
      </c>
      <c r="D22" s="110" t="s">
        <v>63</v>
      </c>
      <c r="E22" s="116" t="s">
        <v>64</v>
      </c>
      <c r="F22" s="110" t="s">
        <v>65</v>
      </c>
      <c r="G22" s="14">
        <v>184386</v>
      </c>
      <c r="H22" s="14">
        <f>34506-1278</f>
        <v>33228</v>
      </c>
      <c r="I22" s="29">
        <v>6450</v>
      </c>
      <c r="J22" s="29">
        <v>6214</v>
      </c>
      <c r="K22" s="29">
        <v>6007</v>
      </c>
      <c r="L22" s="29">
        <v>5800</v>
      </c>
      <c r="M22" s="29">
        <v>5596</v>
      </c>
      <c r="N22" s="29">
        <v>5389</v>
      </c>
      <c r="O22" s="29">
        <v>2621</v>
      </c>
      <c r="P22" s="29">
        <v>0</v>
      </c>
      <c r="Q22" s="30">
        <f t="shared" si="0"/>
        <v>38077</v>
      </c>
      <c r="R22" s="13"/>
      <c r="S22" s="13"/>
      <c r="T22" s="13"/>
      <c r="U22" s="13"/>
      <c r="V22" s="13"/>
      <c r="W22" s="13"/>
      <c r="X22" s="13"/>
      <c r="Y22" s="13"/>
      <c r="AM22" s="31"/>
    </row>
    <row r="23" spans="1:39" s="10" customFormat="1" ht="52.8" x14ac:dyDescent="0.2">
      <c r="A23" s="111">
        <v>16</v>
      </c>
      <c r="B23" s="110" t="s">
        <v>14</v>
      </c>
      <c r="C23" s="1" t="s">
        <v>66</v>
      </c>
      <c r="D23" s="110" t="s">
        <v>67</v>
      </c>
      <c r="E23" s="110" t="s">
        <v>68</v>
      </c>
      <c r="F23" s="110" t="s">
        <v>69</v>
      </c>
      <c r="G23" s="14">
        <v>36001</v>
      </c>
      <c r="H23" s="14">
        <f>6636-948</f>
        <v>5688</v>
      </c>
      <c r="I23" s="29">
        <v>4001</v>
      </c>
      <c r="J23" s="29">
        <v>1946</v>
      </c>
      <c r="K23" s="29"/>
      <c r="L23" s="29">
        <v>0</v>
      </c>
      <c r="M23" s="29">
        <v>0</v>
      </c>
      <c r="N23" s="29">
        <v>0</v>
      </c>
      <c r="O23" s="29">
        <v>0</v>
      </c>
      <c r="P23" s="29">
        <v>0</v>
      </c>
      <c r="Q23" s="30">
        <f t="shared" si="0"/>
        <v>5947</v>
      </c>
      <c r="R23" s="13"/>
      <c r="S23" s="13"/>
      <c r="T23" s="13"/>
      <c r="U23" s="13"/>
      <c r="V23" s="13"/>
      <c r="W23" s="13"/>
      <c r="X23" s="13"/>
      <c r="Y23" s="13"/>
      <c r="AM23" s="31"/>
    </row>
    <row r="24" spans="1:39" s="10" customFormat="1" ht="52.8" x14ac:dyDescent="0.2">
      <c r="A24" s="2">
        <v>17</v>
      </c>
      <c r="B24" s="110" t="s">
        <v>14</v>
      </c>
      <c r="C24" s="1" t="s">
        <v>70</v>
      </c>
      <c r="D24" s="110" t="s">
        <v>71</v>
      </c>
      <c r="E24" s="110" t="s">
        <v>72</v>
      </c>
      <c r="F24" s="110" t="s">
        <v>69</v>
      </c>
      <c r="G24" s="14">
        <v>35830</v>
      </c>
      <c r="H24" s="14">
        <f>6601-943</f>
        <v>5658</v>
      </c>
      <c r="I24" s="29">
        <v>3980</v>
      </c>
      <c r="J24" s="29">
        <v>1936</v>
      </c>
      <c r="K24" s="29"/>
      <c r="L24" s="29">
        <v>0</v>
      </c>
      <c r="M24" s="29">
        <v>0</v>
      </c>
      <c r="N24" s="29">
        <v>0</v>
      </c>
      <c r="O24" s="29">
        <v>0</v>
      </c>
      <c r="P24" s="29">
        <v>0</v>
      </c>
      <c r="Q24" s="30">
        <f t="shared" si="0"/>
        <v>5916</v>
      </c>
      <c r="R24" s="13"/>
      <c r="S24" s="13"/>
      <c r="T24" s="13"/>
      <c r="U24" s="13"/>
      <c r="V24" s="13"/>
      <c r="W24" s="13"/>
      <c r="X24" s="13"/>
      <c r="Y24" s="13"/>
      <c r="AM24" s="31"/>
    </row>
    <row r="25" spans="1:39" s="10" customFormat="1" ht="39.6" x14ac:dyDescent="0.2">
      <c r="A25" s="2">
        <v>18</v>
      </c>
      <c r="B25" s="15" t="s">
        <v>14</v>
      </c>
      <c r="C25" s="33" t="s">
        <v>477</v>
      </c>
      <c r="D25" s="15" t="s">
        <v>73</v>
      </c>
      <c r="E25" s="17" t="s">
        <v>74</v>
      </c>
      <c r="F25" s="17" t="s">
        <v>69</v>
      </c>
      <c r="G25" s="18">
        <v>98806</v>
      </c>
      <c r="H25" s="18">
        <f>18697-2671</f>
        <v>16026</v>
      </c>
      <c r="I25" s="19">
        <v>11273</v>
      </c>
      <c r="J25" s="19">
        <v>5484</v>
      </c>
      <c r="K25" s="19"/>
      <c r="L25" s="19">
        <v>0</v>
      </c>
      <c r="M25" s="19">
        <v>0</v>
      </c>
      <c r="N25" s="19">
        <v>0</v>
      </c>
      <c r="O25" s="20">
        <v>0</v>
      </c>
      <c r="P25" s="19">
        <v>0</v>
      </c>
      <c r="Q25" s="21">
        <f t="shared" si="0"/>
        <v>16757</v>
      </c>
      <c r="R25" s="13"/>
      <c r="S25" s="13"/>
      <c r="T25" s="13"/>
      <c r="U25" s="13"/>
      <c r="V25" s="13"/>
      <c r="W25" s="13"/>
      <c r="X25" s="13"/>
      <c r="Y25" s="13"/>
      <c r="AM25" s="31"/>
    </row>
    <row r="26" spans="1:39" s="10" customFormat="1" ht="39.6" x14ac:dyDescent="0.2">
      <c r="A26" s="2">
        <v>19</v>
      </c>
      <c r="B26" s="110" t="s">
        <v>14</v>
      </c>
      <c r="C26" s="1" t="s">
        <v>75</v>
      </c>
      <c r="D26" s="110" t="s">
        <v>76</v>
      </c>
      <c r="E26" s="110" t="s">
        <v>77</v>
      </c>
      <c r="F26" s="110" t="s">
        <v>78</v>
      </c>
      <c r="G26" s="14">
        <v>387136</v>
      </c>
      <c r="H26" s="14">
        <f>233308-4964</f>
        <v>228344</v>
      </c>
      <c r="I26" s="29">
        <v>29331</v>
      </c>
      <c r="J26" s="29">
        <v>28490</v>
      </c>
      <c r="K26" s="29">
        <v>27657</v>
      </c>
      <c r="L26" s="29">
        <v>26822</v>
      </c>
      <c r="M26" s="29">
        <v>26002</v>
      </c>
      <c r="N26" s="29">
        <v>25150</v>
      </c>
      <c r="O26" s="29">
        <v>24316</v>
      </c>
      <c r="P26" s="29">
        <v>99133</v>
      </c>
      <c r="Q26" s="21">
        <f t="shared" si="0"/>
        <v>286901</v>
      </c>
      <c r="R26" s="13"/>
      <c r="S26" s="13"/>
      <c r="T26" s="13"/>
      <c r="U26" s="13"/>
      <c r="V26" s="13"/>
      <c r="W26" s="13"/>
      <c r="X26" s="13"/>
      <c r="Y26" s="13"/>
    </row>
    <row r="27" spans="1:39" s="10" customFormat="1" ht="53.25" customHeight="1" x14ac:dyDescent="0.2">
      <c r="A27" s="2">
        <v>20</v>
      </c>
      <c r="B27" s="15" t="s">
        <v>14</v>
      </c>
      <c r="C27" s="33" t="s">
        <v>478</v>
      </c>
      <c r="D27" s="15" t="s">
        <v>79</v>
      </c>
      <c r="E27" s="17" t="s">
        <v>80</v>
      </c>
      <c r="F27" s="17" t="s">
        <v>81</v>
      </c>
      <c r="G27" s="18">
        <v>220260</v>
      </c>
      <c r="H27" s="18">
        <f>41671-5953</f>
        <v>35718</v>
      </c>
      <c r="I27" s="19">
        <v>25173</v>
      </c>
      <c r="J27" s="19">
        <v>12257</v>
      </c>
      <c r="K27" s="19"/>
      <c r="L27" s="19">
        <v>0</v>
      </c>
      <c r="M27" s="19">
        <v>0</v>
      </c>
      <c r="N27" s="19">
        <v>0</v>
      </c>
      <c r="O27" s="20">
        <v>0</v>
      </c>
      <c r="P27" s="19">
        <v>0</v>
      </c>
      <c r="Q27" s="21">
        <f t="shared" si="0"/>
        <v>37430</v>
      </c>
      <c r="R27" s="13"/>
      <c r="S27" s="13"/>
      <c r="T27" s="13"/>
      <c r="U27" s="13"/>
      <c r="V27" s="13"/>
      <c r="W27" s="13"/>
      <c r="X27" s="13"/>
      <c r="Y27" s="13"/>
    </row>
    <row r="28" spans="1:39" s="10" customFormat="1" ht="52.8" x14ac:dyDescent="0.25">
      <c r="A28" s="111">
        <v>21</v>
      </c>
      <c r="B28" s="15" t="s">
        <v>14</v>
      </c>
      <c r="C28" s="16" t="s">
        <v>473</v>
      </c>
      <c r="D28" s="15" t="s">
        <v>82</v>
      </c>
      <c r="E28" s="17" t="s">
        <v>83</v>
      </c>
      <c r="F28" s="17" t="s">
        <v>84</v>
      </c>
      <c r="G28" s="18">
        <v>80000</v>
      </c>
      <c r="H28" s="18">
        <f>17304-2163</f>
        <v>15141</v>
      </c>
      <c r="I28" s="19">
        <v>9265</v>
      </c>
      <c r="J28" s="19">
        <v>6689</v>
      </c>
      <c r="K28" s="19"/>
      <c r="L28" s="19">
        <v>0</v>
      </c>
      <c r="M28" s="19">
        <v>0</v>
      </c>
      <c r="N28" s="19">
        <v>0</v>
      </c>
      <c r="O28" s="20">
        <v>0</v>
      </c>
      <c r="P28" s="19">
        <v>0</v>
      </c>
      <c r="Q28" s="21">
        <f t="shared" si="0"/>
        <v>15954</v>
      </c>
      <c r="R28" s="13"/>
      <c r="S28" s="13"/>
      <c r="T28" s="13"/>
      <c r="U28" s="13"/>
      <c r="V28" s="13"/>
      <c r="W28" s="13"/>
      <c r="X28" s="13"/>
      <c r="Y28" s="13"/>
    </row>
    <row r="29" spans="1:39" s="10" customFormat="1" ht="39.6" x14ac:dyDescent="0.2">
      <c r="A29" s="2">
        <v>22</v>
      </c>
      <c r="B29" s="110" t="s">
        <v>14</v>
      </c>
      <c r="C29" s="1" t="s">
        <v>85</v>
      </c>
      <c r="D29" s="110" t="s">
        <v>86</v>
      </c>
      <c r="E29" s="110" t="s">
        <v>87</v>
      </c>
      <c r="F29" s="110" t="s">
        <v>88</v>
      </c>
      <c r="G29" s="14">
        <v>299523</v>
      </c>
      <c r="H29" s="14">
        <f>182016-3792</f>
        <v>178224</v>
      </c>
      <c r="I29" s="29">
        <v>22930</v>
      </c>
      <c r="J29" s="29">
        <v>21923</v>
      </c>
      <c r="K29" s="29">
        <v>21287</v>
      </c>
      <c r="L29" s="29">
        <v>20649</v>
      </c>
      <c r="M29" s="29">
        <v>20023</v>
      </c>
      <c r="N29" s="29">
        <v>19372</v>
      </c>
      <c r="O29" s="29">
        <v>18734</v>
      </c>
      <c r="P29" s="29">
        <v>80311</v>
      </c>
      <c r="Q29" s="21">
        <f t="shared" si="0"/>
        <v>225229</v>
      </c>
      <c r="R29" s="13"/>
      <c r="S29" s="13"/>
      <c r="T29" s="13"/>
      <c r="U29" s="13"/>
      <c r="V29" s="13"/>
      <c r="W29" s="13"/>
      <c r="X29" s="13"/>
      <c r="Y29" s="13"/>
    </row>
    <row r="30" spans="1:39" s="10" customFormat="1" ht="39.6" x14ac:dyDescent="0.2">
      <c r="A30" s="2">
        <v>23</v>
      </c>
      <c r="B30" s="110" t="s">
        <v>14</v>
      </c>
      <c r="C30" s="1" t="s">
        <v>89</v>
      </c>
      <c r="D30" s="110" t="s">
        <v>90</v>
      </c>
      <c r="E30" s="110" t="s">
        <v>91</v>
      </c>
      <c r="F30" s="110" t="s">
        <v>92</v>
      </c>
      <c r="G30" s="14">
        <v>58458</v>
      </c>
      <c r="H30" s="14">
        <f>11992-1499</f>
        <v>10493</v>
      </c>
      <c r="I30" s="29">
        <v>6422</v>
      </c>
      <c r="J30" s="29">
        <v>4647</v>
      </c>
      <c r="K30" s="29">
        <v>0</v>
      </c>
      <c r="L30" s="29">
        <v>0</v>
      </c>
      <c r="M30" s="29">
        <v>0</v>
      </c>
      <c r="N30" s="29">
        <v>0</v>
      </c>
      <c r="O30" s="29">
        <v>0</v>
      </c>
      <c r="P30" s="29">
        <v>0</v>
      </c>
      <c r="Q30" s="21">
        <f t="shared" si="0"/>
        <v>11069</v>
      </c>
      <c r="R30" s="13"/>
      <c r="S30" s="13"/>
      <c r="T30" s="13"/>
      <c r="U30" s="13"/>
      <c r="V30" s="13"/>
      <c r="W30" s="13"/>
      <c r="X30" s="13"/>
      <c r="Y30" s="13"/>
    </row>
    <row r="31" spans="1:39" s="10" customFormat="1" ht="39.6" x14ac:dyDescent="0.2">
      <c r="A31" s="2">
        <v>24</v>
      </c>
      <c r="B31" s="110" t="s">
        <v>14</v>
      </c>
      <c r="C31" s="1" t="s">
        <v>93</v>
      </c>
      <c r="D31" s="110" t="s">
        <v>94</v>
      </c>
      <c r="E31" s="110" t="s">
        <v>95</v>
      </c>
      <c r="F31" s="110" t="s">
        <v>96</v>
      </c>
      <c r="G31" s="14">
        <v>480161</v>
      </c>
      <c r="H31" s="14">
        <f>349055-5150</f>
        <v>343905</v>
      </c>
      <c r="I31" s="29">
        <v>35797</v>
      </c>
      <c r="J31" s="29">
        <v>34056</v>
      </c>
      <c r="K31" s="29">
        <v>33192</v>
      </c>
      <c r="L31" s="29">
        <v>32325</v>
      </c>
      <c r="M31" s="29">
        <v>31487</v>
      </c>
      <c r="N31" s="29">
        <v>30591</v>
      </c>
      <c r="O31" s="29">
        <v>29725</v>
      </c>
      <c r="P31" s="29">
        <v>243440</v>
      </c>
      <c r="Q31" s="21">
        <f t="shared" si="0"/>
        <v>470613</v>
      </c>
      <c r="R31" s="13"/>
      <c r="S31" s="13"/>
      <c r="T31" s="13"/>
      <c r="U31" s="13"/>
      <c r="V31" s="13"/>
      <c r="W31" s="13"/>
      <c r="X31" s="13"/>
      <c r="Y31" s="13"/>
    </row>
    <row r="32" spans="1:39" s="37" customFormat="1" ht="52.8" x14ac:dyDescent="0.2">
      <c r="A32" s="117">
        <v>25</v>
      </c>
      <c r="B32" s="116" t="s">
        <v>14</v>
      </c>
      <c r="C32" s="118" t="s">
        <v>498</v>
      </c>
      <c r="D32" s="116" t="s">
        <v>97</v>
      </c>
      <c r="E32" s="116" t="s">
        <v>98</v>
      </c>
      <c r="F32" s="116" t="s">
        <v>99</v>
      </c>
      <c r="G32" s="14">
        <v>1300000</v>
      </c>
      <c r="H32" s="14">
        <f>796250-16250</f>
        <v>780000</v>
      </c>
      <c r="I32" s="34">
        <v>99829</v>
      </c>
      <c r="J32" s="34">
        <v>94631</v>
      </c>
      <c r="K32" s="34">
        <v>91904</v>
      </c>
      <c r="L32" s="34">
        <v>89170</v>
      </c>
      <c r="M32" s="34">
        <v>86490</v>
      </c>
      <c r="N32" s="34">
        <v>83698</v>
      </c>
      <c r="O32" s="34">
        <v>80965</v>
      </c>
      <c r="P32" s="34">
        <v>364036</v>
      </c>
      <c r="Q32" s="35">
        <f t="shared" si="0"/>
        <v>990723</v>
      </c>
      <c r="R32" s="36"/>
      <c r="S32" s="36"/>
      <c r="T32" s="36"/>
      <c r="U32" s="36"/>
      <c r="V32" s="36"/>
      <c r="W32" s="36"/>
      <c r="X32" s="36"/>
      <c r="Y32" s="36"/>
    </row>
    <row r="33" spans="1:39" s="10" customFormat="1" ht="66" x14ac:dyDescent="0.2">
      <c r="A33" s="2">
        <v>26</v>
      </c>
      <c r="B33" s="110" t="s">
        <v>14</v>
      </c>
      <c r="C33" s="1" t="s">
        <v>100</v>
      </c>
      <c r="D33" s="110" t="s">
        <v>101</v>
      </c>
      <c r="E33" s="110" t="s">
        <v>102</v>
      </c>
      <c r="F33" s="110" t="s">
        <v>41</v>
      </c>
      <c r="G33" s="14">
        <v>151608</v>
      </c>
      <c r="H33" s="14">
        <f>98450-1969</f>
        <v>96481</v>
      </c>
      <c r="I33" s="29">
        <v>11744</v>
      </c>
      <c r="J33" s="29">
        <v>11487</v>
      </c>
      <c r="K33" s="29">
        <v>11175</v>
      </c>
      <c r="L33" s="29">
        <v>10848</v>
      </c>
      <c r="M33" s="29">
        <v>10528</v>
      </c>
      <c r="N33" s="29">
        <v>10194</v>
      </c>
      <c r="O33" s="29">
        <v>9867</v>
      </c>
      <c r="P33" s="29">
        <v>46458</v>
      </c>
      <c r="Q33" s="30">
        <f t="shared" si="0"/>
        <v>122301</v>
      </c>
      <c r="R33" s="13"/>
      <c r="S33" s="13"/>
      <c r="T33" s="13"/>
      <c r="U33" s="13"/>
      <c r="V33" s="13"/>
      <c r="W33" s="13"/>
      <c r="X33" s="13"/>
      <c r="Y33" s="13"/>
      <c r="AM33" s="37"/>
    </row>
    <row r="34" spans="1:39" s="10" customFormat="1" ht="26.4" x14ac:dyDescent="0.2">
      <c r="A34" s="2">
        <v>27</v>
      </c>
      <c r="B34" s="110" t="s">
        <v>14</v>
      </c>
      <c r="C34" s="1" t="s">
        <v>103</v>
      </c>
      <c r="D34" s="110" t="s">
        <v>104</v>
      </c>
      <c r="E34" s="110" t="s">
        <v>102</v>
      </c>
      <c r="F34" s="110" t="s">
        <v>105</v>
      </c>
      <c r="G34" s="14">
        <v>242413</v>
      </c>
      <c r="H34" s="14">
        <f>175210-2503</f>
        <v>172707</v>
      </c>
      <c r="I34" s="29">
        <v>16962</v>
      </c>
      <c r="J34" s="29">
        <v>16672</v>
      </c>
      <c r="K34" s="29">
        <v>16283</v>
      </c>
      <c r="L34" s="29">
        <v>15867</v>
      </c>
      <c r="M34" s="29">
        <v>15466</v>
      </c>
      <c r="N34" s="29">
        <v>15035</v>
      </c>
      <c r="O34" s="29">
        <v>14620</v>
      </c>
      <c r="P34" s="29">
        <v>125943</v>
      </c>
      <c r="Q34" s="30">
        <f t="shared" si="0"/>
        <v>236848</v>
      </c>
      <c r="R34" s="13"/>
      <c r="S34" s="13"/>
      <c r="T34" s="13"/>
      <c r="U34" s="13"/>
      <c r="V34" s="13"/>
      <c r="W34" s="13"/>
      <c r="X34" s="13"/>
      <c r="Y34" s="13"/>
      <c r="AM34" s="37"/>
    </row>
    <row r="35" spans="1:39" s="37" customFormat="1" ht="105.6" x14ac:dyDescent="0.2">
      <c r="A35" s="119">
        <v>28</v>
      </c>
      <c r="B35" s="116" t="s">
        <v>14</v>
      </c>
      <c r="C35" s="118" t="s">
        <v>106</v>
      </c>
      <c r="D35" s="116" t="s">
        <v>107</v>
      </c>
      <c r="E35" s="116" t="s">
        <v>108</v>
      </c>
      <c r="F35" s="116" t="s">
        <v>109</v>
      </c>
      <c r="G35" s="14">
        <v>1637158</v>
      </c>
      <c r="H35" s="14">
        <f>1306942-14362</f>
        <v>1292580</v>
      </c>
      <c r="I35" s="34">
        <v>110560</v>
      </c>
      <c r="J35" s="34">
        <v>107211</v>
      </c>
      <c r="K35" s="34">
        <v>104651</v>
      </c>
      <c r="L35" s="34">
        <v>102329</v>
      </c>
      <c r="M35" s="34">
        <v>100120</v>
      </c>
      <c r="N35" s="34">
        <v>97683</v>
      </c>
      <c r="O35" s="34">
        <v>95363</v>
      </c>
      <c r="P35" s="34">
        <v>1181757</v>
      </c>
      <c r="Q35" s="35">
        <f t="shared" si="0"/>
        <v>1899674</v>
      </c>
      <c r="R35" s="36"/>
      <c r="S35" s="36"/>
      <c r="T35" s="36"/>
      <c r="U35" s="36"/>
      <c r="V35" s="36"/>
      <c r="W35" s="36"/>
      <c r="X35" s="36"/>
      <c r="Y35" s="36"/>
      <c r="AM35" s="38"/>
    </row>
    <row r="36" spans="1:39" s="10" customFormat="1" ht="39.6" x14ac:dyDescent="0.2">
      <c r="A36" s="2">
        <v>29</v>
      </c>
      <c r="B36" s="110" t="s">
        <v>14</v>
      </c>
      <c r="C36" s="1" t="s">
        <v>110</v>
      </c>
      <c r="D36" s="110" t="s">
        <v>111</v>
      </c>
      <c r="E36" s="110" t="s">
        <v>108</v>
      </c>
      <c r="F36" s="110" t="s">
        <v>112</v>
      </c>
      <c r="G36" s="14">
        <v>88488</v>
      </c>
      <c r="H36" s="14">
        <f>47306-1526</f>
        <v>45780</v>
      </c>
      <c r="I36" s="29">
        <v>7959</v>
      </c>
      <c r="J36" s="29">
        <v>7676</v>
      </c>
      <c r="K36" s="29">
        <v>7422</v>
      </c>
      <c r="L36" s="29">
        <v>7175</v>
      </c>
      <c r="M36" s="29">
        <v>6930</v>
      </c>
      <c r="N36" s="29">
        <v>6682</v>
      </c>
      <c r="O36" s="29">
        <v>6435</v>
      </c>
      <c r="P36" s="29">
        <v>3129</v>
      </c>
      <c r="Q36" s="30">
        <f t="shared" si="0"/>
        <v>53408</v>
      </c>
      <c r="R36" s="13"/>
      <c r="S36" s="13"/>
      <c r="T36" s="13"/>
      <c r="U36" s="13"/>
      <c r="V36" s="13"/>
      <c r="W36" s="13"/>
      <c r="X36" s="13"/>
      <c r="Y36" s="13"/>
      <c r="AM36" s="38"/>
    </row>
    <row r="37" spans="1:39" s="10" customFormat="1" ht="26.4" x14ac:dyDescent="0.2">
      <c r="A37" s="111">
        <v>30</v>
      </c>
      <c r="B37" s="110" t="s">
        <v>14</v>
      </c>
      <c r="C37" s="1" t="s">
        <v>113</v>
      </c>
      <c r="D37" s="110" t="s">
        <v>114</v>
      </c>
      <c r="E37" s="110" t="s">
        <v>115</v>
      </c>
      <c r="F37" s="110" t="s">
        <v>116</v>
      </c>
      <c r="G37" s="14">
        <v>166843</v>
      </c>
      <c r="H37" s="14">
        <f>89187-2877</f>
        <v>86310</v>
      </c>
      <c r="I37" s="29">
        <v>14969</v>
      </c>
      <c r="J37" s="29">
        <v>14460</v>
      </c>
      <c r="K37" s="29">
        <v>14013</v>
      </c>
      <c r="L37" s="29">
        <v>13544</v>
      </c>
      <c r="M37" s="29">
        <v>13079</v>
      </c>
      <c r="N37" s="29">
        <v>12606</v>
      </c>
      <c r="O37" s="29">
        <v>12137</v>
      </c>
      <c r="P37" s="29">
        <v>5907</v>
      </c>
      <c r="Q37" s="30">
        <f t="shared" si="0"/>
        <v>100715</v>
      </c>
      <c r="R37" s="13"/>
      <c r="S37" s="13"/>
      <c r="T37" s="13"/>
      <c r="U37" s="13"/>
      <c r="V37" s="13"/>
      <c r="W37" s="13"/>
      <c r="X37" s="13"/>
      <c r="Y37" s="13"/>
      <c r="AM37" s="38"/>
    </row>
    <row r="38" spans="1:39" s="10" customFormat="1" ht="39.6" x14ac:dyDescent="0.2">
      <c r="A38" s="2">
        <v>31</v>
      </c>
      <c r="B38" s="110" t="s">
        <v>14</v>
      </c>
      <c r="C38" s="1" t="s">
        <v>117</v>
      </c>
      <c r="D38" s="110" t="s">
        <v>118</v>
      </c>
      <c r="E38" s="110" t="s">
        <v>119</v>
      </c>
      <c r="F38" s="110" t="s">
        <v>120</v>
      </c>
      <c r="G38" s="14">
        <v>265803</v>
      </c>
      <c r="H38" s="14">
        <f>175552-3376</f>
        <v>172176</v>
      </c>
      <c r="I38" s="29">
        <v>21048</v>
      </c>
      <c r="J38" s="29">
        <v>20086</v>
      </c>
      <c r="K38" s="29">
        <v>19519</v>
      </c>
      <c r="L38" s="29">
        <v>18951</v>
      </c>
      <c r="M38" s="29">
        <v>18395</v>
      </c>
      <c r="N38" s="29">
        <v>17814</v>
      </c>
      <c r="O38" s="29">
        <v>17247</v>
      </c>
      <c r="P38" s="29">
        <v>88171</v>
      </c>
      <c r="Q38" s="30">
        <f t="shared" si="0"/>
        <v>221231</v>
      </c>
      <c r="R38" s="13"/>
      <c r="S38" s="13"/>
      <c r="T38" s="13"/>
      <c r="U38" s="13"/>
      <c r="V38" s="13"/>
      <c r="W38" s="13"/>
      <c r="X38" s="13"/>
      <c r="Y38" s="13"/>
      <c r="AM38" s="38"/>
    </row>
    <row r="39" spans="1:39" s="37" customFormat="1" ht="26.4" x14ac:dyDescent="0.2">
      <c r="A39" s="119">
        <v>32</v>
      </c>
      <c r="B39" s="116" t="s">
        <v>14</v>
      </c>
      <c r="C39" s="118" t="s">
        <v>121</v>
      </c>
      <c r="D39" s="116" t="s">
        <v>122</v>
      </c>
      <c r="E39" s="116" t="s">
        <v>123</v>
      </c>
      <c r="F39" s="116" t="s">
        <v>124</v>
      </c>
      <c r="G39" s="14">
        <v>610898</v>
      </c>
      <c r="H39" s="14">
        <f>472328-5134</f>
        <v>467194</v>
      </c>
      <c r="I39" s="34">
        <v>40827</v>
      </c>
      <c r="J39" s="34">
        <v>39177</v>
      </c>
      <c r="K39" s="34">
        <v>38316</v>
      </c>
      <c r="L39" s="34">
        <v>37452</v>
      </c>
      <c r="M39" s="34">
        <v>36631</v>
      </c>
      <c r="N39" s="34">
        <v>35723</v>
      </c>
      <c r="O39" s="34">
        <v>34860</v>
      </c>
      <c r="P39" s="34">
        <v>435307</v>
      </c>
      <c r="Q39" s="35">
        <f t="shared" ref="Q39:Q96" si="1">SUM(I39:P39)</f>
        <v>698293</v>
      </c>
      <c r="R39" s="36"/>
      <c r="S39" s="36"/>
      <c r="T39" s="36"/>
      <c r="U39" s="36"/>
      <c r="V39" s="36"/>
      <c r="W39" s="36"/>
      <c r="X39" s="36"/>
      <c r="Y39" s="36"/>
      <c r="AM39" s="38"/>
    </row>
    <row r="40" spans="1:39" s="10" customFormat="1" ht="79.2" x14ac:dyDescent="0.25">
      <c r="A40" s="2">
        <v>33</v>
      </c>
      <c r="B40" s="15" t="s">
        <v>14</v>
      </c>
      <c r="C40" s="16" t="s">
        <v>479</v>
      </c>
      <c r="D40" s="15" t="s">
        <v>125</v>
      </c>
      <c r="E40" s="17" t="s">
        <v>126</v>
      </c>
      <c r="F40" s="17" t="s">
        <v>127</v>
      </c>
      <c r="G40" s="18">
        <v>663400</v>
      </c>
      <c r="H40" s="18">
        <f>204132-17011</f>
        <v>187121</v>
      </c>
      <c r="I40" s="19">
        <v>75980</v>
      </c>
      <c r="J40" s="19">
        <v>72612</v>
      </c>
      <c r="K40" s="19">
        <v>52739</v>
      </c>
      <c r="L40" s="19">
        <v>0</v>
      </c>
      <c r="M40" s="19">
        <v>0</v>
      </c>
      <c r="N40" s="19">
        <v>0</v>
      </c>
      <c r="O40" s="20">
        <v>0</v>
      </c>
      <c r="P40" s="19">
        <v>0</v>
      </c>
      <c r="Q40" s="21">
        <f t="shared" si="1"/>
        <v>201331</v>
      </c>
      <c r="R40" s="13"/>
      <c r="S40" s="13"/>
      <c r="T40" s="13"/>
      <c r="U40" s="13"/>
      <c r="V40" s="13"/>
      <c r="W40" s="13"/>
      <c r="X40" s="13"/>
      <c r="Y40" s="13"/>
      <c r="AM40" s="38"/>
    </row>
    <row r="41" spans="1:39" s="10" customFormat="1" ht="52.8" x14ac:dyDescent="0.2">
      <c r="A41" s="111">
        <v>34</v>
      </c>
      <c r="B41" s="110" t="s">
        <v>14</v>
      </c>
      <c r="C41" s="1" t="s">
        <v>128</v>
      </c>
      <c r="D41" s="110" t="s">
        <v>129</v>
      </c>
      <c r="E41" s="110" t="s">
        <v>130</v>
      </c>
      <c r="F41" s="110" t="s">
        <v>131</v>
      </c>
      <c r="G41" s="14">
        <v>693304</v>
      </c>
      <c r="H41" s="14">
        <f>427572-11556</f>
        <v>416016</v>
      </c>
      <c r="I41" s="29">
        <v>64645</v>
      </c>
      <c r="J41" s="29">
        <v>61483</v>
      </c>
      <c r="K41" s="29">
        <v>59527</v>
      </c>
      <c r="L41" s="29">
        <v>57583</v>
      </c>
      <c r="M41" s="29">
        <v>55661</v>
      </c>
      <c r="N41" s="29">
        <v>53691</v>
      </c>
      <c r="O41" s="29">
        <v>51748</v>
      </c>
      <c r="P41" s="29">
        <v>97790</v>
      </c>
      <c r="Q41" s="30">
        <f t="shared" si="1"/>
        <v>502128</v>
      </c>
      <c r="R41" s="13"/>
      <c r="S41" s="13"/>
      <c r="T41" s="13"/>
      <c r="U41" s="13"/>
      <c r="V41" s="13"/>
      <c r="W41" s="13"/>
      <c r="X41" s="13"/>
      <c r="Y41" s="13"/>
      <c r="AM41" s="38"/>
    </row>
    <row r="42" spans="1:39" s="10" customFormat="1" ht="39.6" x14ac:dyDescent="0.2">
      <c r="A42" s="2">
        <v>35</v>
      </c>
      <c r="B42" s="110" t="s">
        <v>14</v>
      </c>
      <c r="C42" s="1" t="s">
        <v>132</v>
      </c>
      <c r="D42" s="110" t="s">
        <v>133</v>
      </c>
      <c r="E42" s="110" t="s">
        <v>134</v>
      </c>
      <c r="F42" s="110" t="s">
        <v>135</v>
      </c>
      <c r="G42" s="14">
        <v>118952</v>
      </c>
      <c r="H42" s="14">
        <f>66561-2017</f>
        <v>64544</v>
      </c>
      <c r="I42" s="29">
        <v>10878</v>
      </c>
      <c r="J42" s="29">
        <v>10402</v>
      </c>
      <c r="K42" s="29">
        <v>10051</v>
      </c>
      <c r="L42" s="29">
        <v>9711</v>
      </c>
      <c r="M42" s="29">
        <v>9375</v>
      </c>
      <c r="N42" s="29">
        <v>9032</v>
      </c>
      <c r="O42" s="29">
        <v>8693</v>
      </c>
      <c r="P42" s="29">
        <v>8359</v>
      </c>
      <c r="Q42" s="30">
        <f t="shared" si="1"/>
        <v>76501</v>
      </c>
      <c r="R42" s="13"/>
      <c r="S42" s="13"/>
      <c r="T42" s="13"/>
      <c r="U42" s="13"/>
      <c r="V42" s="13"/>
      <c r="W42" s="13"/>
      <c r="X42" s="13"/>
      <c r="Y42" s="13"/>
      <c r="AM42" s="38"/>
    </row>
    <row r="43" spans="1:39" s="10" customFormat="1" ht="39.6" x14ac:dyDescent="0.2">
      <c r="A43" s="2">
        <v>36</v>
      </c>
      <c r="B43" s="110" t="s">
        <v>14</v>
      </c>
      <c r="C43" s="1" t="s">
        <v>136</v>
      </c>
      <c r="D43" s="110" t="s">
        <v>137</v>
      </c>
      <c r="E43" s="110" t="s">
        <v>138</v>
      </c>
      <c r="F43" s="110" t="s">
        <v>139</v>
      </c>
      <c r="G43" s="14">
        <v>400000</v>
      </c>
      <c r="H43" s="14">
        <f>304191-4167</f>
        <v>300024</v>
      </c>
      <c r="I43" s="29">
        <v>29088</v>
      </c>
      <c r="J43" s="29">
        <v>28575</v>
      </c>
      <c r="K43" s="29">
        <v>27771</v>
      </c>
      <c r="L43" s="29">
        <v>27070</v>
      </c>
      <c r="M43" s="29">
        <v>26394</v>
      </c>
      <c r="N43" s="29">
        <v>25667</v>
      </c>
      <c r="O43" s="29">
        <v>24966</v>
      </c>
      <c r="P43" s="29">
        <v>228463</v>
      </c>
      <c r="Q43" s="30">
        <f t="shared" si="1"/>
        <v>417994</v>
      </c>
      <c r="R43" s="13"/>
      <c r="S43" s="13"/>
      <c r="T43" s="13"/>
      <c r="U43" s="13"/>
      <c r="V43" s="13"/>
      <c r="W43" s="13"/>
      <c r="X43" s="13"/>
      <c r="Y43" s="13"/>
      <c r="AM43" s="31"/>
    </row>
    <row r="44" spans="1:39" s="10" customFormat="1" ht="66" x14ac:dyDescent="0.2">
      <c r="A44" s="2">
        <v>37</v>
      </c>
      <c r="B44" s="110" t="s">
        <v>14</v>
      </c>
      <c r="C44" s="1" t="s">
        <v>140</v>
      </c>
      <c r="D44" s="110" t="s">
        <v>141</v>
      </c>
      <c r="E44" s="110" t="s">
        <v>142</v>
      </c>
      <c r="F44" s="110" t="s">
        <v>143</v>
      </c>
      <c r="G44" s="14">
        <v>131949</v>
      </c>
      <c r="H44" s="14">
        <f>55209-1673</f>
        <v>53536</v>
      </c>
      <c r="I44" s="29">
        <v>8825</v>
      </c>
      <c r="J44" s="29">
        <v>8627</v>
      </c>
      <c r="K44" s="29">
        <v>8337</v>
      </c>
      <c r="L44" s="29">
        <v>8055</v>
      </c>
      <c r="M44" s="29">
        <v>7776</v>
      </c>
      <c r="N44" s="29">
        <v>7492</v>
      </c>
      <c r="O44" s="29">
        <v>7211</v>
      </c>
      <c r="P44" s="29">
        <v>6945</v>
      </c>
      <c r="Q44" s="30">
        <f t="shared" si="1"/>
        <v>63268</v>
      </c>
      <c r="R44" s="13"/>
      <c r="S44" s="13"/>
      <c r="T44" s="13"/>
      <c r="U44" s="13"/>
      <c r="V44" s="13"/>
      <c r="W44" s="13"/>
      <c r="X44" s="13"/>
      <c r="Y44" s="13"/>
      <c r="AM44" s="31"/>
    </row>
    <row r="45" spans="1:39" s="10" customFormat="1" ht="52.8" x14ac:dyDescent="0.2">
      <c r="A45" s="2">
        <v>38</v>
      </c>
      <c r="B45" s="110" t="s">
        <v>14</v>
      </c>
      <c r="C45" s="1" t="s">
        <v>499</v>
      </c>
      <c r="D45" s="110" t="s">
        <v>144</v>
      </c>
      <c r="E45" s="110" t="s">
        <v>142</v>
      </c>
      <c r="F45" s="110" t="s">
        <v>143</v>
      </c>
      <c r="G45" s="14">
        <v>117679</v>
      </c>
      <c r="H45" s="14">
        <f>40821-1237</f>
        <v>39584</v>
      </c>
      <c r="I45" s="29">
        <v>6525</v>
      </c>
      <c r="J45" s="29">
        <v>6378</v>
      </c>
      <c r="K45" s="29">
        <v>6164</v>
      </c>
      <c r="L45" s="29">
        <v>5956</v>
      </c>
      <c r="M45" s="29">
        <v>5750</v>
      </c>
      <c r="N45" s="29">
        <v>5539</v>
      </c>
      <c r="O45" s="29">
        <v>5331</v>
      </c>
      <c r="P45" s="29">
        <v>5137</v>
      </c>
      <c r="Q45" s="30">
        <f>SUM(I45:P45)</f>
        <v>46780</v>
      </c>
      <c r="R45" s="13"/>
      <c r="S45" s="13"/>
      <c r="T45" s="13"/>
      <c r="U45" s="13"/>
      <c r="V45" s="13"/>
      <c r="W45" s="13"/>
      <c r="X45" s="13"/>
      <c r="Y45" s="13"/>
      <c r="AM45" s="31"/>
    </row>
    <row r="46" spans="1:39" s="10" customFormat="1" ht="52.8" x14ac:dyDescent="0.2">
      <c r="A46" s="111">
        <v>39</v>
      </c>
      <c r="B46" s="110" t="s">
        <v>14</v>
      </c>
      <c r="C46" s="1" t="s">
        <v>145</v>
      </c>
      <c r="D46" s="110" t="s">
        <v>146</v>
      </c>
      <c r="E46" s="110" t="s">
        <v>147</v>
      </c>
      <c r="F46" s="110" t="s">
        <v>148</v>
      </c>
      <c r="G46" s="14">
        <v>95705</v>
      </c>
      <c r="H46" s="14">
        <f>21567-1659</f>
        <v>19908</v>
      </c>
      <c r="I46" s="29">
        <v>7401</v>
      </c>
      <c r="J46" s="29">
        <v>7142</v>
      </c>
      <c r="K46" s="29">
        <v>6869</v>
      </c>
      <c r="L46" s="29">
        <v>15</v>
      </c>
      <c r="M46" s="29"/>
      <c r="N46" s="29">
        <v>0</v>
      </c>
      <c r="O46" s="29">
        <v>0</v>
      </c>
      <c r="P46" s="29">
        <v>0</v>
      </c>
      <c r="Q46" s="30">
        <f t="shared" si="1"/>
        <v>21427</v>
      </c>
      <c r="R46" s="13"/>
      <c r="S46" s="13"/>
      <c r="T46" s="13"/>
      <c r="U46" s="13"/>
      <c r="V46" s="13"/>
      <c r="W46" s="13"/>
      <c r="X46" s="13"/>
      <c r="Y46" s="13"/>
      <c r="AM46" s="31"/>
    </row>
    <row r="47" spans="1:39" s="10" customFormat="1" ht="52.8" x14ac:dyDescent="0.2">
      <c r="A47" s="2">
        <v>40</v>
      </c>
      <c r="B47" s="110" t="s">
        <v>14</v>
      </c>
      <c r="C47" s="1" t="s">
        <v>149</v>
      </c>
      <c r="D47" s="110" t="s">
        <v>150</v>
      </c>
      <c r="E47" s="110" t="s">
        <v>147</v>
      </c>
      <c r="F47" s="110" t="s">
        <v>127</v>
      </c>
      <c r="G47" s="14">
        <v>92003</v>
      </c>
      <c r="H47" s="14">
        <f>19212-1601</f>
        <v>17611</v>
      </c>
      <c r="I47" s="29">
        <v>7078</v>
      </c>
      <c r="J47" s="29">
        <v>6826</v>
      </c>
      <c r="K47" s="29">
        <v>4961</v>
      </c>
      <c r="L47" s="29">
        <v>0</v>
      </c>
      <c r="M47" s="29">
        <v>0</v>
      </c>
      <c r="N47" s="29">
        <v>0</v>
      </c>
      <c r="O47" s="29">
        <v>0</v>
      </c>
      <c r="P47" s="29">
        <v>0</v>
      </c>
      <c r="Q47" s="30">
        <f t="shared" si="1"/>
        <v>18865</v>
      </c>
      <c r="R47" s="13"/>
      <c r="S47" s="13"/>
      <c r="T47" s="13"/>
      <c r="U47" s="13"/>
      <c r="V47" s="13"/>
      <c r="W47" s="13"/>
      <c r="X47" s="13"/>
      <c r="Y47" s="13"/>
      <c r="AM47" s="31"/>
    </row>
    <row r="48" spans="1:39" s="10" customFormat="1" ht="79.2" x14ac:dyDescent="0.2">
      <c r="A48" s="2">
        <v>41</v>
      </c>
      <c r="B48" s="110" t="s">
        <v>14</v>
      </c>
      <c r="C48" s="1" t="s">
        <v>151</v>
      </c>
      <c r="D48" s="110" t="s">
        <v>152</v>
      </c>
      <c r="E48" s="110" t="s">
        <v>153</v>
      </c>
      <c r="F48" s="110" t="s">
        <v>154</v>
      </c>
      <c r="G48" s="14">
        <v>238827</v>
      </c>
      <c r="H48" s="14">
        <f>167508-3102</f>
        <v>164406</v>
      </c>
      <c r="I48" s="29">
        <v>18975</v>
      </c>
      <c r="J48" s="29">
        <v>18622</v>
      </c>
      <c r="K48" s="29">
        <v>18120</v>
      </c>
      <c r="L48" s="29">
        <v>17605</v>
      </c>
      <c r="M48" s="29">
        <v>17102</v>
      </c>
      <c r="N48" s="29">
        <v>16574</v>
      </c>
      <c r="O48" s="29">
        <v>16060</v>
      </c>
      <c r="P48" s="29">
        <v>88750</v>
      </c>
      <c r="Q48" s="30">
        <f t="shared" si="1"/>
        <v>211808</v>
      </c>
      <c r="R48" s="13"/>
      <c r="S48" s="13"/>
      <c r="T48" s="13"/>
      <c r="U48" s="13"/>
      <c r="V48" s="13"/>
      <c r="W48" s="13"/>
      <c r="X48" s="13"/>
      <c r="Y48" s="13"/>
      <c r="AM48" s="31"/>
    </row>
    <row r="49" spans="1:39" s="10" customFormat="1" ht="39.6" x14ac:dyDescent="0.2">
      <c r="A49" s="2">
        <v>42</v>
      </c>
      <c r="B49" s="110" t="s">
        <v>14</v>
      </c>
      <c r="C49" s="1" t="s">
        <v>136</v>
      </c>
      <c r="D49" s="110" t="s">
        <v>155</v>
      </c>
      <c r="E49" s="110" t="s">
        <v>156</v>
      </c>
      <c r="F49" s="110" t="s">
        <v>157</v>
      </c>
      <c r="G49" s="14">
        <v>399990</v>
      </c>
      <c r="H49" s="14">
        <f>332630-4495</f>
        <v>328135</v>
      </c>
      <c r="I49" s="29">
        <v>31231</v>
      </c>
      <c r="J49" s="29">
        <v>30536</v>
      </c>
      <c r="K49" s="29">
        <v>29668</v>
      </c>
      <c r="L49" s="29">
        <v>28941</v>
      </c>
      <c r="M49" s="29">
        <v>28241</v>
      </c>
      <c r="N49" s="29">
        <v>27487</v>
      </c>
      <c r="O49" s="29">
        <v>26761</v>
      </c>
      <c r="P49" s="29">
        <v>251112</v>
      </c>
      <c r="Q49" s="30">
        <f t="shared" si="1"/>
        <v>453977</v>
      </c>
      <c r="R49" s="13"/>
      <c r="S49" s="13"/>
      <c r="T49" s="13"/>
      <c r="U49" s="13"/>
      <c r="V49" s="13"/>
      <c r="W49" s="13"/>
      <c r="X49" s="13"/>
      <c r="Y49" s="13"/>
      <c r="AM49" s="31"/>
    </row>
    <row r="50" spans="1:39" s="37" customFormat="1" ht="79.2" x14ac:dyDescent="0.2">
      <c r="A50" s="117">
        <v>43</v>
      </c>
      <c r="B50" s="116" t="s">
        <v>14</v>
      </c>
      <c r="C50" s="118" t="s">
        <v>158</v>
      </c>
      <c r="D50" s="116" t="s">
        <v>159</v>
      </c>
      <c r="E50" s="116" t="s">
        <v>160</v>
      </c>
      <c r="F50" s="116" t="s">
        <v>161</v>
      </c>
      <c r="G50" s="14">
        <v>4102470</v>
      </c>
      <c r="H50" s="14">
        <f>3543120-37296</f>
        <v>3505824</v>
      </c>
      <c r="I50" s="34">
        <v>293272</v>
      </c>
      <c r="J50" s="34">
        <v>284463</v>
      </c>
      <c r="K50" s="34">
        <v>277787</v>
      </c>
      <c r="L50" s="34">
        <v>271758</v>
      </c>
      <c r="M50" s="34">
        <v>266039</v>
      </c>
      <c r="N50" s="34">
        <v>259693</v>
      </c>
      <c r="O50" s="34">
        <v>253668</v>
      </c>
      <c r="P50" s="34">
        <v>3316565</v>
      </c>
      <c r="Q50" s="35">
        <f t="shared" si="1"/>
        <v>5223245</v>
      </c>
      <c r="R50" s="36"/>
      <c r="S50" s="36"/>
      <c r="T50" s="36"/>
      <c r="U50" s="36"/>
      <c r="V50" s="36"/>
      <c r="W50" s="36"/>
      <c r="X50" s="36"/>
      <c r="Y50" s="36"/>
      <c r="AM50" s="31"/>
    </row>
    <row r="51" spans="1:39" s="10" customFormat="1" ht="52.8" x14ac:dyDescent="0.2">
      <c r="A51" s="2">
        <v>44</v>
      </c>
      <c r="B51" s="110" t="s">
        <v>14</v>
      </c>
      <c r="C51" s="1" t="s">
        <v>162</v>
      </c>
      <c r="D51" s="110" t="s">
        <v>163</v>
      </c>
      <c r="E51" s="110" t="s">
        <v>164</v>
      </c>
      <c r="F51" s="110" t="s">
        <v>131</v>
      </c>
      <c r="G51" s="14">
        <v>1100000</v>
      </c>
      <c r="H51" s="14">
        <f>678358-18334</f>
        <v>660024</v>
      </c>
      <c r="I51" s="29">
        <v>100905</v>
      </c>
      <c r="J51" s="29">
        <v>97519</v>
      </c>
      <c r="K51" s="29">
        <v>94442</v>
      </c>
      <c r="L51" s="29">
        <v>91357</v>
      </c>
      <c r="M51" s="29">
        <v>88308</v>
      </c>
      <c r="N51" s="29">
        <v>85183</v>
      </c>
      <c r="O51" s="29">
        <v>82101</v>
      </c>
      <c r="P51" s="29">
        <v>155146</v>
      </c>
      <c r="Q51" s="30">
        <f t="shared" si="1"/>
        <v>794961</v>
      </c>
      <c r="R51" s="13"/>
      <c r="S51" s="13"/>
      <c r="T51" s="13"/>
      <c r="U51" s="13"/>
      <c r="V51" s="13"/>
      <c r="W51" s="13"/>
      <c r="X51" s="13"/>
      <c r="Y51" s="13"/>
      <c r="AM51" s="31"/>
    </row>
    <row r="52" spans="1:39" s="10" customFormat="1" ht="39.6" x14ac:dyDescent="0.2">
      <c r="A52" s="2">
        <v>45</v>
      </c>
      <c r="B52" s="110" t="s">
        <v>14</v>
      </c>
      <c r="C52" s="1" t="s">
        <v>165</v>
      </c>
      <c r="D52" s="110" t="s">
        <v>166</v>
      </c>
      <c r="E52" s="110" t="s">
        <v>167</v>
      </c>
      <c r="F52" s="110" t="s">
        <v>168</v>
      </c>
      <c r="G52" s="14">
        <v>574514</v>
      </c>
      <c r="H52" s="14">
        <f>444225-5923</f>
        <v>438302</v>
      </c>
      <c r="I52" s="29">
        <v>42505</v>
      </c>
      <c r="J52" s="29">
        <v>40966</v>
      </c>
      <c r="K52" s="29">
        <v>39972</v>
      </c>
      <c r="L52" s="29">
        <v>38975</v>
      </c>
      <c r="M52" s="29">
        <v>38016</v>
      </c>
      <c r="N52" s="29">
        <v>36981</v>
      </c>
      <c r="O52" s="29">
        <v>35985</v>
      </c>
      <c r="P52" s="29">
        <v>342362</v>
      </c>
      <c r="Q52" s="30">
        <f t="shared" si="1"/>
        <v>615762</v>
      </c>
      <c r="R52" s="13"/>
      <c r="S52" s="13"/>
      <c r="T52" s="13"/>
      <c r="U52" s="13"/>
      <c r="V52" s="13"/>
      <c r="W52" s="13"/>
      <c r="X52" s="13"/>
      <c r="Y52" s="13"/>
      <c r="AM52" s="31"/>
    </row>
    <row r="53" spans="1:39" s="10" customFormat="1" ht="26.4" x14ac:dyDescent="0.2">
      <c r="A53" s="2">
        <v>46</v>
      </c>
      <c r="B53" s="110" t="s">
        <v>14</v>
      </c>
      <c r="C53" s="1" t="s">
        <v>169</v>
      </c>
      <c r="D53" s="110" t="s">
        <v>170</v>
      </c>
      <c r="E53" s="110" t="s">
        <v>167</v>
      </c>
      <c r="F53" s="110" t="s">
        <v>171</v>
      </c>
      <c r="G53" s="14">
        <v>642766</v>
      </c>
      <c r="H53" s="14">
        <f>526490-5542</f>
        <v>520948</v>
      </c>
      <c r="I53" s="29">
        <v>44568</v>
      </c>
      <c r="J53" s="29">
        <v>42990</v>
      </c>
      <c r="K53" s="29">
        <v>42060</v>
      </c>
      <c r="L53" s="29">
        <v>41127</v>
      </c>
      <c r="M53" s="29">
        <v>40243</v>
      </c>
      <c r="N53" s="29">
        <v>39261</v>
      </c>
      <c r="O53" s="29">
        <v>38329</v>
      </c>
      <c r="P53" s="29">
        <v>498062</v>
      </c>
      <c r="Q53" s="30">
        <f t="shared" si="1"/>
        <v>786640</v>
      </c>
      <c r="R53" s="13"/>
      <c r="S53" s="13"/>
      <c r="T53" s="13"/>
      <c r="U53" s="13"/>
      <c r="V53" s="13"/>
      <c r="W53" s="13"/>
      <c r="X53" s="13"/>
      <c r="Y53" s="13"/>
      <c r="AM53" s="31"/>
    </row>
    <row r="54" spans="1:39" s="10" customFormat="1" ht="79.2" x14ac:dyDescent="0.2">
      <c r="A54" s="2">
        <v>47</v>
      </c>
      <c r="B54" s="110" t="s">
        <v>14</v>
      </c>
      <c r="C54" s="1" t="s">
        <v>172</v>
      </c>
      <c r="D54" s="110" t="s">
        <v>173</v>
      </c>
      <c r="E54" s="110" t="s">
        <v>167</v>
      </c>
      <c r="F54" s="110" t="s">
        <v>174</v>
      </c>
      <c r="G54" s="14">
        <v>238305</v>
      </c>
      <c r="H54" s="14">
        <f>169785-3087</f>
        <v>166698</v>
      </c>
      <c r="I54" s="29">
        <v>19481</v>
      </c>
      <c r="J54" s="29">
        <v>18755</v>
      </c>
      <c r="K54" s="29">
        <v>18238</v>
      </c>
      <c r="L54" s="29">
        <v>17718</v>
      </c>
      <c r="M54" s="29">
        <v>17211</v>
      </c>
      <c r="N54" s="29">
        <v>16679</v>
      </c>
      <c r="O54" s="29">
        <v>16160</v>
      </c>
      <c r="P54" s="29">
        <v>92427</v>
      </c>
      <c r="Q54" s="30">
        <f t="shared" si="1"/>
        <v>216669</v>
      </c>
      <c r="R54" s="13"/>
      <c r="S54" s="13"/>
      <c r="T54" s="13"/>
      <c r="U54" s="13"/>
      <c r="V54" s="13"/>
      <c r="W54" s="13"/>
      <c r="X54" s="13"/>
      <c r="Y54" s="13"/>
      <c r="AM54" s="31"/>
    </row>
    <row r="55" spans="1:39" s="10" customFormat="1" ht="39.6" x14ac:dyDescent="0.2">
      <c r="A55" s="111">
        <v>48</v>
      </c>
      <c r="B55" s="110" t="s">
        <v>14</v>
      </c>
      <c r="C55" s="1" t="s">
        <v>175</v>
      </c>
      <c r="D55" s="110" t="s">
        <v>176</v>
      </c>
      <c r="E55" s="110" t="s">
        <v>167</v>
      </c>
      <c r="F55" s="110" t="s">
        <v>171</v>
      </c>
      <c r="G55" s="14">
        <v>772384</v>
      </c>
      <c r="H55" s="14">
        <f>627190-6602</f>
        <v>620588</v>
      </c>
      <c r="I55" s="29">
        <v>53092</v>
      </c>
      <c r="J55" s="29">
        <v>51212</v>
      </c>
      <c r="K55" s="29">
        <v>50104</v>
      </c>
      <c r="L55" s="29">
        <v>48994</v>
      </c>
      <c r="M55" s="29">
        <v>47940</v>
      </c>
      <c r="N55" s="29">
        <v>46770</v>
      </c>
      <c r="O55" s="29">
        <v>45660</v>
      </c>
      <c r="P55" s="29">
        <v>593326</v>
      </c>
      <c r="Q55" s="30">
        <f t="shared" si="1"/>
        <v>937098</v>
      </c>
      <c r="R55" s="13"/>
      <c r="S55" s="13"/>
      <c r="T55" s="13"/>
      <c r="U55" s="13"/>
      <c r="V55" s="13"/>
      <c r="W55" s="13"/>
      <c r="X55" s="13"/>
      <c r="Y55" s="13"/>
      <c r="AM55" s="31"/>
    </row>
    <row r="56" spans="1:39" s="10" customFormat="1" ht="52.8" x14ac:dyDescent="0.2">
      <c r="A56" s="2">
        <v>49</v>
      </c>
      <c r="B56" s="110" t="s">
        <v>14</v>
      </c>
      <c r="C56" s="1" t="s">
        <v>177</v>
      </c>
      <c r="D56" s="110" t="s">
        <v>178</v>
      </c>
      <c r="E56" s="110" t="s">
        <v>179</v>
      </c>
      <c r="F56" s="110" t="s">
        <v>180</v>
      </c>
      <c r="G56" s="14">
        <v>831260</v>
      </c>
      <c r="H56" s="14">
        <f>693984-7229</f>
        <v>686755</v>
      </c>
      <c r="I56" s="29">
        <v>58447</v>
      </c>
      <c r="J56" s="29">
        <v>56380</v>
      </c>
      <c r="K56" s="29">
        <v>55167</v>
      </c>
      <c r="L56" s="29">
        <v>53950</v>
      </c>
      <c r="M56" s="29">
        <v>52797</v>
      </c>
      <c r="N56" s="29">
        <v>51516</v>
      </c>
      <c r="O56" s="29">
        <v>50300</v>
      </c>
      <c r="P56" s="29">
        <v>662014</v>
      </c>
      <c r="Q56" s="30">
        <f t="shared" si="1"/>
        <v>1040571</v>
      </c>
      <c r="R56" s="13"/>
      <c r="S56" s="13"/>
      <c r="T56" s="13"/>
      <c r="U56" s="13"/>
      <c r="V56" s="13"/>
      <c r="W56" s="13"/>
      <c r="X56" s="13"/>
      <c r="Y56" s="13"/>
      <c r="AM56" s="31"/>
    </row>
    <row r="57" spans="1:39" s="10" customFormat="1" ht="79.2" x14ac:dyDescent="0.2">
      <c r="A57" s="2">
        <v>50</v>
      </c>
      <c r="B57" s="110" t="s">
        <v>14</v>
      </c>
      <c r="C57" s="1" t="s">
        <v>181</v>
      </c>
      <c r="D57" s="110" t="s">
        <v>182</v>
      </c>
      <c r="E57" s="110" t="s">
        <v>183</v>
      </c>
      <c r="F57" s="110" t="s">
        <v>184</v>
      </c>
      <c r="G57" s="14">
        <v>828319</v>
      </c>
      <c r="H57" s="14">
        <f>528960-5510</f>
        <v>523450</v>
      </c>
      <c r="I57" s="29">
        <v>45036</v>
      </c>
      <c r="J57" s="29">
        <v>42973</v>
      </c>
      <c r="K57" s="29">
        <v>42049</v>
      </c>
      <c r="L57" s="29">
        <v>41121</v>
      </c>
      <c r="M57" s="29">
        <v>40243</v>
      </c>
      <c r="N57" s="29">
        <v>39266</v>
      </c>
      <c r="O57" s="29">
        <v>38340</v>
      </c>
      <c r="P57" s="29">
        <v>504610</v>
      </c>
      <c r="Q57" s="30">
        <f t="shared" si="1"/>
        <v>793638</v>
      </c>
      <c r="R57" s="13"/>
      <c r="S57" s="13"/>
      <c r="T57" s="13"/>
      <c r="U57" s="13"/>
      <c r="V57" s="13"/>
      <c r="W57" s="13"/>
      <c r="X57" s="13"/>
      <c r="Y57" s="13"/>
      <c r="AM57" s="31"/>
    </row>
    <row r="58" spans="1:39" s="10" customFormat="1" ht="52.8" x14ac:dyDescent="0.2">
      <c r="A58" s="2">
        <v>51</v>
      </c>
      <c r="B58" s="110" t="s">
        <v>14</v>
      </c>
      <c r="C58" s="1" t="s">
        <v>185</v>
      </c>
      <c r="D58" s="110" t="s">
        <v>186</v>
      </c>
      <c r="E58" s="110" t="s">
        <v>183</v>
      </c>
      <c r="F58" s="110" t="s">
        <v>55</v>
      </c>
      <c r="G58" s="14">
        <v>129372</v>
      </c>
      <c r="H58" s="14">
        <f>19168-4792</f>
        <v>14376</v>
      </c>
      <c r="I58" s="29">
        <v>14863</v>
      </c>
      <c r="J58" s="29">
        <v>0</v>
      </c>
      <c r="K58" s="29">
        <v>0</v>
      </c>
      <c r="L58" s="29">
        <v>0</v>
      </c>
      <c r="M58" s="29">
        <v>0</v>
      </c>
      <c r="N58" s="29">
        <v>0</v>
      </c>
      <c r="O58" s="29">
        <v>0</v>
      </c>
      <c r="P58" s="29">
        <v>0</v>
      </c>
      <c r="Q58" s="30">
        <f t="shared" si="1"/>
        <v>14863</v>
      </c>
      <c r="R58" s="13"/>
      <c r="S58" s="13"/>
      <c r="T58" s="13"/>
      <c r="U58" s="13"/>
      <c r="V58" s="13"/>
      <c r="W58" s="13"/>
      <c r="X58" s="13"/>
      <c r="Y58" s="13"/>
      <c r="AM58" s="31"/>
    </row>
    <row r="59" spans="1:39" s="10" customFormat="1" ht="26.4" x14ac:dyDescent="0.2">
      <c r="A59" s="111">
        <v>52</v>
      </c>
      <c r="B59" s="110" t="s">
        <v>14</v>
      </c>
      <c r="C59" s="1" t="s">
        <v>187</v>
      </c>
      <c r="D59" s="110" t="s">
        <v>188</v>
      </c>
      <c r="E59" s="110" t="s">
        <v>189</v>
      </c>
      <c r="F59" s="110" t="s">
        <v>190</v>
      </c>
      <c r="G59" s="14">
        <v>274947</v>
      </c>
      <c r="H59" s="14">
        <f>177785-4805</f>
        <v>172980</v>
      </c>
      <c r="I59" s="29">
        <v>26685</v>
      </c>
      <c r="J59" s="29">
        <v>25578</v>
      </c>
      <c r="K59" s="29">
        <v>24752</v>
      </c>
      <c r="L59" s="29">
        <v>23943</v>
      </c>
      <c r="M59" s="29">
        <v>23144</v>
      </c>
      <c r="N59" s="29">
        <v>22325</v>
      </c>
      <c r="O59" s="29">
        <v>21517</v>
      </c>
      <c r="P59" s="29">
        <v>40626</v>
      </c>
      <c r="Q59" s="30">
        <f t="shared" si="1"/>
        <v>208570</v>
      </c>
      <c r="R59" s="13"/>
      <c r="S59" s="13"/>
      <c r="T59" s="13"/>
      <c r="U59" s="13"/>
      <c r="V59" s="13"/>
      <c r="W59" s="13"/>
      <c r="X59" s="13"/>
      <c r="Y59" s="13"/>
      <c r="AM59" s="31"/>
    </row>
    <row r="60" spans="1:39" s="10" customFormat="1" ht="66" x14ac:dyDescent="0.2">
      <c r="A60" s="2">
        <v>53</v>
      </c>
      <c r="B60" s="110" t="s">
        <v>14</v>
      </c>
      <c r="C60" s="1" t="s">
        <v>191</v>
      </c>
      <c r="D60" s="110" t="s">
        <v>192</v>
      </c>
      <c r="E60" s="110" t="s">
        <v>193</v>
      </c>
      <c r="F60" s="110" t="s">
        <v>194</v>
      </c>
      <c r="G60" s="14">
        <v>995818</v>
      </c>
      <c r="H60" s="14">
        <f>95487-4547</f>
        <v>90940</v>
      </c>
      <c r="I60" s="29">
        <v>22093</v>
      </c>
      <c r="J60" s="29">
        <v>21144</v>
      </c>
      <c r="K60" s="29">
        <v>20365</v>
      </c>
      <c r="L60" s="29">
        <v>19599</v>
      </c>
      <c r="M60" s="29">
        <v>18835</v>
      </c>
      <c r="N60" s="29">
        <v>42</v>
      </c>
      <c r="O60" s="29">
        <v>0</v>
      </c>
      <c r="P60" s="29">
        <v>0</v>
      </c>
      <c r="Q60" s="30">
        <f t="shared" si="1"/>
        <v>102078</v>
      </c>
      <c r="R60" s="13"/>
      <c r="S60" s="13"/>
      <c r="T60" s="13"/>
      <c r="U60" s="13"/>
      <c r="V60" s="13"/>
      <c r="W60" s="13"/>
      <c r="X60" s="13"/>
      <c r="Y60" s="13"/>
      <c r="AM60" s="31"/>
    </row>
    <row r="61" spans="1:39" s="10" customFormat="1" ht="39.6" x14ac:dyDescent="0.2">
      <c r="A61" s="2">
        <v>54</v>
      </c>
      <c r="B61" s="110" t="s">
        <v>14</v>
      </c>
      <c r="C61" s="1" t="s">
        <v>195</v>
      </c>
      <c r="D61" s="110" t="s">
        <v>196</v>
      </c>
      <c r="E61" s="110" t="s">
        <v>197</v>
      </c>
      <c r="F61" s="110" t="s">
        <v>131</v>
      </c>
      <c r="G61" s="14">
        <v>303578</v>
      </c>
      <c r="H61" s="14">
        <f>200614-5422</f>
        <v>195192</v>
      </c>
      <c r="I61" s="29">
        <v>29500</v>
      </c>
      <c r="J61" s="29">
        <v>28874</v>
      </c>
      <c r="K61" s="29">
        <v>27930</v>
      </c>
      <c r="L61" s="29">
        <v>27018</v>
      </c>
      <c r="M61" s="29">
        <v>26116</v>
      </c>
      <c r="N61" s="29">
        <v>25192</v>
      </c>
      <c r="O61" s="29">
        <v>24280</v>
      </c>
      <c r="P61" s="29">
        <v>45881</v>
      </c>
      <c r="Q61" s="30">
        <f t="shared" si="1"/>
        <v>234791</v>
      </c>
      <c r="R61" s="13"/>
      <c r="S61" s="13"/>
      <c r="T61" s="13"/>
      <c r="U61" s="13"/>
      <c r="V61" s="13"/>
      <c r="W61" s="13"/>
      <c r="X61" s="13"/>
      <c r="Y61" s="13"/>
      <c r="AM61" s="31"/>
    </row>
    <row r="62" spans="1:39" s="10" customFormat="1" ht="66" x14ac:dyDescent="0.2">
      <c r="A62" s="2">
        <v>55</v>
      </c>
      <c r="B62" s="110" t="s">
        <v>14</v>
      </c>
      <c r="C62" s="1" t="s">
        <v>500</v>
      </c>
      <c r="D62" s="110" t="s">
        <v>198</v>
      </c>
      <c r="E62" s="110" t="s">
        <v>199</v>
      </c>
      <c r="F62" s="110" t="s">
        <v>200</v>
      </c>
      <c r="G62" s="14">
        <v>1987144</v>
      </c>
      <c r="H62" s="14">
        <f>1536522-19699</f>
        <v>1516823</v>
      </c>
      <c r="I62" s="29">
        <v>140301</v>
      </c>
      <c r="J62" s="29">
        <v>137723</v>
      </c>
      <c r="K62" s="29">
        <v>134687</v>
      </c>
      <c r="L62" s="29">
        <v>131415</v>
      </c>
      <c r="M62" s="29">
        <v>128274</v>
      </c>
      <c r="N62" s="29">
        <v>124868</v>
      </c>
      <c r="O62" s="29">
        <v>121599</v>
      </c>
      <c r="P62" s="29">
        <v>1224641</v>
      </c>
      <c r="Q62" s="30">
        <f t="shared" si="1"/>
        <v>2143508</v>
      </c>
      <c r="R62" s="13"/>
      <c r="S62" s="13"/>
      <c r="T62" s="13"/>
      <c r="U62" s="13"/>
      <c r="V62" s="13"/>
      <c r="W62" s="13"/>
      <c r="X62" s="13"/>
      <c r="Y62" s="13"/>
      <c r="AM62" s="31"/>
    </row>
    <row r="63" spans="1:39" s="10" customFormat="1" ht="66" x14ac:dyDescent="0.2">
      <c r="A63" s="2">
        <v>56</v>
      </c>
      <c r="B63" s="110" t="s">
        <v>14</v>
      </c>
      <c r="C63" s="1" t="s">
        <v>286</v>
      </c>
      <c r="D63" s="110" t="s">
        <v>201</v>
      </c>
      <c r="E63" s="110" t="s">
        <v>202</v>
      </c>
      <c r="F63" s="110" t="s">
        <v>203</v>
      </c>
      <c r="G63" s="14">
        <v>1011655</v>
      </c>
      <c r="H63" s="14">
        <f>323829-3271</f>
        <v>320558</v>
      </c>
      <c r="I63" s="29">
        <v>26207</v>
      </c>
      <c r="J63" s="29">
        <v>25489</v>
      </c>
      <c r="K63" s="29">
        <v>24891</v>
      </c>
      <c r="L63" s="29">
        <v>24363</v>
      </c>
      <c r="M63" s="29">
        <v>23862</v>
      </c>
      <c r="N63" s="29">
        <v>23304</v>
      </c>
      <c r="O63" s="29">
        <v>22776</v>
      </c>
      <c r="P63" s="29">
        <v>313130</v>
      </c>
      <c r="Q63" s="30">
        <f t="shared" si="1"/>
        <v>484022</v>
      </c>
      <c r="R63" s="13"/>
      <c r="S63" s="13"/>
      <c r="T63" s="13"/>
      <c r="U63" s="13"/>
      <c r="V63" s="13"/>
      <c r="W63" s="13"/>
      <c r="X63" s="13"/>
      <c r="Y63" s="13"/>
      <c r="AM63" s="31"/>
    </row>
    <row r="64" spans="1:39" s="10" customFormat="1" ht="39.6" x14ac:dyDescent="0.2">
      <c r="A64" s="111">
        <v>57</v>
      </c>
      <c r="B64" s="110" t="s">
        <v>14</v>
      </c>
      <c r="C64" s="1" t="s">
        <v>204</v>
      </c>
      <c r="D64" s="110" t="s">
        <v>205</v>
      </c>
      <c r="E64" s="110" t="s">
        <v>206</v>
      </c>
      <c r="F64" s="110" t="s">
        <v>207</v>
      </c>
      <c r="G64" s="14">
        <v>228362</v>
      </c>
      <c r="H64" s="14">
        <f>200502-2538</f>
        <v>197964</v>
      </c>
      <c r="I64" s="29">
        <v>18243</v>
      </c>
      <c r="J64" s="29">
        <v>17716</v>
      </c>
      <c r="K64" s="29">
        <v>17264</v>
      </c>
      <c r="L64" s="29">
        <v>16853</v>
      </c>
      <c r="M64" s="29">
        <v>16460</v>
      </c>
      <c r="N64" s="29">
        <v>16032</v>
      </c>
      <c r="O64" s="29">
        <v>15622</v>
      </c>
      <c r="P64" s="29">
        <v>160725</v>
      </c>
      <c r="Q64" s="30">
        <f t="shared" si="1"/>
        <v>278915</v>
      </c>
      <c r="R64" s="13"/>
      <c r="S64" s="13"/>
      <c r="T64" s="13"/>
      <c r="U64" s="13"/>
      <c r="V64" s="13"/>
      <c r="W64" s="13"/>
      <c r="X64" s="13"/>
      <c r="Y64" s="13"/>
      <c r="AM64" s="31"/>
    </row>
    <row r="65" spans="1:39" s="10" customFormat="1" ht="52.8" x14ac:dyDescent="0.2">
      <c r="A65" s="2">
        <v>58</v>
      </c>
      <c r="B65" s="110" t="s">
        <v>14</v>
      </c>
      <c r="C65" s="1" t="s">
        <v>208</v>
      </c>
      <c r="D65" s="110" t="s">
        <v>209</v>
      </c>
      <c r="E65" s="110" t="s">
        <v>210</v>
      </c>
      <c r="F65" s="110" t="s">
        <v>194</v>
      </c>
      <c r="G65" s="14">
        <v>400000</v>
      </c>
      <c r="H65" s="14">
        <v>200000</v>
      </c>
      <c r="I65" s="29">
        <v>47936</v>
      </c>
      <c r="J65" s="29">
        <v>46203</v>
      </c>
      <c r="K65" s="29">
        <v>44605</v>
      </c>
      <c r="L65" s="29">
        <v>42986</v>
      </c>
      <c r="M65" s="29">
        <v>41368</v>
      </c>
      <c r="N65" s="29">
        <v>89</v>
      </c>
      <c r="O65" s="29">
        <v>0</v>
      </c>
      <c r="P65" s="29">
        <v>0</v>
      </c>
      <c r="Q65" s="30">
        <f t="shared" si="1"/>
        <v>223187</v>
      </c>
      <c r="R65" s="13"/>
      <c r="S65" s="13"/>
      <c r="T65" s="13"/>
      <c r="U65" s="13"/>
      <c r="V65" s="13"/>
      <c r="W65" s="13"/>
      <c r="X65" s="13"/>
      <c r="Y65" s="13"/>
      <c r="AM65" s="31"/>
    </row>
    <row r="66" spans="1:39" s="10" customFormat="1" ht="66" x14ac:dyDescent="0.2">
      <c r="A66" s="2">
        <v>59</v>
      </c>
      <c r="B66" s="110" t="s">
        <v>14</v>
      </c>
      <c r="C66" s="1" t="s">
        <v>480</v>
      </c>
      <c r="D66" s="110" t="s">
        <v>211</v>
      </c>
      <c r="E66" s="110" t="s">
        <v>212</v>
      </c>
      <c r="F66" s="110" t="s">
        <v>213</v>
      </c>
      <c r="G66" s="14">
        <v>78281</v>
      </c>
      <c r="H66" s="14">
        <f>10575-2115</f>
        <v>8460</v>
      </c>
      <c r="I66" s="29">
        <v>8759</v>
      </c>
      <c r="J66" s="29">
        <v>19</v>
      </c>
      <c r="K66" s="29">
        <v>0</v>
      </c>
      <c r="L66" s="29">
        <v>0</v>
      </c>
      <c r="M66" s="29">
        <v>0</v>
      </c>
      <c r="N66" s="29">
        <v>0</v>
      </c>
      <c r="O66" s="29">
        <v>0</v>
      </c>
      <c r="P66" s="29">
        <v>0</v>
      </c>
      <c r="Q66" s="30">
        <f t="shared" si="1"/>
        <v>8778</v>
      </c>
      <c r="R66" s="13"/>
      <c r="S66" s="13"/>
      <c r="T66" s="13"/>
      <c r="U66" s="13"/>
      <c r="V66" s="13"/>
      <c r="W66" s="13"/>
      <c r="X66" s="13"/>
      <c r="Y66" s="13"/>
      <c r="AM66" s="31"/>
    </row>
    <row r="67" spans="1:39" s="10" customFormat="1" ht="66" x14ac:dyDescent="0.2">
      <c r="A67" s="2">
        <v>60</v>
      </c>
      <c r="B67" s="110" t="s">
        <v>14</v>
      </c>
      <c r="C67" s="1" t="s">
        <v>481</v>
      </c>
      <c r="D67" s="110" t="s">
        <v>214</v>
      </c>
      <c r="E67" s="110" t="s">
        <v>212</v>
      </c>
      <c r="F67" s="110" t="s">
        <v>215</v>
      </c>
      <c r="G67" s="14">
        <v>277402</v>
      </c>
      <c r="H67" s="14">
        <f>40833-1047</f>
        <v>39786</v>
      </c>
      <c r="I67" s="29">
        <v>5822</v>
      </c>
      <c r="J67" s="29">
        <v>5608</v>
      </c>
      <c r="K67" s="29">
        <v>5432</v>
      </c>
      <c r="L67" s="29">
        <v>5263</v>
      </c>
      <c r="M67" s="29">
        <v>5096</v>
      </c>
      <c r="N67" s="29">
        <v>4924</v>
      </c>
      <c r="O67" s="29">
        <v>4754</v>
      </c>
      <c r="P67" s="29">
        <v>11151</v>
      </c>
      <c r="Q67" s="30">
        <f t="shared" si="1"/>
        <v>48050</v>
      </c>
      <c r="R67" s="13"/>
      <c r="S67" s="13"/>
      <c r="T67" s="13"/>
      <c r="U67" s="13"/>
      <c r="V67" s="13"/>
      <c r="W67" s="13"/>
      <c r="X67" s="13"/>
      <c r="Y67" s="13"/>
      <c r="AM67" s="31"/>
    </row>
    <row r="68" spans="1:39" s="10" customFormat="1" ht="52.8" x14ac:dyDescent="0.2">
      <c r="A68" s="111">
        <v>61</v>
      </c>
      <c r="B68" s="110" t="s">
        <v>14</v>
      </c>
      <c r="C68" s="1" t="s">
        <v>501</v>
      </c>
      <c r="D68" s="110" t="s">
        <v>216</v>
      </c>
      <c r="E68" s="110" t="s">
        <v>212</v>
      </c>
      <c r="F68" s="110" t="s">
        <v>213</v>
      </c>
      <c r="G68" s="14">
        <v>95373</v>
      </c>
      <c r="H68" s="14">
        <f>12370-2474</f>
        <v>9896</v>
      </c>
      <c r="I68" s="29">
        <v>10246</v>
      </c>
      <c r="J68" s="29">
        <v>22</v>
      </c>
      <c r="K68" s="29">
        <v>0</v>
      </c>
      <c r="L68" s="29">
        <v>0</v>
      </c>
      <c r="M68" s="29">
        <v>0</v>
      </c>
      <c r="N68" s="29">
        <v>0</v>
      </c>
      <c r="O68" s="29">
        <v>0</v>
      </c>
      <c r="P68" s="29">
        <v>0</v>
      </c>
      <c r="Q68" s="30">
        <f t="shared" si="1"/>
        <v>10268</v>
      </c>
      <c r="R68" s="13"/>
      <c r="S68" s="13"/>
      <c r="T68" s="13"/>
      <c r="U68" s="13"/>
      <c r="V68" s="13"/>
      <c r="W68" s="13"/>
      <c r="X68" s="13"/>
      <c r="Y68" s="13"/>
      <c r="AM68" s="31"/>
    </row>
    <row r="69" spans="1:39" s="10" customFormat="1" ht="66" x14ac:dyDescent="0.2">
      <c r="A69" s="2">
        <v>62</v>
      </c>
      <c r="B69" s="110" t="s">
        <v>14</v>
      </c>
      <c r="C69" s="1" t="s">
        <v>482</v>
      </c>
      <c r="D69" s="110" t="s">
        <v>217</v>
      </c>
      <c r="E69" s="110" t="s">
        <v>212</v>
      </c>
      <c r="F69" s="110" t="s">
        <v>218</v>
      </c>
      <c r="G69" s="14">
        <v>188520</v>
      </c>
      <c r="H69" s="14">
        <f>81142-2798</f>
        <v>78344</v>
      </c>
      <c r="I69" s="29">
        <v>14391</v>
      </c>
      <c r="J69" s="29">
        <v>13849</v>
      </c>
      <c r="K69" s="29">
        <v>13385</v>
      </c>
      <c r="L69" s="29">
        <v>12933</v>
      </c>
      <c r="M69" s="29">
        <v>12483</v>
      </c>
      <c r="N69" s="29">
        <v>12026</v>
      </c>
      <c r="O69" s="29">
        <v>11574</v>
      </c>
      <c r="P69" s="29">
        <v>26</v>
      </c>
      <c r="Q69" s="30">
        <f t="shared" si="1"/>
        <v>90667</v>
      </c>
      <c r="R69" s="13"/>
      <c r="S69" s="13"/>
      <c r="T69" s="13"/>
      <c r="U69" s="13"/>
      <c r="V69" s="13"/>
      <c r="W69" s="13"/>
      <c r="X69" s="13"/>
      <c r="Y69" s="13"/>
      <c r="AM69" s="31"/>
    </row>
    <row r="70" spans="1:39" s="10" customFormat="1" ht="66" x14ac:dyDescent="0.2">
      <c r="A70" s="2">
        <v>63</v>
      </c>
      <c r="B70" s="110" t="s">
        <v>14</v>
      </c>
      <c r="C70" s="1" t="s">
        <v>502</v>
      </c>
      <c r="D70" s="110" t="s">
        <v>219</v>
      </c>
      <c r="E70" s="110" t="s">
        <v>212</v>
      </c>
      <c r="F70" s="110" t="s">
        <v>220</v>
      </c>
      <c r="G70" s="14">
        <v>85339</v>
      </c>
      <c r="H70" s="14">
        <f>18216-2024</f>
        <v>16192</v>
      </c>
      <c r="I70" s="29">
        <v>8720</v>
      </c>
      <c r="J70" s="29">
        <v>8374</v>
      </c>
      <c r="K70" s="29">
        <v>18</v>
      </c>
      <c r="L70" s="29">
        <v>0</v>
      </c>
      <c r="M70" s="29">
        <v>0</v>
      </c>
      <c r="N70" s="29">
        <v>0</v>
      </c>
      <c r="O70" s="29">
        <v>0</v>
      </c>
      <c r="P70" s="29">
        <v>0</v>
      </c>
      <c r="Q70" s="30">
        <f t="shared" si="1"/>
        <v>17112</v>
      </c>
      <c r="R70" s="13"/>
      <c r="S70" s="13"/>
      <c r="T70" s="13"/>
      <c r="U70" s="13"/>
      <c r="V70" s="13"/>
      <c r="W70" s="13"/>
      <c r="X70" s="13"/>
      <c r="Y70" s="13"/>
      <c r="AM70" s="31"/>
    </row>
    <row r="71" spans="1:39" s="10" customFormat="1" ht="52.8" x14ac:dyDescent="0.2">
      <c r="A71" s="2">
        <v>64</v>
      </c>
      <c r="B71" s="110" t="s">
        <v>14</v>
      </c>
      <c r="C71" s="1" t="s">
        <v>483</v>
      </c>
      <c r="D71" s="110" t="s">
        <v>221</v>
      </c>
      <c r="E71" s="110" t="s">
        <v>212</v>
      </c>
      <c r="F71" s="110" t="s">
        <v>222</v>
      </c>
      <c r="G71" s="14">
        <v>198864</v>
      </c>
      <c r="H71" s="14">
        <f>120744-2808</f>
        <v>117936</v>
      </c>
      <c r="I71" s="29">
        <v>16084</v>
      </c>
      <c r="J71" s="29">
        <v>15495</v>
      </c>
      <c r="K71" s="29">
        <v>15024</v>
      </c>
      <c r="L71" s="29">
        <v>14569</v>
      </c>
      <c r="M71" s="29">
        <v>14122</v>
      </c>
      <c r="N71" s="29">
        <v>13659</v>
      </c>
      <c r="O71" s="29">
        <v>13205</v>
      </c>
      <c r="P71" s="29">
        <v>42661</v>
      </c>
      <c r="Q71" s="30">
        <f t="shared" si="1"/>
        <v>144819</v>
      </c>
      <c r="R71" s="13"/>
      <c r="S71" s="13"/>
      <c r="T71" s="13"/>
      <c r="U71" s="13"/>
      <c r="V71" s="13"/>
      <c r="W71" s="13"/>
      <c r="X71" s="13"/>
      <c r="Y71" s="13"/>
      <c r="AM71" s="31"/>
    </row>
    <row r="72" spans="1:39" s="10" customFormat="1" ht="66" x14ac:dyDescent="0.2">
      <c r="A72" s="2">
        <v>65</v>
      </c>
      <c r="B72" s="110" t="s">
        <v>14</v>
      </c>
      <c r="C72" s="1" t="s">
        <v>484</v>
      </c>
      <c r="D72" s="110" t="s">
        <v>223</v>
      </c>
      <c r="E72" s="110" t="s">
        <v>212</v>
      </c>
      <c r="F72" s="110" t="s">
        <v>224</v>
      </c>
      <c r="G72" s="14">
        <v>227673</v>
      </c>
      <c r="H72" s="14">
        <f>161129-2731</f>
        <v>158398</v>
      </c>
      <c r="I72" s="29">
        <v>17467</v>
      </c>
      <c r="J72" s="29">
        <v>16845</v>
      </c>
      <c r="K72" s="29">
        <v>16379</v>
      </c>
      <c r="L72" s="29">
        <v>15937</v>
      </c>
      <c r="M72" s="29">
        <v>15506</v>
      </c>
      <c r="N72" s="29">
        <v>15052</v>
      </c>
      <c r="O72" s="29">
        <v>14610</v>
      </c>
      <c r="P72" s="29">
        <v>95524</v>
      </c>
      <c r="Q72" s="30">
        <f t="shared" si="1"/>
        <v>207320</v>
      </c>
      <c r="R72" s="13"/>
      <c r="S72" s="13"/>
      <c r="T72" s="13"/>
      <c r="U72" s="13"/>
      <c r="V72" s="13"/>
      <c r="W72" s="13"/>
      <c r="X72" s="13"/>
      <c r="Y72" s="13"/>
      <c r="AM72" s="31"/>
    </row>
    <row r="73" spans="1:39" s="10" customFormat="1" ht="39.6" x14ac:dyDescent="0.2">
      <c r="A73" s="111">
        <v>66</v>
      </c>
      <c r="B73" s="110" t="s">
        <v>14</v>
      </c>
      <c r="C73" s="1" t="s">
        <v>225</v>
      </c>
      <c r="D73" s="110" t="s">
        <v>226</v>
      </c>
      <c r="E73" s="110" t="s">
        <v>227</v>
      </c>
      <c r="F73" s="110" t="s">
        <v>228</v>
      </c>
      <c r="G73" s="14">
        <v>10991671</v>
      </c>
      <c r="H73" s="14">
        <f>5738904-207582</f>
        <v>5531322</v>
      </c>
      <c r="I73" s="29">
        <v>1003931</v>
      </c>
      <c r="J73" s="29">
        <v>911527</v>
      </c>
      <c r="K73" s="29">
        <v>875951</v>
      </c>
      <c r="L73" s="29">
        <v>785670</v>
      </c>
      <c r="M73" s="29">
        <v>592508</v>
      </c>
      <c r="N73" s="29">
        <v>467625</v>
      </c>
      <c r="O73" s="29">
        <v>451517</v>
      </c>
      <c r="P73" s="29">
        <v>1678400</v>
      </c>
      <c r="Q73" s="30">
        <f t="shared" si="1"/>
        <v>6767129</v>
      </c>
      <c r="R73" s="13"/>
      <c r="S73" s="13"/>
      <c r="T73" s="13"/>
      <c r="U73" s="13"/>
      <c r="V73" s="13"/>
      <c r="W73" s="13"/>
      <c r="X73" s="13"/>
      <c r="Y73" s="13"/>
      <c r="AM73" s="31"/>
    </row>
    <row r="74" spans="1:39" s="10" customFormat="1" ht="39.6" x14ac:dyDescent="0.2">
      <c r="A74" s="2">
        <v>67</v>
      </c>
      <c r="B74" s="110" t="s">
        <v>14</v>
      </c>
      <c r="C74" s="1" t="s">
        <v>75</v>
      </c>
      <c r="D74" s="110" t="s">
        <v>229</v>
      </c>
      <c r="E74" s="110" t="s">
        <v>230</v>
      </c>
      <c r="F74" s="110" t="s">
        <v>231</v>
      </c>
      <c r="G74" s="14">
        <v>386344</v>
      </c>
      <c r="H74" s="14">
        <f>193173-10167</f>
        <v>183006</v>
      </c>
      <c r="I74" s="29">
        <v>48320</v>
      </c>
      <c r="J74" s="29">
        <v>46385</v>
      </c>
      <c r="K74" s="29">
        <v>44680</v>
      </c>
      <c r="L74" s="29">
        <v>42969</v>
      </c>
      <c r="M74" s="29">
        <v>20936</v>
      </c>
      <c r="N74" s="29">
        <v>0</v>
      </c>
      <c r="O74" s="29">
        <v>0</v>
      </c>
      <c r="P74" s="29">
        <v>0</v>
      </c>
      <c r="Q74" s="30">
        <f t="shared" si="1"/>
        <v>203290</v>
      </c>
      <c r="R74" s="13"/>
      <c r="S74" s="13"/>
      <c r="T74" s="13"/>
      <c r="U74" s="13"/>
      <c r="V74" s="13"/>
      <c r="W74" s="13"/>
      <c r="X74" s="13"/>
      <c r="Y74" s="13"/>
      <c r="AM74" s="31"/>
    </row>
    <row r="75" spans="1:39" s="10" customFormat="1" ht="92.4" x14ac:dyDescent="0.2">
      <c r="A75" s="2">
        <v>68</v>
      </c>
      <c r="B75" s="110" t="s">
        <v>14</v>
      </c>
      <c r="C75" s="1" t="s">
        <v>232</v>
      </c>
      <c r="D75" s="110" t="s">
        <v>233</v>
      </c>
      <c r="E75" s="110" t="s">
        <v>234</v>
      </c>
      <c r="F75" s="110" t="s">
        <v>235</v>
      </c>
      <c r="G75" s="14">
        <v>622067</v>
      </c>
      <c r="H75" s="14">
        <f>511796-5708</f>
        <v>506088</v>
      </c>
      <c r="I75" s="29">
        <v>45123</v>
      </c>
      <c r="J75" s="29">
        <v>42997</v>
      </c>
      <c r="K75" s="29">
        <v>42039</v>
      </c>
      <c r="L75" s="29">
        <v>41079</v>
      </c>
      <c r="M75" s="29">
        <v>40164</v>
      </c>
      <c r="N75" s="29">
        <v>39157</v>
      </c>
      <c r="O75" s="29">
        <v>38197</v>
      </c>
      <c r="P75" s="29">
        <v>461795</v>
      </c>
      <c r="Q75" s="30">
        <f t="shared" si="1"/>
        <v>750551</v>
      </c>
      <c r="R75" s="13"/>
      <c r="S75" s="13"/>
      <c r="T75" s="13"/>
      <c r="U75" s="13"/>
      <c r="V75" s="13"/>
      <c r="W75" s="13"/>
      <c r="X75" s="13"/>
      <c r="Y75" s="13"/>
      <c r="AM75" s="31"/>
    </row>
    <row r="76" spans="1:39" s="10" customFormat="1" ht="105.6" x14ac:dyDescent="0.2">
      <c r="A76" s="2">
        <v>69</v>
      </c>
      <c r="B76" s="15" t="s">
        <v>14</v>
      </c>
      <c r="C76" s="120" t="s">
        <v>503</v>
      </c>
      <c r="D76" s="121" t="s">
        <v>236</v>
      </c>
      <c r="E76" s="17" t="s">
        <v>237</v>
      </c>
      <c r="F76" s="17" t="s">
        <v>238</v>
      </c>
      <c r="G76" s="18">
        <v>825403</v>
      </c>
      <c r="H76" s="18">
        <f>76100-3805</f>
        <v>72295</v>
      </c>
      <c r="I76" s="19">
        <v>18298</v>
      </c>
      <c r="J76" s="19">
        <v>17520</v>
      </c>
      <c r="K76" s="19">
        <v>16881</v>
      </c>
      <c r="L76" s="19">
        <v>16241</v>
      </c>
      <c r="M76" s="19">
        <v>11768</v>
      </c>
      <c r="N76" s="19">
        <v>0</v>
      </c>
      <c r="O76" s="20">
        <v>0</v>
      </c>
      <c r="P76" s="19">
        <v>0</v>
      </c>
      <c r="Q76" s="21">
        <f t="shared" si="1"/>
        <v>80708</v>
      </c>
      <c r="R76" s="13"/>
      <c r="S76" s="13"/>
      <c r="T76" s="13"/>
      <c r="U76" s="13"/>
      <c r="V76" s="13"/>
      <c r="W76" s="13"/>
      <c r="X76" s="13"/>
      <c r="Y76" s="13"/>
      <c r="AM76" s="31"/>
    </row>
    <row r="77" spans="1:39" s="10" customFormat="1" ht="26.4" x14ac:dyDescent="0.2">
      <c r="A77" s="111">
        <v>70</v>
      </c>
      <c r="B77" s="110" t="s">
        <v>14</v>
      </c>
      <c r="C77" s="1" t="s">
        <v>239</v>
      </c>
      <c r="D77" s="110" t="s">
        <v>240</v>
      </c>
      <c r="E77" s="110" t="s">
        <v>241</v>
      </c>
      <c r="F77" s="110" t="s">
        <v>194</v>
      </c>
      <c r="G77" s="14">
        <v>1450422</v>
      </c>
      <c r="H77" s="14">
        <f>386130-34854</f>
        <v>351276</v>
      </c>
      <c r="I77" s="29">
        <v>94012</v>
      </c>
      <c r="J77" s="29">
        <v>79116</v>
      </c>
      <c r="K77" s="29">
        <v>76231</v>
      </c>
      <c r="L77" s="29">
        <v>73371</v>
      </c>
      <c r="M77" s="29">
        <v>70509</v>
      </c>
      <c r="N77" s="29">
        <v>157</v>
      </c>
      <c r="O77" s="29">
        <v>0</v>
      </c>
      <c r="P77" s="29">
        <v>0</v>
      </c>
      <c r="Q77" s="30">
        <f t="shared" si="1"/>
        <v>393396</v>
      </c>
      <c r="R77" s="13"/>
      <c r="S77" s="13"/>
      <c r="T77" s="13"/>
      <c r="U77" s="13"/>
      <c r="V77" s="13"/>
      <c r="W77" s="13"/>
      <c r="X77" s="13"/>
      <c r="Y77" s="13"/>
      <c r="AM77" s="31"/>
    </row>
    <row r="78" spans="1:39" s="10" customFormat="1" ht="52.8" x14ac:dyDescent="0.2">
      <c r="A78" s="2">
        <v>71</v>
      </c>
      <c r="B78" s="110" t="s">
        <v>14</v>
      </c>
      <c r="C78" s="1" t="s">
        <v>485</v>
      </c>
      <c r="D78" s="110" t="s">
        <v>242</v>
      </c>
      <c r="E78" s="110" t="s">
        <v>243</v>
      </c>
      <c r="F78" s="110" t="s">
        <v>33</v>
      </c>
      <c r="G78" s="14">
        <v>187540</v>
      </c>
      <c r="H78" s="14">
        <f>96180-4809</f>
        <v>91371</v>
      </c>
      <c r="I78" s="29">
        <v>23139</v>
      </c>
      <c r="J78" s="29">
        <v>22143</v>
      </c>
      <c r="K78" s="29">
        <v>21336</v>
      </c>
      <c r="L78" s="29">
        <v>20526</v>
      </c>
      <c r="M78" s="29">
        <v>14891</v>
      </c>
      <c r="N78" s="29">
        <v>0</v>
      </c>
      <c r="O78" s="29">
        <v>0</v>
      </c>
      <c r="P78" s="29">
        <v>0</v>
      </c>
      <c r="Q78" s="30">
        <f t="shared" si="1"/>
        <v>102035</v>
      </c>
      <c r="R78" s="13"/>
      <c r="S78" s="13"/>
      <c r="T78" s="13"/>
      <c r="U78" s="13"/>
      <c r="V78" s="13"/>
      <c r="W78" s="13"/>
      <c r="X78" s="13"/>
      <c r="Y78" s="13"/>
      <c r="AM78" s="31"/>
    </row>
    <row r="79" spans="1:39" s="10" customFormat="1" ht="79.2" x14ac:dyDescent="0.2">
      <c r="A79" s="2">
        <v>72</v>
      </c>
      <c r="B79" s="110" t="s">
        <v>14</v>
      </c>
      <c r="C79" s="1" t="s">
        <v>474</v>
      </c>
      <c r="D79" s="110" t="s">
        <v>244</v>
      </c>
      <c r="E79" s="110" t="s">
        <v>245</v>
      </c>
      <c r="F79" s="110" t="s">
        <v>246</v>
      </c>
      <c r="G79" s="14">
        <v>496423</v>
      </c>
      <c r="H79" s="14">
        <f>407757-5933</f>
        <v>401824</v>
      </c>
      <c r="I79" s="29">
        <v>41222</v>
      </c>
      <c r="J79" s="29">
        <v>39518</v>
      </c>
      <c r="K79" s="29">
        <v>38475</v>
      </c>
      <c r="L79" s="29">
        <v>37476</v>
      </c>
      <c r="M79" s="29">
        <v>36511</v>
      </c>
      <c r="N79" s="29">
        <v>35479</v>
      </c>
      <c r="O79" s="29">
        <v>34481</v>
      </c>
      <c r="P79" s="29">
        <v>299380</v>
      </c>
      <c r="Q79" s="30">
        <f t="shared" si="1"/>
        <v>562542</v>
      </c>
      <c r="R79" s="13"/>
      <c r="S79" s="13"/>
      <c r="T79" s="13"/>
      <c r="U79" s="13"/>
      <c r="V79" s="13"/>
      <c r="W79" s="13"/>
      <c r="X79" s="13"/>
      <c r="Y79" s="13"/>
      <c r="AM79" s="31"/>
    </row>
    <row r="80" spans="1:39" s="10" customFormat="1" ht="52.8" x14ac:dyDescent="0.2">
      <c r="A80" s="2">
        <v>73</v>
      </c>
      <c r="B80" s="110" t="s">
        <v>14</v>
      </c>
      <c r="C80" s="1" t="s">
        <v>247</v>
      </c>
      <c r="D80" s="110" t="s">
        <v>248</v>
      </c>
      <c r="E80" s="110" t="s">
        <v>249</v>
      </c>
      <c r="F80" s="110" t="s">
        <v>250</v>
      </c>
      <c r="G80" s="14">
        <v>61135</v>
      </c>
      <c r="H80" s="14">
        <f>41902-1022</f>
        <v>40880</v>
      </c>
      <c r="I80" s="29">
        <v>5832</v>
      </c>
      <c r="J80" s="29">
        <v>5620</v>
      </c>
      <c r="K80" s="29">
        <v>5436</v>
      </c>
      <c r="L80" s="29">
        <v>5264</v>
      </c>
      <c r="M80" s="29">
        <v>5095</v>
      </c>
      <c r="N80" s="29">
        <v>4920</v>
      </c>
      <c r="O80" s="29">
        <v>4748</v>
      </c>
      <c r="P80" s="29">
        <v>13222</v>
      </c>
      <c r="Q80" s="30">
        <f t="shared" si="1"/>
        <v>50137</v>
      </c>
      <c r="R80" s="13"/>
      <c r="S80" s="13"/>
      <c r="T80" s="13"/>
      <c r="U80" s="13"/>
      <c r="V80" s="13"/>
      <c r="W80" s="13"/>
      <c r="X80" s="13"/>
      <c r="Y80" s="13"/>
      <c r="AM80" s="31"/>
    </row>
    <row r="81" spans="1:39" s="10" customFormat="1" ht="90.75" customHeight="1" x14ac:dyDescent="0.2">
      <c r="A81" s="2">
        <v>74</v>
      </c>
      <c r="B81" s="110" t="s">
        <v>14</v>
      </c>
      <c r="C81" s="1" t="s">
        <v>251</v>
      </c>
      <c r="D81" s="110" t="s">
        <v>252</v>
      </c>
      <c r="E81" s="110" t="s">
        <v>253</v>
      </c>
      <c r="F81" s="110" t="s">
        <v>254</v>
      </c>
      <c r="G81" s="14">
        <v>119137</v>
      </c>
      <c r="H81" s="14">
        <f>36530-1635</f>
        <v>34895</v>
      </c>
      <c r="I81" s="29">
        <v>7939</v>
      </c>
      <c r="J81" s="29">
        <v>7643</v>
      </c>
      <c r="K81" s="29">
        <v>7378</v>
      </c>
      <c r="L81" s="29">
        <v>7115</v>
      </c>
      <c r="M81" s="29">
        <v>6851</v>
      </c>
      <c r="N81" s="29">
        <v>2257</v>
      </c>
      <c r="O81" s="29">
        <v>0</v>
      </c>
      <c r="P81" s="29">
        <v>0</v>
      </c>
      <c r="Q81" s="30">
        <f>SUM(I81:P81)</f>
        <v>39183</v>
      </c>
      <c r="R81" s="13"/>
      <c r="S81" s="13"/>
      <c r="T81" s="13"/>
      <c r="U81" s="13"/>
      <c r="V81" s="13"/>
      <c r="W81" s="13"/>
      <c r="X81" s="13"/>
      <c r="Y81" s="13"/>
      <c r="AM81" s="31"/>
    </row>
    <row r="82" spans="1:39" s="10" customFormat="1" ht="66" x14ac:dyDescent="0.2">
      <c r="A82" s="111">
        <v>75</v>
      </c>
      <c r="B82" s="110" t="s">
        <v>14</v>
      </c>
      <c r="C82" s="1" t="s">
        <v>255</v>
      </c>
      <c r="D82" s="110" t="s">
        <v>256</v>
      </c>
      <c r="E82" s="110" t="s">
        <v>257</v>
      </c>
      <c r="F82" s="110" t="s">
        <v>258</v>
      </c>
      <c r="G82" s="14">
        <v>847872</v>
      </c>
      <c r="H82" s="14">
        <f>516516-7826</f>
        <v>508690</v>
      </c>
      <c r="I82" s="29">
        <v>52567</v>
      </c>
      <c r="J82" s="29">
        <v>51167</v>
      </c>
      <c r="K82" s="29">
        <v>49854</v>
      </c>
      <c r="L82" s="29">
        <v>48537</v>
      </c>
      <c r="M82" s="29">
        <v>47261</v>
      </c>
      <c r="N82" s="29">
        <v>45901</v>
      </c>
      <c r="O82" s="29">
        <v>44585</v>
      </c>
      <c r="P82" s="29">
        <v>350170</v>
      </c>
      <c r="Q82" s="30">
        <f t="shared" si="1"/>
        <v>690042</v>
      </c>
      <c r="R82" s="13"/>
      <c r="S82" s="13"/>
      <c r="T82" s="13"/>
      <c r="U82" s="13"/>
      <c r="V82" s="13"/>
      <c r="W82" s="13"/>
      <c r="X82" s="13"/>
      <c r="Y82" s="13"/>
      <c r="AM82" s="31"/>
    </row>
    <row r="83" spans="1:39" s="10" customFormat="1" ht="66" x14ac:dyDescent="0.2">
      <c r="A83" s="2">
        <v>76</v>
      </c>
      <c r="B83" s="110" t="s">
        <v>14</v>
      </c>
      <c r="C83" s="1" t="s">
        <v>259</v>
      </c>
      <c r="D83" s="110" t="s">
        <v>260</v>
      </c>
      <c r="E83" s="110" t="s">
        <v>261</v>
      </c>
      <c r="F83" s="110" t="s">
        <v>262</v>
      </c>
      <c r="G83" s="14">
        <v>773964</v>
      </c>
      <c r="H83" s="14">
        <f>146304-4572</f>
        <v>141732</v>
      </c>
      <c r="I83" s="29">
        <v>24407</v>
      </c>
      <c r="J83" s="29">
        <v>23358</v>
      </c>
      <c r="K83" s="29">
        <v>22590</v>
      </c>
      <c r="L83" s="29">
        <v>21821</v>
      </c>
      <c r="M83" s="29">
        <v>21058</v>
      </c>
      <c r="N83" s="29">
        <v>20281</v>
      </c>
      <c r="O83" s="29">
        <v>19513</v>
      </c>
      <c r="P83" s="29">
        <v>14140</v>
      </c>
      <c r="Q83" s="30">
        <f t="shared" si="1"/>
        <v>167168</v>
      </c>
      <c r="R83" s="13"/>
      <c r="S83" s="13"/>
      <c r="T83" s="13"/>
      <c r="U83" s="13"/>
      <c r="V83" s="13"/>
      <c r="W83" s="13"/>
      <c r="X83" s="13"/>
      <c r="Y83" s="13"/>
      <c r="AM83" s="31"/>
    </row>
    <row r="84" spans="1:39" s="10" customFormat="1" ht="66" x14ac:dyDescent="0.2">
      <c r="A84" s="2">
        <v>77</v>
      </c>
      <c r="B84" s="110" t="s">
        <v>14</v>
      </c>
      <c r="C84" s="1" t="s">
        <v>263</v>
      </c>
      <c r="D84" s="110" t="s">
        <v>264</v>
      </c>
      <c r="E84" s="110" t="s">
        <v>265</v>
      </c>
      <c r="F84" s="110" t="s">
        <v>266</v>
      </c>
      <c r="G84" s="14">
        <v>517940</v>
      </c>
      <c r="H84" s="14">
        <f>40224-3352</f>
        <v>36872</v>
      </c>
      <c r="I84" s="29">
        <v>14947</v>
      </c>
      <c r="J84" s="29">
        <v>14307</v>
      </c>
      <c r="K84" s="29">
        <v>10380</v>
      </c>
      <c r="L84" s="29">
        <v>0</v>
      </c>
      <c r="M84" s="29">
        <v>0</v>
      </c>
      <c r="N84" s="29">
        <v>0</v>
      </c>
      <c r="O84" s="29">
        <v>0</v>
      </c>
      <c r="P84" s="29">
        <v>0</v>
      </c>
      <c r="Q84" s="30">
        <f t="shared" si="1"/>
        <v>39634</v>
      </c>
      <c r="R84" s="13"/>
      <c r="S84" s="13"/>
      <c r="T84" s="13"/>
      <c r="U84" s="13"/>
      <c r="V84" s="13"/>
      <c r="W84" s="13"/>
      <c r="X84" s="13"/>
      <c r="Y84" s="13"/>
      <c r="AM84" s="31"/>
    </row>
    <row r="85" spans="1:39" s="10" customFormat="1" ht="66" x14ac:dyDescent="0.2">
      <c r="A85" s="2">
        <v>78</v>
      </c>
      <c r="B85" s="110" t="s">
        <v>14</v>
      </c>
      <c r="C85" s="1" t="s">
        <v>267</v>
      </c>
      <c r="D85" s="110" t="s">
        <v>268</v>
      </c>
      <c r="E85" s="110" t="s">
        <v>265</v>
      </c>
      <c r="F85" s="110" t="s">
        <v>269</v>
      </c>
      <c r="G85" s="14">
        <v>522498</v>
      </c>
      <c r="H85" s="14">
        <f>48280-2840</f>
        <v>45440</v>
      </c>
      <c r="I85" s="29">
        <v>13292</v>
      </c>
      <c r="J85" s="29">
        <v>12718</v>
      </c>
      <c r="K85" s="29">
        <v>12242</v>
      </c>
      <c r="L85" s="29">
        <v>11764</v>
      </c>
      <c r="M85" s="29">
        <v>26</v>
      </c>
      <c r="N85" s="29">
        <v>0</v>
      </c>
      <c r="O85" s="29">
        <v>0</v>
      </c>
      <c r="P85" s="29">
        <v>0</v>
      </c>
      <c r="Q85" s="30">
        <f t="shared" si="1"/>
        <v>50042</v>
      </c>
      <c r="R85" s="13"/>
      <c r="S85" s="13"/>
      <c r="T85" s="13"/>
      <c r="U85" s="13"/>
      <c r="V85" s="13"/>
      <c r="W85" s="13"/>
      <c r="X85" s="13"/>
      <c r="Y85" s="13"/>
      <c r="AM85" s="31"/>
    </row>
    <row r="86" spans="1:39" s="10" customFormat="1" ht="66" x14ac:dyDescent="0.2">
      <c r="A86" s="111">
        <v>79</v>
      </c>
      <c r="B86" s="110" t="s">
        <v>14</v>
      </c>
      <c r="C86" s="1" t="s">
        <v>270</v>
      </c>
      <c r="D86" s="110" t="s">
        <v>271</v>
      </c>
      <c r="E86" s="110" t="s">
        <v>265</v>
      </c>
      <c r="F86" s="110" t="s">
        <v>220</v>
      </c>
      <c r="G86" s="14">
        <v>441877</v>
      </c>
      <c r="H86" s="14">
        <f>30024-3336</f>
        <v>26688</v>
      </c>
      <c r="I86" s="29">
        <v>14433</v>
      </c>
      <c r="J86" s="29">
        <v>13818</v>
      </c>
      <c r="K86" s="29">
        <v>31</v>
      </c>
      <c r="L86" s="29">
        <v>0</v>
      </c>
      <c r="M86" s="29">
        <v>0</v>
      </c>
      <c r="N86" s="29">
        <v>0</v>
      </c>
      <c r="O86" s="29">
        <v>0</v>
      </c>
      <c r="P86" s="29">
        <v>0</v>
      </c>
      <c r="Q86" s="30">
        <f t="shared" si="1"/>
        <v>28282</v>
      </c>
      <c r="R86" s="13"/>
      <c r="S86" s="13"/>
      <c r="T86" s="13"/>
      <c r="U86" s="13"/>
      <c r="V86" s="13"/>
      <c r="W86" s="13"/>
      <c r="X86" s="13"/>
      <c r="Y86" s="13"/>
      <c r="AM86" s="31"/>
    </row>
    <row r="87" spans="1:39" s="10" customFormat="1" ht="102.75" customHeight="1" x14ac:dyDescent="0.2">
      <c r="A87" s="2">
        <v>80</v>
      </c>
      <c r="B87" s="110" t="s">
        <v>14</v>
      </c>
      <c r="C87" s="1" t="s">
        <v>504</v>
      </c>
      <c r="D87" s="110" t="s">
        <v>272</v>
      </c>
      <c r="E87" s="110" t="s">
        <v>273</v>
      </c>
      <c r="F87" s="110" t="s">
        <v>274</v>
      </c>
      <c r="G87" s="14">
        <v>184000</v>
      </c>
      <c r="H87" s="14">
        <f>147870-3286</f>
        <v>144584</v>
      </c>
      <c r="I87" s="29">
        <v>19213</v>
      </c>
      <c r="J87" s="29">
        <v>18638</v>
      </c>
      <c r="K87" s="29">
        <v>18032</v>
      </c>
      <c r="L87" s="29">
        <v>17479</v>
      </c>
      <c r="M87" s="29">
        <v>16936</v>
      </c>
      <c r="N87" s="29">
        <v>16372</v>
      </c>
      <c r="O87" s="29">
        <v>15820</v>
      </c>
      <c r="P87" s="29">
        <v>57781</v>
      </c>
      <c r="Q87" s="30">
        <f t="shared" si="1"/>
        <v>180271</v>
      </c>
      <c r="R87" s="13"/>
      <c r="S87" s="13"/>
      <c r="T87" s="13"/>
      <c r="U87" s="13"/>
      <c r="V87" s="13"/>
      <c r="W87" s="13"/>
      <c r="X87" s="13"/>
      <c r="Y87" s="13"/>
      <c r="AM87" s="31"/>
    </row>
    <row r="88" spans="1:39" s="10" customFormat="1" ht="92.4" x14ac:dyDescent="0.2">
      <c r="A88" s="2">
        <v>81</v>
      </c>
      <c r="B88" s="15" t="s">
        <v>14</v>
      </c>
      <c r="C88" s="120" t="s">
        <v>275</v>
      </c>
      <c r="D88" s="121" t="s">
        <v>276</v>
      </c>
      <c r="E88" s="17" t="s">
        <v>277</v>
      </c>
      <c r="F88" s="17" t="s">
        <v>278</v>
      </c>
      <c r="G88" s="18">
        <v>360066</v>
      </c>
      <c r="H88" s="18">
        <f>289503-4677</f>
        <v>284826</v>
      </c>
      <c r="I88" s="19">
        <v>31147</v>
      </c>
      <c r="J88" s="19">
        <v>30677</v>
      </c>
      <c r="K88" s="19">
        <v>29897</v>
      </c>
      <c r="L88" s="19">
        <v>29041</v>
      </c>
      <c r="M88" s="19">
        <v>28209</v>
      </c>
      <c r="N88" s="19">
        <v>27326</v>
      </c>
      <c r="O88" s="20">
        <v>26470</v>
      </c>
      <c r="P88" s="19">
        <v>185325</v>
      </c>
      <c r="Q88" s="21">
        <f t="shared" si="1"/>
        <v>388092</v>
      </c>
      <c r="R88" s="13"/>
      <c r="S88" s="13"/>
      <c r="T88" s="13"/>
      <c r="U88" s="13"/>
      <c r="V88" s="13"/>
      <c r="W88" s="13"/>
      <c r="X88" s="13"/>
      <c r="Y88" s="13"/>
      <c r="AM88" s="31"/>
    </row>
    <row r="89" spans="1:39" s="37" customFormat="1" ht="52.8" x14ac:dyDescent="0.2">
      <c r="A89" s="119">
        <v>82</v>
      </c>
      <c r="B89" s="116" t="s">
        <v>14</v>
      </c>
      <c r="C89" s="118" t="s">
        <v>279</v>
      </c>
      <c r="D89" s="116" t="s">
        <v>280</v>
      </c>
      <c r="E89" s="116" t="s">
        <v>281</v>
      </c>
      <c r="F89" s="116" t="s">
        <v>282</v>
      </c>
      <c r="G89" s="14">
        <v>2118102</v>
      </c>
      <c r="H89" s="14">
        <f>1603500-17993</f>
        <v>1585507</v>
      </c>
      <c r="I89" s="34">
        <v>145849</v>
      </c>
      <c r="J89" s="34">
        <v>144191</v>
      </c>
      <c r="K89" s="34">
        <v>141199</v>
      </c>
      <c r="L89" s="34">
        <v>137714</v>
      </c>
      <c r="M89" s="34">
        <v>134393</v>
      </c>
      <c r="N89" s="34">
        <v>130738</v>
      </c>
      <c r="O89" s="34">
        <v>127255</v>
      </c>
      <c r="P89" s="34">
        <v>1493616</v>
      </c>
      <c r="Q89" s="122">
        <f t="shared" si="1"/>
        <v>2454955</v>
      </c>
      <c r="R89" s="36"/>
      <c r="S89" s="36"/>
      <c r="T89" s="36"/>
      <c r="U89" s="36"/>
      <c r="V89" s="36"/>
      <c r="W89" s="36"/>
      <c r="X89" s="36"/>
      <c r="Y89" s="36"/>
      <c r="AM89" s="38"/>
    </row>
    <row r="90" spans="1:39" s="10" customFormat="1" ht="93.75" customHeight="1" x14ac:dyDescent="0.2">
      <c r="A90" s="2">
        <v>83</v>
      </c>
      <c r="B90" s="110" t="s">
        <v>14</v>
      </c>
      <c r="C90" s="1" t="s">
        <v>232</v>
      </c>
      <c r="D90" s="110" t="s">
        <v>283</v>
      </c>
      <c r="E90" s="110" t="s">
        <v>284</v>
      </c>
      <c r="F90" s="110" t="s">
        <v>285</v>
      </c>
      <c r="G90" s="14">
        <v>252480</v>
      </c>
      <c r="H90" s="14">
        <f>245333-2355</f>
        <v>242978</v>
      </c>
      <c r="I90" s="29">
        <v>20831</v>
      </c>
      <c r="J90" s="29">
        <v>20564</v>
      </c>
      <c r="K90" s="29">
        <v>20197</v>
      </c>
      <c r="L90" s="29">
        <v>19741</v>
      </c>
      <c r="M90" s="29">
        <v>19311</v>
      </c>
      <c r="N90" s="29">
        <v>18828</v>
      </c>
      <c r="O90" s="29">
        <v>18372</v>
      </c>
      <c r="P90" s="29">
        <v>260583</v>
      </c>
      <c r="Q90" s="21">
        <f t="shared" si="1"/>
        <v>398427</v>
      </c>
      <c r="R90" s="13"/>
      <c r="S90" s="13"/>
      <c r="T90" s="13"/>
      <c r="U90" s="13"/>
      <c r="V90" s="13"/>
      <c r="W90" s="13"/>
      <c r="X90" s="13"/>
      <c r="Y90" s="13"/>
      <c r="AM90" s="38"/>
    </row>
    <row r="91" spans="1:39" s="10" customFormat="1" ht="66" x14ac:dyDescent="0.2">
      <c r="A91" s="111">
        <v>84</v>
      </c>
      <c r="B91" s="110" t="s">
        <v>14</v>
      </c>
      <c r="C91" s="1" t="s">
        <v>286</v>
      </c>
      <c r="D91" s="110" t="s">
        <v>287</v>
      </c>
      <c r="E91" s="110" t="s">
        <v>288</v>
      </c>
      <c r="F91" s="110" t="s">
        <v>289</v>
      </c>
      <c r="G91" s="14">
        <v>841650</v>
      </c>
      <c r="H91" s="14">
        <f>527584-5702</f>
        <v>521882</v>
      </c>
      <c r="I91" s="29">
        <v>50278</v>
      </c>
      <c r="J91" s="29">
        <v>47245</v>
      </c>
      <c r="K91" s="29">
        <v>46123</v>
      </c>
      <c r="L91" s="29">
        <v>44997</v>
      </c>
      <c r="M91" s="29">
        <v>43927</v>
      </c>
      <c r="N91" s="29">
        <v>42745</v>
      </c>
      <c r="O91" s="29">
        <v>41620</v>
      </c>
      <c r="P91" s="29">
        <v>510406</v>
      </c>
      <c r="Q91" s="21">
        <f t="shared" si="1"/>
        <v>827341</v>
      </c>
      <c r="R91" s="13"/>
      <c r="S91" s="13"/>
      <c r="T91" s="13"/>
      <c r="U91" s="13"/>
      <c r="V91" s="13"/>
      <c r="W91" s="13"/>
      <c r="X91" s="13"/>
      <c r="Y91" s="13"/>
      <c r="AM91" s="38"/>
    </row>
    <row r="92" spans="1:39" s="10" customFormat="1" ht="105.6" x14ac:dyDescent="0.2">
      <c r="A92" s="2">
        <v>85</v>
      </c>
      <c r="B92" s="110" t="s">
        <v>14</v>
      </c>
      <c r="C92" s="1" t="s">
        <v>505</v>
      </c>
      <c r="D92" s="110" t="s">
        <v>290</v>
      </c>
      <c r="E92" s="110" t="s">
        <v>291</v>
      </c>
      <c r="F92" s="110" t="s">
        <v>292</v>
      </c>
      <c r="G92" s="14">
        <v>238979</v>
      </c>
      <c r="H92" s="14">
        <f>91894-4426</f>
        <v>87468</v>
      </c>
      <c r="I92" s="29">
        <v>22112</v>
      </c>
      <c r="J92" s="29">
        <v>20617</v>
      </c>
      <c r="K92" s="29">
        <v>19849</v>
      </c>
      <c r="L92" s="29">
        <v>19079</v>
      </c>
      <c r="M92" s="29">
        <v>17257</v>
      </c>
      <c r="N92" s="29">
        <v>32</v>
      </c>
      <c r="O92" s="29">
        <v>0</v>
      </c>
      <c r="P92" s="29">
        <v>0</v>
      </c>
      <c r="Q92" s="30">
        <f t="shared" si="1"/>
        <v>98946</v>
      </c>
      <c r="R92" s="13"/>
      <c r="S92" s="13"/>
      <c r="T92" s="13"/>
      <c r="U92" s="13"/>
      <c r="V92" s="13"/>
      <c r="W92" s="13"/>
      <c r="X92" s="13"/>
      <c r="Y92" s="13"/>
      <c r="AM92" s="38"/>
    </row>
    <row r="93" spans="1:39" s="10" customFormat="1" ht="39.6" x14ac:dyDescent="0.2">
      <c r="A93" s="2">
        <v>86</v>
      </c>
      <c r="B93" s="110" t="s">
        <v>14</v>
      </c>
      <c r="C93" s="1" t="s">
        <v>293</v>
      </c>
      <c r="D93" s="110" t="s">
        <v>294</v>
      </c>
      <c r="E93" s="110" t="s">
        <v>295</v>
      </c>
      <c r="F93" s="110" t="s">
        <v>296</v>
      </c>
      <c r="G93" s="14">
        <v>698589</v>
      </c>
      <c r="H93" s="14">
        <f>639960-6075</f>
        <v>633885</v>
      </c>
      <c r="I93" s="29">
        <v>55598</v>
      </c>
      <c r="J93" s="29">
        <v>51473</v>
      </c>
      <c r="K93" s="29">
        <v>50385</v>
      </c>
      <c r="L93" s="29">
        <v>49295</v>
      </c>
      <c r="M93" s="29">
        <v>48268</v>
      </c>
      <c r="N93" s="29">
        <v>47112</v>
      </c>
      <c r="O93" s="29">
        <v>46022</v>
      </c>
      <c r="P93" s="29">
        <v>669688</v>
      </c>
      <c r="Q93" s="30">
        <f t="shared" si="1"/>
        <v>1017841</v>
      </c>
      <c r="R93" s="13"/>
      <c r="S93" s="13"/>
      <c r="T93" s="13"/>
      <c r="U93" s="13"/>
      <c r="V93" s="13"/>
      <c r="W93" s="13"/>
      <c r="X93" s="13"/>
      <c r="Y93" s="13"/>
      <c r="AM93" s="38"/>
    </row>
    <row r="94" spans="1:39" s="10" customFormat="1" ht="92.4" x14ac:dyDescent="0.25">
      <c r="A94" s="2">
        <v>87</v>
      </c>
      <c r="B94" s="15" t="s">
        <v>14</v>
      </c>
      <c r="C94" s="123" t="s">
        <v>506</v>
      </c>
      <c r="D94" s="121" t="s">
        <v>297</v>
      </c>
      <c r="E94" s="17" t="s">
        <v>298</v>
      </c>
      <c r="F94" s="17" t="s">
        <v>299</v>
      </c>
      <c r="G94" s="18">
        <v>91175</v>
      </c>
      <c r="H94" s="18">
        <v>15087</v>
      </c>
      <c r="I94" s="19">
        <v>15118</v>
      </c>
      <c r="J94" s="19">
        <v>0</v>
      </c>
      <c r="K94" s="19">
        <v>0</v>
      </c>
      <c r="L94" s="19">
        <v>0</v>
      </c>
      <c r="M94" s="19">
        <v>0</v>
      </c>
      <c r="N94" s="19">
        <v>0</v>
      </c>
      <c r="O94" s="19">
        <v>0</v>
      </c>
      <c r="P94" s="19">
        <v>0</v>
      </c>
      <c r="Q94" s="21">
        <f t="shared" si="1"/>
        <v>15118</v>
      </c>
      <c r="R94" s="13"/>
      <c r="S94" s="13"/>
      <c r="T94" s="13"/>
      <c r="U94" s="13"/>
      <c r="V94" s="13"/>
      <c r="W94" s="13"/>
      <c r="X94" s="13"/>
      <c r="Y94" s="13"/>
      <c r="AM94" s="38"/>
    </row>
    <row r="95" spans="1:39" s="10" customFormat="1" ht="26.4" x14ac:dyDescent="0.2">
      <c r="A95" s="111">
        <v>88</v>
      </c>
      <c r="B95" s="110" t="s">
        <v>14</v>
      </c>
      <c r="C95" s="1" t="s">
        <v>507</v>
      </c>
      <c r="D95" s="110" t="s">
        <v>300</v>
      </c>
      <c r="E95" s="110" t="s">
        <v>301</v>
      </c>
      <c r="F95" s="110" t="s">
        <v>302</v>
      </c>
      <c r="G95" s="14">
        <v>660540</v>
      </c>
      <c r="H95" s="14">
        <f>614352-6609</f>
        <v>607743</v>
      </c>
      <c r="I95" s="29">
        <v>56689</v>
      </c>
      <c r="J95" s="29">
        <v>52566</v>
      </c>
      <c r="K95" s="29">
        <v>51371</v>
      </c>
      <c r="L95" s="29">
        <v>50174</v>
      </c>
      <c r="M95" s="29">
        <v>49036</v>
      </c>
      <c r="N95" s="29">
        <v>47777</v>
      </c>
      <c r="O95" s="29">
        <v>46580</v>
      </c>
      <c r="P95" s="29">
        <v>582447</v>
      </c>
      <c r="Q95" s="21">
        <f t="shared" si="1"/>
        <v>936640</v>
      </c>
      <c r="R95" s="13"/>
      <c r="S95" s="13"/>
      <c r="T95" s="13"/>
      <c r="U95" s="13"/>
      <c r="V95" s="13"/>
      <c r="W95" s="13"/>
      <c r="X95" s="13"/>
      <c r="Y95" s="13"/>
      <c r="AM95" s="38"/>
    </row>
    <row r="96" spans="1:39" s="10" customFormat="1" ht="39.6" x14ac:dyDescent="0.2">
      <c r="A96" s="2">
        <v>89</v>
      </c>
      <c r="B96" s="110" t="s">
        <v>14</v>
      </c>
      <c r="C96" s="1" t="s">
        <v>303</v>
      </c>
      <c r="D96" s="110" t="s">
        <v>304</v>
      </c>
      <c r="E96" s="110" t="s">
        <v>301</v>
      </c>
      <c r="F96" s="110" t="s">
        <v>88</v>
      </c>
      <c r="G96" s="14">
        <v>315428</v>
      </c>
      <c r="H96" s="14">
        <f>275328-5736</f>
        <v>269592</v>
      </c>
      <c r="I96" s="29">
        <v>35291</v>
      </c>
      <c r="J96" s="29">
        <v>33049</v>
      </c>
      <c r="K96" s="29">
        <v>32097</v>
      </c>
      <c r="L96" s="29">
        <v>31143</v>
      </c>
      <c r="M96" s="29">
        <v>30206</v>
      </c>
      <c r="N96" s="29">
        <v>29232</v>
      </c>
      <c r="O96" s="29">
        <v>28279</v>
      </c>
      <c r="P96" s="29">
        <v>121345</v>
      </c>
      <c r="Q96" s="21">
        <f t="shared" si="1"/>
        <v>340642</v>
      </c>
      <c r="R96" s="13"/>
      <c r="S96" s="13"/>
      <c r="T96" s="13"/>
      <c r="U96" s="13"/>
      <c r="V96" s="13"/>
      <c r="W96" s="13"/>
      <c r="X96" s="13"/>
      <c r="Y96" s="13"/>
      <c r="AM96" s="38"/>
    </row>
    <row r="97" spans="1:40" s="10" customFormat="1" ht="66" x14ac:dyDescent="0.2">
      <c r="A97" s="2">
        <v>90</v>
      </c>
      <c r="B97" s="110" t="s">
        <v>14</v>
      </c>
      <c r="C97" s="1" t="s">
        <v>305</v>
      </c>
      <c r="D97" s="110" t="s">
        <v>306</v>
      </c>
      <c r="E97" s="110" t="s">
        <v>307</v>
      </c>
      <c r="F97" s="110" t="s">
        <v>308</v>
      </c>
      <c r="G97" s="14">
        <v>230000</v>
      </c>
      <c r="H97" s="14">
        <f>208863-3027</f>
        <v>205836</v>
      </c>
      <c r="I97" s="29">
        <v>21900</v>
      </c>
      <c r="J97" s="29">
        <v>20274</v>
      </c>
      <c r="K97" s="29">
        <v>19759</v>
      </c>
      <c r="L97" s="29">
        <v>19244</v>
      </c>
      <c r="M97" s="29">
        <v>18745</v>
      </c>
      <c r="N97" s="29">
        <v>18211</v>
      </c>
      <c r="O97" s="29">
        <v>17696</v>
      </c>
      <c r="P97" s="29">
        <v>148672</v>
      </c>
      <c r="Q97" s="30">
        <f>SUM(I97:P97)</f>
        <v>284501</v>
      </c>
      <c r="R97" s="13"/>
      <c r="S97" s="13"/>
      <c r="T97" s="13"/>
      <c r="U97" s="13"/>
      <c r="V97" s="13"/>
      <c r="W97" s="13"/>
      <c r="X97" s="13"/>
      <c r="Y97" s="13"/>
      <c r="AM97" s="38"/>
    </row>
    <row r="98" spans="1:40" s="10" customFormat="1" ht="52.8" x14ac:dyDescent="0.2">
      <c r="A98" s="2">
        <v>91</v>
      </c>
      <c r="B98" s="110" t="s">
        <v>14</v>
      </c>
      <c r="C98" s="1" t="s">
        <v>508</v>
      </c>
      <c r="D98" s="110" t="s">
        <v>309</v>
      </c>
      <c r="E98" s="110" t="s">
        <v>307</v>
      </c>
      <c r="F98" s="110" t="s">
        <v>308</v>
      </c>
      <c r="G98" s="14">
        <v>98000</v>
      </c>
      <c r="H98" s="14">
        <f>84525-1225</f>
        <v>83300</v>
      </c>
      <c r="I98" s="29">
        <v>8863</v>
      </c>
      <c r="J98" s="29">
        <v>8205</v>
      </c>
      <c r="K98" s="29">
        <v>7996</v>
      </c>
      <c r="L98" s="29">
        <v>7788</v>
      </c>
      <c r="M98" s="29">
        <v>7586</v>
      </c>
      <c r="N98" s="29">
        <v>7370</v>
      </c>
      <c r="O98" s="29">
        <v>7161</v>
      </c>
      <c r="P98" s="29">
        <v>60166</v>
      </c>
      <c r="Q98" s="30">
        <f t="shared" ref="Q98:Q134" si="2">SUM(I98:P98)</f>
        <v>115135</v>
      </c>
      <c r="R98" s="13"/>
      <c r="S98" s="13"/>
      <c r="T98" s="13"/>
      <c r="U98" s="13"/>
      <c r="V98" s="13"/>
      <c r="W98" s="13"/>
      <c r="X98" s="13"/>
      <c r="Y98" s="13"/>
      <c r="AM98" s="38"/>
    </row>
    <row r="99" spans="1:40" s="10" customFormat="1" ht="66" x14ac:dyDescent="0.2">
      <c r="A99" s="2">
        <v>92</v>
      </c>
      <c r="B99" s="110" t="s">
        <v>14</v>
      </c>
      <c r="C99" s="1" t="s">
        <v>310</v>
      </c>
      <c r="D99" s="110" t="s">
        <v>311</v>
      </c>
      <c r="E99" s="110" t="s">
        <v>307</v>
      </c>
      <c r="F99" s="110" t="s">
        <v>308</v>
      </c>
      <c r="G99" s="14">
        <v>113860</v>
      </c>
      <c r="H99" s="14">
        <f>98256-1424</f>
        <v>96832</v>
      </c>
      <c r="I99" s="29">
        <v>10302</v>
      </c>
      <c r="J99" s="29">
        <v>9537</v>
      </c>
      <c r="K99" s="29">
        <v>9295</v>
      </c>
      <c r="L99" s="29">
        <v>9053</v>
      </c>
      <c r="M99" s="29">
        <v>8818</v>
      </c>
      <c r="N99" s="29">
        <v>8567</v>
      </c>
      <c r="O99" s="29">
        <v>8325</v>
      </c>
      <c r="P99" s="29">
        <v>69941</v>
      </c>
      <c r="Q99" s="30">
        <f t="shared" si="2"/>
        <v>133838</v>
      </c>
      <c r="R99" s="13"/>
      <c r="S99" s="13"/>
      <c r="T99" s="13"/>
      <c r="U99" s="13"/>
      <c r="V99" s="13"/>
      <c r="W99" s="13"/>
      <c r="X99" s="13"/>
      <c r="Y99" s="13"/>
      <c r="AM99" s="38"/>
    </row>
    <row r="100" spans="1:40" s="10" customFormat="1" ht="39.6" x14ac:dyDescent="0.2">
      <c r="A100" s="111">
        <v>93</v>
      </c>
      <c r="B100" s="110" t="s">
        <v>14</v>
      </c>
      <c r="C100" s="1" t="s">
        <v>509</v>
      </c>
      <c r="D100" s="110" t="s">
        <v>312</v>
      </c>
      <c r="E100" s="110" t="s">
        <v>313</v>
      </c>
      <c r="F100" s="110" t="s">
        <v>314</v>
      </c>
      <c r="G100" s="14">
        <v>121491</v>
      </c>
      <c r="H100" s="14">
        <f>106032-2209</f>
        <v>103823</v>
      </c>
      <c r="I100" s="29">
        <v>13853</v>
      </c>
      <c r="J100" s="29">
        <v>12754</v>
      </c>
      <c r="K100" s="29">
        <v>12383</v>
      </c>
      <c r="L100" s="29">
        <v>12013</v>
      </c>
      <c r="M100" s="29">
        <v>11651</v>
      </c>
      <c r="N100" s="29">
        <v>11273</v>
      </c>
      <c r="O100" s="29">
        <v>10903</v>
      </c>
      <c r="P100" s="29">
        <v>46770</v>
      </c>
      <c r="Q100" s="30">
        <f t="shared" si="2"/>
        <v>131600</v>
      </c>
      <c r="R100" s="13"/>
      <c r="S100" s="13"/>
      <c r="T100" s="13"/>
      <c r="U100" s="13"/>
      <c r="V100" s="13"/>
      <c r="W100" s="13"/>
      <c r="X100" s="13"/>
      <c r="Y100" s="13"/>
      <c r="AM100" s="38"/>
    </row>
    <row r="101" spans="1:40" s="10" customFormat="1" ht="52.8" x14ac:dyDescent="0.2">
      <c r="A101" s="2">
        <v>94</v>
      </c>
      <c r="B101" s="110" t="s">
        <v>14</v>
      </c>
      <c r="C101" s="1" t="s">
        <v>469</v>
      </c>
      <c r="D101" s="110" t="s">
        <v>315</v>
      </c>
      <c r="E101" s="110" t="s">
        <v>316</v>
      </c>
      <c r="F101" s="110" t="s">
        <v>317</v>
      </c>
      <c r="G101" s="14">
        <v>91190</v>
      </c>
      <c r="H101" s="14">
        <f>64600-3800</f>
        <v>60800</v>
      </c>
      <c r="I101" s="29">
        <v>15348</v>
      </c>
      <c r="J101" s="29">
        <v>15310</v>
      </c>
      <c r="K101" s="29">
        <v>15271</v>
      </c>
      <c r="L101" s="29">
        <v>15233</v>
      </c>
      <c r="M101" s="29">
        <v>1</v>
      </c>
      <c r="N101" s="29"/>
      <c r="O101" s="29">
        <v>0</v>
      </c>
      <c r="P101" s="29">
        <v>0</v>
      </c>
      <c r="Q101" s="30">
        <f t="shared" si="2"/>
        <v>61163</v>
      </c>
      <c r="R101" s="13"/>
      <c r="S101" s="13"/>
      <c r="T101" s="13"/>
      <c r="U101" s="13"/>
      <c r="V101" s="13"/>
      <c r="W101" s="13"/>
      <c r="X101" s="13"/>
      <c r="Y101" s="13"/>
      <c r="AM101" s="38"/>
    </row>
    <row r="102" spans="1:40" s="10" customFormat="1" ht="39.6" x14ac:dyDescent="0.2">
      <c r="A102" s="2">
        <v>95</v>
      </c>
      <c r="B102" s="110" t="s">
        <v>14</v>
      </c>
      <c r="C102" s="1" t="s">
        <v>318</v>
      </c>
      <c r="D102" s="110" t="s">
        <v>319</v>
      </c>
      <c r="E102" s="110" t="s">
        <v>320</v>
      </c>
      <c r="F102" s="110" t="s">
        <v>321</v>
      </c>
      <c r="G102" s="14">
        <v>400000</v>
      </c>
      <c r="H102" s="14">
        <f>383826-5406</f>
        <v>378420</v>
      </c>
      <c r="I102" s="29">
        <v>38145</v>
      </c>
      <c r="J102" s="29">
        <v>36599</v>
      </c>
      <c r="K102" s="29">
        <v>35655</v>
      </c>
      <c r="L102" s="29">
        <v>34740</v>
      </c>
      <c r="M102" s="29">
        <v>33857</v>
      </c>
      <c r="N102" s="29">
        <v>32909</v>
      </c>
      <c r="O102" s="29">
        <v>31994</v>
      </c>
      <c r="P102" s="29">
        <v>280828</v>
      </c>
      <c r="Q102" s="30">
        <f t="shared" si="2"/>
        <v>524727</v>
      </c>
      <c r="R102" s="13"/>
      <c r="S102" s="13"/>
      <c r="T102" s="13"/>
      <c r="U102" s="13"/>
      <c r="V102" s="13"/>
      <c r="W102" s="13"/>
      <c r="X102" s="13"/>
      <c r="Y102" s="13"/>
      <c r="AM102" s="38"/>
    </row>
    <row r="103" spans="1:40" s="10" customFormat="1" ht="26.4" x14ac:dyDescent="0.2">
      <c r="A103" s="2">
        <v>96</v>
      </c>
      <c r="B103" s="110" t="s">
        <v>14</v>
      </c>
      <c r="C103" s="1" t="s">
        <v>322</v>
      </c>
      <c r="D103" s="110" t="s">
        <v>323</v>
      </c>
      <c r="E103" s="110" t="s">
        <v>324</v>
      </c>
      <c r="F103" s="110" t="s">
        <v>325</v>
      </c>
      <c r="G103" s="14">
        <v>72515</v>
      </c>
      <c r="H103" s="14">
        <f>49455-3297</f>
        <v>46158</v>
      </c>
      <c r="I103" s="29">
        <v>13300</v>
      </c>
      <c r="J103" s="29">
        <v>13266</v>
      </c>
      <c r="K103" s="29">
        <v>13233</v>
      </c>
      <c r="L103" s="29">
        <v>6606</v>
      </c>
      <c r="M103" s="29">
        <v>0</v>
      </c>
      <c r="N103" s="29">
        <v>0</v>
      </c>
      <c r="O103" s="29">
        <v>0</v>
      </c>
      <c r="P103" s="29">
        <v>0</v>
      </c>
      <c r="Q103" s="30">
        <f t="shared" si="2"/>
        <v>46405</v>
      </c>
      <c r="R103" s="13"/>
      <c r="S103" s="13"/>
      <c r="T103" s="13"/>
      <c r="U103" s="13"/>
      <c r="V103" s="13"/>
      <c r="W103" s="13"/>
      <c r="X103" s="13"/>
      <c r="Y103" s="13"/>
      <c r="AM103" s="38"/>
    </row>
    <row r="104" spans="1:40" s="10" customFormat="1" ht="40.200000000000003" customHeight="1" x14ac:dyDescent="0.25">
      <c r="A104" s="111">
        <v>97</v>
      </c>
      <c r="B104" s="15" t="s">
        <v>14</v>
      </c>
      <c r="C104" s="123" t="s">
        <v>326</v>
      </c>
      <c r="D104" s="121" t="s">
        <v>327</v>
      </c>
      <c r="E104" s="17" t="s">
        <v>324</v>
      </c>
      <c r="F104" s="17" t="s">
        <v>328</v>
      </c>
      <c r="G104" s="18">
        <v>7677320</v>
      </c>
      <c r="H104" s="18">
        <v>5620803</v>
      </c>
      <c r="I104" s="19">
        <v>602013</v>
      </c>
      <c r="J104" s="19">
        <v>589495</v>
      </c>
      <c r="K104" s="19">
        <v>576978</v>
      </c>
      <c r="L104" s="19">
        <v>564460</v>
      </c>
      <c r="M104" s="19">
        <v>551943</v>
      </c>
      <c r="N104" s="19">
        <v>539425</v>
      </c>
      <c r="O104" s="20">
        <v>526908</v>
      </c>
      <c r="P104" s="19">
        <v>8042288</v>
      </c>
      <c r="Q104" s="21">
        <f t="shared" si="2"/>
        <v>11993510</v>
      </c>
      <c r="R104" s="13"/>
      <c r="S104" s="13"/>
      <c r="T104" s="13"/>
      <c r="U104" s="13"/>
      <c r="V104" s="13"/>
      <c r="W104" s="13"/>
      <c r="X104" s="13"/>
      <c r="Y104" s="13"/>
      <c r="AM104" s="31"/>
    </row>
    <row r="105" spans="1:40" s="10" customFormat="1" ht="26.4" x14ac:dyDescent="0.2">
      <c r="A105" s="2">
        <v>98</v>
      </c>
      <c r="B105" s="110" t="s">
        <v>14</v>
      </c>
      <c r="C105" s="1" t="s">
        <v>329</v>
      </c>
      <c r="D105" s="110" t="s">
        <v>330</v>
      </c>
      <c r="E105" s="110" t="s">
        <v>331</v>
      </c>
      <c r="F105" s="110" t="s">
        <v>328</v>
      </c>
      <c r="G105" s="14">
        <v>2370000</v>
      </c>
      <c r="H105" s="14">
        <f>2307690-20790</f>
        <v>2286900</v>
      </c>
      <c r="I105" s="29">
        <v>190550</v>
      </c>
      <c r="J105" s="29">
        <v>176607</v>
      </c>
      <c r="K105" s="29">
        <v>173068</v>
      </c>
      <c r="L105" s="29">
        <v>169518</v>
      </c>
      <c r="M105" s="29">
        <v>166190</v>
      </c>
      <c r="N105" s="29">
        <v>162414</v>
      </c>
      <c r="O105" s="29">
        <v>158867</v>
      </c>
      <c r="P105" s="29">
        <v>2475914</v>
      </c>
      <c r="Q105" s="30">
        <f t="shared" si="2"/>
        <v>3673128</v>
      </c>
      <c r="R105" s="13"/>
      <c r="S105" s="13"/>
      <c r="T105" s="13"/>
      <c r="U105" s="13"/>
      <c r="V105" s="13"/>
      <c r="W105" s="13"/>
      <c r="X105" s="13"/>
      <c r="Y105" s="13"/>
      <c r="AM105" s="38"/>
    </row>
    <row r="106" spans="1:40" s="10" customFormat="1" ht="39.6" x14ac:dyDescent="0.2">
      <c r="A106" s="2">
        <v>99</v>
      </c>
      <c r="B106" s="110" t="s">
        <v>14</v>
      </c>
      <c r="C106" s="1" t="s">
        <v>332</v>
      </c>
      <c r="D106" s="110" t="s">
        <v>333</v>
      </c>
      <c r="E106" s="110" t="s">
        <v>334</v>
      </c>
      <c r="F106" s="110" t="s">
        <v>328</v>
      </c>
      <c r="G106" s="14">
        <v>2260000</v>
      </c>
      <c r="H106" s="14">
        <f>2200575-19825</f>
        <v>2180750</v>
      </c>
      <c r="I106" s="39">
        <v>183844</v>
      </c>
      <c r="J106" s="39">
        <v>169045</v>
      </c>
      <c r="K106" s="39">
        <v>165646</v>
      </c>
      <c r="L106" s="39">
        <v>162237</v>
      </c>
      <c r="M106" s="39">
        <v>159040</v>
      </c>
      <c r="N106" s="39">
        <v>155414</v>
      </c>
      <c r="O106" s="39">
        <v>152007</v>
      </c>
      <c r="P106" s="39">
        <v>2366236</v>
      </c>
      <c r="Q106" s="30">
        <f t="shared" si="2"/>
        <v>3513469</v>
      </c>
      <c r="R106" s="13"/>
      <c r="S106" s="13"/>
      <c r="T106" s="13"/>
      <c r="U106" s="13"/>
      <c r="V106" s="13"/>
      <c r="W106" s="13"/>
      <c r="X106" s="13"/>
      <c r="Y106" s="13"/>
      <c r="AM106" s="38"/>
    </row>
    <row r="107" spans="1:40" s="10" customFormat="1" ht="66" x14ac:dyDescent="0.25">
      <c r="A107" s="2">
        <v>100</v>
      </c>
      <c r="B107" s="15" t="s">
        <v>14</v>
      </c>
      <c r="C107" s="123" t="s">
        <v>510</v>
      </c>
      <c r="D107" s="121" t="s">
        <v>335</v>
      </c>
      <c r="E107" s="17" t="s">
        <v>336</v>
      </c>
      <c r="F107" s="17" t="s">
        <v>337</v>
      </c>
      <c r="G107" s="18">
        <v>160283</v>
      </c>
      <c r="H107" s="18">
        <f>61794-2915</f>
        <v>58879</v>
      </c>
      <c r="I107" s="19">
        <v>13324</v>
      </c>
      <c r="J107" s="19">
        <v>12264</v>
      </c>
      <c r="K107" s="19">
        <v>4952</v>
      </c>
      <c r="L107" s="19"/>
      <c r="M107" s="19"/>
      <c r="N107" s="19"/>
      <c r="O107" s="20">
        <v>0</v>
      </c>
      <c r="P107" s="19">
        <v>0</v>
      </c>
      <c r="Q107" s="21">
        <f t="shared" si="2"/>
        <v>30540</v>
      </c>
      <c r="R107" s="13"/>
      <c r="S107" s="13"/>
      <c r="T107" s="13"/>
      <c r="U107" s="13"/>
      <c r="V107" s="13"/>
      <c r="W107" s="13"/>
      <c r="X107" s="13"/>
      <c r="Y107" s="13"/>
      <c r="AM107" s="38"/>
    </row>
    <row r="108" spans="1:40" s="10" customFormat="1" ht="39.6" x14ac:dyDescent="0.25">
      <c r="A108" s="2">
        <v>101</v>
      </c>
      <c r="B108" s="40" t="s">
        <v>14</v>
      </c>
      <c r="C108" s="123" t="s">
        <v>338</v>
      </c>
      <c r="D108" s="121" t="s">
        <v>339</v>
      </c>
      <c r="E108" s="17" t="s">
        <v>336</v>
      </c>
      <c r="F108" s="17" t="s">
        <v>340</v>
      </c>
      <c r="G108" s="18">
        <v>208435</v>
      </c>
      <c r="H108" s="18">
        <f>171040-5345</f>
        <v>165695</v>
      </c>
      <c r="I108" s="19">
        <v>28723</v>
      </c>
      <c r="J108" s="19">
        <v>27072</v>
      </c>
      <c r="K108" s="19">
        <v>26211</v>
      </c>
      <c r="L108" s="19">
        <v>25347</v>
      </c>
      <c r="M108" s="19">
        <v>24490</v>
      </c>
      <c r="N108" s="19">
        <v>23618</v>
      </c>
      <c r="O108" s="20">
        <v>22755</v>
      </c>
      <c r="P108" s="19">
        <v>16529</v>
      </c>
      <c r="Q108" s="21">
        <f t="shared" si="2"/>
        <v>194745</v>
      </c>
      <c r="R108" s="13"/>
      <c r="S108" s="13"/>
      <c r="T108" s="13"/>
      <c r="U108" s="13"/>
      <c r="V108" s="13"/>
      <c r="W108" s="13"/>
      <c r="X108" s="13"/>
      <c r="Y108" s="13"/>
      <c r="AM108" s="38"/>
    </row>
    <row r="109" spans="1:40" s="10" customFormat="1" ht="66" x14ac:dyDescent="0.25">
      <c r="A109" s="111">
        <v>102</v>
      </c>
      <c r="B109" s="40" t="s">
        <v>14</v>
      </c>
      <c r="C109" s="123" t="s">
        <v>341</v>
      </c>
      <c r="D109" s="121" t="s">
        <v>342</v>
      </c>
      <c r="E109" s="17" t="s">
        <v>343</v>
      </c>
      <c r="F109" s="17" t="s">
        <v>344</v>
      </c>
      <c r="G109" s="18">
        <v>250550</v>
      </c>
      <c r="H109" s="18">
        <f>216704-6772</f>
        <v>209932</v>
      </c>
      <c r="I109" s="19">
        <v>36516</v>
      </c>
      <c r="J109" s="19">
        <v>34073</v>
      </c>
      <c r="K109" s="19">
        <v>33004</v>
      </c>
      <c r="L109" s="19">
        <v>31946</v>
      </c>
      <c r="M109" s="19">
        <v>30897</v>
      </c>
      <c r="N109" s="19">
        <v>29829</v>
      </c>
      <c r="O109" s="20">
        <v>28772</v>
      </c>
      <c r="P109" s="19">
        <v>20945</v>
      </c>
      <c r="Q109" s="21">
        <f t="shared" si="2"/>
        <v>245982</v>
      </c>
      <c r="R109" s="13"/>
      <c r="S109" s="13"/>
      <c r="T109" s="13"/>
      <c r="U109" s="13"/>
      <c r="V109" s="13"/>
      <c r="W109" s="13"/>
      <c r="X109" s="13"/>
      <c r="Y109" s="13"/>
      <c r="AM109" s="38"/>
    </row>
    <row r="110" spans="1:40" s="10" customFormat="1" ht="39.6" x14ac:dyDescent="0.25">
      <c r="A110" s="2">
        <v>103</v>
      </c>
      <c r="B110" s="40" t="s">
        <v>14</v>
      </c>
      <c r="C110" s="123" t="s">
        <v>511</v>
      </c>
      <c r="D110" s="121" t="s">
        <v>345</v>
      </c>
      <c r="E110" s="17" t="s">
        <v>346</v>
      </c>
      <c r="F110" s="17" t="s">
        <v>344</v>
      </c>
      <c r="G110" s="18">
        <v>220000</v>
      </c>
      <c r="H110" s="18">
        <f>180544-5642</f>
        <v>174902</v>
      </c>
      <c r="I110" s="19">
        <v>30364</v>
      </c>
      <c r="J110" s="19">
        <v>28477</v>
      </c>
      <c r="K110" s="19">
        <v>27552</v>
      </c>
      <c r="L110" s="19">
        <v>26661</v>
      </c>
      <c r="M110" s="19">
        <v>25777</v>
      </c>
      <c r="N110" s="19">
        <v>24877</v>
      </c>
      <c r="O110" s="20">
        <v>23987</v>
      </c>
      <c r="P110" s="19">
        <v>17455</v>
      </c>
      <c r="Q110" s="21">
        <f t="shared" si="2"/>
        <v>205150</v>
      </c>
      <c r="R110" s="13"/>
      <c r="S110" s="13"/>
      <c r="T110" s="13"/>
      <c r="U110" s="13"/>
      <c r="V110" s="13"/>
      <c r="W110" s="13"/>
      <c r="X110" s="13"/>
      <c r="Y110" s="13"/>
      <c r="AM110" s="38"/>
    </row>
    <row r="111" spans="1:40" s="10" customFormat="1" ht="66" x14ac:dyDescent="0.25">
      <c r="A111" s="2">
        <v>104</v>
      </c>
      <c r="B111" s="22" t="s">
        <v>14</v>
      </c>
      <c r="C111" s="124" t="s">
        <v>486</v>
      </c>
      <c r="D111" s="125" t="s">
        <v>347</v>
      </c>
      <c r="E111" s="41" t="s">
        <v>348</v>
      </c>
      <c r="F111" s="41" t="s">
        <v>349</v>
      </c>
      <c r="G111" s="42">
        <v>117198</v>
      </c>
      <c r="H111" s="42">
        <f>70692-3214</f>
        <v>67478</v>
      </c>
      <c r="I111" s="43">
        <v>15685</v>
      </c>
      <c r="J111" s="43">
        <v>15029</v>
      </c>
      <c r="K111" s="43">
        <v>14467</v>
      </c>
      <c r="L111" s="43">
        <v>13946</v>
      </c>
      <c r="M111" s="43">
        <v>13426</v>
      </c>
      <c r="N111" s="43">
        <v>3287</v>
      </c>
      <c r="O111" s="44">
        <v>0</v>
      </c>
      <c r="P111" s="43">
        <v>0</v>
      </c>
      <c r="Q111" s="45">
        <f t="shared" si="2"/>
        <v>75840</v>
      </c>
      <c r="R111" s="13"/>
      <c r="S111" s="13"/>
      <c r="T111" s="13"/>
      <c r="U111" s="13"/>
      <c r="V111" s="13"/>
      <c r="W111" s="13"/>
      <c r="X111" s="13"/>
      <c r="Y111" s="13"/>
      <c r="AM111" s="38"/>
    </row>
    <row r="112" spans="1:40" s="10" customFormat="1" ht="69" customHeight="1" x14ac:dyDescent="0.25">
      <c r="A112" s="2">
        <v>105</v>
      </c>
      <c r="B112" s="15" t="s">
        <v>14</v>
      </c>
      <c r="C112" s="123" t="s">
        <v>512</v>
      </c>
      <c r="D112" s="126" t="s">
        <v>350</v>
      </c>
      <c r="E112" s="17" t="s">
        <v>351</v>
      </c>
      <c r="F112" s="17" t="s">
        <v>352</v>
      </c>
      <c r="G112" s="18">
        <v>3249914</v>
      </c>
      <c r="H112" s="18">
        <v>3249914</v>
      </c>
      <c r="I112" s="19">
        <v>284076</v>
      </c>
      <c r="J112" s="19">
        <v>266415</v>
      </c>
      <c r="K112" s="19">
        <v>260363</v>
      </c>
      <c r="L112" s="19">
        <v>254315</v>
      </c>
      <c r="M112" s="19">
        <v>248624</v>
      </c>
      <c r="N112" s="19">
        <v>242209</v>
      </c>
      <c r="O112" s="20">
        <v>236164</v>
      </c>
      <c r="P112" s="19">
        <v>3382385</v>
      </c>
      <c r="Q112" s="28">
        <f t="shared" si="2"/>
        <v>5174551</v>
      </c>
      <c r="R112" s="13"/>
      <c r="S112" s="13"/>
      <c r="T112" s="13"/>
      <c r="U112" s="13"/>
      <c r="V112" s="13"/>
      <c r="W112" s="13"/>
      <c r="X112" s="13"/>
      <c r="Y112" s="13"/>
      <c r="AM112" s="38"/>
      <c r="AN112" s="9"/>
    </row>
    <row r="113" spans="1:42" s="10" customFormat="1" ht="73.2" customHeight="1" x14ac:dyDescent="0.25">
      <c r="A113" s="111">
        <v>106</v>
      </c>
      <c r="B113" s="15" t="s">
        <v>14</v>
      </c>
      <c r="C113" s="123" t="s">
        <v>513</v>
      </c>
      <c r="D113" s="121" t="s">
        <v>353</v>
      </c>
      <c r="E113" s="17" t="s">
        <v>351</v>
      </c>
      <c r="F113" s="17" t="s">
        <v>354</v>
      </c>
      <c r="G113" s="18">
        <v>1255956</v>
      </c>
      <c r="H113" s="18">
        <v>1255956</v>
      </c>
      <c r="I113" s="19">
        <v>129334</v>
      </c>
      <c r="J113" s="19">
        <v>123216</v>
      </c>
      <c r="K113" s="19">
        <v>119909</v>
      </c>
      <c r="L113" s="19">
        <v>116600</v>
      </c>
      <c r="M113" s="19">
        <v>113411</v>
      </c>
      <c r="N113" s="91">
        <v>109979</v>
      </c>
      <c r="O113" s="20">
        <v>106673</v>
      </c>
      <c r="P113" s="19">
        <v>947817</v>
      </c>
      <c r="Q113" s="21">
        <f t="shared" si="2"/>
        <v>1766939</v>
      </c>
      <c r="R113" s="13"/>
      <c r="S113" s="13"/>
      <c r="T113" s="13"/>
      <c r="U113" s="13"/>
      <c r="V113" s="13"/>
      <c r="W113" s="13"/>
      <c r="X113" s="13"/>
      <c r="Y113" s="13"/>
      <c r="AM113" s="38"/>
      <c r="AO113" s="31"/>
    </row>
    <row r="114" spans="1:42" s="10" customFormat="1" ht="39.6" x14ac:dyDescent="0.25">
      <c r="A114" s="2">
        <v>107</v>
      </c>
      <c r="B114" s="15" t="s">
        <v>14</v>
      </c>
      <c r="C114" s="123" t="s">
        <v>487</v>
      </c>
      <c r="D114" s="121" t="s">
        <v>355</v>
      </c>
      <c r="E114" s="17" t="s">
        <v>356</v>
      </c>
      <c r="F114" s="17" t="s">
        <v>168</v>
      </c>
      <c r="G114" s="18">
        <v>1000000</v>
      </c>
      <c r="H114" s="18">
        <v>1000000</v>
      </c>
      <c r="I114" s="19">
        <v>108105</v>
      </c>
      <c r="J114" s="19">
        <v>100654</v>
      </c>
      <c r="K114" s="19">
        <v>97973</v>
      </c>
      <c r="L114" s="19">
        <v>95285</v>
      </c>
      <c r="M114" s="19">
        <v>92697</v>
      </c>
      <c r="N114" s="19">
        <v>89904</v>
      </c>
      <c r="O114" s="20">
        <v>87217</v>
      </c>
      <c r="P114" s="19">
        <v>810226</v>
      </c>
      <c r="Q114" s="21">
        <f t="shared" si="2"/>
        <v>1482061</v>
      </c>
      <c r="R114" s="13"/>
      <c r="S114" s="13"/>
      <c r="T114" s="13"/>
      <c r="U114" s="13"/>
      <c r="V114" s="13"/>
      <c r="W114" s="13"/>
      <c r="X114" s="13"/>
      <c r="Y114" s="13"/>
      <c r="AM114" s="38"/>
    </row>
    <row r="115" spans="1:42" s="10" customFormat="1" ht="67.2" customHeight="1" x14ac:dyDescent="0.25">
      <c r="A115" s="2">
        <v>108</v>
      </c>
      <c r="B115" s="22" t="s">
        <v>14</v>
      </c>
      <c r="C115" s="127" t="s">
        <v>488</v>
      </c>
      <c r="D115" s="128" t="s">
        <v>357</v>
      </c>
      <c r="E115" s="24" t="s">
        <v>356</v>
      </c>
      <c r="F115" s="24" t="s">
        <v>358</v>
      </c>
      <c r="G115" s="25">
        <v>217024</v>
      </c>
      <c r="H115" s="25">
        <v>217024</v>
      </c>
      <c r="I115" s="26">
        <v>35937</v>
      </c>
      <c r="J115" s="26">
        <v>34458</v>
      </c>
      <c r="K115" s="26">
        <v>33246</v>
      </c>
      <c r="L115" s="26">
        <v>32030</v>
      </c>
      <c r="M115" s="26">
        <v>30827</v>
      </c>
      <c r="N115" s="26">
        <v>29597</v>
      </c>
      <c r="O115" s="27">
        <v>28382</v>
      </c>
      <c r="P115" s="26">
        <v>40369</v>
      </c>
      <c r="Q115" s="28">
        <f t="shared" si="2"/>
        <v>264846</v>
      </c>
      <c r="R115" s="13"/>
      <c r="S115" s="13"/>
      <c r="T115" s="13"/>
      <c r="U115" s="13"/>
      <c r="V115" s="13"/>
      <c r="W115" s="13"/>
      <c r="X115" s="13"/>
      <c r="Y115" s="13"/>
      <c r="AM115" s="38"/>
      <c r="AO115" s="31"/>
    </row>
    <row r="116" spans="1:42" s="10" customFormat="1" ht="67.2" customHeight="1" x14ac:dyDescent="0.25">
      <c r="A116" s="2">
        <v>109</v>
      </c>
      <c r="B116" s="15" t="s">
        <v>14</v>
      </c>
      <c r="C116" s="46" t="s">
        <v>514</v>
      </c>
      <c r="D116" s="121" t="s">
        <v>359</v>
      </c>
      <c r="E116" s="17" t="s">
        <v>360</v>
      </c>
      <c r="F116" s="17" t="s">
        <v>48</v>
      </c>
      <c r="G116" s="18">
        <v>152598</v>
      </c>
      <c r="H116" s="18">
        <f>11646-3913</f>
        <v>7733</v>
      </c>
      <c r="I116" s="19">
        <v>186</v>
      </c>
      <c r="J116" s="19">
        <v>0</v>
      </c>
      <c r="K116" s="19">
        <v>0</v>
      </c>
      <c r="L116" s="19">
        <v>0</v>
      </c>
      <c r="M116" s="19"/>
      <c r="N116" s="19"/>
      <c r="O116" s="20"/>
      <c r="P116" s="19"/>
      <c r="Q116" s="21">
        <f t="shared" si="2"/>
        <v>186</v>
      </c>
      <c r="R116" s="47"/>
      <c r="S116" s="48"/>
      <c r="T116" s="48"/>
      <c r="U116" s="48"/>
      <c r="V116" s="48"/>
      <c r="W116" s="48"/>
      <c r="X116" s="48"/>
      <c r="Y116" s="48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9"/>
      <c r="AL116" s="50"/>
      <c r="AM116" s="31"/>
    </row>
    <row r="117" spans="1:42" s="10" customFormat="1" ht="70.95" customHeight="1" x14ac:dyDescent="0.25">
      <c r="A117" s="2">
        <v>110</v>
      </c>
      <c r="B117" s="15" t="s">
        <v>14</v>
      </c>
      <c r="C117" s="46" t="s">
        <v>515</v>
      </c>
      <c r="D117" s="121" t="s">
        <v>361</v>
      </c>
      <c r="E117" s="17" t="s">
        <v>360</v>
      </c>
      <c r="F117" s="17" t="s">
        <v>362</v>
      </c>
      <c r="G117" s="18">
        <v>69808</v>
      </c>
      <c r="H117" s="18">
        <f>63421-1802</f>
        <v>61619</v>
      </c>
      <c r="I117" s="19">
        <v>10552</v>
      </c>
      <c r="J117" s="19">
        <v>9900</v>
      </c>
      <c r="K117" s="18">
        <v>9536</v>
      </c>
      <c r="L117" s="19">
        <v>9172</v>
      </c>
      <c r="M117" s="19">
        <v>8812</v>
      </c>
      <c r="N117" s="19">
        <v>8443</v>
      </c>
      <c r="O117" s="20">
        <v>8079</v>
      </c>
      <c r="P117" s="19">
        <v>11814</v>
      </c>
      <c r="Q117" s="21">
        <f t="shared" si="2"/>
        <v>76308</v>
      </c>
      <c r="R117" s="13"/>
      <c r="S117" s="13"/>
      <c r="T117" s="13"/>
      <c r="U117" s="13"/>
      <c r="V117" s="13"/>
      <c r="W117" s="13"/>
      <c r="X117" s="13"/>
      <c r="Y117" s="13"/>
      <c r="AM117" s="38"/>
    </row>
    <row r="118" spans="1:42" s="10" customFormat="1" ht="52.8" x14ac:dyDescent="0.25">
      <c r="A118" s="111">
        <v>111</v>
      </c>
      <c r="B118" s="15" t="s">
        <v>14</v>
      </c>
      <c r="C118" s="46" t="s">
        <v>516</v>
      </c>
      <c r="D118" s="121" t="s">
        <v>363</v>
      </c>
      <c r="E118" s="17" t="s">
        <v>360</v>
      </c>
      <c r="F118" s="17" t="s">
        <v>362</v>
      </c>
      <c r="G118" s="18">
        <v>304590</v>
      </c>
      <c r="H118" s="18">
        <v>304590</v>
      </c>
      <c r="I118" s="19">
        <v>51110</v>
      </c>
      <c r="J118" s="19">
        <v>48267</v>
      </c>
      <c r="K118" s="51">
        <v>46499</v>
      </c>
      <c r="L118" s="18">
        <v>44726</v>
      </c>
      <c r="M118" s="19">
        <v>42973</v>
      </c>
      <c r="N118" s="19">
        <v>41178</v>
      </c>
      <c r="O118" s="19">
        <v>39406</v>
      </c>
      <c r="P118" s="19">
        <v>64715</v>
      </c>
      <c r="Q118" s="21">
        <f t="shared" si="2"/>
        <v>378874</v>
      </c>
      <c r="R118" s="13"/>
      <c r="S118" s="13"/>
      <c r="T118" s="13"/>
      <c r="U118" s="13"/>
      <c r="V118" s="13"/>
      <c r="W118" s="13"/>
      <c r="X118" s="13"/>
      <c r="Y118" s="13"/>
      <c r="AM118" s="31"/>
    </row>
    <row r="119" spans="1:42" s="10" customFormat="1" ht="52.8" x14ac:dyDescent="0.25">
      <c r="A119" s="2">
        <v>112</v>
      </c>
      <c r="B119" s="15" t="s">
        <v>14</v>
      </c>
      <c r="C119" s="46" t="s">
        <v>517</v>
      </c>
      <c r="D119" s="121" t="s">
        <v>364</v>
      </c>
      <c r="E119" s="17" t="s">
        <v>360</v>
      </c>
      <c r="F119" s="17" t="s">
        <v>362</v>
      </c>
      <c r="G119" s="18">
        <v>85445</v>
      </c>
      <c r="H119" s="18">
        <f>78659-2266</f>
        <v>76393</v>
      </c>
      <c r="I119" s="19">
        <v>13209</v>
      </c>
      <c r="J119" s="19">
        <v>12394</v>
      </c>
      <c r="K119" s="18">
        <v>11937</v>
      </c>
      <c r="L119" s="19">
        <v>11479</v>
      </c>
      <c r="M119" s="19">
        <v>11025</v>
      </c>
      <c r="N119" s="19">
        <v>10562</v>
      </c>
      <c r="O119" s="20">
        <v>10104</v>
      </c>
      <c r="P119" s="19">
        <v>13666</v>
      </c>
      <c r="Q119" s="21">
        <f t="shared" si="2"/>
        <v>94376</v>
      </c>
      <c r="R119" s="13"/>
      <c r="S119" s="13"/>
      <c r="T119" s="13"/>
      <c r="U119" s="13"/>
      <c r="V119" s="13"/>
      <c r="W119" s="13"/>
      <c r="X119" s="13"/>
      <c r="Y119" s="13"/>
      <c r="AM119" s="38"/>
    </row>
    <row r="120" spans="1:42" s="10" customFormat="1" ht="39.6" x14ac:dyDescent="0.25">
      <c r="A120" s="2">
        <v>113</v>
      </c>
      <c r="B120" s="15" t="s">
        <v>14</v>
      </c>
      <c r="C120" s="46" t="s">
        <v>518</v>
      </c>
      <c r="D120" s="121" t="s">
        <v>365</v>
      </c>
      <c r="E120" s="17" t="s">
        <v>360</v>
      </c>
      <c r="F120" s="17" t="s">
        <v>362</v>
      </c>
      <c r="G120" s="18">
        <v>111292</v>
      </c>
      <c r="H120" s="18">
        <f>101399-3307</f>
        <v>98092</v>
      </c>
      <c r="I120" s="19">
        <v>18537</v>
      </c>
      <c r="J120" s="19">
        <v>17411</v>
      </c>
      <c r="K120" s="18">
        <v>16744</v>
      </c>
      <c r="L120" s="19">
        <v>16075</v>
      </c>
      <c r="M120" s="19">
        <v>15411</v>
      </c>
      <c r="N120" s="19">
        <v>14737</v>
      </c>
      <c r="O120" s="20">
        <v>14069</v>
      </c>
      <c r="P120" s="19">
        <v>5690</v>
      </c>
      <c r="Q120" s="21">
        <f t="shared" si="2"/>
        <v>118674</v>
      </c>
      <c r="R120" s="13"/>
      <c r="S120" s="13"/>
      <c r="T120" s="13"/>
      <c r="U120" s="13"/>
      <c r="V120" s="13"/>
      <c r="W120" s="13"/>
      <c r="X120" s="13"/>
      <c r="Y120" s="13"/>
      <c r="AM120" s="38"/>
    </row>
    <row r="121" spans="1:42" s="10" customFormat="1" ht="67.2" customHeight="1" x14ac:dyDescent="0.25">
      <c r="A121" s="2">
        <v>114</v>
      </c>
      <c r="B121" s="22" t="s">
        <v>14</v>
      </c>
      <c r="C121" s="52" t="s">
        <v>489</v>
      </c>
      <c r="D121" s="128" t="s">
        <v>366</v>
      </c>
      <c r="E121" s="24" t="s">
        <v>360</v>
      </c>
      <c r="F121" s="24" t="s">
        <v>362</v>
      </c>
      <c r="G121" s="25">
        <v>104699</v>
      </c>
      <c r="H121" s="25">
        <v>100237</v>
      </c>
      <c r="I121" s="26">
        <v>18960</v>
      </c>
      <c r="J121" s="26">
        <v>17875</v>
      </c>
      <c r="K121" s="25">
        <v>17189</v>
      </c>
      <c r="L121" s="26">
        <v>16501</v>
      </c>
      <c r="M121" s="26">
        <v>15818</v>
      </c>
      <c r="N121" s="26">
        <v>15125</v>
      </c>
      <c r="O121" s="27">
        <v>14438</v>
      </c>
      <c r="P121" s="26">
        <v>5214</v>
      </c>
      <c r="Q121" s="28">
        <f t="shared" si="2"/>
        <v>121120</v>
      </c>
      <c r="R121" s="13"/>
      <c r="S121" s="13"/>
      <c r="T121" s="13"/>
      <c r="U121" s="13"/>
      <c r="V121" s="13"/>
      <c r="W121" s="13"/>
      <c r="X121" s="13"/>
      <c r="Y121" s="13"/>
      <c r="AM121" s="38"/>
    </row>
    <row r="122" spans="1:42" s="10" customFormat="1" ht="66" x14ac:dyDescent="0.25">
      <c r="A122" s="111">
        <v>115</v>
      </c>
      <c r="B122" s="22" t="s">
        <v>14</v>
      </c>
      <c r="C122" s="53" t="s">
        <v>470</v>
      </c>
      <c r="D122" s="128" t="s">
        <v>367</v>
      </c>
      <c r="E122" s="17" t="s">
        <v>368</v>
      </c>
      <c r="F122" s="17" t="s">
        <v>369</v>
      </c>
      <c r="G122" s="18">
        <v>1561658</v>
      </c>
      <c r="H122" s="18">
        <v>1561658</v>
      </c>
      <c r="I122" s="19">
        <v>176873</v>
      </c>
      <c r="J122" s="19">
        <v>168935</v>
      </c>
      <c r="K122" s="19">
        <v>163958</v>
      </c>
      <c r="L122" s="19">
        <v>158983</v>
      </c>
      <c r="M122" s="19">
        <v>154196</v>
      </c>
      <c r="N122" s="19">
        <v>149025</v>
      </c>
      <c r="O122" s="20">
        <v>144053</v>
      </c>
      <c r="P122" s="19">
        <v>1308167</v>
      </c>
      <c r="Q122" s="28">
        <f t="shared" si="2"/>
        <v>2424190</v>
      </c>
      <c r="R122" s="13"/>
      <c r="S122" s="13"/>
      <c r="T122" s="13"/>
      <c r="U122" s="13"/>
      <c r="V122" s="13"/>
      <c r="W122" s="13"/>
      <c r="X122" s="13"/>
      <c r="Y122" s="13"/>
      <c r="AM122" s="38"/>
      <c r="AN122" s="31"/>
    </row>
    <row r="123" spans="1:42" s="10" customFormat="1" ht="92.4" x14ac:dyDescent="0.25">
      <c r="A123" s="2">
        <v>116</v>
      </c>
      <c r="B123" s="22" t="s">
        <v>14</v>
      </c>
      <c r="C123" s="46" t="s">
        <v>370</v>
      </c>
      <c r="D123" s="128" t="s">
        <v>371</v>
      </c>
      <c r="E123" s="17" t="s">
        <v>368</v>
      </c>
      <c r="F123" s="17" t="s">
        <v>349</v>
      </c>
      <c r="G123" s="18">
        <v>188595</v>
      </c>
      <c r="H123" s="18">
        <v>168638</v>
      </c>
      <c r="I123" s="19">
        <v>28150</v>
      </c>
      <c r="J123" s="19">
        <v>25704</v>
      </c>
      <c r="K123" s="19">
        <v>24520</v>
      </c>
      <c r="L123" s="19">
        <v>23332</v>
      </c>
      <c r="M123" s="19">
        <v>22146</v>
      </c>
      <c r="N123" s="19">
        <v>3428</v>
      </c>
      <c r="O123" s="20"/>
      <c r="P123" s="19"/>
      <c r="Q123" s="28">
        <f t="shared" si="2"/>
        <v>127280</v>
      </c>
      <c r="R123" s="13"/>
      <c r="S123" s="13"/>
      <c r="T123" s="13"/>
      <c r="U123" s="13"/>
      <c r="V123" s="13"/>
      <c r="W123" s="13"/>
      <c r="X123" s="13"/>
      <c r="Y123" s="13"/>
      <c r="AM123" s="38"/>
    </row>
    <row r="124" spans="1:42" s="10" customFormat="1" ht="92.4" x14ac:dyDescent="0.25">
      <c r="A124" s="2">
        <v>117</v>
      </c>
      <c r="B124" s="15" t="s">
        <v>14</v>
      </c>
      <c r="C124" s="46" t="s">
        <v>372</v>
      </c>
      <c r="D124" s="121" t="s">
        <v>373</v>
      </c>
      <c r="E124" s="17" t="s">
        <v>368</v>
      </c>
      <c r="F124" s="17" t="s">
        <v>349</v>
      </c>
      <c r="G124" s="18">
        <v>75785</v>
      </c>
      <c r="H124" s="25">
        <v>72293</v>
      </c>
      <c r="I124" s="26">
        <v>16264</v>
      </c>
      <c r="J124" s="26">
        <v>15391</v>
      </c>
      <c r="K124" s="26">
        <v>14696</v>
      </c>
      <c r="L124" s="26">
        <v>13999</v>
      </c>
      <c r="M124" s="26">
        <v>13303</v>
      </c>
      <c r="N124" s="26">
        <v>1567</v>
      </c>
      <c r="O124" s="27">
        <v>0</v>
      </c>
      <c r="P124" s="26">
        <v>0</v>
      </c>
      <c r="Q124" s="28">
        <f t="shared" si="2"/>
        <v>75220</v>
      </c>
      <c r="R124" s="13"/>
      <c r="S124" s="13"/>
      <c r="T124" s="13"/>
      <c r="U124" s="13"/>
      <c r="V124" s="13"/>
      <c r="W124" s="13"/>
      <c r="X124" s="13"/>
      <c r="Y124" s="13"/>
      <c r="AM124" s="38"/>
    </row>
    <row r="125" spans="1:42" s="10" customFormat="1" ht="66" x14ac:dyDescent="0.25">
      <c r="A125" s="2">
        <v>118</v>
      </c>
      <c r="B125" s="15" t="s">
        <v>14</v>
      </c>
      <c r="C125" s="46" t="s">
        <v>470</v>
      </c>
      <c r="D125" s="121" t="s">
        <v>374</v>
      </c>
      <c r="E125" s="17" t="s">
        <v>375</v>
      </c>
      <c r="F125" s="17" t="s">
        <v>376</v>
      </c>
      <c r="G125" s="18">
        <v>1862367</v>
      </c>
      <c r="H125" s="18">
        <v>1542963</v>
      </c>
      <c r="I125" s="19">
        <v>178250</v>
      </c>
      <c r="J125" s="19">
        <v>174273</v>
      </c>
      <c r="K125" s="19">
        <v>169996</v>
      </c>
      <c r="L125" s="19">
        <v>165718</v>
      </c>
      <c r="M125" s="19">
        <v>161441</v>
      </c>
      <c r="N125" s="20">
        <v>157164</v>
      </c>
      <c r="O125" s="19">
        <v>152887</v>
      </c>
      <c r="P125" s="19">
        <v>1526005</v>
      </c>
      <c r="Q125" s="21">
        <f t="shared" si="2"/>
        <v>2685734</v>
      </c>
      <c r="R125" s="13"/>
      <c r="S125" s="13"/>
      <c r="T125" s="13"/>
      <c r="U125" s="13"/>
      <c r="V125" s="13"/>
      <c r="W125" s="13"/>
      <c r="X125" s="13"/>
      <c r="Y125" s="13"/>
      <c r="AO125" s="37"/>
    </row>
    <row r="126" spans="1:42" s="10" customFormat="1" ht="39.6" x14ac:dyDescent="0.25">
      <c r="A126" s="2">
        <v>119</v>
      </c>
      <c r="B126" s="40" t="s">
        <v>14</v>
      </c>
      <c r="C126" s="52" t="s">
        <v>490</v>
      </c>
      <c r="D126" s="128" t="s">
        <v>377</v>
      </c>
      <c r="E126" s="24" t="s">
        <v>378</v>
      </c>
      <c r="F126" s="24" t="s">
        <v>207</v>
      </c>
      <c r="G126" s="25">
        <v>831711</v>
      </c>
      <c r="H126" s="25">
        <v>831711</v>
      </c>
      <c r="I126" s="26">
        <v>78952</v>
      </c>
      <c r="J126" s="26">
        <v>78390</v>
      </c>
      <c r="K126" s="26">
        <v>76446</v>
      </c>
      <c r="L126" s="26">
        <v>74496</v>
      </c>
      <c r="M126" s="26">
        <v>72626</v>
      </c>
      <c r="N126" s="26">
        <v>70595</v>
      </c>
      <c r="O126" s="27">
        <v>68646</v>
      </c>
      <c r="P126" s="26">
        <v>693878</v>
      </c>
      <c r="Q126" s="28">
        <f t="shared" si="2"/>
        <v>1214029</v>
      </c>
      <c r="R126" s="13"/>
      <c r="S126" s="13"/>
      <c r="T126" s="13"/>
      <c r="U126" s="13"/>
      <c r="V126" s="13"/>
      <c r="W126" s="13"/>
      <c r="X126" s="13"/>
      <c r="Y126" s="13"/>
      <c r="AM126" s="38"/>
      <c r="AN126" s="31"/>
    </row>
    <row r="127" spans="1:42" s="10" customFormat="1" ht="73.95" customHeight="1" x14ac:dyDescent="0.25">
      <c r="A127" s="111">
        <v>120</v>
      </c>
      <c r="B127" s="15" t="s">
        <v>14</v>
      </c>
      <c r="C127" s="46" t="s">
        <v>491</v>
      </c>
      <c r="D127" s="121" t="s">
        <v>379</v>
      </c>
      <c r="E127" s="17" t="s">
        <v>380</v>
      </c>
      <c r="F127" s="17" t="s">
        <v>381</v>
      </c>
      <c r="G127" s="18">
        <v>817850</v>
      </c>
      <c r="H127" s="18">
        <v>817850</v>
      </c>
      <c r="I127" s="19">
        <v>118981</v>
      </c>
      <c r="J127" s="19">
        <v>114938</v>
      </c>
      <c r="K127" s="19">
        <v>111271</v>
      </c>
      <c r="L127" s="19">
        <v>107595</v>
      </c>
      <c r="M127" s="19">
        <v>103961</v>
      </c>
      <c r="N127" s="20">
        <v>100237</v>
      </c>
      <c r="O127" s="20">
        <v>96563</v>
      </c>
      <c r="P127" s="19">
        <v>182945</v>
      </c>
      <c r="Q127" s="21">
        <f t="shared" si="2"/>
        <v>936491</v>
      </c>
      <c r="R127" s="13"/>
      <c r="S127" s="13"/>
      <c r="T127" s="13"/>
      <c r="U127" s="13"/>
      <c r="V127" s="13"/>
      <c r="W127" s="13"/>
      <c r="X127" s="13"/>
      <c r="Y127" s="13"/>
      <c r="AM127" s="31"/>
      <c r="AN127" s="31"/>
      <c r="AO127" s="31"/>
    </row>
    <row r="128" spans="1:42" s="10" customFormat="1" ht="105.6" x14ac:dyDescent="0.25">
      <c r="A128" s="2">
        <v>121</v>
      </c>
      <c r="B128" s="15" t="s">
        <v>14</v>
      </c>
      <c r="C128" s="46" t="s">
        <v>519</v>
      </c>
      <c r="D128" s="121" t="s">
        <v>382</v>
      </c>
      <c r="E128" s="17" t="s">
        <v>383</v>
      </c>
      <c r="F128" s="17" t="s">
        <v>384</v>
      </c>
      <c r="G128" s="18">
        <v>363474</v>
      </c>
      <c r="H128" s="18">
        <v>363474</v>
      </c>
      <c r="I128" s="19">
        <v>39266</v>
      </c>
      <c r="J128" s="19">
        <v>39943</v>
      </c>
      <c r="K128" s="19">
        <v>38831</v>
      </c>
      <c r="L128" s="19">
        <v>37715</v>
      </c>
      <c r="M128" s="19">
        <v>36630</v>
      </c>
      <c r="N128" s="20">
        <v>35483</v>
      </c>
      <c r="O128" s="20">
        <v>34368</v>
      </c>
      <c r="P128" s="19">
        <v>222317</v>
      </c>
      <c r="Q128" s="21">
        <f t="shared" si="2"/>
        <v>484553</v>
      </c>
      <c r="R128" s="13"/>
      <c r="S128" s="13"/>
      <c r="T128" s="13"/>
      <c r="U128" s="13"/>
      <c r="V128" s="13"/>
      <c r="W128" s="13"/>
      <c r="X128" s="13"/>
      <c r="Y128" s="13"/>
      <c r="AM128" s="38"/>
      <c r="AO128" s="31"/>
      <c r="AP128" s="31"/>
    </row>
    <row r="129" spans="1:42" s="10" customFormat="1" ht="41.4" customHeight="1" x14ac:dyDescent="0.25">
      <c r="A129" s="2">
        <v>122</v>
      </c>
      <c r="B129" s="15" t="s">
        <v>14</v>
      </c>
      <c r="C129" s="46" t="s">
        <v>520</v>
      </c>
      <c r="D129" s="121" t="s">
        <v>385</v>
      </c>
      <c r="E129" s="17" t="s">
        <v>383</v>
      </c>
      <c r="F129" s="17" t="s">
        <v>384</v>
      </c>
      <c r="G129" s="18">
        <v>424514</v>
      </c>
      <c r="H129" s="18">
        <v>424514</v>
      </c>
      <c r="I129" s="19">
        <v>46317</v>
      </c>
      <c r="J129" s="19">
        <v>46653</v>
      </c>
      <c r="K129" s="19">
        <v>45354</v>
      </c>
      <c r="L129" s="19">
        <v>44051</v>
      </c>
      <c r="M129" s="19">
        <v>42783</v>
      </c>
      <c r="N129" s="20">
        <v>41443</v>
      </c>
      <c r="O129" s="20">
        <v>40141</v>
      </c>
      <c r="P129" s="19">
        <v>259630</v>
      </c>
      <c r="Q129" s="21">
        <f t="shared" si="2"/>
        <v>566372</v>
      </c>
      <c r="R129" s="13"/>
      <c r="S129" s="13"/>
      <c r="T129" s="13"/>
      <c r="U129" s="13"/>
      <c r="V129" s="13"/>
      <c r="W129" s="13"/>
      <c r="X129" s="13"/>
      <c r="Y129" s="13"/>
      <c r="AM129" s="38"/>
      <c r="AO129" s="31"/>
      <c r="AP129" s="31"/>
    </row>
    <row r="130" spans="1:42" s="10" customFormat="1" ht="66" x14ac:dyDescent="0.25">
      <c r="A130" s="2">
        <v>123</v>
      </c>
      <c r="B130" s="15" t="s">
        <v>14</v>
      </c>
      <c r="C130" s="54" t="s">
        <v>470</v>
      </c>
      <c r="D130" s="121" t="s">
        <v>386</v>
      </c>
      <c r="E130" s="55" t="s">
        <v>387</v>
      </c>
      <c r="F130" s="17" t="s">
        <v>388</v>
      </c>
      <c r="G130" s="18">
        <v>60653</v>
      </c>
      <c r="H130" s="18">
        <v>60653</v>
      </c>
      <c r="I130" s="19">
        <v>2503</v>
      </c>
      <c r="J130" s="19">
        <v>0</v>
      </c>
      <c r="K130" s="19">
        <v>0</v>
      </c>
      <c r="L130" s="19">
        <v>0</v>
      </c>
      <c r="M130" s="19">
        <v>0</v>
      </c>
      <c r="N130" s="19">
        <v>0</v>
      </c>
      <c r="O130" s="19">
        <v>0</v>
      </c>
      <c r="P130" s="19">
        <v>0</v>
      </c>
      <c r="Q130" s="21">
        <f t="shared" si="2"/>
        <v>2503</v>
      </c>
      <c r="R130" s="13"/>
      <c r="S130" s="13"/>
      <c r="T130" s="13"/>
      <c r="U130" s="13"/>
      <c r="V130" s="13"/>
      <c r="W130" s="13"/>
      <c r="X130" s="13"/>
      <c r="Y130" s="13"/>
      <c r="AM130" s="38"/>
      <c r="AN130" s="31"/>
      <c r="AO130" s="31"/>
    </row>
    <row r="131" spans="1:42" s="10" customFormat="1" ht="39.6" x14ac:dyDescent="0.25">
      <c r="A131" s="111">
        <v>124</v>
      </c>
      <c r="B131" s="15" t="s">
        <v>14</v>
      </c>
      <c r="C131" s="46" t="s">
        <v>521</v>
      </c>
      <c r="D131" s="121" t="s">
        <v>389</v>
      </c>
      <c r="E131" s="55" t="s">
        <v>390</v>
      </c>
      <c r="F131" s="17" t="s">
        <v>37</v>
      </c>
      <c r="G131" s="18">
        <v>92004</v>
      </c>
      <c r="H131" s="18">
        <v>92004</v>
      </c>
      <c r="I131" s="19">
        <v>12776</v>
      </c>
      <c r="J131" s="19">
        <v>12860</v>
      </c>
      <c r="K131" s="19">
        <v>12463</v>
      </c>
      <c r="L131" s="19">
        <v>12065</v>
      </c>
      <c r="M131" s="19">
        <v>11672</v>
      </c>
      <c r="N131" s="20">
        <v>11267</v>
      </c>
      <c r="O131" s="20">
        <v>10869</v>
      </c>
      <c r="P131" s="19">
        <v>27810</v>
      </c>
      <c r="Q131" s="21">
        <f t="shared" si="2"/>
        <v>111782</v>
      </c>
      <c r="R131" s="13"/>
      <c r="S131" s="13"/>
      <c r="T131" s="13"/>
      <c r="U131" s="13"/>
      <c r="V131" s="13"/>
      <c r="W131" s="13"/>
      <c r="X131" s="13"/>
      <c r="Y131" s="13"/>
      <c r="AM131" s="38"/>
      <c r="AO131" s="31"/>
      <c r="AP131" s="31"/>
    </row>
    <row r="132" spans="1:42" s="10" customFormat="1" ht="52.8" x14ac:dyDescent="0.25">
      <c r="A132" s="2">
        <v>125</v>
      </c>
      <c r="B132" s="15" t="s">
        <v>14</v>
      </c>
      <c r="C132" s="46" t="s">
        <v>492</v>
      </c>
      <c r="D132" s="121" t="s">
        <v>391</v>
      </c>
      <c r="E132" s="17" t="s">
        <v>392</v>
      </c>
      <c r="F132" s="17" t="s">
        <v>393</v>
      </c>
      <c r="G132" s="18">
        <v>239876</v>
      </c>
      <c r="H132" s="18">
        <v>23988</v>
      </c>
      <c r="I132" s="19">
        <v>5740</v>
      </c>
      <c r="J132" s="19">
        <v>27743</v>
      </c>
      <c r="K132" s="19">
        <v>27031</v>
      </c>
      <c r="L132" s="19">
        <v>26272</v>
      </c>
      <c r="M132" s="19">
        <v>25513</v>
      </c>
      <c r="N132" s="20">
        <v>24753</v>
      </c>
      <c r="O132" s="20">
        <v>23994</v>
      </c>
      <c r="P132" s="19">
        <v>160229</v>
      </c>
      <c r="Q132" s="21">
        <f t="shared" si="2"/>
        <v>321275</v>
      </c>
      <c r="R132" s="13"/>
      <c r="S132" s="13"/>
      <c r="T132" s="13"/>
      <c r="U132" s="13"/>
      <c r="V132" s="13"/>
      <c r="W132" s="13"/>
      <c r="X132" s="13"/>
      <c r="Y132" s="13"/>
    </row>
    <row r="133" spans="1:42" s="10" customFormat="1" ht="70.95" customHeight="1" x14ac:dyDescent="0.25">
      <c r="A133" s="2">
        <v>126</v>
      </c>
      <c r="B133" s="15" t="s">
        <v>14</v>
      </c>
      <c r="C133" s="46" t="s">
        <v>493</v>
      </c>
      <c r="D133" s="121" t="s">
        <v>394</v>
      </c>
      <c r="E133" s="17" t="s">
        <v>392</v>
      </c>
      <c r="F133" s="17" t="s">
        <v>393</v>
      </c>
      <c r="G133" s="18">
        <v>472143</v>
      </c>
      <c r="H133" s="18">
        <v>47122</v>
      </c>
      <c r="I133" s="19">
        <v>11297</v>
      </c>
      <c r="J133" s="19">
        <v>54603</v>
      </c>
      <c r="K133" s="19">
        <v>53202</v>
      </c>
      <c r="L133" s="19">
        <v>51708</v>
      </c>
      <c r="M133" s="19">
        <v>50214</v>
      </c>
      <c r="N133" s="20">
        <v>48720</v>
      </c>
      <c r="O133" s="20">
        <v>47226</v>
      </c>
      <c r="P133" s="19">
        <v>315398</v>
      </c>
      <c r="Q133" s="21">
        <f t="shared" si="2"/>
        <v>632368</v>
      </c>
      <c r="R133" s="13"/>
      <c r="S133" s="13"/>
      <c r="T133" s="13"/>
      <c r="U133" s="13"/>
      <c r="V133" s="13"/>
      <c r="W133" s="13"/>
      <c r="X133" s="13"/>
      <c r="Y133" s="13"/>
      <c r="AO133" s="31"/>
      <c r="AP133" s="31"/>
    </row>
    <row r="134" spans="1:42" s="10" customFormat="1" ht="43.2" customHeight="1" x14ac:dyDescent="0.25">
      <c r="A134" s="2">
        <v>127</v>
      </c>
      <c r="B134" s="15" t="s">
        <v>14</v>
      </c>
      <c r="C134" s="46" t="s">
        <v>494</v>
      </c>
      <c r="D134" s="121" t="s">
        <v>395</v>
      </c>
      <c r="E134" s="17" t="s">
        <v>392</v>
      </c>
      <c r="F134" s="17" t="s">
        <v>393</v>
      </c>
      <c r="G134" s="18">
        <v>382014</v>
      </c>
      <c r="H134" s="18">
        <v>382014</v>
      </c>
      <c r="I134" s="19">
        <v>39198</v>
      </c>
      <c r="J134" s="19">
        <v>41432</v>
      </c>
      <c r="K134" s="19">
        <v>40292</v>
      </c>
      <c r="L134" s="19">
        <v>39149</v>
      </c>
      <c r="M134" s="19">
        <v>38036</v>
      </c>
      <c r="N134" s="20">
        <v>36860</v>
      </c>
      <c r="O134" s="20">
        <v>35718</v>
      </c>
      <c r="P134" s="19">
        <v>238144</v>
      </c>
      <c r="Q134" s="21">
        <f t="shared" si="2"/>
        <v>508829</v>
      </c>
      <c r="R134" s="13"/>
      <c r="S134" s="13"/>
      <c r="T134" s="13"/>
      <c r="U134" s="13"/>
      <c r="V134" s="13"/>
      <c r="W134" s="13"/>
      <c r="X134" s="13"/>
      <c r="Y134" s="13"/>
      <c r="AM134" s="38"/>
      <c r="AO134" s="31"/>
    </row>
    <row r="135" spans="1:42" s="108" customFormat="1" ht="66" x14ac:dyDescent="0.25">
      <c r="A135" s="2">
        <v>128</v>
      </c>
      <c r="B135" s="15" t="s">
        <v>14</v>
      </c>
      <c r="C135" s="129" t="s">
        <v>495</v>
      </c>
      <c r="D135" s="121" t="s">
        <v>396</v>
      </c>
      <c r="E135" s="17" t="s">
        <v>397</v>
      </c>
      <c r="F135" s="130" t="s">
        <v>398</v>
      </c>
      <c r="G135" s="56">
        <v>324703</v>
      </c>
      <c r="H135" s="56">
        <v>324703</v>
      </c>
      <c r="I135" s="131">
        <v>23743</v>
      </c>
      <c r="J135" s="57">
        <v>26519</v>
      </c>
      <c r="K135" s="57">
        <v>25974</v>
      </c>
      <c r="L135" s="57">
        <v>25428</v>
      </c>
      <c r="M135" s="57">
        <v>24919</v>
      </c>
      <c r="N135" s="57">
        <v>24335</v>
      </c>
      <c r="O135" s="57">
        <v>23789</v>
      </c>
      <c r="P135" s="57">
        <v>376627</v>
      </c>
      <c r="Q135" s="57">
        <f>SUM(I135:P135)</f>
        <v>551334</v>
      </c>
      <c r="R135" s="109"/>
      <c r="S135" s="109"/>
      <c r="T135" s="109"/>
      <c r="U135" s="109"/>
      <c r="V135" s="109"/>
      <c r="W135" s="109"/>
      <c r="X135" s="109"/>
      <c r="Y135" s="109"/>
      <c r="AM135" s="38"/>
    </row>
    <row r="136" spans="1:42" s="10" customFormat="1" ht="26.4" x14ac:dyDescent="0.25">
      <c r="A136" s="111">
        <v>129</v>
      </c>
      <c r="B136" s="22" t="s">
        <v>14</v>
      </c>
      <c r="C136" s="46" t="s">
        <v>399</v>
      </c>
      <c r="D136" s="121" t="s">
        <v>400</v>
      </c>
      <c r="E136" s="17" t="s">
        <v>397</v>
      </c>
      <c r="F136" s="17" t="s">
        <v>401</v>
      </c>
      <c r="G136" s="18">
        <v>94525</v>
      </c>
      <c r="H136" s="18">
        <v>94525</v>
      </c>
      <c r="I136" s="58">
        <v>17790</v>
      </c>
      <c r="J136" s="59">
        <v>17319</v>
      </c>
      <c r="K136" s="59">
        <v>16727</v>
      </c>
      <c r="L136" s="59">
        <v>16134</v>
      </c>
      <c r="M136" s="59">
        <v>15545</v>
      </c>
      <c r="N136" s="59">
        <v>14948</v>
      </c>
      <c r="O136" s="60">
        <v>10852</v>
      </c>
      <c r="P136" s="59">
        <v>0</v>
      </c>
      <c r="Q136" s="57">
        <f>SUM(I136:P136)</f>
        <v>109315</v>
      </c>
      <c r="R136" s="13"/>
      <c r="S136" s="13"/>
      <c r="T136" s="13"/>
      <c r="U136" s="13"/>
      <c r="V136" s="13"/>
      <c r="W136" s="13"/>
      <c r="X136" s="13"/>
      <c r="Y136" s="13"/>
      <c r="AM136" s="31"/>
    </row>
    <row r="137" spans="1:42" s="10" customFormat="1" ht="34.950000000000003" customHeight="1" x14ac:dyDescent="0.25">
      <c r="A137" s="2">
        <v>130</v>
      </c>
      <c r="B137" s="22" t="s">
        <v>14</v>
      </c>
      <c r="C137" s="61" t="s">
        <v>399</v>
      </c>
      <c r="D137" s="121" t="s">
        <v>402</v>
      </c>
      <c r="E137" s="17" t="s">
        <v>403</v>
      </c>
      <c r="F137" s="17" t="s">
        <v>116</v>
      </c>
      <c r="G137" s="57">
        <v>593505</v>
      </c>
      <c r="H137" s="18">
        <v>0</v>
      </c>
      <c r="I137" s="18">
        <v>11262</v>
      </c>
      <c r="J137" s="18">
        <v>112532</v>
      </c>
      <c r="K137" s="58">
        <v>109067</v>
      </c>
      <c r="L137" s="59">
        <v>105602</v>
      </c>
      <c r="M137" s="59">
        <v>102137</v>
      </c>
      <c r="N137" s="59">
        <v>98672</v>
      </c>
      <c r="O137" s="59">
        <v>95206</v>
      </c>
      <c r="P137" s="59">
        <v>46306</v>
      </c>
      <c r="Q137" s="57">
        <f>SUM(I137:P137)</f>
        <v>680784</v>
      </c>
      <c r="R137" s="13"/>
      <c r="S137" s="13"/>
      <c r="T137" s="13"/>
      <c r="U137" s="13"/>
      <c r="V137" s="13"/>
      <c r="W137" s="13"/>
      <c r="X137" s="13"/>
      <c r="Y137" s="13"/>
      <c r="AM137" s="31"/>
    </row>
    <row r="138" spans="1:42" s="10" customFormat="1" ht="70.2" customHeight="1" x14ac:dyDescent="0.25">
      <c r="A138" s="111">
        <v>131</v>
      </c>
      <c r="B138" s="22" t="s">
        <v>14</v>
      </c>
      <c r="C138" s="61" t="s">
        <v>496</v>
      </c>
      <c r="D138" s="121" t="s">
        <v>404</v>
      </c>
      <c r="E138" s="17" t="s">
        <v>403</v>
      </c>
      <c r="F138" s="17" t="s">
        <v>228</v>
      </c>
      <c r="G138" s="18">
        <v>741280</v>
      </c>
      <c r="H138" s="18">
        <v>0</v>
      </c>
      <c r="I138" s="58">
        <v>7601</v>
      </c>
      <c r="J138" s="59">
        <v>68013</v>
      </c>
      <c r="K138" s="59">
        <v>66444</v>
      </c>
      <c r="L138" s="59">
        <v>64876</v>
      </c>
      <c r="M138" s="59">
        <v>63307</v>
      </c>
      <c r="N138" s="59">
        <v>61739</v>
      </c>
      <c r="O138" s="60">
        <v>60170</v>
      </c>
      <c r="P138" s="59">
        <v>658747</v>
      </c>
      <c r="Q138" s="57">
        <f>SUM(I138:P138)</f>
        <v>1050897</v>
      </c>
      <c r="R138" s="13"/>
      <c r="S138" s="13"/>
      <c r="T138" s="13"/>
      <c r="U138" s="13"/>
      <c r="V138" s="13"/>
      <c r="W138" s="13"/>
      <c r="X138" s="13"/>
      <c r="Y138" s="13"/>
      <c r="AM138" s="31"/>
    </row>
    <row r="139" spans="1:42" s="10" customFormat="1" ht="39" customHeight="1" x14ac:dyDescent="0.25">
      <c r="A139" s="132">
        <v>132</v>
      </c>
      <c r="B139" s="15" t="s">
        <v>14</v>
      </c>
      <c r="C139" s="61" t="s">
        <v>497</v>
      </c>
      <c r="D139" s="121" t="s">
        <v>405</v>
      </c>
      <c r="E139" s="17" t="s">
        <v>403</v>
      </c>
      <c r="F139" s="17" t="s">
        <v>406</v>
      </c>
      <c r="G139" s="18">
        <v>1970727</v>
      </c>
      <c r="H139" s="18">
        <v>0</v>
      </c>
      <c r="I139" s="58">
        <v>19599</v>
      </c>
      <c r="J139" s="59">
        <v>144203</v>
      </c>
      <c r="K139" s="59">
        <v>141546</v>
      </c>
      <c r="L139" s="59">
        <v>138888</v>
      </c>
      <c r="M139" s="59">
        <v>136231</v>
      </c>
      <c r="N139" s="59">
        <v>133573</v>
      </c>
      <c r="O139" s="60">
        <v>130916</v>
      </c>
      <c r="P139" s="59">
        <v>2311509</v>
      </c>
      <c r="Q139" s="57">
        <f>SUM(I139:P139)</f>
        <v>3156465</v>
      </c>
      <c r="R139" s="13"/>
      <c r="S139" s="13"/>
      <c r="T139" s="13"/>
      <c r="U139" s="13"/>
      <c r="V139" s="13"/>
      <c r="W139" s="13"/>
      <c r="X139" s="13"/>
      <c r="Y139" s="13"/>
      <c r="AM139" s="31"/>
    </row>
    <row r="140" spans="1:42" s="3" customFormat="1" ht="13.2" x14ac:dyDescent="0.25">
      <c r="A140" s="112"/>
      <c r="B140" s="62" t="s">
        <v>407</v>
      </c>
      <c r="C140" s="63"/>
      <c r="D140" s="133"/>
      <c r="E140" s="112" t="s">
        <v>408</v>
      </c>
      <c r="F140" s="112"/>
      <c r="G140" s="64">
        <f>SUM(G8:G139)</f>
        <v>86821667</v>
      </c>
      <c r="H140" s="64">
        <f t="shared" ref="H140:Q140" si="3">SUM(H8:H139)</f>
        <v>54526093</v>
      </c>
      <c r="I140" s="64">
        <f t="shared" si="3"/>
        <v>6744542</v>
      </c>
      <c r="J140" s="64">
        <f t="shared" si="3"/>
        <v>6640557</v>
      </c>
      <c r="K140" s="64">
        <f t="shared" si="3"/>
        <v>6348518</v>
      </c>
      <c r="L140" s="64">
        <f t="shared" si="3"/>
        <v>5982464</v>
      </c>
      <c r="M140" s="64">
        <f t="shared" si="3"/>
        <v>5564514</v>
      </c>
      <c r="N140" s="64">
        <f t="shared" si="3"/>
        <v>5049061</v>
      </c>
      <c r="O140" s="64">
        <f t="shared" si="3"/>
        <v>4821690</v>
      </c>
      <c r="P140" s="64">
        <f t="shared" si="3"/>
        <v>45432054</v>
      </c>
      <c r="Q140" s="64">
        <f t="shared" si="3"/>
        <v>86583400</v>
      </c>
      <c r="R140" s="64">
        <f t="shared" ref="R140:AL140" si="4">SUM(R8:R129)</f>
        <v>0</v>
      </c>
      <c r="S140" s="64">
        <f t="shared" si="4"/>
        <v>0</v>
      </c>
      <c r="T140" s="64">
        <f t="shared" si="4"/>
        <v>0</v>
      </c>
      <c r="U140" s="64">
        <f t="shared" si="4"/>
        <v>0</v>
      </c>
      <c r="V140" s="64">
        <f t="shared" si="4"/>
        <v>0</v>
      </c>
      <c r="W140" s="64">
        <f t="shared" si="4"/>
        <v>0</v>
      </c>
      <c r="X140" s="64">
        <f t="shared" si="4"/>
        <v>0</v>
      </c>
      <c r="Y140" s="64">
        <f t="shared" si="4"/>
        <v>0</v>
      </c>
      <c r="Z140" s="64">
        <f t="shared" si="4"/>
        <v>0</v>
      </c>
      <c r="AA140" s="64">
        <f t="shared" si="4"/>
        <v>0</v>
      </c>
      <c r="AB140" s="64">
        <f t="shared" si="4"/>
        <v>0</v>
      </c>
      <c r="AC140" s="64">
        <f t="shared" si="4"/>
        <v>0</v>
      </c>
      <c r="AD140" s="64">
        <f t="shared" si="4"/>
        <v>0</v>
      </c>
      <c r="AE140" s="64">
        <f t="shared" si="4"/>
        <v>0</v>
      </c>
      <c r="AF140" s="64">
        <f t="shared" si="4"/>
        <v>0</v>
      </c>
      <c r="AG140" s="64">
        <f t="shared" si="4"/>
        <v>0</v>
      </c>
      <c r="AH140" s="64">
        <f t="shared" si="4"/>
        <v>0</v>
      </c>
      <c r="AI140" s="64">
        <f t="shared" si="4"/>
        <v>0</v>
      </c>
      <c r="AJ140" s="64">
        <f t="shared" si="4"/>
        <v>0</v>
      </c>
      <c r="AK140" s="64">
        <f t="shared" si="4"/>
        <v>0</v>
      </c>
      <c r="AL140" s="64">
        <f t="shared" si="4"/>
        <v>0</v>
      </c>
      <c r="AP140" s="65"/>
    </row>
    <row r="141" spans="1:42" s="67" customFormat="1" ht="11.4" customHeight="1" x14ac:dyDescent="0.25">
      <c r="A141" s="106"/>
      <c r="B141" s="134"/>
      <c r="C141" s="134"/>
      <c r="D141" s="134"/>
      <c r="E141" s="106"/>
      <c r="F141" s="106"/>
      <c r="G141" s="66"/>
      <c r="H141" s="66"/>
      <c r="I141" s="66"/>
      <c r="J141" s="66"/>
      <c r="K141" s="66"/>
      <c r="L141" s="66"/>
      <c r="M141" s="66"/>
      <c r="N141" s="66"/>
      <c r="O141" s="66"/>
      <c r="P141" s="66"/>
      <c r="Q141" s="66"/>
      <c r="V141" s="31"/>
      <c r="Y141" s="31"/>
    </row>
    <row r="142" spans="1:42" s="67" customFormat="1" ht="13.8" x14ac:dyDescent="0.25">
      <c r="A142" s="68"/>
      <c r="B142" s="157" t="s">
        <v>464</v>
      </c>
      <c r="C142" s="157"/>
      <c r="D142" s="69"/>
      <c r="E142" s="70"/>
      <c r="F142" s="70"/>
      <c r="G142" s="71"/>
      <c r="H142" s="71"/>
      <c r="I142" s="72"/>
      <c r="J142" s="72"/>
      <c r="K142" s="72"/>
      <c r="L142" s="72"/>
      <c r="M142" s="72"/>
      <c r="N142" s="72"/>
      <c r="O142" s="72"/>
      <c r="P142" s="72"/>
      <c r="Q142" s="72"/>
      <c r="V142" s="31"/>
      <c r="Y142" s="31"/>
    </row>
    <row r="143" spans="1:42" s="67" customFormat="1" ht="37.5" customHeight="1" x14ac:dyDescent="0.3">
      <c r="A143" s="110" t="s">
        <v>409</v>
      </c>
      <c r="B143" s="110" t="s">
        <v>14</v>
      </c>
      <c r="C143" s="1" t="s">
        <v>410</v>
      </c>
      <c r="D143" s="110" t="s">
        <v>411</v>
      </c>
      <c r="E143" s="110" t="s">
        <v>412</v>
      </c>
      <c r="F143" s="110" t="s">
        <v>413</v>
      </c>
      <c r="G143" s="14">
        <v>1665239.53</v>
      </c>
      <c r="H143" s="14">
        <v>915843</v>
      </c>
      <c r="I143" s="34">
        <v>120714</v>
      </c>
      <c r="J143" s="34">
        <v>117729</v>
      </c>
      <c r="K143" s="34">
        <v>114235</v>
      </c>
      <c r="L143" s="34">
        <v>110731</v>
      </c>
      <c r="M143" s="34">
        <v>107288</v>
      </c>
      <c r="N143" s="34">
        <v>106556</v>
      </c>
      <c r="O143" s="34">
        <v>100219</v>
      </c>
      <c r="P143" s="34">
        <v>365868</v>
      </c>
      <c r="Q143" s="30">
        <f t="shared" ref="Q143:Q150" si="5">SUM(I143:P143)</f>
        <v>1143340</v>
      </c>
      <c r="V143" s="31"/>
      <c r="Y143" s="31"/>
    </row>
    <row r="144" spans="1:42" s="67" customFormat="1" ht="39.6" x14ac:dyDescent="0.3">
      <c r="A144" s="110" t="s">
        <v>414</v>
      </c>
      <c r="B144" s="110" t="s">
        <v>14</v>
      </c>
      <c r="C144" s="1" t="s">
        <v>415</v>
      </c>
      <c r="D144" s="110" t="s">
        <v>416</v>
      </c>
      <c r="E144" s="110" t="s">
        <v>412</v>
      </c>
      <c r="F144" s="110" t="s">
        <v>417</v>
      </c>
      <c r="G144" s="14">
        <v>135399.06</v>
      </c>
      <c r="H144" s="14">
        <v>61370</v>
      </c>
      <c r="I144" s="34">
        <v>9721</v>
      </c>
      <c r="J144" s="34">
        <v>9452</v>
      </c>
      <c r="K144" s="34">
        <v>9149</v>
      </c>
      <c r="L144" s="34">
        <v>8845</v>
      </c>
      <c r="M144" s="34">
        <v>8544</v>
      </c>
      <c r="N144" s="34">
        <v>8237</v>
      </c>
      <c r="O144" s="34">
        <v>7933</v>
      </c>
      <c r="P144" s="34">
        <v>11313</v>
      </c>
      <c r="Q144" s="30">
        <f t="shared" si="5"/>
        <v>73194</v>
      </c>
      <c r="V144" s="31"/>
      <c r="Y144" s="31"/>
    </row>
    <row r="145" spans="1:25" s="67" customFormat="1" ht="39.6" x14ac:dyDescent="0.3">
      <c r="A145" s="110" t="s">
        <v>418</v>
      </c>
      <c r="B145" s="110" t="s">
        <v>14</v>
      </c>
      <c r="C145" s="1" t="s">
        <v>419</v>
      </c>
      <c r="D145" s="110" t="s">
        <v>420</v>
      </c>
      <c r="E145" s="110" t="s">
        <v>412</v>
      </c>
      <c r="F145" s="110" t="s">
        <v>417</v>
      </c>
      <c r="G145" s="14">
        <v>197450</v>
      </c>
      <c r="H145" s="14">
        <v>89466</v>
      </c>
      <c r="I145" s="34">
        <v>14178</v>
      </c>
      <c r="J145" s="34">
        <v>13785</v>
      </c>
      <c r="K145" s="34">
        <v>13343</v>
      </c>
      <c r="L145" s="34">
        <v>12900</v>
      </c>
      <c r="M145" s="34">
        <v>12461</v>
      </c>
      <c r="N145" s="34">
        <v>12012</v>
      </c>
      <c r="O145" s="34">
        <v>11570</v>
      </c>
      <c r="P145" s="34">
        <v>16451</v>
      </c>
      <c r="Q145" s="30">
        <f t="shared" si="5"/>
        <v>106700</v>
      </c>
      <c r="V145" s="31"/>
      <c r="Y145" s="31"/>
    </row>
    <row r="146" spans="1:25" s="67" customFormat="1" ht="39.6" x14ac:dyDescent="0.3">
      <c r="A146" s="110" t="s">
        <v>421</v>
      </c>
      <c r="B146" s="110" t="s">
        <v>14</v>
      </c>
      <c r="C146" s="1" t="s">
        <v>422</v>
      </c>
      <c r="D146" s="110" t="s">
        <v>423</v>
      </c>
      <c r="E146" s="110" t="s">
        <v>424</v>
      </c>
      <c r="F146" s="110" t="s">
        <v>131</v>
      </c>
      <c r="G146" s="14">
        <v>383989</v>
      </c>
      <c r="H146" s="14">
        <v>189525</v>
      </c>
      <c r="I146" s="34">
        <v>28433</v>
      </c>
      <c r="J146" s="34">
        <v>28004</v>
      </c>
      <c r="K146" s="34">
        <v>27121</v>
      </c>
      <c r="L146" s="34">
        <v>26235</v>
      </c>
      <c r="M146" s="34">
        <v>25359</v>
      </c>
      <c r="N146" s="34">
        <v>24461</v>
      </c>
      <c r="O146" s="34">
        <v>23576</v>
      </c>
      <c r="P146" s="34">
        <v>44551</v>
      </c>
      <c r="Q146" s="30">
        <f t="shared" si="5"/>
        <v>227740</v>
      </c>
      <c r="V146" s="31"/>
      <c r="Y146" s="31"/>
    </row>
    <row r="147" spans="1:25" s="67" customFormat="1" ht="52.8" x14ac:dyDescent="0.25">
      <c r="A147" s="110" t="s">
        <v>425</v>
      </c>
      <c r="B147" s="121" t="s">
        <v>14</v>
      </c>
      <c r="C147" s="135" t="s">
        <v>426</v>
      </c>
      <c r="D147" s="136" t="s">
        <v>427</v>
      </c>
      <c r="E147" s="137" t="s">
        <v>428</v>
      </c>
      <c r="F147" s="138" t="s">
        <v>429</v>
      </c>
      <c r="G147" s="18">
        <v>381560</v>
      </c>
      <c r="H147" s="18">
        <v>109347</v>
      </c>
      <c r="I147" s="18">
        <v>14917</v>
      </c>
      <c r="J147" s="18">
        <v>14747</v>
      </c>
      <c r="K147" s="18">
        <v>14300</v>
      </c>
      <c r="L147" s="18">
        <v>13851</v>
      </c>
      <c r="M147" s="18">
        <v>13409</v>
      </c>
      <c r="N147" s="18">
        <v>12953</v>
      </c>
      <c r="O147" s="73">
        <v>12504</v>
      </c>
      <c r="P147" s="73">
        <v>37552</v>
      </c>
      <c r="Q147" s="21">
        <f t="shared" si="5"/>
        <v>134233</v>
      </c>
      <c r="V147" s="31"/>
      <c r="Y147" s="31"/>
    </row>
    <row r="148" spans="1:25" s="67" customFormat="1" ht="52.8" x14ac:dyDescent="0.25">
      <c r="A148" s="110" t="s">
        <v>430</v>
      </c>
      <c r="B148" s="121" t="s">
        <v>14</v>
      </c>
      <c r="C148" s="135" t="s">
        <v>431</v>
      </c>
      <c r="D148" s="136" t="s">
        <v>432</v>
      </c>
      <c r="E148" s="137" t="s">
        <v>428</v>
      </c>
      <c r="F148" s="138" t="s">
        <v>433</v>
      </c>
      <c r="G148" s="18">
        <v>29440</v>
      </c>
      <c r="H148" s="18">
        <v>15480</v>
      </c>
      <c r="I148" s="18">
        <v>2149</v>
      </c>
      <c r="J148" s="18">
        <v>2124</v>
      </c>
      <c r="K148" s="18">
        <v>2059</v>
      </c>
      <c r="L148" s="18">
        <v>1994</v>
      </c>
      <c r="M148" s="18">
        <v>1929</v>
      </c>
      <c r="N148" s="18">
        <v>1863</v>
      </c>
      <c r="O148" s="73">
        <v>1798</v>
      </c>
      <c r="P148" s="73">
        <v>5008</v>
      </c>
      <c r="Q148" s="21">
        <f t="shared" si="5"/>
        <v>18924</v>
      </c>
      <c r="V148" s="31"/>
      <c r="Y148" s="31"/>
    </row>
    <row r="149" spans="1:25" s="67" customFormat="1" ht="52.8" x14ac:dyDescent="0.3">
      <c r="A149" s="110" t="s">
        <v>434</v>
      </c>
      <c r="B149" s="110" t="s">
        <v>14</v>
      </c>
      <c r="C149" s="1" t="s">
        <v>435</v>
      </c>
      <c r="D149" s="136" t="s">
        <v>436</v>
      </c>
      <c r="E149" s="110" t="s">
        <v>437</v>
      </c>
      <c r="F149" s="110" t="s">
        <v>438</v>
      </c>
      <c r="G149" s="14">
        <v>2594247</v>
      </c>
      <c r="H149" s="14">
        <v>550908</v>
      </c>
      <c r="I149" s="34">
        <v>83176</v>
      </c>
      <c r="J149" s="34">
        <v>81418</v>
      </c>
      <c r="K149" s="34">
        <v>78833</v>
      </c>
      <c r="L149" s="34">
        <v>76258</v>
      </c>
      <c r="M149" s="34">
        <v>73712</v>
      </c>
      <c r="N149" s="34">
        <v>71103</v>
      </c>
      <c r="O149" s="34">
        <v>68529</v>
      </c>
      <c r="P149" s="34">
        <v>129498</v>
      </c>
      <c r="Q149" s="21">
        <f t="shared" si="5"/>
        <v>662527</v>
      </c>
      <c r="V149" s="31"/>
      <c r="Y149" s="31"/>
    </row>
    <row r="150" spans="1:25" s="67" customFormat="1" ht="52.8" x14ac:dyDescent="0.3">
      <c r="A150" s="110" t="s">
        <v>439</v>
      </c>
      <c r="B150" s="139" t="s">
        <v>14</v>
      </c>
      <c r="C150" s="140" t="s">
        <v>440</v>
      </c>
      <c r="D150" s="136" t="s">
        <v>441</v>
      </c>
      <c r="E150" s="139" t="s">
        <v>442</v>
      </c>
      <c r="F150" s="139" t="s">
        <v>443</v>
      </c>
      <c r="G150" s="74">
        <v>1468540</v>
      </c>
      <c r="H150" s="74">
        <v>1267371</v>
      </c>
      <c r="I150" s="75">
        <v>130542</v>
      </c>
      <c r="J150" s="75">
        <v>128513</v>
      </c>
      <c r="K150" s="75">
        <v>125228</v>
      </c>
      <c r="L150" s="75">
        <v>121933</v>
      </c>
      <c r="M150" s="75">
        <v>118738</v>
      </c>
      <c r="N150" s="75">
        <v>114227</v>
      </c>
      <c r="O150" s="75">
        <v>111008</v>
      </c>
      <c r="P150" s="75">
        <v>832291</v>
      </c>
      <c r="Q150" s="76">
        <f t="shared" si="5"/>
        <v>1682480</v>
      </c>
      <c r="V150" s="31"/>
      <c r="Y150" s="31"/>
    </row>
    <row r="151" spans="1:25" s="67" customFormat="1" ht="66" x14ac:dyDescent="0.3">
      <c r="A151" s="110" t="s">
        <v>444</v>
      </c>
      <c r="B151" s="110" t="s">
        <v>14</v>
      </c>
      <c r="C151" s="1" t="s">
        <v>445</v>
      </c>
      <c r="D151" s="136" t="s">
        <v>446</v>
      </c>
      <c r="E151" s="110" t="s">
        <v>447</v>
      </c>
      <c r="F151" s="110" t="s">
        <v>308</v>
      </c>
      <c r="G151" s="14">
        <v>1093100</v>
      </c>
      <c r="H151" s="14">
        <v>973837</v>
      </c>
      <c r="I151" s="77">
        <v>110896</v>
      </c>
      <c r="J151" s="77">
        <v>108550</v>
      </c>
      <c r="K151" s="77">
        <v>105297</v>
      </c>
      <c r="L151" s="77">
        <v>101973</v>
      </c>
      <c r="M151" s="77">
        <v>98907</v>
      </c>
      <c r="N151" s="77">
        <v>95538</v>
      </c>
      <c r="O151" s="77">
        <v>92289</v>
      </c>
      <c r="P151" s="77">
        <v>749207</v>
      </c>
      <c r="Q151" s="30">
        <f>SUM(I151:P151)</f>
        <v>1462657</v>
      </c>
      <c r="V151" s="31"/>
      <c r="Y151" s="31"/>
    </row>
    <row r="152" spans="1:25" s="67" customFormat="1" ht="39.6" x14ac:dyDescent="0.3">
      <c r="A152" s="110" t="s">
        <v>448</v>
      </c>
      <c r="B152" s="110" t="s">
        <v>14</v>
      </c>
      <c r="C152" s="1" t="s">
        <v>449</v>
      </c>
      <c r="D152" s="136" t="s">
        <v>450</v>
      </c>
      <c r="E152" s="110" t="s">
        <v>447</v>
      </c>
      <c r="F152" s="110" t="s">
        <v>308</v>
      </c>
      <c r="G152" s="14">
        <v>340358</v>
      </c>
      <c r="H152" s="14">
        <v>303227</v>
      </c>
      <c r="I152" s="77">
        <v>34527</v>
      </c>
      <c r="J152" s="77">
        <v>33798</v>
      </c>
      <c r="K152" s="77">
        <v>32785</v>
      </c>
      <c r="L152" s="77">
        <v>31772</v>
      </c>
      <c r="M152" s="77">
        <v>30795</v>
      </c>
      <c r="N152" s="77">
        <v>29746</v>
      </c>
      <c r="O152" s="77">
        <v>28735</v>
      </c>
      <c r="P152" s="77">
        <v>231806</v>
      </c>
      <c r="Q152" s="30">
        <f>SUM(I152:P152)</f>
        <v>453964</v>
      </c>
      <c r="V152" s="31"/>
      <c r="Y152" s="31"/>
    </row>
    <row r="153" spans="1:25" s="67" customFormat="1" ht="52.8" x14ac:dyDescent="0.3">
      <c r="A153" s="110" t="s">
        <v>451</v>
      </c>
      <c r="B153" s="139" t="s">
        <v>14</v>
      </c>
      <c r="C153" s="140" t="s">
        <v>452</v>
      </c>
      <c r="D153" s="141" t="s">
        <v>453</v>
      </c>
      <c r="E153" s="139" t="s">
        <v>454</v>
      </c>
      <c r="F153" s="139" t="s">
        <v>96</v>
      </c>
      <c r="G153" s="74">
        <v>158392</v>
      </c>
      <c r="H153" s="74">
        <v>141504</v>
      </c>
      <c r="I153" s="75">
        <v>15468</v>
      </c>
      <c r="J153" s="75">
        <v>15050</v>
      </c>
      <c r="K153" s="75">
        <v>14619</v>
      </c>
      <c r="L153" s="75">
        <v>14196</v>
      </c>
      <c r="M153" s="75">
        <v>13814</v>
      </c>
      <c r="N153" s="75">
        <v>13349</v>
      </c>
      <c r="O153" s="75">
        <v>12927</v>
      </c>
      <c r="P153" s="75">
        <v>103896</v>
      </c>
      <c r="Q153" s="76">
        <f>SUM(I153:P153)</f>
        <v>203319</v>
      </c>
      <c r="V153" s="31"/>
      <c r="Y153" s="31"/>
    </row>
    <row r="154" spans="1:25" s="67" customFormat="1" ht="26.4" x14ac:dyDescent="0.3">
      <c r="A154" s="110" t="s">
        <v>455</v>
      </c>
      <c r="B154" s="139" t="s">
        <v>14</v>
      </c>
      <c r="C154" s="120" t="s">
        <v>456</v>
      </c>
      <c r="D154" s="142" t="s">
        <v>457</v>
      </c>
      <c r="E154" s="121" t="s">
        <v>458</v>
      </c>
      <c r="F154" s="121" t="s">
        <v>459</v>
      </c>
      <c r="G154" s="78">
        <v>214000</v>
      </c>
      <c r="H154" s="78">
        <v>46892</v>
      </c>
      <c r="I154" s="73">
        <v>48019</v>
      </c>
      <c r="J154" s="73">
        <v>9</v>
      </c>
      <c r="K154" s="73">
        <v>0</v>
      </c>
      <c r="L154" s="73">
        <v>0</v>
      </c>
      <c r="M154" s="73">
        <v>0</v>
      </c>
      <c r="N154" s="73">
        <v>0</v>
      </c>
      <c r="O154" s="73">
        <v>0</v>
      </c>
      <c r="P154" s="73">
        <v>0</v>
      </c>
      <c r="Q154" s="76">
        <f>SUM(I154:P154)</f>
        <v>48028</v>
      </c>
      <c r="V154" s="31"/>
      <c r="Y154" s="31"/>
    </row>
    <row r="155" spans="1:25" s="3" customFormat="1" ht="13.2" x14ac:dyDescent="0.2">
      <c r="A155" s="121"/>
      <c r="B155" s="79" t="s">
        <v>407</v>
      </c>
      <c r="C155" s="121" t="s">
        <v>408</v>
      </c>
      <c r="D155" s="121"/>
      <c r="E155" s="121" t="s">
        <v>408</v>
      </c>
      <c r="F155" s="121"/>
      <c r="G155" s="80">
        <f t="shared" ref="G155:Q155" si="6">SUM(G143:G154)</f>
        <v>8661714.5899999999</v>
      </c>
      <c r="H155" s="80">
        <f t="shared" si="6"/>
        <v>4664770</v>
      </c>
      <c r="I155" s="81">
        <f t="shared" si="6"/>
        <v>612740</v>
      </c>
      <c r="J155" s="81">
        <f t="shared" si="6"/>
        <v>553179</v>
      </c>
      <c r="K155" s="81">
        <f t="shared" si="6"/>
        <v>536969</v>
      </c>
      <c r="L155" s="81">
        <f t="shared" si="6"/>
        <v>520688</v>
      </c>
      <c r="M155" s="81">
        <f t="shared" si="6"/>
        <v>504956</v>
      </c>
      <c r="N155" s="81">
        <f t="shared" si="6"/>
        <v>490045</v>
      </c>
      <c r="O155" s="81">
        <f t="shared" si="6"/>
        <v>471088</v>
      </c>
      <c r="P155" s="81">
        <f t="shared" si="6"/>
        <v>2527441</v>
      </c>
      <c r="Q155" s="81">
        <f t="shared" si="6"/>
        <v>6217106</v>
      </c>
      <c r="V155" s="4"/>
      <c r="Y155" s="4"/>
    </row>
    <row r="156" spans="1:25" s="3" customFormat="1" ht="13.2" x14ac:dyDescent="0.25">
      <c r="A156" s="106"/>
      <c r="B156" s="134"/>
      <c r="C156" s="134"/>
      <c r="D156" s="134"/>
      <c r="E156" s="106"/>
      <c r="F156" s="106"/>
      <c r="G156" s="66"/>
      <c r="H156" s="66"/>
      <c r="I156" s="82"/>
      <c r="J156" s="82"/>
      <c r="K156" s="82"/>
      <c r="L156" s="82"/>
      <c r="M156" s="82"/>
      <c r="N156" s="82"/>
      <c r="O156" s="82"/>
      <c r="P156" s="82"/>
      <c r="Q156" s="83"/>
      <c r="V156" s="4"/>
      <c r="Y156" s="4"/>
    </row>
    <row r="157" spans="1:25" s="3" customFormat="1" ht="39.6" x14ac:dyDescent="0.2">
      <c r="A157" s="106"/>
      <c r="B157" s="84" t="s">
        <v>460</v>
      </c>
      <c r="C157" s="110" t="s">
        <v>408</v>
      </c>
      <c r="D157" s="110"/>
      <c r="E157" s="110" t="s">
        <v>408</v>
      </c>
      <c r="F157" s="110"/>
      <c r="G157" s="14"/>
      <c r="H157" s="14"/>
      <c r="I157" s="85">
        <v>0</v>
      </c>
      <c r="J157" s="85">
        <v>0</v>
      </c>
      <c r="K157" s="85">
        <v>0</v>
      </c>
      <c r="L157" s="85">
        <v>0</v>
      </c>
      <c r="M157" s="85">
        <v>0</v>
      </c>
      <c r="N157" s="85">
        <v>0</v>
      </c>
      <c r="O157" s="85">
        <v>0</v>
      </c>
      <c r="P157" s="85">
        <v>0</v>
      </c>
      <c r="Q157" s="86">
        <v>0</v>
      </c>
      <c r="V157" s="4"/>
      <c r="Y157" s="4"/>
    </row>
    <row r="158" spans="1:25" s="3" customFormat="1" ht="13.2" x14ac:dyDescent="0.2">
      <c r="A158" s="106"/>
      <c r="B158" s="87"/>
      <c r="C158" s="87"/>
      <c r="D158" s="87"/>
      <c r="E158" s="70"/>
      <c r="F158" s="70"/>
      <c r="G158" s="71"/>
      <c r="H158" s="71"/>
      <c r="I158" s="82"/>
      <c r="J158" s="82"/>
      <c r="K158" s="82"/>
      <c r="L158" s="82"/>
      <c r="M158" s="82"/>
      <c r="N158" s="82"/>
      <c r="O158" s="82"/>
      <c r="P158" s="82"/>
      <c r="Q158" s="88"/>
      <c r="V158" s="4"/>
      <c r="Y158" s="4"/>
    </row>
    <row r="159" spans="1:25" s="3" customFormat="1" ht="26.4" x14ac:dyDescent="0.2">
      <c r="A159" s="106"/>
      <c r="B159" s="84" t="s">
        <v>461</v>
      </c>
      <c r="C159" s="143"/>
      <c r="D159" s="143"/>
      <c r="E159" s="144"/>
      <c r="F159" s="144"/>
      <c r="G159" s="89">
        <f>G140+G155</f>
        <v>95483381.590000004</v>
      </c>
      <c r="H159" s="89">
        <f>H140+H155</f>
        <v>59190863</v>
      </c>
      <c r="I159" s="90">
        <f>I140+I155</f>
        <v>7357282</v>
      </c>
      <c r="J159" s="90">
        <f t="shared" ref="J159:Q159" si="7">J140+J155</f>
        <v>7193736</v>
      </c>
      <c r="K159" s="90">
        <f t="shared" si="7"/>
        <v>6885487</v>
      </c>
      <c r="L159" s="90">
        <f t="shared" si="7"/>
        <v>6503152</v>
      </c>
      <c r="M159" s="90">
        <f t="shared" si="7"/>
        <v>6069470</v>
      </c>
      <c r="N159" s="90">
        <f t="shared" si="7"/>
        <v>5539106</v>
      </c>
      <c r="O159" s="90">
        <f t="shared" si="7"/>
        <v>5292778</v>
      </c>
      <c r="P159" s="90">
        <f t="shared" si="7"/>
        <v>47959495</v>
      </c>
      <c r="Q159" s="90">
        <f t="shared" si="7"/>
        <v>92800506</v>
      </c>
      <c r="V159" s="4"/>
      <c r="Y159" s="4"/>
    </row>
    <row r="160" spans="1:25" s="3" customFormat="1" ht="13.2" x14ac:dyDescent="0.2">
      <c r="A160" s="106"/>
      <c r="B160" s="87"/>
      <c r="C160" s="87"/>
      <c r="D160" s="87"/>
      <c r="E160" s="87"/>
      <c r="F160" s="87"/>
      <c r="G160" s="71"/>
      <c r="H160" s="71"/>
      <c r="I160" s="82"/>
      <c r="J160" s="82"/>
      <c r="K160" s="82"/>
      <c r="L160" s="82"/>
      <c r="M160" s="82"/>
      <c r="N160" s="82"/>
      <c r="O160" s="82"/>
      <c r="P160" s="82"/>
      <c r="Q160" s="91"/>
      <c r="V160" s="4"/>
      <c r="Y160" s="4"/>
    </row>
    <row r="161" spans="1:39" s="3" customFormat="1" ht="18.75" customHeight="1" x14ac:dyDescent="0.2">
      <c r="A161" s="106"/>
      <c r="B161" s="158" t="s">
        <v>462</v>
      </c>
      <c r="C161" s="158"/>
      <c r="D161" s="158"/>
      <c r="E161" s="158"/>
      <c r="F161" s="1"/>
      <c r="G161" s="14" t="s">
        <v>408</v>
      </c>
      <c r="H161" s="14" t="s">
        <v>408</v>
      </c>
      <c r="I161" s="92">
        <f>ROUND(I159/$Q$163*100,2)</f>
        <v>14.69</v>
      </c>
      <c r="J161" s="92">
        <f t="shared" ref="J161:O161" si="8">ROUND(J159/$Q$163*100,2)</f>
        <v>14.36</v>
      </c>
      <c r="K161" s="92">
        <f t="shared" si="8"/>
        <v>13.75</v>
      </c>
      <c r="L161" s="92">
        <f t="shared" si="8"/>
        <v>12.98</v>
      </c>
      <c r="M161" s="92">
        <f t="shared" si="8"/>
        <v>12.12</v>
      </c>
      <c r="N161" s="92">
        <f t="shared" si="8"/>
        <v>11.06</v>
      </c>
      <c r="O161" s="92">
        <f t="shared" si="8"/>
        <v>10.57</v>
      </c>
      <c r="P161" s="93" t="s">
        <v>408</v>
      </c>
      <c r="Q161" s="93" t="s">
        <v>408</v>
      </c>
      <c r="V161" s="4"/>
      <c r="Y161" s="4"/>
    </row>
    <row r="162" spans="1:39" s="3" customFormat="1" ht="13.2" x14ac:dyDescent="0.25">
      <c r="A162" s="134"/>
      <c r="B162" s="145"/>
      <c r="C162" s="94"/>
      <c r="D162" s="94"/>
      <c r="E162" s="94"/>
      <c r="F162" s="94"/>
      <c r="G162" s="95"/>
      <c r="H162" s="95"/>
      <c r="I162" s="96"/>
      <c r="J162" s="96"/>
      <c r="K162" s="96"/>
      <c r="L162" s="96"/>
      <c r="M162" s="96"/>
      <c r="N162" s="96"/>
      <c r="O162" s="96"/>
      <c r="P162" s="96"/>
      <c r="Q162" s="146"/>
      <c r="V162" s="4"/>
      <c r="Y162" s="4"/>
    </row>
    <row r="163" spans="1:39" s="3" customFormat="1" ht="51.6" customHeight="1" x14ac:dyDescent="0.25">
      <c r="A163" s="134"/>
      <c r="B163" s="159" t="s">
        <v>463</v>
      </c>
      <c r="C163" s="159"/>
      <c r="D163" s="159"/>
      <c r="E163" s="159"/>
      <c r="F163" s="147"/>
      <c r="G163" s="148"/>
      <c r="H163" s="97"/>
      <c r="I163" s="149"/>
      <c r="J163" s="149"/>
      <c r="K163" s="149"/>
      <c r="L163" s="149"/>
      <c r="M163" s="149"/>
      <c r="N163" s="149"/>
      <c r="O163" s="149"/>
      <c r="P163" s="150"/>
      <c r="Q163" s="151">
        <v>50090824</v>
      </c>
      <c r="V163" s="4"/>
      <c r="Y163" s="4"/>
      <c r="AM163" s="98"/>
    </row>
    <row r="164" spans="1:39" s="3" customFormat="1" x14ac:dyDescent="0.2">
      <c r="A164" s="99"/>
      <c r="B164" s="99"/>
      <c r="C164" s="152"/>
      <c r="D164" s="152"/>
      <c r="E164" s="152"/>
      <c r="F164" s="152"/>
      <c r="G164" s="152"/>
      <c r="H164" s="100"/>
      <c r="I164" s="101"/>
      <c r="J164" s="101"/>
      <c r="K164" s="101"/>
      <c r="L164" s="101"/>
      <c r="M164" s="101"/>
      <c r="N164" s="101"/>
      <c r="O164" s="101"/>
      <c r="P164" s="101"/>
    </row>
    <row r="165" spans="1:39" s="3" customFormat="1" x14ac:dyDescent="0.2">
      <c r="B165" s="4"/>
      <c r="C165" s="152"/>
      <c r="D165" s="152"/>
      <c r="E165" s="152"/>
      <c r="F165" s="152"/>
      <c r="G165" s="152"/>
      <c r="H165" s="5"/>
      <c r="V165" s="4"/>
      <c r="Y165" s="4"/>
    </row>
    <row r="166" spans="1:39" s="3" customFormat="1" ht="71.400000000000006" customHeight="1" x14ac:dyDescent="0.2">
      <c r="B166" s="4"/>
      <c r="C166" s="152"/>
      <c r="D166" s="152"/>
      <c r="E166" s="152"/>
      <c r="F166" s="152"/>
      <c r="G166" s="152"/>
      <c r="H166" s="5"/>
      <c r="V166" s="4"/>
      <c r="Y166" s="4"/>
    </row>
    <row r="167" spans="1:39" s="3" customFormat="1" ht="409.5" customHeight="1" x14ac:dyDescent="0.3">
      <c r="B167" s="4"/>
      <c r="C167" s="4"/>
      <c r="D167" s="4"/>
      <c r="E167" s="4"/>
      <c r="F167" s="4"/>
      <c r="G167" s="5"/>
      <c r="H167" s="5"/>
      <c r="I167" s="102"/>
      <c r="J167" s="103"/>
      <c r="K167" s="103"/>
      <c r="L167" s="103"/>
      <c r="M167" s="103"/>
      <c r="N167" s="103"/>
      <c r="O167" s="103"/>
      <c r="P167" s="103"/>
      <c r="Q167" s="104"/>
      <c r="V167" s="4"/>
      <c r="Y167" s="4"/>
    </row>
  </sheetData>
  <sheetProtection selectLockedCells="1" selectUnlockedCells="1"/>
  <mergeCells count="17">
    <mergeCell ref="O1:Q1"/>
    <mergeCell ref="O2:Q2"/>
    <mergeCell ref="A3:Q3"/>
    <mergeCell ref="A5:A6"/>
    <mergeCell ref="B5:B6"/>
    <mergeCell ref="C5:C6"/>
    <mergeCell ref="D5:D6"/>
    <mergeCell ref="E5:E6"/>
    <mergeCell ref="F5:F6"/>
    <mergeCell ref="G5:G6"/>
    <mergeCell ref="C164:G166"/>
    <mergeCell ref="H5:H6"/>
    <mergeCell ref="I5:Q5"/>
    <mergeCell ref="B7:C7"/>
    <mergeCell ref="B142:C142"/>
    <mergeCell ref="B161:E161"/>
    <mergeCell ref="B163:E163"/>
  </mergeCells>
  <conditionalFormatting sqref="D1:D11 D13:D37 D40:D55 D84:D105 D109:D163">
    <cfRule type="containsText" dxfId="1" priority="7" operator="containsText" text=".06.">
      <formula>NOT(ISERROR(SEARCH(".06.",D1)))</formula>
    </cfRule>
  </conditionalFormatting>
  <conditionalFormatting sqref="D58:D82 D167:D1048576">
    <cfRule type="containsText" dxfId="0" priority="6" operator="containsText" text=".06.">
      <formula>NOT(ISERROR(SEARCH(".06.",D58)))</formula>
    </cfRule>
  </conditionalFormatting>
  <pageMargins left="0" right="0" top="0" bottom="0" header="0" footer="0"/>
  <pageSetup paperSize="8" scale="89" fitToHeight="0" orientation="landscape" useFirstPageNumber="1" r:id="rId1"/>
  <headerFooter alignWithMargins="0">
    <oddFooter>&amp;L&amp;"Times New Roman,Regular"Bauskas novada administrācija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6_pielikums</vt:lpstr>
      <vt:lpstr>'6_pielikums'!Excel_BuiltIn_Print_Titles_1</vt:lpstr>
      <vt:lpstr>'6_pielikums'!Print_Area</vt:lpstr>
      <vt:lpstr>'6_pielikums'!Print_Titles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Sanita Djadela</cp:lastModifiedBy>
  <cp:lastPrinted>2024-06-12T08:43:10Z</cp:lastPrinted>
  <dcterms:created xsi:type="dcterms:W3CDTF">2024-06-12T08:35:14Z</dcterms:created>
  <dcterms:modified xsi:type="dcterms:W3CDTF">2024-07-02T07:37:57Z</dcterms:modified>
  <cp:category/>
</cp:coreProperties>
</file>