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F277B8D-605A-44BF-80D1-B59E39F63C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_pielikums_2024" sheetId="1" r:id="rId1"/>
  </sheets>
  <definedNames>
    <definedName name="_08.210001" localSheetId="0">#REF!</definedName>
    <definedName name="_08.210001">#REF!</definedName>
    <definedName name="_xlnm._FilterDatabase" localSheetId="0" hidden="1">'1_pielikums_2024'!$A$1:$G$419</definedName>
    <definedName name="INDEKSI">#REF!</definedName>
    <definedName name="invsetīcijas">#REF!</definedName>
    <definedName name="olekts">#REF!</definedName>
    <definedName name="_xlnm.Print_Area" localSheetId="0">'1_pielikums_2024'!$A$1:$F$418</definedName>
    <definedName name="RICIBAS">#REF!</definedName>
    <definedName name="Summa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2" i="1" l="1"/>
  <c r="K25" i="1"/>
  <c r="K369" i="1"/>
  <c r="K365" i="1"/>
  <c r="I366" i="1"/>
  <c r="I365" i="1"/>
  <c r="I300" i="1"/>
  <c r="I299" i="1"/>
  <c r="I286" i="1"/>
  <c r="I280" i="1"/>
  <c r="I279" i="1"/>
  <c r="I269" i="1"/>
  <c r="I268" i="1"/>
  <c r="I254" i="1"/>
  <c r="I253" i="1"/>
  <c r="I246" i="1"/>
  <c r="I245" i="1"/>
  <c r="I230" i="1"/>
  <c r="I229" i="1"/>
  <c r="I216" i="1"/>
  <c r="I215" i="1"/>
  <c r="I192" i="1"/>
  <c r="I191" i="1"/>
  <c r="I182" i="1"/>
  <c r="I181" i="1"/>
  <c r="I170" i="1"/>
  <c r="I169" i="1"/>
  <c r="I174" i="1"/>
  <c r="I142" i="1"/>
  <c r="I114" i="1"/>
  <c r="I115" i="1"/>
  <c r="I97" i="1"/>
  <c r="I74" i="1"/>
  <c r="I73" i="1"/>
  <c r="I414" i="1" l="1"/>
  <c r="N416" i="1"/>
  <c r="N415" i="1"/>
  <c r="O416" i="1"/>
  <c r="O417" i="1"/>
  <c r="O418" i="1"/>
  <c r="O419" i="1"/>
  <c r="O415" i="1"/>
  <c r="N223" i="1"/>
  <c r="N222" i="1"/>
  <c r="N79" i="1"/>
  <c r="O79" i="1"/>
  <c r="K23" i="1"/>
  <c r="O62" i="1"/>
  <c r="I69" i="1"/>
  <c r="I267" i="1"/>
  <c r="J267" i="1"/>
  <c r="K267" i="1"/>
  <c r="L267" i="1"/>
  <c r="M267" i="1"/>
  <c r="H267" i="1"/>
  <c r="O277" i="1"/>
  <c r="N277" i="1"/>
  <c r="F277" i="1"/>
  <c r="P79" i="1" l="1"/>
  <c r="P277" i="1"/>
  <c r="I278" i="1"/>
  <c r="M23" i="1"/>
  <c r="I252" i="1" l="1"/>
  <c r="I202" i="1"/>
  <c r="M414" i="1"/>
  <c r="K414" i="1"/>
  <c r="O9" i="1"/>
  <c r="O10" i="1"/>
  <c r="O11" i="1"/>
  <c r="O13" i="1"/>
  <c r="O14" i="1"/>
  <c r="O15" i="1"/>
  <c r="O16" i="1"/>
  <c r="O17" i="1"/>
  <c r="O19" i="1"/>
  <c r="O20" i="1"/>
  <c r="O22" i="1"/>
  <c r="O24" i="1"/>
  <c r="O25" i="1"/>
  <c r="O26" i="1"/>
  <c r="O30" i="1"/>
  <c r="O31" i="1"/>
  <c r="O32" i="1"/>
  <c r="O33" i="1"/>
  <c r="O34" i="1"/>
  <c r="O35" i="1"/>
  <c r="O36" i="1"/>
  <c r="O37" i="1"/>
  <c r="O38" i="1"/>
  <c r="O40" i="1"/>
  <c r="O41" i="1"/>
  <c r="O42" i="1"/>
  <c r="O43" i="1"/>
  <c r="O44" i="1"/>
  <c r="O45" i="1"/>
  <c r="O46" i="1"/>
  <c r="O48" i="1"/>
  <c r="O49" i="1"/>
  <c r="O50" i="1"/>
  <c r="O52" i="1"/>
  <c r="O53" i="1"/>
  <c r="O56" i="1"/>
  <c r="O57" i="1"/>
  <c r="O58" i="1"/>
  <c r="O59" i="1"/>
  <c r="O60" i="1"/>
  <c r="O61" i="1"/>
  <c r="O64" i="1"/>
  <c r="O65" i="1"/>
  <c r="O66" i="1"/>
  <c r="O67" i="1"/>
  <c r="O70" i="1"/>
  <c r="O71" i="1"/>
  <c r="O72" i="1"/>
  <c r="O73" i="1"/>
  <c r="O74" i="1"/>
  <c r="O75" i="1"/>
  <c r="O76" i="1"/>
  <c r="O77" i="1"/>
  <c r="O78" i="1"/>
  <c r="O81" i="1"/>
  <c r="O82" i="1"/>
  <c r="O83" i="1"/>
  <c r="O84" i="1"/>
  <c r="O85" i="1"/>
  <c r="O86" i="1"/>
  <c r="O87" i="1"/>
  <c r="O89" i="1"/>
  <c r="O90" i="1"/>
  <c r="O91" i="1"/>
  <c r="O92" i="1"/>
  <c r="O93" i="1"/>
  <c r="O94" i="1"/>
  <c r="O95" i="1"/>
  <c r="O97" i="1"/>
  <c r="O98" i="1"/>
  <c r="O99" i="1"/>
  <c r="O100" i="1"/>
  <c r="O102" i="1"/>
  <c r="O103" i="1"/>
  <c r="O104" i="1"/>
  <c r="O105" i="1"/>
  <c r="O106" i="1"/>
  <c r="O107" i="1"/>
  <c r="O108" i="1"/>
  <c r="O109" i="1"/>
  <c r="O111" i="1"/>
  <c r="O112" i="1"/>
  <c r="O113" i="1"/>
  <c r="O114" i="1"/>
  <c r="O115" i="1"/>
  <c r="O116" i="1"/>
  <c r="O117" i="1"/>
  <c r="O118" i="1"/>
  <c r="O119" i="1"/>
  <c r="O120" i="1"/>
  <c r="O121" i="1"/>
  <c r="O124" i="1"/>
  <c r="O125" i="1"/>
  <c r="O127" i="1"/>
  <c r="O128" i="1"/>
  <c r="O129" i="1"/>
  <c r="O130" i="1"/>
  <c r="O131" i="1"/>
  <c r="O133" i="1"/>
  <c r="O134" i="1"/>
  <c r="O135" i="1"/>
  <c r="O136" i="1"/>
  <c r="O137" i="1"/>
  <c r="O139" i="1"/>
  <c r="O140" i="1"/>
  <c r="O141" i="1"/>
  <c r="O142" i="1"/>
  <c r="O143" i="1"/>
  <c r="O144" i="1"/>
  <c r="O145" i="1"/>
  <c r="O146" i="1"/>
  <c r="O147" i="1"/>
  <c r="O150" i="1"/>
  <c r="O151" i="1"/>
  <c r="O152" i="1"/>
  <c r="O154" i="1"/>
  <c r="O155" i="1"/>
  <c r="O156" i="1"/>
  <c r="O157" i="1"/>
  <c r="O158" i="1"/>
  <c r="O159" i="1"/>
  <c r="O160" i="1"/>
  <c r="O162" i="1"/>
  <c r="O163" i="1"/>
  <c r="O164" i="1"/>
  <c r="O166" i="1"/>
  <c r="O167" i="1"/>
  <c r="O168" i="1"/>
  <c r="O169" i="1"/>
  <c r="O170" i="1"/>
  <c r="O171" i="1"/>
  <c r="O172" i="1"/>
  <c r="O173" i="1"/>
  <c r="O174" i="1"/>
  <c r="O175" i="1"/>
  <c r="O178" i="1"/>
  <c r="O181" i="1"/>
  <c r="O182" i="1"/>
  <c r="O183" i="1"/>
  <c r="O184" i="1"/>
  <c r="O185" i="1"/>
  <c r="O186" i="1"/>
  <c r="O187" i="1"/>
  <c r="O188" i="1"/>
  <c r="O189" i="1"/>
  <c r="O191" i="1"/>
  <c r="O192" i="1"/>
  <c r="O193" i="1"/>
  <c r="O194" i="1"/>
  <c r="O195" i="1"/>
  <c r="O196" i="1"/>
  <c r="O197" i="1"/>
  <c r="O198" i="1"/>
  <c r="O199" i="1"/>
  <c r="O200" i="1"/>
  <c r="O201" i="1"/>
  <c r="O203" i="1"/>
  <c r="O204" i="1"/>
  <c r="O205" i="1"/>
  <c r="O206" i="1"/>
  <c r="O207" i="1"/>
  <c r="O208" i="1"/>
  <c r="O209" i="1"/>
  <c r="O210" i="1"/>
  <c r="O211" i="1"/>
  <c r="O212" i="1"/>
  <c r="O215" i="1"/>
  <c r="O216" i="1"/>
  <c r="O217" i="1"/>
  <c r="O218" i="1"/>
  <c r="O219" i="1"/>
  <c r="O220" i="1"/>
  <c r="O221" i="1"/>
  <c r="O222" i="1"/>
  <c r="P222" i="1" s="1"/>
  <c r="O223" i="1"/>
  <c r="P223" i="1" s="1"/>
  <c r="O224" i="1"/>
  <c r="O225" i="1"/>
  <c r="O226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5" i="1"/>
  <c r="O246" i="1"/>
  <c r="O247" i="1"/>
  <c r="O248" i="1"/>
  <c r="O249" i="1"/>
  <c r="O250" i="1"/>
  <c r="O251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8" i="1"/>
  <c r="O269" i="1"/>
  <c r="O270" i="1"/>
  <c r="O271" i="1"/>
  <c r="O272" i="1"/>
  <c r="O273" i="1"/>
  <c r="O274" i="1"/>
  <c r="O275" i="1"/>
  <c r="O276" i="1"/>
  <c r="O279" i="1"/>
  <c r="O280" i="1"/>
  <c r="O281" i="1"/>
  <c r="O282" i="1"/>
  <c r="O283" i="1"/>
  <c r="O284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3" i="1"/>
  <c r="O314" i="1"/>
  <c r="O315" i="1"/>
  <c r="O316" i="1"/>
  <c r="O317" i="1"/>
  <c r="O318" i="1"/>
  <c r="O319" i="1"/>
  <c r="O320" i="1"/>
  <c r="O321" i="1"/>
  <c r="O322" i="1"/>
  <c r="O323" i="1"/>
  <c r="O325" i="1"/>
  <c r="O326" i="1"/>
  <c r="O327" i="1"/>
  <c r="O328" i="1"/>
  <c r="O329" i="1"/>
  <c r="O330" i="1"/>
  <c r="O331" i="1"/>
  <c r="O332" i="1"/>
  <c r="O333" i="1"/>
  <c r="O334" i="1"/>
  <c r="O335" i="1"/>
  <c r="O337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3" i="1"/>
  <c r="O354" i="1"/>
  <c r="O355" i="1"/>
  <c r="O356" i="1"/>
  <c r="O357" i="1"/>
  <c r="O358" i="1"/>
  <c r="O359" i="1"/>
  <c r="O360" i="1"/>
  <c r="O361" i="1"/>
  <c r="O362" i="1"/>
  <c r="O363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M412" i="1"/>
  <c r="M411" i="1" s="1"/>
  <c r="M410" i="1"/>
  <c r="M409" i="1"/>
  <c r="M407" i="1"/>
  <c r="M406" i="1"/>
  <c r="M405" i="1"/>
  <c r="M403" i="1"/>
  <c r="M402" i="1"/>
  <c r="M400" i="1"/>
  <c r="M399" i="1" s="1"/>
  <c r="M398" i="1"/>
  <c r="M397" i="1" s="1"/>
  <c r="M396" i="1"/>
  <c r="M395" i="1"/>
  <c r="M394" i="1"/>
  <c r="M393" i="1"/>
  <c r="M392" i="1"/>
  <c r="M390" i="1"/>
  <c r="M389" i="1"/>
  <c r="L412" i="1"/>
  <c r="L410" i="1"/>
  <c r="L409" i="1"/>
  <c r="L406" i="1"/>
  <c r="L405" i="1"/>
  <c r="L403" i="1"/>
  <c r="L402" i="1"/>
  <c r="L400" i="1"/>
  <c r="L398" i="1"/>
  <c r="L396" i="1"/>
  <c r="L395" i="1"/>
  <c r="L394" i="1"/>
  <c r="L393" i="1"/>
  <c r="L392" i="1"/>
  <c r="L390" i="1"/>
  <c r="L389" i="1"/>
  <c r="K412" i="1"/>
  <c r="K411" i="1" s="1"/>
  <c r="K410" i="1"/>
  <c r="K409" i="1"/>
  <c r="K407" i="1"/>
  <c r="K406" i="1"/>
  <c r="K405" i="1"/>
  <c r="K403" i="1"/>
  <c r="K402" i="1"/>
  <c r="K400" i="1"/>
  <c r="K399" i="1" s="1"/>
  <c r="K398" i="1"/>
  <c r="K397" i="1" s="1"/>
  <c r="K396" i="1"/>
  <c r="K395" i="1"/>
  <c r="K394" i="1"/>
  <c r="K393" i="1"/>
  <c r="K392" i="1"/>
  <c r="K390" i="1"/>
  <c r="K389" i="1"/>
  <c r="K380" i="1"/>
  <c r="K381" i="1"/>
  <c r="K382" i="1"/>
  <c r="K383" i="1"/>
  <c r="J412" i="1"/>
  <c r="J410" i="1"/>
  <c r="J409" i="1"/>
  <c r="J407" i="1"/>
  <c r="J406" i="1"/>
  <c r="J405" i="1"/>
  <c r="J403" i="1"/>
  <c r="J402" i="1"/>
  <c r="J400" i="1"/>
  <c r="J398" i="1"/>
  <c r="J396" i="1"/>
  <c r="J395" i="1"/>
  <c r="J394" i="1"/>
  <c r="J393" i="1"/>
  <c r="J392" i="1"/>
  <c r="J390" i="1"/>
  <c r="J389" i="1"/>
  <c r="I412" i="1"/>
  <c r="I411" i="1" s="1"/>
  <c r="I410" i="1"/>
  <c r="I409" i="1"/>
  <c r="I407" i="1"/>
  <c r="I406" i="1"/>
  <c r="I405" i="1"/>
  <c r="I403" i="1"/>
  <c r="I402" i="1"/>
  <c r="I400" i="1"/>
  <c r="I399" i="1" s="1"/>
  <c r="I398" i="1"/>
  <c r="I397" i="1" s="1"/>
  <c r="I396" i="1"/>
  <c r="I395" i="1"/>
  <c r="I394" i="1"/>
  <c r="I393" i="1"/>
  <c r="I392" i="1"/>
  <c r="I390" i="1"/>
  <c r="I389" i="1"/>
  <c r="H412" i="1"/>
  <c r="H410" i="1"/>
  <c r="H409" i="1"/>
  <c r="H407" i="1"/>
  <c r="H406" i="1"/>
  <c r="H405" i="1"/>
  <c r="H403" i="1"/>
  <c r="H402" i="1"/>
  <c r="H400" i="1"/>
  <c r="H398" i="1"/>
  <c r="H396" i="1"/>
  <c r="H395" i="1"/>
  <c r="H394" i="1"/>
  <c r="H393" i="1"/>
  <c r="H392" i="1"/>
  <c r="H390" i="1"/>
  <c r="H389" i="1"/>
  <c r="M364" i="1"/>
  <c r="K364" i="1"/>
  <c r="I364" i="1"/>
  <c r="M352" i="1"/>
  <c r="K352" i="1"/>
  <c r="I352" i="1"/>
  <c r="M349" i="1"/>
  <c r="K349" i="1"/>
  <c r="I349" i="1"/>
  <c r="M338" i="1"/>
  <c r="K338" i="1"/>
  <c r="I338" i="1"/>
  <c r="O414" i="1" l="1"/>
  <c r="O364" i="1"/>
  <c r="O352" i="1"/>
  <c r="O349" i="1"/>
  <c r="O338" i="1"/>
  <c r="O403" i="1"/>
  <c r="O409" i="1"/>
  <c r="M404" i="1"/>
  <c r="O397" i="1"/>
  <c r="O405" i="1"/>
  <c r="O410" i="1"/>
  <c r="M401" i="1"/>
  <c r="M391" i="1"/>
  <c r="M408" i="1"/>
  <c r="O399" i="1"/>
  <c r="O406" i="1"/>
  <c r="O411" i="1"/>
  <c r="O396" i="1"/>
  <c r="O395" i="1"/>
  <c r="O394" i="1"/>
  <c r="O393" i="1"/>
  <c r="K391" i="1"/>
  <c r="K401" i="1"/>
  <c r="K408" i="1"/>
  <c r="O390" i="1"/>
  <c r="O389" i="1"/>
  <c r="K404" i="1"/>
  <c r="I401" i="1"/>
  <c r="I404" i="1"/>
  <c r="O407" i="1"/>
  <c r="I391" i="1"/>
  <c r="O402" i="1"/>
  <c r="O398" i="1"/>
  <c r="I408" i="1"/>
  <c r="O412" i="1"/>
  <c r="O400" i="1"/>
  <c r="O392" i="1"/>
  <c r="M388" i="1"/>
  <c r="K388" i="1"/>
  <c r="I388" i="1"/>
  <c r="M336" i="1"/>
  <c r="K336" i="1"/>
  <c r="I336" i="1"/>
  <c r="M324" i="1"/>
  <c r="K324" i="1"/>
  <c r="I324" i="1"/>
  <c r="M312" i="1"/>
  <c r="K312" i="1"/>
  <c r="I312" i="1"/>
  <c r="M298" i="1"/>
  <c r="K298" i="1"/>
  <c r="I298" i="1"/>
  <c r="M285" i="1"/>
  <c r="K285" i="1"/>
  <c r="I285" i="1"/>
  <c r="M278" i="1"/>
  <c r="K278" i="1"/>
  <c r="K252" i="1"/>
  <c r="M244" i="1"/>
  <c r="K244" i="1"/>
  <c r="I244" i="1"/>
  <c r="M228" i="1"/>
  <c r="K228" i="1"/>
  <c r="I228" i="1"/>
  <c r="M214" i="1"/>
  <c r="K214" i="1"/>
  <c r="I214" i="1"/>
  <c r="M202" i="1"/>
  <c r="K202" i="1"/>
  <c r="M190" i="1"/>
  <c r="K190" i="1"/>
  <c r="I190" i="1"/>
  <c r="M180" i="1"/>
  <c r="K180" i="1"/>
  <c r="I180" i="1"/>
  <c r="M177" i="1"/>
  <c r="M176" i="1" s="1"/>
  <c r="M383" i="1" s="1"/>
  <c r="K177" i="1"/>
  <c r="K176" i="1" s="1"/>
  <c r="I177" i="1"/>
  <c r="M165" i="1"/>
  <c r="K165" i="1"/>
  <c r="I165" i="1"/>
  <c r="M161" i="1"/>
  <c r="K161" i="1"/>
  <c r="I161" i="1"/>
  <c r="M153" i="1"/>
  <c r="K153" i="1"/>
  <c r="I153" i="1"/>
  <c r="M149" i="1"/>
  <c r="K149" i="1"/>
  <c r="I149" i="1"/>
  <c r="M138" i="1"/>
  <c r="K138" i="1"/>
  <c r="I138" i="1"/>
  <c r="M132" i="1"/>
  <c r="K132" i="1"/>
  <c r="I132" i="1"/>
  <c r="M126" i="1"/>
  <c r="K126" i="1"/>
  <c r="I126" i="1"/>
  <c r="M123" i="1"/>
  <c r="K123" i="1"/>
  <c r="I123" i="1"/>
  <c r="M110" i="1"/>
  <c r="K110" i="1"/>
  <c r="I110" i="1"/>
  <c r="M101" i="1"/>
  <c r="K101" i="1"/>
  <c r="I101" i="1"/>
  <c r="M96" i="1"/>
  <c r="K96" i="1"/>
  <c r="I96" i="1"/>
  <c r="M88" i="1"/>
  <c r="K88" i="1"/>
  <c r="I88" i="1"/>
  <c r="M80" i="1"/>
  <c r="K80" i="1"/>
  <c r="I80" i="1"/>
  <c r="M69" i="1"/>
  <c r="K69" i="1"/>
  <c r="M63" i="1"/>
  <c r="K63" i="1"/>
  <c r="I63" i="1"/>
  <c r="M55" i="1"/>
  <c r="K55" i="1"/>
  <c r="I55" i="1"/>
  <c r="M51" i="1"/>
  <c r="K51" i="1"/>
  <c r="I51" i="1"/>
  <c r="M47" i="1"/>
  <c r="K47" i="1"/>
  <c r="I47" i="1"/>
  <c r="M39" i="1"/>
  <c r="K39" i="1"/>
  <c r="I39" i="1"/>
  <c r="M29" i="1"/>
  <c r="K29" i="1"/>
  <c r="K379" i="1" s="1"/>
  <c r="I29" i="1"/>
  <c r="M21" i="1"/>
  <c r="K21" i="1"/>
  <c r="M18" i="1"/>
  <c r="K18" i="1"/>
  <c r="I23" i="1"/>
  <c r="O23" i="1" s="1"/>
  <c r="I21" i="1"/>
  <c r="I18" i="1"/>
  <c r="M12" i="1"/>
  <c r="K12" i="1"/>
  <c r="I12" i="1"/>
  <c r="I8" i="1"/>
  <c r="O202" i="1" l="1"/>
  <c r="O324" i="1"/>
  <c r="O96" i="1"/>
  <c r="K54" i="1"/>
  <c r="M7" i="1"/>
  <c r="O88" i="1"/>
  <c r="O51" i="1"/>
  <c r="O69" i="1"/>
  <c r="O101" i="1"/>
  <c r="O132" i="1"/>
  <c r="O161" i="1"/>
  <c r="O267" i="1"/>
  <c r="O39" i="1"/>
  <c r="O153" i="1"/>
  <c r="M28" i="1"/>
  <c r="M378" i="1" s="1"/>
  <c r="O149" i="1"/>
  <c r="O165" i="1"/>
  <c r="O298" i="1"/>
  <c r="O21" i="1"/>
  <c r="I54" i="1"/>
  <c r="I379" i="1" s="1"/>
  <c r="O63" i="1"/>
  <c r="O126" i="1"/>
  <c r="O214" i="1"/>
  <c r="O29" i="1"/>
  <c r="O312" i="1"/>
  <c r="M54" i="1"/>
  <c r="M379" i="1" s="1"/>
  <c r="O252" i="1"/>
  <c r="O285" i="1"/>
  <c r="O110" i="1"/>
  <c r="K28" i="1"/>
  <c r="K378" i="1" s="1"/>
  <c r="O55" i="1"/>
  <c r="O123" i="1"/>
  <c r="I176" i="1"/>
  <c r="O177" i="1"/>
  <c r="O336" i="1"/>
  <c r="I28" i="1"/>
  <c r="O47" i="1"/>
  <c r="I7" i="1"/>
  <c r="O8" i="1"/>
  <c r="O18" i="1"/>
  <c r="O80" i="1"/>
  <c r="O138" i="1"/>
  <c r="O244" i="1"/>
  <c r="O278" i="1"/>
  <c r="O388" i="1"/>
  <c r="M227" i="1"/>
  <c r="M213" i="1" s="1"/>
  <c r="M385" i="1" s="1"/>
  <c r="O228" i="1"/>
  <c r="M387" i="1"/>
  <c r="O12" i="1"/>
  <c r="K227" i="1"/>
  <c r="K213" i="1" s="1"/>
  <c r="K385" i="1" s="1"/>
  <c r="I227" i="1"/>
  <c r="I213" i="1" s="1"/>
  <c r="I385" i="1" s="1"/>
  <c r="O180" i="1"/>
  <c r="O401" i="1"/>
  <c r="O190" i="1"/>
  <c r="O391" i="1"/>
  <c r="O408" i="1"/>
  <c r="O404" i="1"/>
  <c r="K387" i="1"/>
  <c r="I387" i="1"/>
  <c r="M311" i="1"/>
  <c r="M386" i="1" s="1"/>
  <c r="K311" i="1"/>
  <c r="K386" i="1" s="1"/>
  <c r="I311" i="1"/>
  <c r="I386" i="1" s="1"/>
  <c r="M179" i="1"/>
  <c r="M384" i="1" s="1"/>
  <c r="K179" i="1"/>
  <c r="K384" i="1" s="1"/>
  <c r="I179" i="1"/>
  <c r="I384" i="1" s="1"/>
  <c r="M148" i="1"/>
  <c r="M382" i="1" s="1"/>
  <c r="K148" i="1"/>
  <c r="I148" i="1"/>
  <c r="I382" i="1" s="1"/>
  <c r="M122" i="1"/>
  <c r="M381" i="1" s="1"/>
  <c r="K122" i="1"/>
  <c r="I122" i="1"/>
  <c r="I381" i="1" s="1"/>
  <c r="M68" i="1"/>
  <c r="I68" i="1"/>
  <c r="I380" i="1" s="1"/>
  <c r="K68" i="1"/>
  <c r="K7" i="1"/>
  <c r="O381" i="1" l="1"/>
  <c r="O386" i="1"/>
  <c r="O384" i="1"/>
  <c r="O382" i="1"/>
  <c r="K377" i="1"/>
  <c r="O176" i="1"/>
  <c r="I383" i="1"/>
  <c r="O383" i="1" s="1"/>
  <c r="O385" i="1"/>
  <c r="O68" i="1"/>
  <c r="M380" i="1"/>
  <c r="O380" i="1" s="1"/>
  <c r="O148" i="1"/>
  <c r="O122" i="1"/>
  <c r="O379" i="1"/>
  <c r="O54" i="1"/>
  <c r="O311" i="1"/>
  <c r="I378" i="1"/>
  <c r="O28" i="1"/>
  <c r="O179" i="1"/>
  <c r="M27" i="1"/>
  <c r="M413" i="1" s="1"/>
  <c r="O7" i="1"/>
  <c r="O227" i="1"/>
  <c r="O213" i="1"/>
  <c r="O387" i="1"/>
  <c r="K27" i="1"/>
  <c r="K413" i="1" s="1"/>
  <c r="M377" i="1" l="1"/>
  <c r="O378" i="1"/>
  <c r="I377" i="1"/>
  <c r="I27" i="1"/>
  <c r="H418" i="1"/>
  <c r="N418" i="1" s="1"/>
  <c r="H417" i="1"/>
  <c r="P416" i="1"/>
  <c r="P415" i="1"/>
  <c r="L414" i="1"/>
  <c r="J414" i="1"/>
  <c r="N376" i="1"/>
  <c r="P376" i="1" s="1"/>
  <c r="N375" i="1"/>
  <c r="P375" i="1" s="1"/>
  <c r="N374" i="1"/>
  <c r="P374" i="1" s="1"/>
  <c r="N373" i="1"/>
  <c r="P373" i="1" s="1"/>
  <c r="N372" i="1"/>
  <c r="P372" i="1" s="1"/>
  <c r="N371" i="1"/>
  <c r="P371" i="1" s="1"/>
  <c r="N370" i="1"/>
  <c r="P370" i="1" s="1"/>
  <c r="N369" i="1"/>
  <c r="P369" i="1" s="1"/>
  <c r="N368" i="1"/>
  <c r="P368" i="1" s="1"/>
  <c r="N367" i="1"/>
  <c r="P367" i="1" s="1"/>
  <c r="N366" i="1"/>
  <c r="P366" i="1" s="1"/>
  <c r="N365" i="1"/>
  <c r="P365" i="1" s="1"/>
  <c r="L364" i="1"/>
  <c r="J364" i="1"/>
  <c r="H364" i="1"/>
  <c r="N363" i="1"/>
  <c r="P363" i="1" s="1"/>
  <c r="N362" i="1"/>
  <c r="P362" i="1" s="1"/>
  <c r="N361" i="1"/>
  <c r="P361" i="1" s="1"/>
  <c r="N360" i="1"/>
  <c r="P360" i="1" s="1"/>
  <c r="N359" i="1"/>
  <c r="P359" i="1" s="1"/>
  <c r="N358" i="1"/>
  <c r="P358" i="1" s="1"/>
  <c r="N357" i="1"/>
  <c r="P357" i="1" s="1"/>
  <c r="N356" i="1"/>
  <c r="P356" i="1" s="1"/>
  <c r="N355" i="1"/>
  <c r="P355" i="1" s="1"/>
  <c r="N354" i="1"/>
  <c r="P354" i="1" s="1"/>
  <c r="N353" i="1"/>
  <c r="P353" i="1" s="1"/>
  <c r="L352" i="1"/>
  <c r="J352" i="1"/>
  <c r="H352" i="1"/>
  <c r="N351" i="1"/>
  <c r="P351" i="1" s="1"/>
  <c r="N350" i="1"/>
  <c r="P350" i="1" s="1"/>
  <c r="L349" i="1"/>
  <c r="J349" i="1"/>
  <c r="H349" i="1"/>
  <c r="N348" i="1"/>
  <c r="P348" i="1" s="1"/>
  <c r="N347" i="1"/>
  <c r="P347" i="1" s="1"/>
  <c r="N346" i="1"/>
  <c r="P346" i="1" s="1"/>
  <c r="N345" i="1"/>
  <c r="P345" i="1" s="1"/>
  <c r="N344" i="1"/>
  <c r="P344" i="1" s="1"/>
  <c r="N343" i="1"/>
  <c r="P343" i="1" s="1"/>
  <c r="N342" i="1"/>
  <c r="P342" i="1" s="1"/>
  <c r="N341" i="1"/>
  <c r="P341" i="1" s="1"/>
  <c r="N340" i="1"/>
  <c r="P340" i="1" s="1"/>
  <c r="N339" i="1"/>
  <c r="P339" i="1" s="1"/>
  <c r="L338" i="1"/>
  <c r="J338" i="1"/>
  <c r="H338" i="1"/>
  <c r="N337" i="1"/>
  <c r="P337" i="1" s="1"/>
  <c r="L336" i="1"/>
  <c r="J336" i="1"/>
  <c r="H336" i="1"/>
  <c r="N335" i="1"/>
  <c r="P335" i="1" s="1"/>
  <c r="N334" i="1"/>
  <c r="P334" i="1" s="1"/>
  <c r="N333" i="1"/>
  <c r="P333" i="1" s="1"/>
  <c r="N332" i="1"/>
  <c r="P332" i="1" s="1"/>
  <c r="N331" i="1"/>
  <c r="P331" i="1" s="1"/>
  <c r="N330" i="1"/>
  <c r="P330" i="1" s="1"/>
  <c r="N329" i="1"/>
  <c r="P329" i="1" s="1"/>
  <c r="N328" i="1"/>
  <c r="P328" i="1" s="1"/>
  <c r="N327" i="1"/>
  <c r="P327" i="1" s="1"/>
  <c r="N326" i="1"/>
  <c r="P326" i="1" s="1"/>
  <c r="N325" i="1"/>
  <c r="P325" i="1" s="1"/>
  <c r="L324" i="1"/>
  <c r="J324" i="1"/>
  <c r="H324" i="1"/>
  <c r="N323" i="1"/>
  <c r="P323" i="1" s="1"/>
  <c r="N322" i="1"/>
  <c r="P322" i="1" s="1"/>
  <c r="N321" i="1"/>
  <c r="P321" i="1" s="1"/>
  <c r="N320" i="1"/>
  <c r="P320" i="1" s="1"/>
  <c r="N319" i="1"/>
  <c r="P319" i="1" s="1"/>
  <c r="N318" i="1"/>
  <c r="P318" i="1" s="1"/>
  <c r="N317" i="1"/>
  <c r="P317" i="1" s="1"/>
  <c r="N316" i="1"/>
  <c r="P316" i="1" s="1"/>
  <c r="N315" i="1"/>
  <c r="P315" i="1" s="1"/>
  <c r="N314" i="1"/>
  <c r="P314" i="1" s="1"/>
  <c r="N313" i="1"/>
  <c r="P313" i="1" s="1"/>
  <c r="L312" i="1"/>
  <c r="J312" i="1"/>
  <c r="H312" i="1"/>
  <c r="N310" i="1"/>
  <c r="P310" i="1" s="1"/>
  <c r="N309" i="1"/>
  <c r="P309" i="1" s="1"/>
  <c r="N308" i="1"/>
  <c r="P308" i="1" s="1"/>
  <c r="N307" i="1"/>
  <c r="P307" i="1" s="1"/>
  <c r="N306" i="1"/>
  <c r="P306" i="1" s="1"/>
  <c r="N305" i="1"/>
  <c r="P305" i="1" s="1"/>
  <c r="N304" i="1"/>
  <c r="P304" i="1" s="1"/>
  <c r="N303" i="1"/>
  <c r="P303" i="1" s="1"/>
  <c r="N302" i="1"/>
  <c r="P302" i="1" s="1"/>
  <c r="N301" i="1"/>
  <c r="P301" i="1" s="1"/>
  <c r="N300" i="1"/>
  <c r="P300" i="1" s="1"/>
  <c r="N299" i="1"/>
  <c r="P299" i="1" s="1"/>
  <c r="L298" i="1"/>
  <c r="J298" i="1"/>
  <c r="H298" i="1"/>
  <c r="N297" i="1"/>
  <c r="P297" i="1" s="1"/>
  <c r="N296" i="1"/>
  <c r="P296" i="1" s="1"/>
  <c r="N295" i="1"/>
  <c r="P295" i="1" s="1"/>
  <c r="N294" i="1"/>
  <c r="P294" i="1" s="1"/>
  <c r="N293" i="1"/>
  <c r="P293" i="1" s="1"/>
  <c r="N292" i="1"/>
  <c r="P292" i="1" s="1"/>
  <c r="N291" i="1"/>
  <c r="P291" i="1" s="1"/>
  <c r="N290" i="1"/>
  <c r="P290" i="1" s="1"/>
  <c r="N289" i="1"/>
  <c r="P289" i="1" s="1"/>
  <c r="N288" i="1"/>
  <c r="P288" i="1" s="1"/>
  <c r="N287" i="1"/>
  <c r="P287" i="1" s="1"/>
  <c r="N286" i="1"/>
  <c r="P286" i="1" s="1"/>
  <c r="L285" i="1"/>
  <c r="J285" i="1"/>
  <c r="H285" i="1"/>
  <c r="N284" i="1"/>
  <c r="P284" i="1" s="1"/>
  <c r="N283" i="1"/>
  <c r="P283" i="1" s="1"/>
  <c r="N282" i="1"/>
  <c r="P282" i="1" s="1"/>
  <c r="N281" i="1"/>
  <c r="P281" i="1" s="1"/>
  <c r="N280" i="1"/>
  <c r="P280" i="1" s="1"/>
  <c r="N279" i="1"/>
  <c r="P279" i="1" s="1"/>
  <c r="L278" i="1"/>
  <c r="J278" i="1"/>
  <c r="H278" i="1"/>
  <c r="N276" i="1"/>
  <c r="P276" i="1" s="1"/>
  <c r="N275" i="1"/>
  <c r="P275" i="1" s="1"/>
  <c r="N274" i="1"/>
  <c r="P274" i="1" s="1"/>
  <c r="N273" i="1"/>
  <c r="P273" i="1" s="1"/>
  <c r="N272" i="1"/>
  <c r="P272" i="1" s="1"/>
  <c r="N271" i="1"/>
  <c r="P271" i="1" s="1"/>
  <c r="N270" i="1"/>
  <c r="P270" i="1" s="1"/>
  <c r="N269" i="1"/>
  <c r="P269" i="1" s="1"/>
  <c r="N268" i="1"/>
  <c r="P268" i="1" s="1"/>
  <c r="N266" i="1"/>
  <c r="P266" i="1" s="1"/>
  <c r="N265" i="1"/>
  <c r="P265" i="1" s="1"/>
  <c r="N264" i="1"/>
  <c r="P264" i="1" s="1"/>
  <c r="N263" i="1"/>
  <c r="P263" i="1" s="1"/>
  <c r="N262" i="1"/>
  <c r="P262" i="1" s="1"/>
  <c r="N261" i="1"/>
  <c r="P261" i="1" s="1"/>
  <c r="N260" i="1"/>
  <c r="P260" i="1" s="1"/>
  <c r="N259" i="1"/>
  <c r="P259" i="1" s="1"/>
  <c r="N258" i="1"/>
  <c r="P258" i="1" s="1"/>
  <c r="N257" i="1"/>
  <c r="P257" i="1" s="1"/>
  <c r="N256" i="1"/>
  <c r="P256" i="1" s="1"/>
  <c r="N255" i="1"/>
  <c r="P255" i="1" s="1"/>
  <c r="N254" i="1"/>
  <c r="P254" i="1" s="1"/>
  <c r="N253" i="1"/>
  <c r="P253" i="1" s="1"/>
  <c r="L252" i="1"/>
  <c r="J252" i="1"/>
  <c r="H252" i="1"/>
  <c r="N251" i="1"/>
  <c r="P251" i="1" s="1"/>
  <c r="N250" i="1"/>
  <c r="P250" i="1" s="1"/>
  <c r="N249" i="1"/>
  <c r="P249" i="1" s="1"/>
  <c r="N248" i="1"/>
  <c r="P248" i="1" s="1"/>
  <c r="N247" i="1"/>
  <c r="P247" i="1" s="1"/>
  <c r="N246" i="1"/>
  <c r="P246" i="1" s="1"/>
  <c r="N245" i="1"/>
  <c r="P245" i="1" s="1"/>
  <c r="L244" i="1"/>
  <c r="J244" i="1"/>
  <c r="H244" i="1"/>
  <c r="N243" i="1"/>
  <c r="P243" i="1" s="1"/>
  <c r="N242" i="1"/>
  <c r="P242" i="1" s="1"/>
  <c r="N241" i="1"/>
  <c r="P241" i="1" s="1"/>
  <c r="N240" i="1"/>
  <c r="P240" i="1" s="1"/>
  <c r="N239" i="1"/>
  <c r="P239" i="1" s="1"/>
  <c r="N238" i="1"/>
  <c r="P238" i="1" s="1"/>
  <c r="N237" i="1"/>
  <c r="P237" i="1" s="1"/>
  <c r="N236" i="1"/>
  <c r="P236" i="1" s="1"/>
  <c r="N235" i="1"/>
  <c r="P235" i="1" s="1"/>
  <c r="N234" i="1"/>
  <c r="P234" i="1" s="1"/>
  <c r="N233" i="1"/>
  <c r="P233" i="1" s="1"/>
  <c r="N232" i="1"/>
  <c r="P232" i="1" s="1"/>
  <c r="N231" i="1"/>
  <c r="P231" i="1" s="1"/>
  <c r="N230" i="1"/>
  <c r="P230" i="1" s="1"/>
  <c r="N229" i="1"/>
  <c r="P229" i="1" s="1"/>
  <c r="L228" i="1"/>
  <c r="J228" i="1"/>
  <c r="H228" i="1"/>
  <c r="N226" i="1"/>
  <c r="P226" i="1" s="1"/>
  <c r="N225" i="1"/>
  <c r="P225" i="1" s="1"/>
  <c r="N224" i="1"/>
  <c r="P224" i="1" s="1"/>
  <c r="N221" i="1"/>
  <c r="P221" i="1" s="1"/>
  <c r="N220" i="1"/>
  <c r="P220" i="1" s="1"/>
  <c r="N219" i="1"/>
  <c r="P219" i="1" s="1"/>
  <c r="N218" i="1"/>
  <c r="P218" i="1" s="1"/>
  <c r="N217" i="1"/>
  <c r="P217" i="1" s="1"/>
  <c r="N216" i="1"/>
  <c r="P216" i="1" s="1"/>
  <c r="N215" i="1"/>
  <c r="P215" i="1" s="1"/>
  <c r="L214" i="1"/>
  <c r="J214" i="1"/>
  <c r="H214" i="1"/>
  <c r="N212" i="1"/>
  <c r="P212" i="1" s="1"/>
  <c r="N211" i="1"/>
  <c r="P211" i="1" s="1"/>
  <c r="N210" i="1"/>
  <c r="P210" i="1" s="1"/>
  <c r="N209" i="1"/>
  <c r="P209" i="1" s="1"/>
  <c r="N208" i="1"/>
  <c r="P208" i="1" s="1"/>
  <c r="N207" i="1"/>
  <c r="P207" i="1" s="1"/>
  <c r="N206" i="1"/>
  <c r="P206" i="1" s="1"/>
  <c r="N205" i="1"/>
  <c r="P205" i="1" s="1"/>
  <c r="N204" i="1"/>
  <c r="P204" i="1" s="1"/>
  <c r="N203" i="1"/>
  <c r="P203" i="1" s="1"/>
  <c r="L202" i="1"/>
  <c r="J202" i="1"/>
  <c r="H202" i="1"/>
  <c r="N201" i="1"/>
  <c r="P201" i="1" s="1"/>
  <c r="N200" i="1"/>
  <c r="P200" i="1" s="1"/>
  <c r="N199" i="1"/>
  <c r="P199" i="1" s="1"/>
  <c r="N198" i="1"/>
  <c r="P198" i="1" s="1"/>
  <c r="N197" i="1"/>
  <c r="P197" i="1" s="1"/>
  <c r="N196" i="1"/>
  <c r="P196" i="1" s="1"/>
  <c r="N195" i="1"/>
  <c r="P195" i="1" s="1"/>
  <c r="N194" i="1"/>
  <c r="P194" i="1" s="1"/>
  <c r="N193" i="1"/>
  <c r="P193" i="1" s="1"/>
  <c r="N192" i="1"/>
  <c r="P192" i="1" s="1"/>
  <c r="N191" i="1"/>
  <c r="P191" i="1" s="1"/>
  <c r="L190" i="1"/>
  <c r="J190" i="1"/>
  <c r="H190" i="1"/>
  <c r="N189" i="1"/>
  <c r="P189" i="1" s="1"/>
  <c r="N188" i="1"/>
  <c r="P188" i="1" s="1"/>
  <c r="N187" i="1"/>
  <c r="P187" i="1" s="1"/>
  <c r="N186" i="1"/>
  <c r="P186" i="1" s="1"/>
  <c r="N185" i="1"/>
  <c r="P185" i="1" s="1"/>
  <c r="N184" i="1"/>
  <c r="P184" i="1" s="1"/>
  <c r="N183" i="1"/>
  <c r="P183" i="1" s="1"/>
  <c r="N182" i="1"/>
  <c r="P182" i="1" s="1"/>
  <c r="N181" i="1"/>
  <c r="P181" i="1" s="1"/>
  <c r="L180" i="1"/>
  <c r="N180" i="1" s="1"/>
  <c r="P180" i="1" s="1"/>
  <c r="J180" i="1"/>
  <c r="H180" i="1"/>
  <c r="N178" i="1"/>
  <c r="P178" i="1" s="1"/>
  <c r="L177" i="1"/>
  <c r="L176" i="1" s="1"/>
  <c r="J177" i="1"/>
  <c r="J176" i="1" s="1"/>
  <c r="H177" i="1"/>
  <c r="H176" i="1" s="1"/>
  <c r="N175" i="1"/>
  <c r="P175" i="1" s="1"/>
  <c r="N174" i="1"/>
  <c r="P174" i="1" s="1"/>
  <c r="N173" i="1"/>
  <c r="P173" i="1" s="1"/>
  <c r="N172" i="1"/>
  <c r="P172" i="1" s="1"/>
  <c r="N171" i="1"/>
  <c r="P171" i="1" s="1"/>
  <c r="N170" i="1"/>
  <c r="P170" i="1" s="1"/>
  <c r="N169" i="1"/>
  <c r="P169" i="1" s="1"/>
  <c r="N168" i="1"/>
  <c r="P168" i="1" s="1"/>
  <c r="N167" i="1"/>
  <c r="P167" i="1" s="1"/>
  <c r="N166" i="1"/>
  <c r="P166" i="1" s="1"/>
  <c r="L165" i="1"/>
  <c r="J165" i="1"/>
  <c r="H165" i="1"/>
  <c r="N164" i="1"/>
  <c r="P164" i="1" s="1"/>
  <c r="N163" i="1"/>
  <c r="P163" i="1" s="1"/>
  <c r="N162" i="1"/>
  <c r="P162" i="1" s="1"/>
  <c r="L161" i="1"/>
  <c r="J161" i="1"/>
  <c r="H161" i="1"/>
  <c r="N160" i="1"/>
  <c r="P160" i="1" s="1"/>
  <c r="N159" i="1"/>
  <c r="P159" i="1" s="1"/>
  <c r="N158" i="1"/>
  <c r="P158" i="1" s="1"/>
  <c r="N157" i="1"/>
  <c r="P157" i="1" s="1"/>
  <c r="N156" i="1"/>
  <c r="P156" i="1" s="1"/>
  <c r="N155" i="1"/>
  <c r="P155" i="1" s="1"/>
  <c r="N154" i="1"/>
  <c r="P154" i="1" s="1"/>
  <c r="L153" i="1"/>
  <c r="J153" i="1"/>
  <c r="H153" i="1"/>
  <c r="N152" i="1"/>
  <c r="P152" i="1" s="1"/>
  <c r="N151" i="1"/>
  <c r="P151" i="1" s="1"/>
  <c r="N150" i="1"/>
  <c r="P150" i="1" s="1"/>
  <c r="L149" i="1"/>
  <c r="J149" i="1"/>
  <c r="H149" i="1"/>
  <c r="N147" i="1"/>
  <c r="P147" i="1" s="1"/>
  <c r="N146" i="1"/>
  <c r="P146" i="1" s="1"/>
  <c r="N145" i="1"/>
  <c r="P145" i="1" s="1"/>
  <c r="N144" i="1"/>
  <c r="P144" i="1" s="1"/>
  <c r="N143" i="1"/>
  <c r="P143" i="1" s="1"/>
  <c r="N142" i="1"/>
  <c r="P142" i="1" s="1"/>
  <c r="N141" i="1"/>
  <c r="P141" i="1" s="1"/>
  <c r="N140" i="1"/>
  <c r="P140" i="1" s="1"/>
  <c r="N139" i="1"/>
  <c r="P139" i="1" s="1"/>
  <c r="L138" i="1"/>
  <c r="J138" i="1"/>
  <c r="H138" i="1"/>
  <c r="N137" i="1"/>
  <c r="P137" i="1" s="1"/>
  <c r="N136" i="1"/>
  <c r="P136" i="1" s="1"/>
  <c r="N135" i="1"/>
  <c r="P135" i="1" s="1"/>
  <c r="N134" i="1"/>
  <c r="P134" i="1" s="1"/>
  <c r="N133" i="1"/>
  <c r="P133" i="1" s="1"/>
  <c r="L132" i="1"/>
  <c r="J132" i="1"/>
  <c r="H132" i="1"/>
  <c r="N131" i="1"/>
  <c r="P131" i="1" s="1"/>
  <c r="N130" i="1"/>
  <c r="P130" i="1" s="1"/>
  <c r="N129" i="1"/>
  <c r="P129" i="1" s="1"/>
  <c r="N128" i="1"/>
  <c r="P128" i="1" s="1"/>
  <c r="N127" i="1"/>
  <c r="P127" i="1" s="1"/>
  <c r="L126" i="1"/>
  <c r="J126" i="1"/>
  <c r="H126" i="1"/>
  <c r="N125" i="1"/>
  <c r="P125" i="1" s="1"/>
  <c r="N124" i="1"/>
  <c r="P124" i="1" s="1"/>
  <c r="L123" i="1"/>
  <c r="J123" i="1"/>
  <c r="H123" i="1"/>
  <c r="N121" i="1"/>
  <c r="P121" i="1" s="1"/>
  <c r="N120" i="1"/>
  <c r="P120" i="1" s="1"/>
  <c r="N119" i="1"/>
  <c r="P119" i="1" s="1"/>
  <c r="N118" i="1"/>
  <c r="P118" i="1" s="1"/>
  <c r="N117" i="1"/>
  <c r="P117" i="1" s="1"/>
  <c r="N116" i="1"/>
  <c r="P116" i="1" s="1"/>
  <c r="N115" i="1"/>
  <c r="P115" i="1" s="1"/>
  <c r="N114" i="1"/>
  <c r="P114" i="1" s="1"/>
  <c r="N113" i="1"/>
  <c r="P113" i="1" s="1"/>
  <c r="N112" i="1"/>
  <c r="P112" i="1" s="1"/>
  <c r="N111" i="1"/>
  <c r="P111" i="1" s="1"/>
  <c r="L110" i="1"/>
  <c r="J110" i="1"/>
  <c r="H110" i="1"/>
  <c r="N109" i="1"/>
  <c r="P109" i="1" s="1"/>
  <c r="N108" i="1"/>
  <c r="P108" i="1" s="1"/>
  <c r="N107" i="1"/>
  <c r="P107" i="1" s="1"/>
  <c r="N106" i="1"/>
  <c r="P106" i="1" s="1"/>
  <c r="N105" i="1"/>
  <c r="P105" i="1" s="1"/>
  <c r="N104" i="1"/>
  <c r="P104" i="1" s="1"/>
  <c r="N103" i="1"/>
  <c r="P103" i="1" s="1"/>
  <c r="N102" i="1"/>
  <c r="P102" i="1" s="1"/>
  <c r="L101" i="1"/>
  <c r="J101" i="1"/>
  <c r="H101" i="1"/>
  <c r="N100" i="1"/>
  <c r="P100" i="1" s="1"/>
  <c r="N99" i="1"/>
  <c r="P99" i="1" s="1"/>
  <c r="N98" i="1"/>
  <c r="P98" i="1" s="1"/>
  <c r="N97" i="1"/>
  <c r="P97" i="1" s="1"/>
  <c r="L96" i="1"/>
  <c r="J96" i="1"/>
  <c r="H96" i="1"/>
  <c r="N95" i="1"/>
  <c r="P95" i="1" s="1"/>
  <c r="N94" i="1"/>
  <c r="P94" i="1" s="1"/>
  <c r="N93" i="1"/>
  <c r="P93" i="1" s="1"/>
  <c r="N92" i="1"/>
  <c r="P92" i="1" s="1"/>
  <c r="N91" i="1"/>
  <c r="P91" i="1" s="1"/>
  <c r="N90" i="1"/>
  <c r="P90" i="1" s="1"/>
  <c r="N89" i="1"/>
  <c r="P89" i="1" s="1"/>
  <c r="L88" i="1"/>
  <c r="J88" i="1"/>
  <c r="H88" i="1"/>
  <c r="N87" i="1"/>
  <c r="P87" i="1" s="1"/>
  <c r="N86" i="1"/>
  <c r="P86" i="1" s="1"/>
  <c r="N85" i="1"/>
  <c r="P85" i="1" s="1"/>
  <c r="N84" i="1"/>
  <c r="P84" i="1" s="1"/>
  <c r="N83" i="1"/>
  <c r="P83" i="1" s="1"/>
  <c r="N82" i="1"/>
  <c r="P82" i="1" s="1"/>
  <c r="N81" i="1"/>
  <c r="P81" i="1" s="1"/>
  <c r="L80" i="1"/>
  <c r="J80" i="1"/>
  <c r="H80" i="1"/>
  <c r="N78" i="1"/>
  <c r="P78" i="1" s="1"/>
  <c r="N77" i="1"/>
  <c r="P77" i="1" s="1"/>
  <c r="N76" i="1"/>
  <c r="P76" i="1" s="1"/>
  <c r="N75" i="1"/>
  <c r="P75" i="1" s="1"/>
  <c r="N74" i="1"/>
  <c r="P74" i="1" s="1"/>
  <c r="N73" i="1"/>
  <c r="P73" i="1" s="1"/>
  <c r="N72" i="1"/>
  <c r="P72" i="1" s="1"/>
  <c r="N71" i="1"/>
  <c r="P71" i="1" s="1"/>
  <c r="N70" i="1"/>
  <c r="P70" i="1" s="1"/>
  <c r="L69" i="1"/>
  <c r="J69" i="1"/>
  <c r="H69" i="1"/>
  <c r="N67" i="1"/>
  <c r="P67" i="1" s="1"/>
  <c r="N66" i="1"/>
  <c r="P66" i="1" s="1"/>
  <c r="N65" i="1"/>
  <c r="P65" i="1" s="1"/>
  <c r="N64" i="1"/>
  <c r="P64" i="1" s="1"/>
  <c r="L63" i="1"/>
  <c r="J63" i="1"/>
  <c r="H63" i="1"/>
  <c r="N62" i="1"/>
  <c r="P62" i="1" s="1"/>
  <c r="N61" i="1"/>
  <c r="P61" i="1" s="1"/>
  <c r="N60" i="1"/>
  <c r="P60" i="1" s="1"/>
  <c r="N59" i="1"/>
  <c r="P59" i="1" s="1"/>
  <c r="N58" i="1"/>
  <c r="P58" i="1" s="1"/>
  <c r="N57" i="1"/>
  <c r="P57" i="1" s="1"/>
  <c r="N56" i="1"/>
  <c r="P56" i="1" s="1"/>
  <c r="L55" i="1"/>
  <c r="J55" i="1"/>
  <c r="H55" i="1"/>
  <c r="N53" i="1"/>
  <c r="P53" i="1" s="1"/>
  <c r="N52" i="1"/>
  <c r="P52" i="1" s="1"/>
  <c r="L51" i="1"/>
  <c r="J51" i="1"/>
  <c r="H51" i="1"/>
  <c r="N50" i="1"/>
  <c r="P50" i="1" s="1"/>
  <c r="N49" i="1"/>
  <c r="P49" i="1" s="1"/>
  <c r="N48" i="1"/>
  <c r="P48" i="1" s="1"/>
  <c r="L47" i="1"/>
  <c r="J47" i="1"/>
  <c r="H47" i="1"/>
  <c r="N46" i="1"/>
  <c r="P46" i="1" s="1"/>
  <c r="N45" i="1"/>
  <c r="P45" i="1" s="1"/>
  <c r="N44" i="1"/>
  <c r="P44" i="1" s="1"/>
  <c r="N43" i="1"/>
  <c r="P43" i="1" s="1"/>
  <c r="N42" i="1"/>
  <c r="P42" i="1" s="1"/>
  <c r="N41" i="1"/>
  <c r="P41" i="1" s="1"/>
  <c r="N40" i="1"/>
  <c r="P40" i="1" s="1"/>
  <c r="L39" i="1"/>
  <c r="J39" i="1"/>
  <c r="H39" i="1"/>
  <c r="N38" i="1"/>
  <c r="P38" i="1" s="1"/>
  <c r="N37" i="1"/>
  <c r="P37" i="1" s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L29" i="1"/>
  <c r="J29" i="1"/>
  <c r="H29" i="1"/>
  <c r="N26" i="1"/>
  <c r="P26" i="1" s="1"/>
  <c r="N25" i="1"/>
  <c r="P25" i="1" s="1"/>
  <c r="N24" i="1"/>
  <c r="P24" i="1" s="1"/>
  <c r="L23" i="1"/>
  <c r="J23" i="1"/>
  <c r="H23" i="1"/>
  <c r="N22" i="1"/>
  <c r="P22" i="1" s="1"/>
  <c r="L21" i="1"/>
  <c r="J21" i="1"/>
  <c r="H21" i="1"/>
  <c r="H20" i="1"/>
  <c r="N20" i="1" s="1"/>
  <c r="P20" i="1" s="1"/>
  <c r="N19" i="1"/>
  <c r="P19" i="1" s="1"/>
  <c r="L18" i="1"/>
  <c r="J18" i="1"/>
  <c r="N17" i="1"/>
  <c r="P17" i="1" s="1"/>
  <c r="N16" i="1"/>
  <c r="P16" i="1" s="1"/>
  <c r="N15" i="1"/>
  <c r="P15" i="1" s="1"/>
  <c r="N14" i="1"/>
  <c r="P14" i="1" s="1"/>
  <c r="N13" i="1"/>
  <c r="P13" i="1" s="1"/>
  <c r="L12" i="1"/>
  <c r="J12" i="1"/>
  <c r="H12" i="1"/>
  <c r="N11" i="1"/>
  <c r="P11" i="1" s="1"/>
  <c r="N10" i="1"/>
  <c r="P10" i="1" s="1"/>
  <c r="N9" i="1"/>
  <c r="P9" i="1" s="1"/>
  <c r="L8" i="1"/>
  <c r="J8" i="1"/>
  <c r="H8" i="1"/>
  <c r="C418" i="1"/>
  <c r="F418" i="1" s="1"/>
  <c r="C417" i="1"/>
  <c r="F416" i="1"/>
  <c r="F415" i="1"/>
  <c r="E414" i="1"/>
  <c r="D414" i="1"/>
  <c r="E412" i="1"/>
  <c r="E411" i="1" s="1"/>
  <c r="D412" i="1"/>
  <c r="D411" i="1" s="1"/>
  <c r="C412" i="1"/>
  <c r="E410" i="1"/>
  <c r="C410" i="1"/>
  <c r="E409" i="1"/>
  <c r="D409" i="1"/>
  <c r="D408" i="1" s="1"/>
  <c r="C409" i="1"/>
  <c r="E407" i="1"/>
  <c r="D407" i="1"/>
  <c r="C407" i="1"/>
  <c r="E406" i="1"/>
  <c r="D406" i="1"/>
  <c r="C406" i="1"/>
  <c r="E405" i="1"/>
  <c r="D405" i="1"/>
  <c r="C405" i="1"/>
  <c r="E403" i="1"/>
  <c r="D403" i="1"/>
  <c r="C403" i="1"/>
  <c r="E402" i="1"/>
  <c r="D402" i="1"/>
  <c r="C402" i="1"/>
  <c r="E400" i="1"/>
  <c r="E399" i="1" s="1"/>
  <c r="D400" i="1"/>
  <c r="D399" i="1" s="1"/>
  <c r="C400" i="1"/>
  <c r="E398" i="1"/>
  <c r="E397" i="1" s="1"/>
  <c r="D398" i="1"/>
  <c r="D397" i="1" s="1"/>
  <c r="C398" i="1"/>
  <c r="E396" i="1"/>
  <c r="D396" i="1"/>
  <c r="C396" i="1"/>
  <c r="E395" i="1"/>
  <c r="D395" i="1"/>
  <c r="C395" i="1"/>
  <c r="E394" i="1"/>
  <c r="D394" i="1"/>
  <c r="C394" i="1"/>
  <c r="E393" i="1"/>
  <c r="D393" i="1"/>
  <c r="C393" i="1"/>
  <c r="E392" i="1"/>
  <c r="D392" i="1"/>
  <c r="C392" i="1"/>
  <c r="E390" i="1"/>
  <c r="D390" i="1"/>
  <c r="C390" i="1"/>
  <c r="E389" i="1"/>
  <c r="D389" i="1"/>
  <c r="C389" i="1"/>
  <c r="B386" i="1"/>
  <c r="B385" i="1"/>
  <c r="B384" i="1"/>
  <c r="B383" i="1"/>
  <c r="B382" i="1"/>
  <c r="B381" i="1"/>
  <c r="B380" i="1"/>
  <c r="B379" i="1"/>
  <c r="B378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E364" i="1"/>
  <c r="D364" i="1"/>
  <c r="C364" i="1"/>
  <c r="F363" i="1"/>
  <c r="F362" i="1"/>
  <c r="F361" i="1"/>
  <c r="F360" i="1"/>
  <c r="F359" i="1"/>
  <c r="F358" i="1"/>
  <c r="F357" i="1"/>
  <c r="F356" i="1"/>
  <c r="F355" i="1"/>
  <c r="F354" i="1"/>
  <c r="F353" i="1"/>
  <c r="E352" i="1"/>
  <c r="D352" i="1"/>
  <c r="C352" i="1"/>
  <c r="F351" i="1"/>
  <c r="F350" i="1"/>
  <c r="E349" i="1"/>
  <c r="D349" i="1"/>
  <c r="C349" i="1"/>
  <c r="F348" i="1"/>
  <c r="F347" i="1"/>
  <c r="F346" i="1"/>
  <c r="F345" i="1"/>
  <c r="F344" i="1"/>
  <c r="F343" i="1"/>
  <c r="F342" i="1"/>
  <c r="F341" i="1"/>
  <c r="F340" i="1"/>
  <c r="F339" i="1"/>
  <c r="E338" i="1"/>
  <c r="D338" i="1"/>
  <c r="C338" i="1"/>
  <c r="F337" i="1"/>
  <c r="E336" i="1"/>
  <c r="D336" i="1"/>
  <c r="C336" i="1"/>
  <c r="F335" i="1"/>
  <c r="F334" i="1"/>
  <c r="F333" i="1"/>
  <c r="F332" i="1"/>
  <c r="F331" i="1"/>
  <c r="F330" i="1"/>
  <c r="F329" i="1"/>
  <c r="F328" i="1"/>
  <c r="F327" i="1"/>
  <c r="F326" i="1"/>
  <c r="F325" i="1"/>
  <c r="E324" i="1"/>
  <c r="D324" i="1"/>
  <c r="C324" i="1"/>
  <c r="F323" i="1"/>
  <c r="F322" i="1"/>
  <c r="F321" i="1"/>
  <c r="F320" i="1"/>
  <c r="F319" i="1"/>
  <c r="F318" i="1"/>
  <c r="F317" i="1"/>
  <c r="F316" i="1"/>
  <c r="F315" i="1"/>
  <c r="F314" i="1"/>
  <c r="F313" i="1"/>
  <c r="E312" i="1"/>
  <c r="D312" i="1"/>
  <c r="C312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E298" i="1"/>
  <c r="D298" i="1"/>
  <c r="C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E285" i="1"/>
  <c r="D285" i="1"/>
  <c r="C285" i="1"/>
  <c r="F284" i="1"/>
  <c r="F283" i="1"/>
  <c r="F282" i="1"/>
  <c r="F281" i="1"/>
  <c r="F280" i="1"/>
  <c r="F279" i="1"/>
  <c r="E278" i="1"/>
  <c r="D278" i="1"/>
  <c r="C278" i="1"/>
  <c r="F276" i="1"/>
  <c r="F275" i="1"/>
  <c r="F274" i="1"/>
  <c r="F273" i="1"/>
  <c r="F272" i="1"/>
  <c r="F271" i="1"/>
  <c r="F270" i="1"/>
  <c r="F269" i="1"/>
  <c r="F268" i="1"/>
  <c r="E267" i="1"/>
  <c r="D267" i="1"/>
  <c r="C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E252" i="1"/>
  <c r="D252" i="1"/>
  <c r="C252" i="1"/>
  <c r="F251" i="1"/>
  <c r="F250" i="1"/>
  <c r="F249" i="1"/>
  <c r="F248" i="1"/>
  <c r="F247" i="1"/>
  <c r="F246" i="1"/>
  <c r="F245" i="1"/>
  <c r="E244" i="1"/>
  <c r="D244" i="1"/>
  <c r="C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E228" i="1"/>
  <c r="D228" i="1"/>
  <c r="C228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E214" i="1"/>
  <c r="D214" i="1"/>
  <c r="C214" i="1"/>
  <c r="F212" i="1"/>
  <c r="F211" i="1"/>
  <c r="F210" i="1"/>
  <c r="F209" i="1"/>
  <c r="F208" i="1"/>
  <c r="F207" i="1"/>
  <c r="F206" i="1"/>
  <c r="F205" i="1"/>
  <c r="F204" i="1"/>
  <c r="F203" i="1"/>
  <c r="E202" i="1"/>
  <c r="D202" i="1"/>
  <c r="C202" i="1"/>
  <c r="F201" i="1"/>
  <c r="F200" i="1"/>
  <c r="F199" i="1"/>
  <c r="F198" i="1"/>
  <c r="F197" i="1"/>
  <c r="F196" i="1"/>
  <c r="F195" i="1"/>
  <c r="F194" i="1"/>
  <c r="F193" i="1"/>
  <c r="F192" i="1"/>
  <c r="F191" i="1"/>
  <c r="E190" i="1"/>
  <c r="D190" i="1"/>
  <c r="C190" i="1"/>
  <c r="F189" i="1"/>
  <c r="F188" i="1"/>
  <c r="F187" i="1"/>
  <c r="F186" i="1"/>
  <c r="F185" i="1"/>
  <c r="F184" i="1"/>
  <c r="F183" i="1"/>
  <c r="F182" i="1"/>
  <c r="F181" i="1"/>
  <c r="E180" i="1"/>
  <c r="D180" i="1"/>
  <c r="C180" i="1"/>
  <c r="F178" i="1"/>
  <c r="E177" i="1"/>
  <c r="E176" i="1" s="1"/>
  <c r="D177" i="1"/>
  <c r="D176" i="1" s="1"/>
  <c r="C177" i="1"/>
  <c r="F175" i="1"/>
  <c r="F174" i="1"/>
  <c r="F173" i="1"/>
  <c r="F172" i="1"/>
  <c r="F171" i="1"/>
  <c r="F170" i="1"/>
  <c r="F169" i="1"/>
  <c r="F168" i="1"/>
  <c r="F167" i="1"/>
  <c r="F166" i="1"/>
  <c r="E165" i="1"/>
  <c r="D165" i="1"/>
  <c r="C165" i="1"/>
  <c r="F164" i="1"/>
  <c r="F163" i="1"/>
  <c r="F162" i="1"/>
  <c r="E161" i="1"/>
  <c r="D161" i="1"/>
  <c r="C161" i="1"/>
  <c r="F160" i="1"/>
  <c r="F159" i="1"/>
  <c r="F158" i="1"/>
  <c r="F157" i="1"/>
  <c r="F156" i="1"/>
  <c r="F155" i="1"/>
  <c r="F154" i="1"/>
  <c r="E153" i="1"/>
  <c r="D153" i="1"/>
  <c r="C153" i="1"/>
  <c r="F152" i="1"/>
  <c r="F151" i="1"/>
  <c r="F150" i="1"/>
  <c r="E149" i="1"/>
  <c r="D149" i="1"/>
  <c r="C149" i="1"/>
  <c r="F147" i="1"/>
  <c r="F146" i="1"/>
  <c r="F145" i="1"/>
  <c r="F144" i="1"/>
  <c r="F143" i="1"/>
  <c r="F142" i="1"/>
  <c r="F141" i="1"/>
  <c r="F140" i="1"/>
  <c r="F139" i="1"/>
  <c r="E138" i="1"/>
  <c r="D138" i="1"/>
  <c r="C138" i="1"/>
  <c r="F137" i="1"/>
  <c r="F136" i="1"/>
  <c r="F135" i="1"/>
  <c r="F134" i="1"/>
  <c r="F133" i="1"/>
  <c r="E132" i="1"/>
  <c r="D132" i="1"/>
  <c r="C132" i="1"/>
  <c r="F131" i="1"/>
  <c r="F130" i="1"/>
  <c r="F129" i="1"/>
  <c r="F128" i="1"/>
  <c r="F127" i="1"/>
  <c r="E126" i="1"/>
  <c r="D126" i="1"/>
  <c r="C126" i="1"/>
  <c r="F125" i="1"/>
  <c r="F124" i="1"/>
  <c r="E123" i="1"/>
  <c r="D123" i="1"/>
  <c r="C123" i="1"/>
  <c r="F121" i="1"/>
  <c r="F120" i="1"/>
  <c r="F119" i="1"/>
  <c r="F118" i="1"/>
  <c r="F117" i="1"/>
  <c r="F116" i="1"/>
  <c r="F115" i="1"/>
  <c r="F114" i="1"/>
  <c r="F113" i="1"/>
  <c r="F112" i="1"/>
  <c r="F111" i="1"/>
  <c r="E110" i="1"/>
  <c r="D110" i="1"/>
  <c r="C110" i="1"/>
  <c r="F109" i="1"/>
  <c r="F108" i="1"/>
  <c r="F107" i="1"/>
  <c r="F106" i="1"/>
  <c r="F105" i="1"/>
  <c r="F104" i="1"/>
  <c r="F103" i="1"/>
  <c r="F102" i="1"/>
  <c r="E101" i="1"/>
  <c r="D101" i="1"/>
  <c r="C101" i="1"/>
  <c r="F100" i="1"/>
  <c r="F99" i="1"/>
  <c r="F98" i="1"/>
  <c r="F97" i="1"/>
  <c r="E96" i="1"/>
  <c r="D96" i="1"/>
  <c r="C96" i="1"/>
  <c r="F95" i="1"/>
  <c r="F94" i="1"/>
  <c r="F93" i="1"/>
  <c r="F92" i="1"/>
  <c r="F91" i="1"/>
  <c r="F90" i="1"/>
  <c r="F89" i="1"/>
  <c r="E88" i="1"/>
  <c r="D88" i="1"/>
  <c r="C88" i="1"/>
  <c r="F87" i="1"/>
  <c r="F86" i="1"/>
  <c r="F85" i="1"/>
  <c r="F84" i="1"/>
  <c r="F83" i="1"/>
  <c r="F82" i="1"/>
  <c r="F81" i="1"/>
  <c r="E80" i="1"/>
  <c r="D80" i="1"/>
  <c r="C80" i="1"/>
  <c r="F78" i="1"/>
  <c r="F77" i="1"/>
  <c r="F76" i="1"/>
  <c r="F75" i="1"/>
  <c r="F74" i="1"/>
  <c r="F73" i="1"/>
  <c r="F72" i="1"/>
  <c r="F71" i="1"/>
  <c r="F70" i="1"/>
  <c r="E69" i="1"/>
  <c r="D69" i="1"/>
  <c r="C69" i="1"/>
  <c r="F67" i="1"/>
  <c r="F66" i="1"/>
  <c r="F65" i="1"/>
  <c r="F64" i="1"/>
  <c r="E63" i="1"/>
  <c r="D63" i="1"/>
  <c r="C63" i="1"/>
  <c r="F62" i="1"/>
  <c r="F61" i="1"/>
  <c r="F60" i="1"/>
  <c r="F59" i="1"/>
  <c r="F58" i="1"/>
  <c r="F57" i="1"/>
  <c r="F56" i="1"/>
  <c r="E55" i="1"/>
  <c r="D55" i="1"/>
  <c r="C55" i="1"/>
  <c r="F53" i="1"/>
  <c r="F52" i="1"/>
  <c r="E51" i="1"/>
  <c r="D51" i="1"/>
  <c r="C51" i="1"/>
  <c r="F50" i="1"/>
  <c r="F49" i="1"/>
  <c r="F48" i="1"/>
  <c r="E47" i="1"/>
  <c r="D47" i="1"/>
  <c r="C47" i="1"/>
  <c r="F46" i="1"/>
  <c r="F45" i="1"/>
  <c r="F44" i="1"/>
  <c r="F43" i="1"/>
  <c r="F42" i="1"/>
  <c r="F41" i="1"/>
  <c r="F40" i="1"/>
  <c r="E39" i="1"/>
  <c r="D39" i="1"/>
  <c r="C39" i="1"/>
  <c r="F38" i="1"/>
  <c r="F37" i="1"/>
  <c r="F36" i="1"/>
  <c r="F35" i="1"/>
  <c r="F34" i="1"/>
  <c r="F33" i="1"/>
  <c r="F32" i="1"/>
  <c r="F31" i="1"/>
  <c r="F30" i="1"/>
  <c r="E29" i="1"/>
  <c r="D29" i="1"/>
  <c r="C29" i="1"/>
  <c r="F26" i="1"/>
  <c r="F25" i="1"/>
  <c r="F24" i="1"/>
  <c r="E23" i="1"/>
  <c r="D23" i="1"/>
  <c r="C23" i="1"/>
  <c r="F22" i="1"/>
  <c r="E21" i="1"/>
  <c r="D21" i="1"/>
  <c r="C21" i="1"/>
  <c r="C20" i="1"/>
  <c r="F19" i="1"/>
  <c r="E18" i="1"/>
  <c r="D18" i="1"/>
  <c r="F17" i="1"/>
  <c r="F16" i="1"/>
  <c r="F15" i="1"/>
  <c r="F14" i="1"/>
  <c r="F13" i="1"/>
  <c r="E12" i="1"/>
  <c r="D12" i="1"/>
  <c r="C12" i="1"/>
  <c r="F11" i="1"/>
  <c r="F10" i="1"/>
  <c r="F9" i="1"/>
  <c r="E8" i="1"/>
  <c r="D8" i="1"/>
  <c r="C8" i="1"/>
  <c r="F410" i="1" l="1"/>
  <c r="H18" i="1"/>
  <c r="J28" i="1"/>
  <c r="O27" i="1"/>
  <c r="I413" i="1"/>
  <c r="O377" i="1"/>
  <c r="H227" i="1"/>
  <c r="H213" i="1" s="1"/>
  <c r="H385" i="1" s="1"/>
  <c r="N417" i="1"/>
  <c r="P417" i="1" s="1"/>
  <c r="H54" i="1"/>
  <c r="H379" i="1" s="1"/>
  <c r="H179" i="1"/>
  <c r="H384" i="1" s="1"/>
  <c r="L54" i="1"/>
  <c r="L379" i="1" s="1"/>
  <c r="N349" i="1"/>
  <c r="P349" i="1" s="1"/>
  <c r="P418" i="1"/>
  <c r="E148" i="1"/>
  <c r="E382" i="1" s="1"/>
  <c r="D54" i="1"/>
  <c r="D379" i="1" s="1"/>
  <c r="F393" i="1"/>
  <c r="F405" i="1"/>
  <c r="N21" i="1"/>
  <c r="P21" i="1" s="1"/>
  <c r="E54" i="1"/>
  <c r="E379" i="1" s="1"/>
  <c r="D122" i="1"/>
  <c r="D381" i="1" s="1"/>
  <c r="F138" i="1"/>
  <c r="E122" i="1"/>
  <c r="E381" i="1" s="1"/>
  <c r="E227" i="1"/>
  <c r="E213" i="1" s="1"/>
  <c r="E385" i="1" s="1"/>
  <c r="E311" i="1"/>
  <c r="E386" i="1" s="1"/>
  <c r="F324" i="1"/>
  <c r="F352" i="1"/>
  <c r="J68" i="1"/>
  <c r="J380" i="1" s="1"/>
  <c r="N101" i="1"/>
  <c r="P101" i="1" s="1"/>
  <c r="N51" i="1"/>
  <c r="P51" i="1" s="1"/>
  <c r="N88" i="1"/>
  <c r="P88" i="1" s="1"/>
  <c r="F349" i="1"/>
  <c r="L68" i="1"/>
  <c r="L380" i="1" s="1"/>
  <c r="N336" i="1"/>
  <c r="P336" i="1" s="1"/>
  <c r="N138" i="1"/>
  <c r="P138" i="1" s="1"/>
  <c r="N153" i="1"/>
  <c r="P153" i="1" s="1"/>
  <c r="L227" i="1"/>
  <c r="L213" i="1" s="1"/>
  <c r="L385" i="1" s="1"/>
  <c r="N252" i="1"/>
  <c r="P252" i="1" s="1"/>
  <c r="N352" i="1"/>
  <c r="P352" i="1" s="1"/>
  <c r="N364" i="1"/>
  <c r="P364" i="1" s="1"/>
  <c r="C388" i="1"/>
  <c r="E408" i="1"/>
  <c r="N267" i="1"/>
  <c r="P267" i="1" s="1"/>
  <c r="N298" i="1"/>
  <c r="P298" i="1" s="1"/>
  <c r="F406" i="1"/>
  <c r="F21" i="1"/>
  <c r="F47" i="1"/>
  <c r="D179" i="1"/>
  <c r="D384" i="1" s="1"/>
  <c r="F392" i="1"/>
  <c r="D404" i="1"/>
  <c r="D388" i="1"/>
  <c r="F364" i="1"/>
  <c r="F396" i="1"/>
  <c r="F69" i="1"/>
  <c r="F88" i="1"/>
  <c r="F96" i="1"/>
  <c r="F338" i="1"/>
  <c r="N278" i="1"/>
  <c r="P278" i="1" s="1"/>
  <c r="J311" i="1"/>
  <c r="J386" i="1" s="1"/>
  <c r="F409" i="1"/>
  <c r="C414" i="1"/>
  <c r="N12" i="1"/>
  <c r="P12" i="1" s="1"/>
  <c r="N149" i="1"/>
  <c r="P149" i="1" s="1"/>
  <c r="F267" i="1"/>
  <c r="F336" i="1"/>
  <c r="F402" i="1"/>
  <c r="E404" i="1"/>
  <c r="F412" i="1"/>
  <c r="F417" i="1"/>
  <c r="F414" i="1" s="1"/>
  <c r="N23" i="1"/>
  <c r="P23" i="1" s="1"/>
  <c r="L28" i="1"/>
  <c r="L378" i="1" s="1"/>
  <c r="N39" i="1"/>
  <c r="P39" i="1" s="1"/>
  <c r="N96" i="1"/>
  <c r="P96" i="1" s="1"/>
  <c r="J148" i="1"/>
  <c r="J382" i="1" s="1"/>
  <c r="L311" i="1"/>
  <c r="L386" i="1" s="1"/>
  <c r="N338" i="1"/>
  <c r="P338" i="1" s="1"/>
  <c r="L122" i="1"/>
  <c r="L381" i="1" s="1"/>
  <c r="J179" i="1"/>
  <c r="J384" i="1" s="1"/>
  <c r="L179" i="1"/>
  <c r="L384" i="1" s="1"/>
  <c r="N244" i="1"/>
  <c r="P244" i="1" s="1"/>
  <c r="N165" i="1"/>
  <c r="P165" i="1" s="1"/>
  <c r="N285" i="1"/>
  <c r="P285" i="1" s="1"/>
  <c r="N312" i="1"/>
  <c r="P312" i="1" s="1"/>
  <c r="N126" i="1"/>
  <c r="P126" i="1" s="1"/>
  <c r="H122" i="1"/>
  <c r="H383" i="1"/>
  <c r="N383" i="1" s="1"/>
  <c r="P383" i="1" s="1"/>
  <c r="N176" i="1"/>
  <c r="P176" i="1" s="1"/>
  <c r="N8" i="1"/>
  <c r="P8" i="1" s="1"/>
  <c r="H7" i="1"/>
  <c r="J54" i="1"/>
  <c r="J379" i="1" s="1"/>
  <c r="N55" i="1"/>
  <c r="P55" i="1" s="1"/>
  <c r="L7" i="1"/>
  <c r="N18" i="1"/>
  <c r="P18" i="1" s="1"/>
  <c r="J378" i="1"/>
  <c r="N63" i="1"/>
  <c r="P63" i="1" s="1"/>
  <c r="N69" i="1"/>
  <c r="P69" i="1" s="1"/>
  <c r="H68" i="1"/>
  <c r="J7" i="1"/>
  <c r="N29" i="1"/>
  <c r="P29" i="1" s="1"/>
  <c r="H28" i="1"/>
  <c r="N47" i="1"/>
  <c r="P47" i="1" s="1"/>
  <c r="N161" i="1"/>
  <c r="P161" i="1" s="1"/>
  <c r="H148" i="1"/>
  <c r="N110" i="1"/>
  <c r="P110" i="1" s="1"/>
  <c r="N177" i="1"/>
  <c r="P177" i="1" s="1"/>
  <c r="N190" i="1"/>
  <c r="P190" i="1" s="1"/>
  <c r="N202" i="1"/>
  <c r="P202" i="1" s="1"/>
  <c r="N214" i="1"/>
  <c r="P214" i="1" s="1"/>
  <c r="H414" i="1"/>
  <c r="N324" i="1"/>
  <c r="P324" i="1" s="1"/>
  <c r="H311" i="1"/>
  <c r="N80" i="1"/>
  <c r="P80" i="1" s="1"/>
  <c r="J122" i="1"/>
  <c r="J381" i="1" s="1"/>
  <c r="N123" i="1"/>
  <c r="P123" i="1" s="1"/>
  <c r="N132" i="1"/>
  <c r="P132" i="1" s="1"/>
  <c r="L148" i="1"/>
  <c r="L382" i="1" s="1"/>
  <c r="J227" i="1"/>
  <c r="N228" i="1"/>
  <c r="P228" i="1" s="1"/>
  <c r="D7" i="1"/>
  <c r="E28" i="1"/>
  <c r="E378" i="1" s="1"/>
  <c r="F63" i="1"/>
  <c r="D68" i="1"/>
  <c r="D380" i="1" s="1"/>
  <c r="F161" i="1"/>
  <c r="F177" i="1"/>
  <c r="F252" i="1"/>
  <c r="F298" i="1"/>
  <c r="E388" i="1"/>
  <c r="C391" i="1"/>
  <c r="F8" i="1"/>
  <c r="E7" i="1"/>
  <c r="C68" i="1"/>
  <c r="C380" i="1" s="1"/>
  <c r="F101" i="1"/>
  <c r="F180" i="1"/>
  <c r="F394" i="1"/>
  <c r="D391" i="1"/>
  <c r="F29" i="1"/>
  <c r="F51" i="1"/>
  <c r="E68" i="1"/>
  <c r="E380" i="1" s="1"/>
  <c r="F126" i="1"/>
  <c r="F165" i="1"/>
  <c r="D311" i="1"/>
  <c r="D386" i="1" s="1"/>
  <c r="F398" i="1"/>
  <c r="C408" i="1"/>
  <c r="E401" i="1"/>
  <c r="C404" i="1"/>
  <c r="F407" i="1"/>
  <c r="F23" i="1"/>
  <c r="D28" i="1"/>
  <c r="C28" i="1"/>
  <c r="F55" i="1"/>
  <c r="C54" i="1"/>
  <c r="F153" i="1"/>
  <c r="C148" i="1"/>
  <c r="F20" i="1"/>
  <c r="C18" i="1"/>
  <c r="F18" i="1" s="1"/>
  <c r="F228" i="1"/>
  <c r="C227" i="1"/>
  <c r="F12" i="1"/>
  <c r="D148" i="1"/>
  <c r="D382" i="1" s="1"/>
  <c r="F149" i="1"/>
  <c r="C176" i="1"/>
  <c r="F39" i="1"/>
  <c r="F80" i="1"/>
  <c r="F190" i="1"/>
  <c r="F214" i="1"/>
  <c r="D227" i="1"/>
  <c r="D213" i="1" s="1"/>
  <c r="D385" i="1" s="1"/>
  <c r="F244" i="1"/>
  <c r="F110" i="1"/>
  <c r="E179" i="1"/>
  <c r="E384" i="1" s="1"/>
  <c r="F123" i="1"/>
  <c r="C122" i="1"/>
  <c r="F132" i="1"/>
  <c r="C179" i="1"/>
  <c r="F202" i="1"/>
  <c r="F278" i="1"/>
  <c r="F285" i="1"/>
  <c r="F389" i="1"/>
  <c r="F312" i="1"/>
  <c r="C311" i="1"/>
  <c r="F390" i="1"/>
  <c r="E391" i="1"/>
  <c r="D401" i="1"/>
  <c r="F395" i="1"/>
  <c r="F400" i="1"/>
  <c r="C399" i="1"/>
  <c r="F399" i="1" s="1"/>
  <c r="F403" i="1"/>
  <c r="C397" i="1"/>
  <c r="F397" i="1" s="1"/>
  <c r="C401" i="1"/>
  <c r="C411" i="1"/>
  <c r="F411" i="1" s="1"/>
  <c r="N414" i="1" l="1"/>
  <c r="P414" i="1" s="1"/>
  <c r="N379" i="1"/>
  <c r="P379" i="1" s="1"/>
  <c r="O413" i="1"/>
  <c r="F404" i="1"/>
  <c r="E387" i="1"/>
  <c r="D387" i="1"/>
  <c r="F388" i="1"/>
  <c r="N393" i="1"/>
  <c r="P393" i="1" s="1"/>
  <c r="F408" i="1"/>
  <c r="N405" i="1"/>
  <c r="P405" i="1" s="1"/>
  <c r="N54" i="1"/>
  <c r="P54" i="1" s="1"/>
  <c r="C7" i="1"/>
  <c r="F7" i="1" s="1"/>
  <c r="J411" i="1"/>
  <c r="L411" i="1"/>
  <c r="L399" i="1"/>
  <c r="J399" i="1"/>
  <c r="L407" i="1"/>
  <c r="J397" i="1"/>
  <c r="L397" i="1"/>
  <c r="L377" i="1"/>
  <c r="N384" i="1"/>
  <c r="P384" i="1" s="1"/>
  <c r="N179" i="1"/>
  <c r="P179" i="1" s="1"/>
  <c r="L408" i="1"/>
  <c r="J408" i="1"/>
  <c r="N410" i="1"/>
  <c r="P410" i="1" s="1"/>
  <c r="H381" i="1"/>
  <c r="N381" i="1" s="1"/>
  <c r="P381" i="1" s="1"/>
  <c r="N122" i="1"/>
  <c r="P122" i="1" s="1"/>
  <c r="H386" i="1"/>
  <c r="N386" i="1" s="1"/>
  <c r="P386" i="1" s="1"/>
  <c r="N311" i="1"/>
  <c r="P311" i="1" s="1"/>
  <c r="L27" i="1"/>
  <c r="L413" i="1" s="1"/>
  <c r="L419" i="1" s="1"/>
  <c r="H382" i="1"/>
  <c r="N382" i="1" s="1"/>
  <c r="P382" i="1" s="1"/>
  <c r="N148" i="1"/>
  <c r="P148" i="1" s="1"/>
  <c r="N7" i="1"/>
  <c r="P7" i="1" s="1"/>
  <c r="J213" i="1"/>
  <c r="J385" i="1" s="1"/>
  <c r="N385" i="1" s="1"/>
  <c r="P385" i="1" s="1"/>
  <c r="N227" i="1"/>
  <c r="P227" i="1" s="1"/>
  <c r="H378" i="1"/>
  <c r="N28" i="1"/>
  <c r="P28" i="1" s="1"/>
  <c r="H27" i="1"/>
  <c r="H413" i="1" s="1"/>
  <c r="H419" i="1" s="1"/>
  <c r="N419" i="1" s="1"/>
  <c r="H380" i="1"/>
  <c r="N380" i="1" s="1"/>
  <c r="P380" i="1" s="1"/>
  <c r="N68" i="1"/>
  <c r="P68" i="1" s="1"/>
  <c r="F391" i="1"/>
  <c r="F68" i="1"/>
  <c r="F380" i="1"/>
  <c r="F401" i="1"/>
  <c r="C381" i="1"/>
  <c r="F381" i="1" s="1"/>
  <c r="F122" i="1"/>
  <c r="F227" i="1"/>
  <c r="F213" i="1" s="1"/>
  <c r="C379" i="1"/>
  <c r="F379" i="1" s="1"/>
  <c r="F54" i="1"/>
  <c r="F28" i="1"/>
  <c r="C378" i="1"/>
  <c r="C384" i="1"/>
  <c r="F384" i="1" s="1"/>
  <c r="F179" i="1"/>
  <c r="C386" i="1"/>
  <c r="F386" i="1" s="1"/>
  <c r="F311" i="1"/>
  <c r="C387" i="1"/>
  <c r="F387" i="1" s="1"/>
  <c r="G400" i="1" s="1"/>
  <c r="D378" i="1"/>
  <c r="D377" i="1" s="1"/>
  <c r="D27" i="1"/>
  <c r="D413" i="1" s="1"/>
  <c r="C383" i="1"/>
  <c r="F383" i="1" s="1"/>
  <c r="F176" i="1"/>
  <c r="E377" i="1"/>
  <c r="C213" i="1"/>
  <c r="C385" i="1" s="1"/>
  <c r="F385" i="1" s="1"/>
  <c r="C382" i="1"/>
  <c r="F382" i="1" s="1"/>
  <c r="F148" i="1"/>
  <c r="E27" i="1"/>
  <c r="E413" i="1" s="1"/>
  <c r="E419" i="1" s="1"/>
  <c r="Q9" i="1" l="1"/>
  <c r="Q7" i="1"/>
  <c r="Q13" i="1"/>
  <c r="Q16" i="1"/>
  <c r="Q10" i="1"/>
  <c r="Q19" i="1"/>
  <c r="Q26" i="1"/>
  <c r="Q14" i="1"/>
  <c r="Q11" i="1"/>
  <c r="Q20" i="1"/>
  <c r="Q17" i="1"/>
  <c r="Q24" i="1"/>
  <c r="Q22" i="1"/>
  <c r="Q15" i="1"/>
  <c r="Q25" i="1"/>
  <c r="Q12" i="1"/>
  <c r="Q23" i="1"/>
  <c r="Q18" i="1"/>
  <c r="Q8" i="1"/>
  <c r="Q21" i="1"/>
  <c r="G399" i="1"/>
  <c r="G411" i="1"/>
  <c r="L391" i="1"/>
  <c r="G401" i="1"/>
  <c r="J377" i="1"/>
  <c r="G395" i="1"/>
  <c r="G390" i="1"/>
  <c r="G18" i="1"/>
  <c r="G12" i="1"/>
  <c r="P419" i="1"/>
  <c r="N406" i="1"/>
  <c r="P406" i="1" s="1"/>
  <c r="N394" i="1"/>
  <c r="P394" i="1" s="1"/>
  <c r="J391" i="1"/>
  <c r="N392" i="1"/>
  <c r="P392" i="1" s="1"/>
  <c r="H391" i="1"/>
  <c r="H408" i="1"/>
  <c r="N408" i="1" s="1"/>
  <c r="P408" i="1" s="1"/>
  <c r="N409" i="1"/>
  <c r="P409" i="1" s="1"/>
  <c r="N407" i="1"/>
  <c r="P407" i="1" s="1"/>
  <c r="L388" i="1"/>
  <c r="H401" i="1"/>
  <c r="N402" i="1"/>
  <c r="P402" i="1" s="1"/>
  <c r="J401" i="1"/>
  <c r="N396" i="1"/>
  <c r="P396" i="1" s="1"/>
  <c r="L401" i="1"/>
  <c r="H397" i="1"/>
  <c r="N398" i="1"/>
  <c r="P398" i="1" s="1"/>
  <c r="N390" i="1"/>
  <c r="P390" i="1" s="1"/>
  <c r="L404" i="1"/>
  <c r="J388" i="1"/>
  <c r="N395" i="1"/>
  <c r="P395" i="1" s="1"/>
  <c r="J27" i="1"/>
  <c r="J413" i="1" s="1"/>
  <c r="N403" i="1"/>
  <c r="P403" i="1" s="1"/>
  <c r="N397" i="1"/>
  <c r="P397" i="1" s="1"/>
  <c r="N400" i="1"/>
  <c r="P400" i="1" s="1"/>
  <c r="H399" i="1"/>
  <c r="N399" i="1" s="1"/>
  <c r="P399" i="1" s="1"/>
  <c r="J404" i="1"/>
  <c r="H411" i="1"/>
  <c r="N411" i="1" s="1"/>
  <c r="P411" i="1" s="1"/>
  <c r="N412" i="1"/>
  <c r="P412" i="1" s="1"/>
  <c r="H404" i="1"/>
  <c r="N378" i="1"/>
  <c r="P378" i="1" s="1"/>
  <c r="H377" i="1"/>
  <c r="N213" i="1"/>
  <c r="P213" i="1" s="1"/>
  <c r="G25" i="1"/>
  <c r="G7" i="1"/>
  <c r="G17" i="1"/>
  <c r="G15" i="1"/>
  <c r="G13" i="1"/>
  <c r="G16" i="1"/>
  <c r="G14" i="1"/>
  <c r="G8" i="1"/>
  <c r="G21" i="1"/>
  <c r="G19" i="1"/>
  <c r="G9" i="1"/>
  <c r="G26" i="1"/>
  <c r="G11" i="1"/>
  <c r="G24" i="1"/>
  <c r="G22" i="1"/>
  <c r="G10" i="1"/>
  <c r="G387" i="1"/>
  <c r="G396" i="1"/>
  <c r="G394" i="1"/>
  <c r="G410" i="1"/>
  <c r="G407" i="1"/>
  <c r="G392" i="1"/>
  <c r="G404" i="1"/>
  <c r="G402" i="1"/>
  <c r="G393" i="1"/>
  <c r="G409" i="1"/>
  <c r="G412" i="1"/>
  <c r="G398" i="1"/>
  <c r="G406" i="1"/>
  <c r="G408" i="1"/>
  <c r="G405" i="1"/>
  <c r="G20" i="1"/>
  <c r="C377" i="1"/>
  <c r="F377" i="1" s="1"/>
  <c r="G385" i="1" s="1"/>
  <c r="F378" i="1"/>
  <c r="G388" i="1"/>
  <c r="G23" i="1"/>
  <c r="G389" i="1"/>
  <c r="G391" i="1"/>
  <c r="G397" i="1"/>
  <c r="C27" i="1"/>
  <c r="G403" i="1"/>
  <c r="N377" i="1" l="1"/>
  <c r="P377" i="1" s="1"/>
  <c r="Q378" i="1" s="1"/>
  <c r="G378" i="1"/>
  <c r="L387" i="1"/>
  <c r="N391" i="1"/>
  <c r="P391" i="1" s="1"/>
  <c r="N404" i="1"/>
  <c r="P404" i="1" s="1"/>
  <c r="N27" i="1"/>
  <c r="G379" i="1"/>
  <c r="G386" i="1"/>
  <c r="J387" i="1"/>
  <c r="N401" i="1"/>
  <c r="P401" i="1" s="1"/>
  <c r="G381" i="1"/>
  <c r="G382" i="1"/>
  <c r="F27" i="1"/>
  <c r="G277" i="1" s="1"/>
  <c r="C413" i="1"/>
  <c r="C419" i="1" s="1"/>
  <c r="F419" i="1" s="1"/>
  <c r="G377" i="1"/>
  <c r="G380" i="1"/>
  <c r="G384" i="1"/>
  <c r="G383" i="1"/>
  <c r="N413" i="1" l="1"/>
  <c r="P413" i="1" s="1"/>
  <c r="P27" i="1"/>
  <c r="Q377" i="1"/>
  <c r="Q383" i="1"/>
  <c r="Q379" i="1"/>
  <c r="Q382" i="1"/>
  <c r="Q386" i="1"/>
  <c r="Q381" i="1"/>
  <c r="Q380" i="1"/>
  <c r="Q384" i="1"/>
  <c r="Q385" i="1"/>
  <c r="G350" i="1"/>
  <c r="G284" i="1"/>
  <c r="G282" i="1"/>
  <c r="G280" i="1"/>
  <c r="G226" i="1"/>
  <c r="G224" i="1"/>
  <c r="G222" i="1"/>
  <c r="G220" i="1"/>
  <c r="G218" i="1"/>
  <c r="G216" i="1"/>
  <c r="G27" i="1"/>
  <c r="G322" i="1"/>
  <c r="G320" i="1"/>
  <c r="G318" i="1"/>
  <c r="G316" i="1"/>
  <c r="G314" i="1"/>
  <c r="G371" i="1"/>
  <c r="G321" i="1"/>
  <c r="G313" i="1"/>
  <c r="G309" i="1"/>
  <c r="G301" i="1"/>
  <c r="G289" i="1"/>
  <c r="G279" i="1"/>
  <c r="G262" i="1"/>
  <c r="G254" i="1"/>
  <c r="G250" i="1"/>
  <c r="G219" i="1"/>
  <c r="G175" i="1"/>
  <c r="G173" i="1"/>
  <c r="G171" i="1"/>
  <c r="G169" i="1"/>
  <c r="G167" i="1"/>
  <c r="G121" i="1"/>
  <c r="G119" i="1"/>
  <c r="G117" i="1"/>
  <c r="G115" i="1"/>
  <c r="G113" i="1"/>
  <c r="G111" i="1"/>
  <c r="G102" i="1"/>
  <c r="G99" i="1"/>
  <c r="G97" i="1"/>
  <c r="G89" i="1"/>
  <c r="G86" i="1"/>
  <c r="G84" i="1"/>
  <c r="G82" i="1"/>
  <c r="G373" i="1"/>
  <c r="G365" i="1"/>
  <c r="G340" i="1"/>
  <c r="G337" i="1"/>
  <c r="G323" i="1"/>
  <c r="G315" i="1"/>
  <c r="G303" i="1"/>
  <c r="G264" i="1"/>
  <c r="G256" i="1"/>
  <c r="G243" i="1"/>
  <c r="G241" i="1"/>
  <c r="G239" i="1"/>
  <c r="G237" i="1"/>
  <c r="G235" i="1"/>
  <c r="G233" i="1"/>
  <c r="G231" i="1"/>
  <c r="G229" i="1"/>
  <c r="G212" i="1"/>
  <c r="G210" i="1"/>
  <c r="G208" i="1"/>
  <c r="G206" i="1"/>
  <c r="G204" i="1"/>
  <c r="G178" i="1"/>
  <c r="G160" i="1"/>
  <c r="G158" i="1"/>
  <c r="G156" i="1"/>
  <c r="G154" i="1"/>
  <c r="G136" i="1"/>
  <c r="G134" i="1"/>
  <c r="G125" i="1"/>
  <c r="G375" i="1"/>
  <c r="G367" i="1"/>
  <c r="G359" i="1"/>
  <c r="G329" i="1"/>
  <c r="G317" i="1"/>
  <c r="G305" i="1"/>
  <c r="G293" i="1"/>
  <c r="G266" i="1"/>
  <c r="G258" i="1"/>
  <c r="G299" i="1"/>
  <c r="G236" i="1"/>
  <c r="G217" i="1"/>
  <c r="G207" i="1"/>
  <c r="G186" i="1"/>
  <c r="G137" i="1"/>
  <c r="G118" i="1"/>
  <c r="G75" i="1"/>
  <c r="G248" i="1"/>
  <c r="G238" i="1"/>
  <c r="G230" i="1"/>
  <c r="G223" i="1"/>
  <c r="G209" i="1"/>
  <c r="G199" i="1"/>
  <c r="G188" i="1"/>
  <c r="G180" i="1"/>
  <c r="G170" i="1"/>
  <c r="G155" i="1"/>
  <c r="G143" i="1"/>
  <c r="G124" i="1"/>
  <c r="G120" i="1"/>
  <c r="G112" i="1"/>
  <c r="G108" i="1"/>
  <c r="G98" i="1"/>
  <c r="G335" i="1"/>
  <c r="G319" i="1"/>
  <c r="G260" i="1"/>
  <c r="G348" i="1"/>
  <c r="G271" i="1"/>
  <c r="G240" i="1"/>
  <c r="G232" i="1"/>
  <c r="G225" i="1"/>
  <c r="G211" i="1"/>
  <c r="G203" i="1"/>
  <c r="G182" i="1"/>
  <c r="G157" i="1"/>
  <c r="G150" i="1"/>
  <c r="G133" i="1"/>
  <c r="G114" i="1"/>
  <c r="G61" i="1"/>
  <c r="G59" i="1"/>
  <c r="G57" i="1"/>
  <c r="G369" i="1"/>
  <c r="G351" i="1"/>
  <c r="G307" i="1"/>
  <c r="G242" i="1"/>
  <c r="G234" i="1"/>
  <c r="G215" i="1"/>
  <c r="G205" i="1"/>
  <c r="G191" i="1"/>
  <c r="G184" i="1"/>
  <c r="G174" i="1"/>
  <c r="G166" i="1"/>
  <c r="G159" i="1"/>
  <c r="G95" i="1"/>
  <c r="G53" i="1"/>
  <c r="G46" i="1"/>
  <c r="G44" i="1"/>
  <c r="G42" i="1"/>
  <c r="G40" i="1"/>
  <c r="G116" i="1"/>
  <c r="G135" i="1"/>
  <c r="G85" i="1"/>
  <c r="G73" i="1"/>
  <c r="G66" i="1"/>
  <c r="G35" i="1"/>
  <c r="G81" i="1"/>
  <c r="G52" i="1"/>
  <c r="G48" i="1"/>
  <c r="G45" i="1"/>
  <c r="G43" i="1"/>
  <c r="G41" i="1"/>
  <c r="G31" i="1"/>
  <c r="G65" i="1"/>
  <c r="G60" i="1"/>
  <c r="G87" i="1"/>
  <c r="G91" i="1"/>
  <c r="G34" i="1"/>
  <c r="G33" i="1"/>
  <c r="G62" i="1"/>
  <c r="G83" i="1"/>
  <c r="G106" i="1"/>
  <c r="G172" i="1"/>
  <c r="G267" i="1"/>
  <c r="G338" i="1"/>
  <c r="G74" i="1"/>
  <c r="G185" i="1"/>
  <c r="G296" i="1"/>
  <c r="G357" i="1"/>
  <c r="G283" i="1"/>
  <c r="G336" i="1"/>
  <c r="G364" i="1"/>
  <c r="G151" i="1"/>
  <c r="G183" i="1"/>
  <c r="G90" i="1"/>
  <c r="G138" i="1"/>
  <c r="G189" i="1"/>
  <c r="G249" i="1"/>
  <c r="G272" i="1"/>
  <c r="G333" i="1"/>
  <c r="G370" i="1"/>
  <c r="G192" i="1"/>
  <c r="G270" i="1"/>
  <c r="G324" i="1"/>
  <c r="G360" i="1"/>
  <c r="G105" i="1"/>
  <c r="G193" i="1"/>
  <c r="G265" i="1"/>
  <c r="G286" i="1"/>
  <c r="G325" i="1"/>
  <c r="G361" i="1"/>
  <c r="G347" i="1"/>
  <c r="G196" i="1"/>
  <c r="G290" i="1"/>
  <c r="G334" i="1"/>
  <c r="G51" i="1"/>
  <c r="G139" i="1"/>
  <c r="G78" i="1"/>
  <c r="G195" i="1"/>
  <c r="G275" i="1"/>
  <c r="G332" i="1"/>
  <c r="G261" i="1"/>
  <c r="G363" i="1"/>
  <c r="G306" i="1"/>
  <c r="G354" i="1"/>
  <c r="G129" i="1"/>
  <c r="G69" i="1"/>
  <c r="G126" i="1"/>
  <c r="G76" i="1"/>
  <c r="G128" i="1"/>
  <c r="G101" i="1"/>
  <c r="G197" i="1"/>
  <c r="G47" i="1"/>
  <c r="G64" i="1"/>
  <c r="G88" i="1"/>
  <c r="G141" i="1"/>
  <c r="G165" i="1"/>
  <c r="G281" i="1"/>
  <c r="G352" i="1"/>
  <c r="G77" i="1"/>
  <c r="G251" i="1"/>
  <c r="G298" i="1"/>
  <c r="G297" i="1"/>
  <c r="G342" i="1"/>
  <c r="G147" i="1"/>
  <c r="G161" i="1"/>
  <c r="G253" i="1"/>
  <c r="G49" i="1"/>
  <c r="G103" i="1"/>
  <c r="G144" i="1"/>
  <c r="G194" i="1"/>
  <c r="G221" i="1"/>
  <c r="G310" i="1"/>
  <c r="G288" i="1"/>
  <c r="G343" i="1"/>
  <c r="G72" i="1"/>
  <c r="G131" i="1"/>
  <c r="G198" i="1"/>
  <c r="G273" i="1"/>
  <c r="G330" i="1"/>
  <c r="G368" i="1"/>
  <c r="G140" i="1"/>
  <c r="G274" i="1"/>
  <c r="G292" i="1"/>
  <c r="G331" i="1"/>
  <c r="G366" i="1"/>
  <c r="G358" i="1"/>
  <c r="G247" i="1"/>
  <c r="G345" i="1"/>
  <c r="G295" i="1"/>
  <c r="G374" i="1"/>
  <c r="G30" i="1"/>
  <c r="G100" i="1"/>
  <c r="G255" i="1"/>
  <c r="G67" i="1"/>
  <c r="G349" i="1"/>
  <c r="G362" i="1"/>
  <c r="G36" i="1"/>
  <c r="G127" i="1"/>
  <c r="G200" i="1"/>
  <c r="G308" i="1"/>
  <c r="G107" i="1"/>
  <c r="G259" i="1"/>
  <c r="G92" i="1"/>
  <c r="G326" i="1"/>
  <c r="G29" i="1"/>
  <c r="G252" i="1"/>
  <c r="G38" i="1"/>
  <c r="G104" i="1"/>
  <c r="G177" i="1"/>
  <c r="G130" i="1"/>
  <c r="G246" i="1"/>
  <c r="G50" i="1"/>
  <c r="G71" i="1"/>
  <c r="G96" i="1"/>
  <c r="G145" i="1"/>
  <c r="G187" i="1"/>
  <c r="G287" i="1"/>
  <c r="G32" i="1"/>
  <c r="G146" i="1"/>
  <c r="G263" i="1"/>
  <c r="G327" i="1"/>
  <c r="G302" i="1"/>
  <c r="G346" i="1"/>
  <c r="G163" i="1"/>
  <c r="G70" i="1"/>
  <c r="G109" i="1"/>
  <c r="G152" i="1"/>
  <c r="G372" i="1"/>
  <c r="G300" i="1"/>
  <c r="G353" i="1"/>
  <c r="G94" i="1"/>
  <c r="G142" i="1"/>
  <c r="G201" i="1"/>
  <c r="G294" i="1"/>
  <c r="G344" i="1"/>
  <c r="G376" i="1"/>
  <c r="G164" i="1"/>
  <c r="G245" i="1"/>
  <c r="G341" i="1"/>
  <c r="G328" i="1"/>
  <c r="G268" i="1"/>
  <c r="G356" i="1"/>
  <c r="G37" i="1"/>
  <c r="G56" i="1"/>
  <c r="G63" i="1"/>
  <c r="G93" i="1"/>
  <c r="G58" i="1"/>
  <c r="G168" i="1"/>
  <c r="G291" i="1"/>
  <c r="G162" i="1"/>
  <c r="G269" i="1"/>
  <c r="G181" i="1"/>
  <c r="G257" i="1"/>
  <c r="G304" i="1"/>
  <c r="G355" i="1"/>
  <c r="G339" i="1"/>
  <c r="G276" i="1"/>
  <c r="G244" i="1"/>
  <c r="G190" i="1"/>
  <c r="G202" i="1"/>
  <c r="G228" i="1"/>
  <c r="G132" i="1"/>
  <c r="G39" i="1"/>
  <c r="G110" i="1"/>
  <c r="G312" i="1"/>
  <c r="G149" i="1"/>
  <c r="G278" i="1"/>
  <c r="G123" i="1"/>
  <c r="G285" i="1"/>
  <c r="G153" i="1"/>
  <c r="G68" i="1"/>
  <c r="G80" i="1"/>
  <c r="G214" i="1"/>
  <c r="G55" i="1"/>
  <c r="G213" i="1"/>
  <c r="G148" i="1"/>
  <c r="G311" i="1"/>
  <c r="G179" i="1"/>
  <c r="G54" i="1"/>
  <c r="G28" i="1"/>
  <c r="G176" i="1"/>
  <c r="F413" i="1"/>
  <c r="G227" i="1"/>
  <c r="G122" i="1"/>
  <c r="Q277" i="1" l="1"/>
  <c r="Q79" i="1"/>
  <c r="Q57" i="1"/>
  <c r="Q90" i="1"/>
  <c r="Q154" i="1"/>
  <c r="Q186" i="1"/>
  <c r="Q218" i="1"/>
  <c r="Q250" i="1"/>
  <c r="Q283" i="1"/>
  <c r="Q315" i="1"/>
  <c r="Q34" i="1"/>
  <c r="Q66" i="1"/>
  <c r="Q99" i="1"/>
  <c r="Q131" i="1"/>
  <c r="Q163" i="1"/>
  <c r="Q199" i="1"/>
  <c r="Q231" i="1"/>
  <c r="Q263" i="1"/>
  <c r="Q296" i="1"/>
  <c r="Q328" i="1"/>
  <c r="Q59" i="1"/>
  <c r="Q124" i="1"/>
  <c r="Q196" i="1"/>
  <c r="Q260" i="1"/>
  <c r="Q325" i="1"/>
  <c r="Q366" i="1"/>
  <c r="Q133" i="1"/>
  <c r="Q205" i="1"/>
  <c r="Q269" i="1"/>
  <c r="Q334" i="1"/>
  <c r="Q371" i="1"/>
  <c r="Q144" i="1"/>
  <c r="Q208" i="1"/>
  <c r="Q272" i="1"/>
  <c r="Q337" i="1"/>
  <c r="Q372" i="1"/>
  <c r="Q81" i="1"/>
  <c r="Q145" i="1"/>
  <c r="Q209" i="1"/>
  <c r="Q273" i="1"/>
  <c r="Q373" i="1"/>
  <c r="Q95" i="1"/>
  <c r="Q116" i="1"/>
  <c r="Q197" i="1"/>
  <c r="Q200" i="1"/>
  <c r="Q265" i="1"/>
  <c r="Q61" i="1"/>
  <c r="Q94" i="1"/>
  <c r="Q158" i="1"/>
  <c r="Q222" i="1"/>
  <c r="Q254" i="1"/>
  <c r="Q287" i="1"/>
  <c r="Q319" i="1"/>
  <c r="Q38" i="1"/>
  <c r="Q70" i="1"/>
  <c r="Q103" i="1"/>
  <c r="Q135" i="1"/>
  <c r="Q167" i="1"/>
  <c r="Q203" i="1"/>
  <c r="Q235" i="1"/>
  <c r="Q300" i="1"/>
  <c r="Q332" i="1"/>
  <c r="Q67" i="1"/>
  <c r="Q204" i="1"/>
  <c r="Q268" i="1"/>
  <c r="Q333" i="1"/>
  <c r="Q370" i="1"/>
  <c r="Q76" i="1"/>
  <c r="Q141" i="1"/>
  <c r="Q342" i="1"/>
  <c r="Q375" i="1"/>
  <c r="Q152" i="1"/>
  <c r="Q216" i="1"/>
  <c r="Q281" i="1"/>
  <c r="Q343" i="1"/>
  <c r="Q376" i="1"/>
  <c r="Q89" i="1"/>
  <c r="Q217" i="1"/>
  <c r="Q282" i="1"/>
  <c r="Q345" i="1"/>
  <c r="Q27" i="1"/>
  <c r="Q150" i="1"/>
  <c r="Q279" i="1"/>
  <c r="Q159" i="1"/>
  <c r="Q252" i="1"/>
  <c r="Q326" i="1"/>
  <c r="Q368" i="1"/>
  <c r="Q369" i="1"/>
  <c r="Q33" i="1"/>
  <c r="Q65" i="1"/>
  <c r="Q98" i="1"/>
  <c r="Q130" i="1"/>
  <c r="Q162" i="1"/>
  <c r="Q194" i="1"/>
  <c r="Q226" i="1"/>
  <c r="Q258" i="1"/>
  <c r="Q291" i="1"/>
  <c r="Q323" i="1"/>
  <c r="Q42" i="1"/>
  <c r="Q74" i="1"/>
  <c r="Q107" i="1"/>
  <c r="Q139" i="1"/>
  <c r="Q171" i="1"/>
  <c r="Q207" i="1"/>
  <c r="Q239" i="1"/>
  <c r="Q271" i="1"/>
  <c r="Q304" i="1"/>
  <c r="Q75" i="1"/>
  <c r="Q140" i="1"/>
  <c r="Q212" i="1"/>
  <c r="Q276" i="1"/>
  <c r="Q341" i="1"/>
  <c r="Q374" i="1"/>
  <c r="Q85" i="1"/>
  <c r="Q221" i="1"/>
  <c r="Q286" i="1"/>
  <c r="Q347" i="1"/>
  <c r="Q31" i="1"/>
  <c r="Q160" i="1"/>
  <c r="Q224" i="1"/>
  <c r="Q289" i="1"/>
  <c r="Q348" i="1"/>
  <c r="Q32" i="1"/>
  <c r="Q97" i="1"/>
  <c r="Q225" i="1"/>
  <c r="Q290" i="1"/>
  <c r="Q349" i="1"/>
  <c r="Q180" i="1"/>
  <c r="Q182" i="1"/>
  <c r="Q214" i="1"/>
  <c r="Q30" i="1"/>
  <c r="Q188" i="1"/>
  <c r="Q261" i="1"/>
  <c r="Q329" i="1"/>
  <c r="Q330" i="1"/>
  <c r="Q37" i="1"/>
  <c r="Q102" i="1"/>
  <c r="Q134" i="1"/>
  <c r="Q166" i="1"/>
  <c r="Q198" i="1"/>
  <c r="Q230" i="1"/>
  <c r="Q262" i="1"/>
  <c r="Q295" i="1"/>
  <c r="Q327" i="1"/>
  <c r="Q46" i="1"/>
  <c r="Q78" i="1"/>
  <c r="Q111" i="1"/>
  <c r="Q143" i="1"/>
  <c r="Q175" i="1"/>
  <c r="Q211" i="1"/>
  <c r="Q243" i="1"/>
  <c r="Q275" i="1"/>
  <c r="Q308" i="1"/>
  <c r="Q340" i="1"/>
  <c r="Q84" i="1"/>
  <c r="Q220" i="1"/>
  <c r="Q346" i="1"/>
  <c r="Q93" i="1"/>
  <c r="Q157" i="1"/>
  <c r="Q229" i="1"/>
  <c r="Q294" i="1"/>
  <c r="Q351" i="1"/>
  <c r="Q104" i="1"/>
  <c r="Q168" i="1"/>
  <c r="Q232" i="1"/>
  <c r="Q297" i="1"/>
  <c r="Q40" i="1"/>
  <c r="Q105" i="1"/>
  <c r="Q169" i="1"/>
  <c r="Q233" i="1"/>
  <c r="Q353" i="1"/>
  <c r="Q181" i="1"/>
  <c r="Q53" i="1"/>
  <c r="Q62" i="1"/>
  <c r="Q292" i="1"/>
  <c r="Q317" i="1"/>
  <c r="Q367" i="1"/>
  <c r="Q72" i="1"/>
  <c r="Q41" i="1"/>
  <c r="Q73" i="1"/>
  <c r="Q106" i="1"/>
  <c r="Q170" i="1"/>
  <c r="Q234" i="1"/>
  <c r="Q266" i="1"/>
  <c r="Q299" i="1"/>
  <c r="Q331" i="1"/>
  <c r="Q50" i="1"/>
  <c r="Q83" i="1"/>
  <c r="Q115" i="1"/>
  <c r="Q147" i="1"/>
  <c r="Q183" i="1"/>
  <c r="Q215" i="1"/>
  <c r="Q247" i="1"/>
  <c r="Q280" i="1"/>
  <c r="Q344" i="1"/>
  <c r="Q92" i="1"/>
  <c r="Q156" i="1"/>
  <c r="Q293" i="1"/>
  <c r="Q350" i="1"/>
  <c r="Q36" i="1"/>
  <c r="Q237" i="1"/>
  <c r="Q302" i="1"/>
  <c r="Q355" i="1"/>
  <c r="Q112" i="1"/>
  <c r="Q240" i="1"/>
  <c r="Q305" i="1"/>
  <c r="Q356" i="1"/>
  <c r="Q48" i="1"/>
  <c r="Q113" i="1"/>
  <c r="Q241" i="1"/>
  <c r="Q306" i="1"/>
  <c r="Q357" i="1"/>
  <c r="Q195" i="1"/>
  <c r="Q60" i="1"/>
  <c r="Q264" i="1"/>
  <c r="Q45" i="1"/>
  <c r="Q77" i="1"/>
  <c r="Q142" i="1"/>
  <c r="Q174" i="1"/>
  <c r="Q206" i="1"/>
  <c r="Q238" i="1"/>
  <c r="Q270" i="1"/>
  <c r="Q303" i="1"/>
  <c r="Q335" i="1"/>
  <c r="Q87" i="1"/>
  <c r="Q119" i="1"/>
  <c r="Q151" i="1"/>
  <c r="Q187" i="1"/>
  <c r="Q219" i="1"/>
  <c r="Q251" i="1"/>
  <c r="Q284" i="1"/>
  <c r="Q316" i="1"/>
  <c r="Q35" i="1"/>
  <c r="Q100" i="1"/>
  <c r="Q164" i="1"/>
  <c r="Q236" i="1"/>
  <c r="Q301" i="1"/>
  <c r="Q354" i="1"/>
  <c r="Q44" i="1"/>
  <c r="Q109" i="1"/>
  <c r="Q173" i="1"/>
  <c r="Q245" i="1"/>
  <c r="Q310" i="1"/>
  <c r="Q359" i="1"/>
  <c r="Q120" i="1"/>
  <c r="Q184" i="1"/>
  <c r="Q248" i="1"/>
  <c r="Q313" i="1"/>
  <c r="Q360" i="1"/>
  <c r="Q56" i="1"/>
  <c r="Q121" i="1"/>
  <c r="Q185" i="1"/>
  <c r="Q249" i="1"/>
  <c r="Q314" i="1"/>
  <c r="Q361" i="1"/>
  <c r="Q118" i="1"/>
  <c r="Q246" i="1"/>
  <c r="Q127" i="1"/>
  <c r="Q51" i="1"/>
  <c r="Q125" i="1"/>
  <c r="Q136" i="1"/>
  <c r="Q201" i="1"/>
  <c r="Q49" i="1"/>
  <c r="Q82" i="1"/>
  <c r="Q114" i="1"/>
  <c r="Q146" i="1"/>
  <c r="Q178" i="1"/>
  <c r="Q210" i="1"/>
  <c r="Q242" i="1"/>
  <c r="Q274" i="1"/>
  <c r="Q307" i="1"/>
  <c r="Q339" i="1"/>
  <c r="Q58" i="1"/>
  <c r="Q91" i="1"/>
  <c r="Q155" i="1"/>
  <c r="Q191" i="1"/>
  <c r="Q223" i="1"/>
  <c r="Q255" i="1"/>
  <c r="Q288" i="1"/>
  <c r="Q320" i="1"/>
  <c r="Q43" i="1"/>
  <c r="Q108" i="1"/>
  <c r="Q172" i="1"/>
  <c r="Q309" i="1"/>
  <c r="Q358" i="1"/>
  <c r="Q52" i="1"/>
  <c r="Q117" i="1"/>
  <c r="Q189" i="1"/>
  <c r="Q253" i="1"/>
  <c r="Q318" i="1"/>
  <c r="Q363" i="1"/>
  <c r="Q128" i="1"/>
  <c r="Q192" i="1"/>
  <c r="Q256" i="1"/>
  <c r="Q321" i="1"/>
  <c r="Q64" i="1"/>
  <c r="Q129" i="1"/>
  <c r="Q193" i="1"/>
  <c r="Q257" i="1"/>
  <c r="Q322" i="1"/>
  <c r="Q365" i="1"/>
  <c r="Q86" i="1"/>
  <c r="Q259" i="1"/>
  <c r="Q362" i="1"/>
  <c r="Q71" i="1"/>
  <c r="Q137" i="1"/>
  <c r="Q80" i="1"/>
  <c r="Q149" i="1"/>
  <c r="Q63" i="1"/>
  <c r="Q138" i="1"/>
  <c r="Q338" i="1"/>
  <c r="Q336" i="1"/>
  <c r="Q352" i="1"/>
  <c r="Q324" i="1"/>
  <c r="Q285" i="1"/>
  <c r="Q298" i="1"/>
  <c r="Q177" i="1"/>
  <c r="Q88" i="1"/>
  <c r="Q176" i="1"/>
  <c r="Q228" i="1"/>
  <c r="Q153" i="1"/>
  <c r="Q47" i="1"/>
  <c r="Q96" i="1"/>
  <c r="Q267" i="1"/>
  <c r="Q202" i="1"/>
  <c r="Q161" i="1"/>
  <c r="Q190" i="1"/>
  <c r="Q312" i="1"/>
  <c r="Q110" i="1"/>
  <c r="Q29" i="1"/>
  <c r="Q39" i="1"/>
  <c r="Q69" i="1"/>
  <c r="Q165" i="1"/>
  <c r="Q55" i="1"/>
  <c r="Q132" i="1"/>
  <c r="Q278" i="1"/>
  <c r="Q244" i="1"/>
  <c r="Q364" i="1"/>
  <c r="Q126" i="1"/>
  <c r="Q123" i="1"/>
  <c r="Q101" i="1"/>
  <c r="Q148" i="1"/>
  <c r="Q68" i="1"/>
  <c r="Q179" i="1"/>
  <c r="Q227" i="1"/>
  <c r="Q122" i="1"/>
  <c r="Q28" i="1"/>
  <c r="Q54" i="1"/>
  <c r="Q311" i="1"/>
  <c r="Q213" i="1"/>
  <c r="N389" i="1"/>
  <c r="P389" i="1" s="1"/>
  <c r="H388" i="1"/>
  <c r="H387" i="1" s="1"/>
  <c r="N387" i="1" l="1"/>
  <c r="P387" i="1" s="1"/>
  <c r="Q393" i="1" s="1"/>
  <c r="N388" i="1"/>
  <c r="P388" i="1" s="1"/>
  <c r="Q407" i="1" l="1"/>
  <c r="Q406" i="1"/>
  <c r="Q402" i="1"/>
  <c r="Q394" i="1"/>
  <c r="Q396" i="1"/>
  <c r="Q397" i="1"/>
  <c r="Q388" i="1"/>
  <c r="Q412" i="1"/>
  <c r="Q410" i="1"/>
  <c r="Q389" i="1"/>
  <c r="Q400" i="1"/>
  <c r="Q401" i="1"/>
  <c r="Q390" i="1"/>
  <c r="Q392" i="1"/>
  <c r="Q405" i="1"/>
  <c r="Q391" i="1"/>
  <c r="Q408" i="1"/>
  <c r="Q403" i="1"/>
  <c r="Q411" i="1"/>
  <c r="Q387" i="1"/>
  <c r="Q404" i="1"/>
  <c r="Q398" i="1"/>
  <c r="Q409" i="1"/>
  <c r="Q395" i="1"/>
  <c r="Q399" i="1"/>
</calcChain>
</file>

<file path=xl/sharedStrings.xml><?xml version="1.0" encoding="utf-8"?>
<sst xmlns="http://schemas.openxmlformats.org/spreadsheetml/2006/main" count="841" uniqueCount="227">
  <si>
    <t>1.pielikums</t>
  </si>
  <si>
    <t xml:space="preserve">Jelgavas novada pašvaldības </t>
  </si>
  <si>
    <t>Klasifikācijas nosaukums</t>
  </si>
  <si>
    <t>Pašvaldības budžets (11;14)</t>
  </si>
  <si>
    <t>Valsts budžets (12)</t>
  </si>
  <si>
    <t>Projektu budžets (13)</t>
  </si>
  <si>
    <t>KOPĀ</t>
  </si>
  <si>
    <t>Īpatsvars, %</t>
  </si>
  <si>
    <t>I.</t>
  </si>
  <si>
    <t>Ieņēmumi</t>
  </si>
  <si>
    <t>1.0.</t>
  </si>
  <si>
    <t>Nodokļu ieņēmumi</t>
  </si>
  <si>
    <t>1.0.0.0.</t>
  </si>
  <si>
    <t>Ienākuma nodokļi</t>
  </si>
  <si>
    <t>4.0.0.0.</t>
  </si>
  <si>
    <t>Īpašuma nodokļi</t>
  </si>
  <si>
    <t>5.0.0.0.</t>
  </si>
  <si>
    <t>Dabas resursu nodoklis</t>
  </si>
  <si>
    <t>2.0.</t>
  </si>
  <si>
    <t>Nenodokļu ieņēmumi</t>
  </si>
  <si>
    <t>8.0.0.0.</t>
  </si>
  <si>
    <t>Ieņēmumi no uzņēmējdarbības un īpašuma</t>
  </si>
  <si>
    <t>9.0.0.0.</t>
  </si>
  <si>
    <t>Valsts (pašvaldību) nodevas un kancelejas nodevas</t>
  </si>
  <si>
    <t>10.0.0.0.</t>
  </si>
  <si>
    <t>Naudas sodi un sankcijas</t>
  </si>
  <si>
    <t>12.0.0.0.</t>
  </si>
  <si>
    <t>Pārējie nenodokļu ieņēmumi</t>
  </si>
  <si>
    <t>13.0.0.0.</t>
  </si>
  <si>
    <t>Ieņēmumi no valsts (pašvaldību) īpašuma iznomāšanas, pārdošanas un no nodokļu pamatparāda kapitalizācijas</t>
  </si>
  <si>
    <t>3.0.</t>
  </si>
  <si>
    <t>Maksas pakalpojumi un citi pašu ieņēmumi</t>
  </si>
  <si>
    <t>21.3.0.0.</t>
  </si>
  <si>
    <t>Ieņēmumi no budžeta iestāžu sniegtajiem maksas pakalpojumiem un citi pašu ieņēmumi</t>
  </si>
  <si>
    <t>21.4.0.0.</t>
  </si>
  <si>
    <t>Pārējie 21.3.0.0.grupā neklasificētie budžeta iestāžu ieņēmumi par budžeta iestāžu sniegtajiem maksas pakalpojumiem un citi pašu ieņēmumi</t>
  </si>
  <si>
    <t>4.0.</t>
  </si>
  <si>
    <t>Ārvalstu finanšu palīdzība</t>
  </si>
  <si>
    <t>21.1.0.0.</t>
  </si>
  <si>
    <t>Budžeta iestādes ieņēmumi no ārvalstu finanšu palīdzības</t>
  </si>
  <si>
    <t>5.0.</t>
  </si>
  <si>
    <t>Transferti</t>
  </si>
  <si>
    <t>17.0.0.0.</t>
  </si>
  <si>
    <t>No valsts budžeta daļēji finansēto atvasināto publisko personu un budžeta nefinansēto iestāžu transferti</t>
  </si>
  <si>
    <t>18.0.0.0.</t>
  </si>
  <si>
    <t>Valsts budžeta transferti</t>
  </si>
  <si>
    <t>19.0.0.0.</t>
  </si>
  <si>
    <t>Pašvaldību budžetu transferti</t>
  </si>
  <si>
    <t>II.</t>
  </si>
  <si>
    <t>IZDEVUMI KOPĀ</t>
  </si>
  <si>
    <t>01.000</t>
  </si>
  <si>
    <t>Vispārējie valdības dienesti</t>
  </si>
  <si>
    <t>01.100</t>
  </si>
  <si>
    <t>Izpildvara, likumdošanas vara, finanšu un fiskālā darbība, ārlietas (Dome, Administrācija, Administratīvā komisija, Pastāvīgās komisijas, Finanšu nodaļa, Iekšējais audits)</t>
  </si>
  <si>
    <t xml:space="preserve">1100  </t>
  </si>
  <si>
    <t>Darba samaksa</t>
  </si>
  <si>
    <t xml:space="preserve">1200  </t>
  </si>
  <si>
    <t>Darba devēja valsts sociālās apdrošināšanas obligātās iemaksas, sociāla rakstura pabalsti un kompensācijas</t>
  </si>
  <si>
    <t>2100</t>
  </si>
  <si>
    <t>Komandējumu un dienestu braucieni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</si>
  <si>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</si>
  <si>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</si>
  <si>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</si>
  <si>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</si>
  <si>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</si>
  <si>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</si>
  <si>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5200</t>
  </si>
  <si>
    <t>Pamatlīdzekļi, ieguldījumu īpašumi un bioloģiskie aktīvi</t>
  </si>
  <si>
    <t>6200</t>
  </si>
  <si>
    <t>Sociālie pabalsti naudā</t>
  </si>
  <si>
    <t>7200</t>
  </si>
  <si>
    <t>Pašvaldību uzturēšanas izdevumu transferti</t>
  </si>
  <si>
    <t>01.300</t>
  </si>
  <si>
    <t>Vispārējas nozīmes dienesti (Personāla daļa, Budžeta plānošanas nodaļa, Kanceleja, Juridiskā nodaļa, Iepirkumu nodaļa)</t>
  </si>
  <si>
    <t>01.600</t>
  </si>
  <si>
    <t>Vēlēšanu komisija</t>
  </si>
  <si>
    <t>01.700</t>
  </si>
  <si>
    <t>Vispārējās valdības sektora (valsts un pašvaldības) parāda darījumi (aizņēmumi)</t>
  </si>
  <si>
    <t>4300</t>
  </si>
  <si>
    <t>Pārējie procentu maksājumi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</si>
  <si>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</si>
  <si>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</si>
  <si>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</si>
  <si>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</si>
  <si>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</si>
  <si>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</si>
  <si>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04.000</t>
  </si>
  <si>
    <t>Ekonomiskā darbība</t>
  </si>
  <si>
    <t>04.100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</si>
  <si>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</si>
  <si>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3200</t>
  </si>
  <si>
    <t>Subsīdijas un dotācijas komersantiem, biedrībām un nodibinājumiem un fiziskām personām</t>
  </si>
  <si>
    <t xml:space="preserve">6400 </t>
  </si>
  <si>
    <t>Pārējie klasifikācijā neminētie maksājumi iedzīvotājiem natūrā un kompensācijas</t>
  </si>
  <si>
    <t>04.200</t>
  </si>
  <si>
    <t>Lauksaimniecība, mežsaimniecība, zivsaimniecība un medniecība (Meliorācijas sistēmu uzturēšana, E-loms)</t>
  </si>
  <si>
    <t>04.400</t>
  </si>
  <si>
    <t>Kalnrūpniecība, rūpniecība un būvniecība (Būvvalde)</t>
  </si>
  <si>
    <t>04.500</t>
  </si>
  <si>
    <t>Transports (Autoceļu fonds )</t>
  </si>
  <si>
    <t xml:space="preserve">9200 </t>
  </si>
  <si>
    <t>Pašvaldību kapitālo izdevumu transferti</t>
  </si>
  <si>
    <t>04.600</t>
  </si>
  <si>
    <t>Sakari (Informācijas tehnoloģiju nodaļa)</t>
  </si>
  <si>
    <t>5100</t>
  </si>
  <si>
    <t>Nemateriālie ieguldījumi</t>
  </si>
  <si>
    <t>04.700</t>
  </si>
  <si>
    <t>Citas nozares (Tūrisms, Projektu nodaļa, Projektu līdzfinansējumi (vairāki mērķi), Rezerves fonds)</t>
  </si>
  <si>
    <t>7700</t>
  </si>
  <si>
    <t>Starptautiskā sadarbība</t>
  </si>
  <si>
    <t>05.000</t>
  </si>
  <si>
    <t>Vides aizsardzība</t>
  </si>
  <si>
    <t>05.100</t>
  </si>
  <si>
    <t>Atkritumu apsaimniekošana (t.sk. DRN, fin.14)</t>
  </si>
  <si>
    <t>05.300</t>
  </si>
  <si>
    <t>Vides piesārņojuma novēršana un samazināšana</t>
  </si>
  <si>
    <t>05.400</t>
  </si>
  <si>
    <t>Bioloģiskās daudzveidības un ainavas aizsardzība</t>
  </si>
  <si>
    <t>05.600</t>
  </si>
  <si>
    <t>06.000</t>
  </si>
  <si>
    <t>Pašvaldības teritoriju un mājokļa apsaimniekošana</t>
  </si>
  <si>
    <t>06.100</t>
  </si>
  <si>
    <t>Mājokļu attīstība (Dzīvojamā fonda apsaimniekošana)</t>
  </si>
  <si>
    <t>06.200</t>
  </si>
  <si>
    <t>Teritoriju attīstība (Stratēģiskās plānošanas nodaļa-teritorijas plānošana)</t>
  </si>
  <si>
    <t>06.400</t>
  </si>
  <si>
    <t>Ielu apgaismošana</t>
  </si>
  <si>
    <t>06.600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</si>
  <si>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</si>
  <si>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07.000</t>
  </si>
  <si>
    <t>Veselība</t>
  </si>
  <si>
    <t>07.200</t>
  </si>
  <si>
    <t>Ambulatorās ārstniecības iestādes</t>
  </si>
  <si>
    <t>08.000</t>
  </si>
  <si>
    <t>Atpūta, kultūra un sports</t>
  </si>
  <si>
    <t>08.100</t>
  </si>
  <si>
    <t>Atpūtas un sporta pasākumi (Sporta centrs)</t>
  </si>
  <si>
    <t>08.200</t>
  </si>
  <si>
    <t>Kultūra (Kultūras pārvalde, Bibliotēkas, Muzeji, Kultūras/Saieta/tautas nami, amatierteātri, kori, deju kolektīvi, vokālie ansambļi, interešu pulciņi)</t>
  </si>
  <si>
    <t>2400</t>
  </si>
  <si>
    <t>Izdevumi periodikas iegādei bibliotēku krājumiem</t>
  </si>
  <si>
    <t>08.600</t>
  </si>
  <si>
    <t>Pārējie citur neklasificētie sporta, atpūtas, kultūras un reliģijas pakalpojumi (Projekti kultūras un sporta attīstībai, dažādi svētki)</t>
  </si>
  <si>
    <t>09.000</t>
  </si>
  <si>
    <t>Izglītība</t>
  </si>
  <si>
    <t>09.100</t>
  </si>
  <si>
    <t xml:space="preserve">Pirmsskolas izglītība </t>
  </si>
  <si>
    <t>09.210</t>
  </si>
  <si>
    <t>Vispārējā izglītība. Pamatizglītība</t>
  </si>
  <si>
    <t>09.2101</t>
  </si>
  <si>
    <t>Vispārējā izglītība. Pamatizglītība - Skolas</t>
  </si>
  <si>
    <t>6300</t>
  </si>
  <si>
    <t>Sociālie pabalsti natūrā</t>
  </si>
  <si>
    <t>09.2102</t>
  </si>
  <si>
    <t>Izglītības sporta bāzes</t>
  </si>
  <si>
    <t>09.220</t>
  </si>
  <si>
    <t xml:space="preserve">Profesionālā izglītība </t>
  </si>
  <si>
    <t>09.510</t>
  </si>
  <si>
    <t>Interešu un profesionālās ievirzes izglītība</t>
  </si>
  <si>
    <t>09.530</t>
  </si>
  <si>
    <t xml:space="preserve">Līmeņos nedefinēta izglītība pieaugušajiem (Mūžizglītība) </t>
  </si>
  <si>
    <t>09.600</t>
  </si>
  <si>
    <t>Izglītības papildu pakalpojumi (Projekti izglītības attīstībai, Skolēnu pārvadājumi un braukšanas maksas kompensācijas)</t>
  </si>
  <si>
    <t>09.800</t>
  </si>
  <si>
    <t>Pārējā citur neklasificētā izglītība (Izglītības pārvalde)</t>
  </si>
  <si>
    <t>10.000</t>
  </si>
  <si>
    <t>Sociālā aizsardzība</t>
  </si>
  <si>
    <t>10.100</t>
  </si>
  <si>
    <t xml:space="preserve">Sociālā aizsardzība darbnespējas gadījumā (Sociālā aizsardzība invaliditātes gadījumā, Sociālo pakalpojumu centri) </t>
  </si>
  <si>
    <t>10.200</t>
  </si>
  <si>
    <t>10.300</t>
  </si>
  <si>
    <t>Atbalsts apgādnieka zaudējuma gadījumā (Apbedīšanas pabalsti)</t>
  </si>
  <si>
    <t>10.400</t>
  </si>
  <si>
    <t>10.500</t>
  </si>
  <si>
    <t>10.700</t>
  </si>
  <si>
    <t>Pārējais citur neklasificēts atbalsts sociāli atstumtām personām (SARC Eleja Bērnu māja,dzīvoklis Kalnciemā, Krīzes centrs; Norēķini ar pašvaldībām par soc/iestāžu pakalpojumiem, Pārējais atbalsts sociāli atstumtām personām, Higiēnas centrs)</t>
  </si>
  <si>
    <t>10.900</t>
  </si>
  <si>
    <t>II.1</t>
  </si>
  <si>
    <t>Izdevumi atbilstoši funkcionālajām kategorijām</t>
  </si>
  <si>
    <t>II.2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</si>
  <si>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</si>
  <si>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</si>
  <si>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</si>
  <si>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</si>
  <si>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</si>
  <si>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</si>
  <si>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</si>
  <si>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</si>
  <si>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</si>
  <si>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</si>
  <si>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</si>
  <si>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</si>
  <si>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 (t.skaitā maksājumi iedzīvotājiem un kompensācijas)</t>
  </si>
  <si>
    <t>7000</t>
  </si>
  <si>
    <t>Uzturēšanas izdevumu transferti, pašu resursu maksājumi, starptautiskā sadarbība</t>
  </si>
  <si>
    <t>9000</t>
  </si>
  <si>
    <t>Kapitālo izdevumu transferti</t>
  </si>
  <si>
    <t>III.</t>
  </si>
  <si>
    <t>Ieņēmumu pārsniegums (+)
vai deficīts(-)</t>
  </si>
  <si>
    <t>IV.</t>
  </si>
  <si>
    <t>Finansēšana</t>
  </si>
  <si>
    <t>F40020000</t>
  </si>
  <si>
    <t>Aizņēmumi (Saņemtie)</t>
  </si>
  <si>
    <t>Aizņēmumi (Saņemto aizņēmumu atmaksa)</t>
  </si>
  <si>
    <t>F20010000 AS</t>
  </si>
  <si>
    <t>Naudas līdzekļu un noguldījumu atlikums gada sākumā</t>
  </si>
  <si>
    <t>F20010000 AB</t>
  </si>
  <si>
    <t>Naudas līdzekļu un noguldījumu atlikums perioda beigās</t>
  </si>
  <si>
    <t>F22010010/
F22010020</t>
  </si>
  <si>
    <t>Jelgavas novada pašvaldības 2024.gada 22.janvāra</t>
  </si>
  <si>
    <t>saistošajiem noteikumiem Nr.1</t>
  </si>
  <si>
    <t>Plāns kopā
2024.gadam</t>
  </si>
  <si>
    <t>Precizēts plāns uz 04.2024
KOPĀ</t>
  </si>
  <si>
    <t>Grozījumi pašvaldības (11;14) budžetam (+/-)
06.2024</t>
  </si>
  <si>
    <t>Grozījumi valsts (12) budžetam (+/-)
06.2024</t>
  </si>
  <si>
    <t>Grozījumi projektu budžetam (+/-)
06.2024</t>
  </si>
  <si>
    <t>Grozījumi kopā (+/-)
06.2024</t>
  </si>
  <si>
    <t>1. pielikums</t>
  </si>
  <si>
    <t>Jelgavas novada pašvaldības 2024. gada 17. jūnija</t>
  </si>
  <si>
    <t>saistošajiem noteikumiem Nr. 11</t>
  </si>
  <si>
    <t>Pamatbudžeta ieņēmumu un izdevumu kopsavilkums 2024. gadam, EUR</t>
  </si>
  <si>
    <t>Pieprasījuma noguldījumu veikšana/izņemšana starp finansējumiem (t.sk. Projektu līdzfinansējums)</t>
  </si>
  <si>
    <t>Pārējā citur neklasificētā sociālā aizsardzība (Labklājības pārvalde, Sociālais dienests, Atbalsts ārkārtas gadījumos (stihiskās nelaimēs cietušajiem, Atbalsts Ukrainas krīzē cietušajiem, Atbalsts energoresursu sadārdzinājumam,  Projekti sociālās jomas attīstībai)</t>
  </si>
  <si>
    <t>Atbalsts bezdarba gadījumā (Atbalsts bezdarba gadījumā - pabalsti)</t>
  </si>
  <si>
    <t>Atbalsts ģimenēm ar bērniem (Bāriņtiesa, Atbalsts ģimenēm ar bērniem - pabalsti, Dienas un aktivitāšu centri, Dažādi pasākumi ģimenēm ar bērniem, Bērna piedzimšanas pabalsts, Pabalsts daudzbērnu ģimeņu bērniem)</t>
  </si>
  <si>
    <t>Atbalsts gados veciem cilvēkiem (Atbalsts gados veciem cilvēkiem - pabalsti, Sociālās mājas, Palīdzība mājās, Dažādi pasākumi)</t>
  </si>
  <si>
    <t>Pārējā citur neklasificētā vides aizsardzība (Īpašuma pārvalde - vides aizsardzība, t.sk. DRN, fin.14)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</si>
</sst>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#,##0.00_ ;[Red]\-#,##0.00\ "/>
    <numFmt numFmtId="166" formatCode="#,##0.000_ ;[Red]\-#,##0.000\ 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scheme val="minor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  <font>
      <i/>
      <sz val="10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0" fontId="1" fillId="0" borderId="0"/>
  </cellStyleXfs>
  <cellXfs count="65">
    <xf numFmtId="0" fontId="0" fillId="0" borderId="0" xfId="0"/>
    <xf numFmtId="49" fontId="2" fillId="0" borderId="0" xfId="1" applyNumberFormat="1" applyFont="1"/>
    <xf numFmtId="0" fontId="2" fillId="0" borderId="0" xfId="1" applyFont="1"/>
    <xf numFmtId="0" fontId="2" fillId="0" borderId="0" xfId="2" applyFont="1" applyAlignment="1">
      <alignment horizontal="right"/>
    </xf>
    <xf numFmtId="0" fontId="2" fillId="0" borderId="0" xfId="3" applyFont="1" applyAlignment="1">
      <alignment horizontal="right"/>
    </xf>
    <xf numFmtId="0" fontId="4" fillId="0" borderId="0" xfId="1" applyFont="1"/>
    <xf numFmtId="0" fontId="5" fillId="0" borderId="0" xfId="1" applyFont="1"/>
    <xf numFmtId="0" fontId="6" fillId="0" borderId="3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9" fontId="7" fillId="4" borderId="1" xfId="1" applyNumberFormat="1" applyFont="1" applyFill="1" applyBorder="1" applyAlignment="1">
      <alignment horizontal="left"/>
    </xf>
    <xf numFmtId="0" fontId="7" fillId="4" borderId="1" xfId="1" applyFont="1" applyFill="1" applyBorder="1"/>
    <xf numFmtId="164" fontId="7" fillId="4" borderId="3" xfId="1" applyNumberFormat="1" applyFont="1" applyFill="1" applyBorder="1"/>
    <xf numFmtId="49" fontId="7" fillId="5" borderId="3" xfId="4" applyNumberFormat="1" applyFont="1" applyFill="1" applyBorder="1" applyAlignment="1">
      <alignment horizontal="center" wrapText="1"/>
    </xf>
    <xf numFmtId="0" fontId="7" fillId="6" borderId="3" xfId="4" applyFont="1" applyFill="1" applyBorder="1" applyAlignment="1">
      <alignment wrapText="1"/>
    </xf>
    <xf numFmtId="164" fontId="6" fillId="6" borderId="3" xfId="1" applyNumberFormat="1" applyFont="1" applyFill="1" applyBorder="1"/>
    <xf numFmtId="165" fontId="6" fillId="6" borderId="3" xfId="1" applyNumberFormat="1" applyFont="1" applyFill="1" applyBorder="1"/>
    <xf numFmtId="49" fontId="2" fillId="0" borderId="3" xfId="3" applyNumberFormat="1" applyFont="1" applyBorder="1" applyAlignment="1">
      <alignment horizontal="left" wrapText="1"/>
    </xf>
    <xf numFmtId="0" fontId="2" fillId="0" borderId="3" xfId="3" applyFont="1" applyBorder="1" applyAlignment="1">
      <alignment horizontal="left" wrapText="1"/>
    </xf>
    <xf numFmtId="164" fontId="2" fillId="0" borderId="3" xfId="1" applyNumberFormat="1" applyFont="1" applyBorder="1"/>
    <xf numFmtId="164" fontId="6" fillId="3" borderId="3" xfId="1" applyNumberFormat="1" applyFont="1" applyFill="1" applyBorder="1"/>
    <xf numFmtId="165" fontId="6" fillId="3" borderId="3" xfId="1" applyNumberFormat="1" applyFont="1" applyFill="1" applyBorder="1"/>
    <xf numFmtId="0" fontId="7" fillId="5" borderId="3" xfId="4" applyFont="1" applyFill="1" applyBorder="1" applyAlignment="1">
      <alignment wrapText="1"/>
    </xf>
    <xf numFmtId="49" fontId="7" fillId="2" borderId="3" xfId="3" applyNumberFormat="1" applyFont="1" applyFill="1" applyBorder="1" applyAlignment="1">
      <alignment horizontal="left" wrapText="1"/>
    </xf>
    <xf numFmtId="0" fontId="7" fillId="2" borderId="3" xfId="3" applyFont="1" applyFill="1" applyBorder="1" applyAlignment="1">
      <alignment horizontal="left" wrapText="1"/>
    </xf>
    <xf numFmtId="164" fontId="7" fillId="2" borderId="3" xfId="1" applyNumberFormat="1" applyFont="1" applyFill="1" applyBorder="1"/>
    <xf numFmtId="165" fontId="7" fillId="2" borderId="3" xfId="1" applyNumberFormat="1" applyFont="1" applyFill="1" applyBorder="1"/>
    <xf numFmtId="49" fontId="6" fillId="7" borderId="3" xfId="1" applyNumberFormat="1" applyFont="1" applyFill="1" applyBorder="1" applyAlignment="1">
      <alignment horizontal="left"/>
    </xf>
    <xf numFmtId="0" fontId="7" fillId="7" borderId="4" xfId="1" applyFont="1" applyFill="1" applyBorder="1" applyAlignment="1">
      <alignment wrapText="1"/>
    </xf>
    <xf numFmtId="164" fontId="7" fillId="7" borderId="3" xfId="1" applyNumberFormat="1" applyFont="1" applyFill="1" applyBorder="1"/>
    <xf numFmtId="165" fontId="7" fillId="7" borderId="3" xfId="1" applyNumberFormat="1" applyFont="1" applyFill="1" applyBorder="1"/>
    <xf numFmtId="166" fontId="6" fillId="3" borderId="3" xfId="1" applyNumberFormat="1" applyFont="1" applyFill="1" applyBorder="1"/>
    <xf numFmtId="0" fontId="7" fillId="7" borderId="3" xfId="1" applyFont="1" applyFill="1" applyBorder="1" applyAlignment="1">
      <alignment wrapText="1"/>
    </xf>
    <xf numFmtId="0" fontId="7" fillId="7" borderId="3" xfId="1" applyFont="1" applyFill="1" applyBorder="1"/>
    <xf numFmtId="49" fontId="6" fillId="7" borderId="3" xfId="1" applyNumberFormat="1" applyFont="1" applyFill="1" applyBorder="1" applyAlignment="1">
      <alignment horizontal="left" wrapText="1"/>
    </xf>
    <xf numFmtId="0" fontId="7" fillId="7" borderId="5" xfId="1" applyFont="1" applyFill="1" applyBorder="1" applyAlignment="1">
      <alignment wrapText="1"/>
    </xf>
    <xf numFmtId="0" fontId="7" fillId="7" borderId="5" xfId="1" applyFont="1" applyFill="1" applyBorder="1" applyAlignment="1">
      <alignment horizontal="left" vertical="top" wrapText="1"/>
    </xf>
    <xf numFmtId="49" fontId="8" fillId="7" borderId="3" xfId="1" applyNumberFormat="1" applyFont="1" applyFill="1" applyBorder="1" applyAlignment="1">
      <alignment horizontal="left" wrapText="1"/>
    </xf>
    <xf numFmtId="0" fontId="9" fillId="7" borderId="5" xfId="1" applyFont="1" applyFill="1" applyBorder="1" applyAlignment="1">
      <alignment wrapText="1"/>
    </xf>
    <xf numFmtId="164" fontId="9" fillId="7" borderId="3" xfId="1" applyNumberFormat="1" applyFont="1" applyFill="1" applyBorder="1"/>
    <xf numFmtId="49" fontId="6" fillId="7" borderId="3" xfId="3" applyNumberFormat="1" applyFont="1" applyFill="1" applyBorder="1" applyAlignment="1">
      <alignment horizontal="left" wrapText="1"/>
    </xf>
    <xf numFmtId="0" fontId="2" fillId="0" borderId="3" xfId="3" applyFont="1" applyBorder="1" applyAlignment="1">
      <alignment vertical="top" wrapText="1"/>
    </xf>
    <xf numFmtId="0" fontId="7" fillId="4" borderId="3" xfId="1" applyFont="1" applyFill="1" applyBorder="1" applyAlignment="1">
      <alignment vertical="top"/>
    </xf>
    <xf numFmtId="49" fontId="6" fillId="0" borderId="3" xfId="3" applyNumberFormat="1" applyFont="1" applyBorder="1" applyAlignment="1">
      <alignment horizontal="left" wrapText="1"/>
    </xf>
    <xf numFmtId="0" fontId="6" fillId="0" borderId="3" xfId="3" applyFont="1" applyBorder="1" applyAlignment="1">
      <alignment vertical="top" wrapText="1"/>
    </xf>
    <xf numFmtId="164" fontId="6" fillId="0" borderId="3" xfId="1" applyNumberFormat="1" applyFont="1" applyBorder="1"/>
    <xf numFmtId="0" fontId="6" fillId="0" borderId="0" xfId="1" applyFont="1"/>
    <xf numFmtId="49" fontId="10" fillId="0" borderId="3" xfId="3" applyNumberFormat="1" applyFont="1" applyBorder="1" applyAlignment="1">
      <alignment horizontal="left" wrapText="1"/>
    </xf>
    <xf numFmtId="0" fontId="10" fillId="0" borderId="3" xfId="3" applyFont="1" applyBorder="1" applyAlignment="1">
      <alignment vertical="top" wrapText="1"/>
    </xf>
    <xf numFmtId="164" fontId="10" fillId="0" borderId="3" xfId="1" applyNumberFormat="1" applyFont="1" applyBorder="1"/>
    <xf numFmtId="164" fontId="8" fillId="3" borderId="3" xfId="1" applyNumberFormat="1" applyFont="1" applyFill="1" applyBorder="1"/>
    <xf numFmtId="165" fontId="8" fillId="3" borderId="3" xfId="1" applyNumberFormat="1" applyFont="1" applyFill="1" applyBorder="1"/>
    <xf numFmtId="0" fontId="10" fillId="0" borderId="0" xfId="1" applyFont="1"/>
    <xf numFmtId="166" fontId="8" fillId="3" borderId="3" xfId="1" applyNumberFormat="1" applyFont="1" applyFill="1" applyBorder="1"/>
    <xf numFmtId="0" fontId="7" fillId="4" borderId="1" xfId="1" applyFont="1" applyFill="1" applyBorder="1" applyAlignment="1">
      <alignment wrapText="1"/>
    </xf>
    <xf numFmtId="164" fontId="7" fillId="0" borderId="0" xfId="1" applyNumberFormat="1" applyFont="1"/>
    <xf numFmtId="49" fontId="2" fillId="0" borderId="1" xfId="1" applyNumberFormat="1" applyFont="1" applyBorder="1" applyAlignment="1">
      <alignment horizontal="left"/>
    </xf>
    <xf numFmtId="0" fontId="2" fillId="0" borderId="1" xfId="1" applyFont="1" applyBorder="1"/>
    <xf numFmtId="164" fontId="6" fillId="0" borderId="0" xfId="1" applyNumberFormat="1" applyFont="1"/>
    <xf numFmtId="49" fontId="10" fillId="0" borderId="1" xfId="1" applyNumberFormat="1" applyFont="1" applyBorder="1" applyAlignment="1">
      <alignment horizontal="left" wrapText="1"/>
    </xf>
    <xf numFmtId="0" fontId="10" fillId="0" borderId="1" xfId="1" applyFont="1" applyBorder="1" applyAlignment="1">
      <alignment wrapText="1"/>
    </xf>
    <xf numFmtId="164" fontId="8" fillId="0" borderId="3" xfId="1" applyNumberFormat="1" applyFont="1" applyBorder="1"/>
    <xf numFmtId="164" fontId="8" fillId="0" borderId="0" xfId="1" applyNumberFormat="1" applyFont="1"/>
    <xf numFmtId="164" fontId="2" fillId="0" borderId="0" xfId="1" applyNumberFormat="1" applyFo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5">
    <cellStyle name="Normal" xfId="0" builtinId="0"/>
    <cellStyle name="Normal 10" xfId="4" xr:uid="{00000000-0005-0000-0000-000001000000}"/>
    <cellStyle name="Normal 2 2 2" xfId="1" xr:uid="{00000000-0005-0000-0000-000002000000}"/>
    <cellStyle name="Normal 3 4" xfId="3" xr:uid="{00000000-0005-0000-0000-000003000000}"/>
    <cellStyle name="Normal 3 4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19"/>
  <sheetViews>
    <sheetView tabSelected="1" zoomScaleNormal="100" zoomScaleSheetLayoutView="100" workbookViewId="0">
      <pane ySplit="7" topLeftCell="A8" activePane="bottomLeft" state="frozen"/>
      <selection pane="bottomLeft" activeCell="B138" sqref="B138"/>
    </sheetView>
  </sheetViews>
  <sheetFormatPr defaultColWidth="9.109375" defaultRowHeight="13.2" x14ac:dyDescent="0.25"/>
  <cols>
    <col min="1" max="1" width="15.5546875" style="1" customWidth="1"/>
    <col min="2" max="2" width="50.44140625" style="2" customWidth="1"/>
    <col min="3" max="3" width="15.88671875" style="2" hidden="1" customWidth="1"/>
    <col min="4" max="5" width="12.33203125" style="2" hidden="1" customWidth="1"/>
    <col min="6" max="7" width="13.33203125" style="2" hidden="1" customWidth="1"/>
    <col min="8" max="9" width="15.88671875" style="2" customWidth="1"/>
    <col min="10" max="13" width="12.33203125" style="2" customWidth="1"/>
    <col min="14" max="17" width="13.33203125" style="2" customWidth="1"/>
    <col min="18" max="16384" width="9.109375" style="2"/>
  </cols>
  <sheetData>
    <row r="1" spans="1:17" ht="12.75" customHeight="1" x14ac:dyDescent="0.25">
      <c r="F1" s="3" t="s">
        <v>0</v>
      </c>
      <c r="G1" s="3"/>
      <c r="Q1" s="3" t="s">
        <v>217</v>
      </c>
    </row>
    <row r="2" spans="1:17" ht="12.75" customHeight="1" x14ac:dyDescent="0.25">
      <c r="F2" s="4" t="s">
        <v>209</v>
      </c>
      <c r="G2" s="4"/>
      <c r="Q2" s="4" t="s">
        <v>218</v>
      </c>
    </row>
    <row r="3" spans="1:17" ht="12.75" customHeight="1" x14ac:dyDescent="0.25">
      <c r="F3" s="4" t="s">
        <v>210</v>
      </c>
      <c r="G3" s="4"/>
      <c r="Q3" s="4" t="s">
        <v>219</v>
      </c>
    </row>
    <row r="4" spans="1:17" ht="17.399999999999999" x14ac:dyDescent="0.3">
      <c r="B4" s="5" t="s">
        <v>1</v>
      </c>
      <c r="C4" s="6"/>
      <c r="D4" s="6"/>
      <c r="E4" s="6"/>
      <c r="H4" s="6"/>
      <c r="I4" s="6"/>
      <c r="J4" s="6"/>
      <c r="K4" s="6"/>
      <c r="L4" s="6"/>
      <c r="M4" s="6"/>
    </row>
    <row r="5" spans="1:17" ht="15.6" x14ac:dyDescent="0.3">
      <c r="B5" s="6" t="s">
        <v>220</v>
      </c>
      <c r="C5" s="6"/>
      <c r="D5" s="6"/>
      <c r="E5" s="6"/>
      <c r="H5" s="6"/>
      <c r="I5" s="6"/>
      <c r="J5" s="6"/>
      <c r="K5" s="6"/>
      <c r="L5" s="6"/>
      <c r="M5" s="6"/>
    </row>
    <row r="6" spans="1:17" ht="65.25" customHeight="1" x14ac:dyDescent="0.25">
      <c r="A6" s="63" t="s">
        <v>2</v>
      </c>
      <c r="B6" s="64"/>
      <c r="C6" s="7" t="s">
        <v>3</v>
      </c>
      <c r="D6" s="7" t="s">
        <v>4</v>
      </c>
      <c r="E6" s="7" t="s">
        <v>5</v>
      </c>
      <c r="F6" s="8" t="s">
        <v>6</v>
      </c>
      <c r="G6" s="8" t="s">
        <v>7</v>
      </c>
      <c r="H6" s="7" t="s">
        <v>3</v>
      </c>
      <c r="I6" s="7" t="s">
        <v>213</v>
      </c>
      <c r="J6" s="7" t="s">
        <v>4</v>
      </c>
      <c r="K6" s="7" t="s">
        <v>214</v>
      </c>
      <c r="L6" s="7" t="s">
        <v>5</v>
      </c>
      <c r="M6" s="7" t="s">
        <v>215</v>
      </c>
      <c r="N6" s="8" t="s">
        <v>211</v>
      </c>
      <c r="O6" s="8" t="s">
        <v>216</v>
      </c>
      <c r="P6" s="8" t="s">
        <v>212</v>
      </c>
      <c r="Q6" s="8" t="s">
        <v>7</v>
      </c>
    </row>
    <row r="7" spans="1:17" ht="13.8" x14ac:dyDescent="0.25">
      <c r="A7" s="9" t="s">
        <v>8</v>
      </c>
      <c r="B7" s="10" t="s">
        <v>9</v>
      </c>
      <c r="C7" s="11">
        <f>C8+C12+C18+C21+C23</f>
        <v>48813018</v>
      </c>
      <c r="D7" s="11">
        <f t="shared" ref="D7:E7" si="0">D8+D12+D18+D21+D23</f>
        <v>14767659</v>
      </c>
      <c r="E7" s="11">
        <f t="shared" si="0"/>
        <v>3496327</v>
      </c>
      <c r="F7" s="11">
        <f>C7+D7+E7</f>
        <v>67077004</v>
      </c>
      <c r="G7" s="11">
        <f>F7*100/$F$7</f>
        <v>100</v>
      </c>
      <c r="H7" s="11">
        <f>H8+H12+H18+H21+H23</f>
        <v>48813018</v>
      </c>
      <c r="I7" s="11">
        <f>I8+I12+I18+I21+I23</f>
        <v>-2419690</v>
      </c>
      <c r="J7" s="11">
        <f t="shared" ref="J7:L7" si="1">J8+J12+J18+J21+J23</f>
        <v>14767659</v>
      </c>
      <c r="K7" s="11">
        <f t="shared" si="1"/>
        <v>349566</v>
      </c>
      <c r="L7" s="11">
        <f t="shared" si="1"/>
        <v>3496327</v>
      </c>
      <c r="M7" s="11">
        <f>M8+M12+M18+M21+M23</f>
        <v>151250</v>
      </c>
      <c r="N7" s="11">
        <f>H7+J7+L7</f>
        <v>67077004</v>
      </c>
      <c r="O7" s="11">
        <f>I7+K7+M7</f>
        <v>-1918874</v>
      </c>
      <c r="P7" s="11">
        <f>N7+O7</f>
        <v>65158130</v>
      </c>
      <c r="Q7" s="11">
        <f>P7*100/$P$7</f>
        <v>100</v>
      </c>
    </row>
    <row r="8" spans="1:17" ht="13.8" x14ac:dyDescent="0.25">
      <c r="A8" s="12" t="s">
        <v>10</v>
      </c>
      <c r="B8" s="13" t="s">
        <v>11</v>
      </c>
      <c r="C8" s="14">
        <f>SUM(C9:C11)</f>
        <v>34470084</v>
      </c>
      <c r="D8" s="14">
        <f t="shared" ref="D8:E8" si="2">SUM(D9:D10)</f>
        <v>0</v>
      </c>
      <c r="E8" s="14">
        <f t="shared" si="2"/>
        <v>0</v>
      </c>
      <c r="F8" s="14">
        <f t="shared" ref="F8:F78" si="3">C8+D8+E8</f>
        <v>34470084</v>
      </c>
      <c r="G8" s="15">
        <f t="shared" ref="G8:G26" si="4">F8*100/$F$7</f>
        <v>51.388824700638089</v>
      </c>
      <c r="H8" s="14">
        <f>SUM(H9:H11)</f>
        <v>34470084</v>
      </c>
      <c r="I8" s="14">
        <f>SUM(I9:I11)</f>
        <v>52585</v>
      </c>
      <c r="J8" s="14">
        <f t="shared" ref="J8:L8" si="5">SUM(J9:J10)</f>
        <v>0</v>
      </c>
      <c r="K8" s="14"/>
      <c r="L8" s="14">
        <f t="shared" si="5"/>
        <v>0</v>
      </c>
      <c r="M8" s="14"/>
      <c r="N8" s="14">
        <f t="shared" ref="N8:N39" si="6">H8+J8+L8</f>
        <v>34470084</v>
      </c>
      <c r="O8" s="14">
        <f t="shared" ref="O8:O71" si="7">I8+K8+M8</f>
        <v>52585</v>
      </c>
      <c r="P8" s="14">
        <f t="shared" ref="P8:P71" si="8">N8+O8</f>
        <v>34522669</v>
      </c>
      <c r="Q8" s="15">
        <f t="shared" ref="Q8:Q26" si="9">P8*100/$P$7</f>
        <v>52.982903284670691</v>
      </c>
    </row>
    <row r="9" spans="1:17" x14ac:dyDescent="0.25">
      <c r="A9" s="16" t="s">
        <v>12</v>
      </c>
      <c r="B9" s="17" t="s">
        <v>13</v>
      </c>
      <c r="C9" s="18">
        <v>29856972</v>
      </c>
      <c r="D9" s="18">
        <v>0</v>
      </c>
      <c r="E9" s="18">
        <v>0</v>
      </c>
      <c r="F9" s="19">
        <f t="shared" si="3"/>
        <v>29856972</v>
      </c>
      <c r="G9" s="20">
        <f t="shared" si="4"/>
        <v>44.511487126049936</v>
      </c>
      <c r="H9" s="18">
        <v>29856972</v>
      </c>
      <c r="I9" s="18"/>
      <c r="J9" s="18">
        <v>0</v>
      </c>
      <c r="K9" s="18"/>
      <c r="L9" s="18">
        <v>0</v>
      </c>
      <c r="M9" s="18"/>
      <c r="N9" s="19">
        <f t="shared" si="6"/>
        <v>29856972</v>
      </c>
      <c r="O9" s="19">
        <f t="shared" si="7"/>
        <v>0</v>
      </c>
      <c r="P9" s="19">
        <f t="shared" si="8"/>
        <v>29856972</v>
      </c>
      <c r="Q9" s="20">
        <f t="shared" si="9"/>
        <v>45.822327927458936</v>
      </c>
    </row>
    <row r="10" spans="1:17" x14ac:dyDescent="0.25">
      <c r="A10" s="16" t="s">
        <v>14</v>
      </c>
      <c r="B10" s="17" t="s">
        <v>15</v>
      </c>
      <c r="C10" s="18">
        <v>4123112</v>
      </c>
      <c r="D10" s="18">
        <v>0</v>
      </c>
      <c r="E10" s="18">
        <v>0</v>
      </c>
      <c r="F10" s="19">
        <f t="shared" si="3"/>
        <v>4123112</v>
      </c>
      <c r="G10" s="20">
        <f t="shared" si="4"/>
        <v>6.1468338687279473</v>
      </c>
      <c r="H10" s="18">
        <v>4123112</v>
      </c>
      <c r="I10" s="18">
        <v>52585</v>
      </c>
      <c r="J10" s="18">
        <v>0</v>
      </c>
      <c r="K10" s="18"/>
      <c r="L10" s="18">
        <v>0</v>
      </c>
      <c r="M10" s="18"/>
      <c r="N10" s="19">
        <f t="shared" si="6"/>
        <v>4123112</v>
      </c>
      <c r="O10" s="19">
        <f t="shared" si="7"/>
        <v>52585</v>
      </c>
      <c r="P10" s="19">
        <f t="shared" si="8"/>
        <v>4175697</v>
      </c>
      <c r="Q10" s="20">
        <f t="shared" si="9"/>
        <v>6.4085586863834187</v>
      </c>
    </row>
    <row r="11" spans="1:17" x14ac:dyDescent="0.25">
      <c r="A11" s="16" t="s">
        <v>16</v>
      </c>
      <c r="B11" s="17" t="s">
        <v>17</v>
      </c>
      <c r="C11" s="18">
        <v>490000</v>
      </c>
      <c r="D11" s="18">
        <v>0</v>
      </c>
      <c r="E11" s="18">
        <v>0</v>
      </c>
      <c r="F11" s="19">
        <f t="shared" si="3"/>
        <v>490000</v>
      </c>
      <c r="G11" s="20">
        <f t="shared" si="4"/>
        <v>0.73050370586020807</v>
      </c>
      <c r="H11" s="18">
        <v>490000</v>
      </c>
      <c r="I11" s="18"/>
      <c r="J11" s="18">
        <v>0</v>
      </c>
      <c r="K11" s="18"/>
      <c r="L11" s="18">
        <v>0</v>
      </c>
      <c r="M11" s="18"/>
      <c r="N11" s="19">
        <f t="shared" si="6"/>
        <v>490000</v>
      </c>
      <c r="O11" s="19">
        <f t="shared" si="7"/>
        <v>0</v>
      </c>
      <c r="P11" s="19">
        <f t="shared" si="8"/>
        <v>490000</v>
      </c>
      <c r="Q11" s="20">
        <f t="shared" si="9"/>
        <v>0.75201667082833712</v>
      </c>
    </row>
    <row r="12" spans="1:17" ht="13.8" x14ac:dyDescent="0.25">
      <c r="A12" s="12" t="s">
        <v>18</v>
      </c>
      <c r="B12" s="21" t="s">
        <v>19</v>
      </c>
      <c r="C12" s="14">
        <f>SUM(C13:C17)</f>
        <v>5281567</v>
      </c>
      <c r="D12" s="14">
        <f t="shared" ref="D12:E12" si="10">SUM(D13:D17)</f>
        <v>0</v>
      </c>
      <c r="E12" s="14">
        <f t="shared" si="10"/>
        <v>0</v>
      </c>
      <c r="F12" s="14">
        <f t="shared" si="3"/>
        <v>5281567</v>
      </c>
      <c r="G12" s="15">
        <f t="shared" si="4"/>
        <v>7.8738862576509829</v>
      </c>
      <c r="H12" s="14">
        <f>SUM(H13:H17)</f>
        <v>5281567</v>
      </c>
      <c r="I12" s="14">
        <f>SUM(I13:I17)</f>
        <v>-2540500</v>
      </c>
      <c r="J12" s="14">
        <f t="shared" ref="J12:M12" si="11">SUM(J13:J17)</f>
        <v>0</v>
      </c>
      <c r="K12" s="14">
        <f t="shared" si="11"/>
        <v>0</v>
      </c>
      <c r="L12" s="14">
        <f t="shared" si="11"/>
        <v>0</v>
      </c>
      <c r="M12" s="14">
        <f t="shared" si="11"/>
        <v>12</v>
      </c>
      <c r="N12" s="14">
        <f t="shared" si="6"/>
        <v>5281567</v>
      </c>
      <c r="O12" s="14">
        <f t="shared" si="7"/>
        <v>-2540488</v>
      </c>
      <c r="P12" s="14">
        <f t="shared" si="8"/>
        <v>2741079</v>
      </c>
      <c r="Q12" s="15">
        <f t="shared" si="9"/>
        <v>4.2068104164438118</v>
      </c>
    </row>
    <row r="13" spans="1:17" x14ac:dyDescent="0.25">
      <c r="A13" s="16" t="s">
        <v>20</v>
      </c>
      <c r="B13" s="17" t="s">
        <v>21</v>
      </c>
      <c r="C13" s="18">
        <v>9171</v>
      </c>
      <c r="D13" s="18">
        <v>0</v>
      </c>
      <c r="E13" s="18">
        <v>0</v>
      </c>
      <c r="F13" s="19">
        <f t="shared" si="3"/>
        <v>9171</v>
      </c>
      <c r="G13" s="20">
        <f t="shared" si="4"/>
        <v>1.3672345890701976E-2</v>
      </c>
      <c r="H13" s="18">
        <v>9171</v>
      </c>
      <c r="I13" s="18">
        <v>19500</v>
      </c>
      <c r="J13" s="18">
        <v>0</v>
      </c>
      <c r="K13" s="18"/>
      <c r="L13" s="18">
        <v>0</v>
      </c>
      <c r="M13" s="18"/>
      <c r="N13" s="19">
        <f t="shared" si="6"/>
        <v>9171</v>
      </c>
      <c r="O13" s="19">
        <f t="shared" si="7"/>
        <v>19500</v>
      </c>
      <c r="P13" s="19">
        <f t="shared" si="8"/>
        <v>28671</v>
      </c>
      <c r="Q13" s="20">
        <f t="shared" si="9"/>
        <v>4.4002183610855623E-2</v>
      </c>
    </row>
    <row r="14" spans="1:17" x14ac:dyDescent="0.25">
      <c r="A14" s="16" t="s">
        <v>22</v>
      </c>
      <c r="B14" s="17" t="s">
        <v>23</v>
      </c>
      <c r="C14" s="18">
        <v>32250</v>
      </c>
      <c r="D14" s="18">
        <v>0</v>
      </c>
      <c r="E14" s="18">
        <v>0</v>
      </c>
      <c r="F14" s="19">
        <f t="shared" si="3"/>
        <v>32250</v>
      </c>
      <c r="G14" s="20">
        <f t="shared" si="4"/>
        <v>4.8079070436717775E-2</v>
      </c>
      <c r="H14" s="18">
        <v>32250</v>
      </c>
      <c r="I14" s="18"/>
      <c r="J14" s="18">
        <v>0</v>
      </c>
      <c r="K14" s="18"/>
      <c r="L14" s="18">
        <v>0</v>
      </c>
      <c r="M14" s="18"/>
      <c r="N14" s="19">
        <f t="shared" si="6"/>
        <v>32250</v>
      </c>
      <c r="O14" s="19">
        <f t="shared" si="7"/>
        <v>0</v>
      </c>
      <c r="P14" s="19">
        <f t="shared" si="8"/>
        <v>32250</v>
      </c>
      <c r="Q14" s="20">
        <f t="shared" si="9"/>
        <v>4.949497476370178E-2</v>
      </c>
    </row>
    <row r="15" spans="1:17" x14ac:dyDescent="0.25">
      <c r="A15" s="16" t="s">
        <v>24</v>
      </c>
      <c r="B15" s="17" t="s">
        <v>25</v>
      </c>
      <c r="C15" s="18">
        <v>13000</v>
      </c>
      <c r="D15" s="18">
        <v>0</v>
      </c>
      <c r="E15" s="18">
        <v>0</v>
      </c>
      <c r="F15" s="19">
        <f t="shared" si="3"/>
        <v>13000</v>
      </c>
      <c r="G15" s="20">
        <f t="shared" si="4"/>
        <v>1.9380710563638173E-2</v>
      </c>
      <c r="H15" s="18">
        <v>13000</v>
      </c>
      <c r="I15" s="18"/>
      <c r="J15" s="18">
        <v>0</v>
      </c>
      <c r="K15" s="18"/>
      <c r="L15" s="18">
        <v>0</v>
      </c>
      <c r="M15" s="18"/>
      <c r="N15" s="19">
        <f t="shared" si="6"/>
        <v>13000</v>
      </c>
      <c r="O15" s="19">
        <f t="shared" si="7"/>
        <v>0</v>
      </c>
      <c r="P15" s="19">
        <f t="shared" si="8"/>
        <v>13000</v>
      </c>
      <c r="Q15" s="20">
        <f t="shared" si="9"/>
        <v>1.995146269544568E-2</v>
      </c>
    </row>
    <row r="16" spans="1:17" x14ac:dyDescent="0.25">
      <c r="A16" s="16" t="s">
        <v>26</v>
      </c>
      <c r="B16" s="17" t="s">
        <v>27</v>
      </c>
      <c r="C16" s="18">
        <v>14630</v>
      </c>
      <c r="D16" s="18">
        <v>0</v>
      </c>
      <c r="E16" s="18">
        <v>0</v>
      </c>
      <c r="F16" s="19">
        <f t="shared" si="3"/>
        <v>14630</v>
      </c>
      <c r="G16" s="20">
        <f t="shared" si="4"/>
        <v>2.18107535035405E-2</v>
      </c>
      <c r="H16" s="18">
        <v>14630</v>
      </c>
      <c r="I16" s="18"/>
      <c r="J16" s="18">
        <v>0</v>
      </c>
      <c r="K16" s="18"/>
      <c r="L16" s="18">
        <v>0</v>
      </c>
      <c r="M16" s="18">
        <v>12</v>
      </c>
      <c r="N16" s="19">
        <f t="shared" si="6"/>
        <v>14630</v>
      </c>
      <c r="O16" s="19">
        <f t="shared" si="7"/>
        <v>12</v>
      </c>
      <c r="P16" s="19">
        <f t="shared" si="8"/>
        <v>14642</v>
      </c>
      <c r="Q16" s="20">
        <f t="shared" si="9"/>
        <v>2.2471485906670433E-2</v>
      </c>
    </row>
    <row r="17" spans="1:17" ht="26.4" x14ac:dyDescent="0.25">
      <c r="A17" s="16" t="s">
        <v>28</v>
      </c>
      <c r="B17" s="17" t="s">
        <v>29</v>
      </c>
      <c r="C17" s="18">
        <v>5212516</v>
      </c>
      <c r="D17" s="18">
        <v>0</v>
      </c>
      <c r="E17" s="18">
        <v>0</v>
      </c>
      <c r="F17" s="19">
        <f t="shared" si="3"/>
        <v>5212516</v>
      </c>
      <c r="G17" s="20">
        <f t="shared" si="4"/>
        <v>7.7709433772563843</v>
      </c>
      <c r="H17" s="18">
        <v>5212516</v>
      </c>
      <c r="I17" s="18">
        <v>-2560000</v>
      </c>
      <c r="J17" s="18">
        <v>0</v>
      </c>
      <c r="K17" s="18"/>
      <c r="L17" s="18">
        <v>0</v>
      </c>
      <c r="M17" s="18"/>
      <c r="N17" s="19">
        <f t="shared" si="6"/>
        <v>5212516</v>
      </c>
      <c r="O17" s="19">
        <f t="shared" si="7"/>
        <v>-2560000</v>
      </c>
      <c r="P17" s="19">
        <f t="shared" si="8"/>
        <v>2652516</v>
      </c>
      <c r="Q17" s="20">
        <f t="shared" si="9"/>
        <v>4.0708903094671376</v>
      </c>
    </row>
    <row r="18" spans="1:17" ht="13.8" x14ac:dyDescent="0.25">
      <c r="A18" s="12" t="s">
        <v>30</v>
      </c>
      <c r="B18" s="21" t="s">
        <v>31</v>
      </c>
      <c r="C18" s="14">
        <f>SUM(C19:C20)</f>
        <v>4742353</v>
      </c>
      <c r="D18" s="14">
        <f t="shared" ref="D18:E18" si="12">SUM(D19:D20)</f>
        <v>18645</v>
      </c>
      <c r="E18" s="14">
        <f t="shared" si="12"/>
        <v>1780</v>
      </c>
      <c r="F18" s="14">
        <f t="shared" si="3"/>
        <v>4762778</v>
      </c>
      <c r="G18" s="15">
        <f t="shared" si="4"/>
        <v>7.1004632228356535</v>
      </c>
      <c r="H18" s="14">
        <f>SUM(H19:H20)</f>
        <v>4742353</v>
      </c>
      <c r="I18" s="14">
        <f>SUM(I19:I20)</f>
        <v>0</v>
      </c>
      <c r="J18" s="14">
        <f t="shared" ref="J18:M18" si="13">SUM(J19:J20)</f>
        <v>18645</v>
      </c>
      <c r="K18" s="14">
        <f t="shared" si="13"/>
        <v>0</v>
      </c>
      <c r="L18" s="14">
        <f t="shared" si="13"/>
        <v>1780</v>
      </c>
      <c r="M18" s="14">
        <f t="shared" si="13"/>
        <v>48496</v>
      </c>
      <c r="N18" s="14">
        <f t="shared" si="6"/>
        <v>4762778</v>
      </c>
      <c r="O18" s="14">
        <f t="shared" si="7"/>
        <v>48496</v>
      </c>
      <c r="P18" s="14">
        <f t="shared" si="8"/>
        <v>4811274</v>
      </c>
      <c r="Q18" s="15">
        <f t="shared" si="9"/>
        <v>7.3839964406590548</v>
      </c>
    </row>
    <row r="19" spans="1:17" ht="26.4" x14ac:dyDescent="0.25">
      <c r="A19" s="16" t="s">
        <v>32</v>
      </c>
      <c r="B19" s="17" t="s">
        <v>33</v>
      </c>
      <c r="C19" s="18">
        <v>4701135</v>
      </c>
      <c r="D19" s="18">
        <v>18645</v>
      </c>
      <c r="E19" s="18">
        <v>0</v>
      </c>
      <c r="F19" s="19">
        <f t="shared" si="3"/>
        <v>4719780</v>
      </c>
      <c r="G19" s="20">
        <f t="shared" si="4"/>
        <v>7.0363607772344752</v>
      </c>
      <c r="H19" s="18">
        <v>4701135</v>
      </c>
      <c r="I19" s="18">
        <v>-8000</v>
      </c>
      <c r="J19" s="18">
        <v>18645</v>
      </c>
      <c r="K19" s="18"/>
      <c r="L19" s="18">
        <v>0</v>
      </c>
      <c r="M19" s="18"/>
      <c r="N19" s="19">
        <f t="shared" si="6"/>
        <v>4719780</v>
      </c>
      <c r="O19" s="19">
        <f t="shared" si="7"/>
        <v>-8000</v>
      </c>
      <c r="P19" s="19">
        <f t="shared" si="8"/>
        <v>4711780</v>
      </c>
      <c r="Q19" s="20">
        <f t="shared" si="9"/>
        <v>7.2313002230113108</v>
      </c>
    </row>
    <row r="20" spans="1:17" ht="39.6" x14ac:dyDescent="0.25">
      <c r="A20" s="16" t="s">
        <v>34</v>
      </c>
      <c r="B20" s="17" t="s">
        <v>35</v>
      </c>
      <c r="C20" s="18">
        <f>6218+35000</f>
        <v>41218</v>
      </c>
      <c r="D20" s="18">
        <v>0</v>
      </c>
      <c r="E20" s="18">
        <v>1780</v>
      </c>
      <c r="F20" s="19">
        <f t="shared" si="3"/>
        <v>42998</v>
      </c>
      <c r="G20" s="20">
        <f t="shared" si="4"/>
        <v>6.4102445601178018E-2</v>
      </c>
      <c r="H20" s="18">
        <f>6218+35000</f>
        <v>41218</v>
      </c>
      <c r="I20" s="18">
        <v>8000</v>
      </c>
      <c r="J20" s="18">
        <v>0</v>
      </c>
      <c r="K20" s="18"/>
      <c r="L20" s="18">
        <v>1780</v>
      </c>
      <c r="M20" s="18">
        <v>48496</v>
      </c>
      <c r="N20" s="19">
        <f t="shared" si="6"/>
        <v>42998</v>
      </c>
      <c r="O20" s="19">
        <f t="shared" si="7"/>
        <v>56496</v>
      </c>
      <c r="P20" s="19">
        <f t="shared" si="8"/>
        <v>99494</v>
      </c>
      <c r="Q20" s="20">
        <f t="shared" si="9"/>
        <v>0.15269621764774405</v>
      </c>
    </row>
    <row r="21" spans="1:17" ht="13.8" x14ac:dyDescent="0.25">
      <c r="A21" s="12" t="s">
        <v>36</v>
      </c>
      <c r="B21" s="21" t="s">
        <v>37</v>
      </c>
      <c r="C21" s="14">
        <f>SUM(C22)</f>
        <v>0</v>
      </c>
      <c r="D21" s="14">
        <f t="shared" ref="D21:E21" si="14">SUM(D22)</f>
        <v>0</v>
      </c>
      <c r="E21" s="14">
        <f t="shared" si="14"/>
        <v>183483</v>
      </c>
      <c r="F21" s="14">
        <f t="shared" si="3"/>
        <v>183483</v>
      </c>
      <c r="G21" s="15">
        <f t="shared" si="4"/>
        <v>0.27354083971907867</v>
      </c>
      <c r="H21" s="14">
        <f>SUM(H22)</f>
        <v>0</v>
      </c>
      <c r="I21" s="14">
        <f>SUM(I22)</f>
        <v>0</v>
      </c>
      <c r="J21" s="14">
        <f t="shared" ref="J21:M21" si="15">SUM(J22)</f>
        <v>0</v>
      </c>
      <c r="K21" s="14">
        <f t="shared" si="15"/>
        <v>0</v>
      </c>
      <c r="L21" s="14">
        <f t="shared" si="15"/>
        <v>183483</v>
      </c>
      <c r="M21" s="14">
        <f t="shared" si="15"/>
        <v>-48428</v>
      </c>
      <c r="N21" s="14">
        <f t="shared" si="6"/>
        <v>183483</v>
      </c>
      <c r="O21" s="14">
        <f t="shared" si="7"/>
        <v>-48428</v>
      </c>
      <c r="P21" s="14">
        <f t="shared" si="8"/>
        <v>135055</v>
      </c>
      <c r="Q21" s="15">
        <f t="shared" si="9"/>
        <v>0.20727267648718586</v>
      </c>
    </row>
    <row r="22" spans="1:17" x14ac:dyDescent="0.25">
      <c r="A22" s="16" t="s">
        <v>38</v>
      </c>
      <c r="B22" s="17" t="s">
        <v>39</v>
      </c>
      <c r="C22" s="18">
        <v>0</v>
      </c>
      <c r="D22" s="18">
        <v>0</v>
      </c>
      <c r="E22" s="18">
        <v>183483</v>
      </c>
      <c r="F22" s="19">
        <f t="shared" si="3"/>
        <v>183483</v>
      </c>
      <c r="G22" s="20">
        <f t="shared" si="4"/>
        <v>0.27354083971907867</v>
      </c>
      <c r="H22" s="18">
        <v>0</v>
      </c>
      <c r="I22" s="18"/>
      <c r="J22" s="18">
        <v>0</v>
      </c>
      <c r="K22" s="18"/>
      <c r="L22" s="18">
        <v>183483</v>
      </c>
      <c r="M22" s="18">
        <v>-48428</v>
      </c>
      <c r="N22" s="19">
        <f t="shared" si="6"/>
        <v>183483</v>
      </c>
      <c r="O22" s="19">
        <f t="shared" si="7"/>
        <v>-48428</v>
      </c>
      <c r="P22" s="19">
        <f t="shared" si="8"/>
        <v>135055</v>
      </c>
      <c r="Q22" s="20">
        <f t="shared" si="9"/>
        <v>0.20727267648718586</v>
      </c>
    </row>
    <row r="23" spans="1:17" ht="13.8" x14ac:dyDescent="0.25">
      <c r="A23" s="12" t="s">
        <v>40</v>
      </c>
      <c r="B23" s="21" t="s">
        <v>41</v>
      </c>
      <c r="C23" s="14">
        <f>SUM(C24:C26)</f>
        <v>4319014</v>
      </c>
      <c r="D23" s="14">
        <f t="shared" ref="D23:E23" si="16">SUM(D24:D26)</f>
        <v>14749014</v>
      </c>
      <c r="E23" s="14">
        <f t="shared" si="16"/>
        <v>3311064</v>
      </c>
      <c r="F23" s="14">
        <f t="shared" si="3"/>
        <v>22379092</v>
      </c>
      <c r="G23" s="15">
        <f t="shared" si="4"/>
        <v>33.363284979156198</v>
      </c>
      <c r="H23" s="14">
        <f>SUM(H24:H26)</f>
        <v>4319014</v>
      </c>
      <c r="I23" s="14">
        <f>SUM(I24:I26)</f>
        <v>68225</v>
      </c>
      <c r="J23" s="14">
        <f t="shared" ref="J23:M23" si="17">SUM(J24:J26)</f>
        <v>14749014</v>
      </c>
      <c r="K23" s="14">
        <f t="shared" si="17"/>
        <v>349566</v>
      </c>
      <c r="L23" s="14">
        <f t="shared" si="17"/>
        <v>3311064</v>
      </c>
      <c r="M23" s="14">
        <f t="shared" si="17"/>
        <v>151170</v>
      </c>
      <c r="N23" s="14">
        <f t="shared" si="6"/>
        <v>22379092</v>
      </c>
      <c r="O23" s="14">
        <f t="shared" si="7"/>
        <v>568961</v>
      </c>
      <c r="P23" s="14">
        <f t="shared" si="8"/>
        <v>22948053</v>
      </c>
      <c r="Q23" s="15">
        <f t="shared" si="9"/>
        <v>35.219017181739254</v>
      </c>
    </row>
    <row r="24" spans="1:17" ht="26.4" x14ac:dyDescent="0.25">
      <c r="A24" s="16" t="s">
        <v>42</v>
      </c>
      <c r="B24" s="17" t="s">
        <v>43</v>
      </c>
      <c r="C24" s="18">
        <v>0</v>
      </c>
      <c r="D24" s="18">
        <v>0</v>
      </c>
      <c r="E24" s="18">
        <v>39262</v>
      </c>
      <c r="F24" s="19">
        <f t="shared" si="3"/>
        <v>39262</v>
      </c>
      <c r="G24" s="20">
        <f t="shared" si="4"/>
        <v>5.8532727549966301E-2</v>
      </c>
      <c r="H24" s="18">
        <v>0</v>
      </c>
      <c r="I24" s="18"/>
      <c r="J24" s="18">
        <v>0</v>
      </c>
      <c r="K24" s="18"/>
      <c r="L24" s="18">
        <v>39262</v>
      </c>
      <c r="M24" s="18"/>
      <c r="N24" s="19">
        <f t="shared" si="6"/>
        <v>39262</v>
      </c>
      <c r="O24" s="19">
        <f t="shared" si="7"/>
        <v>0</v>
      </c>
      <c r="P24" s="19">
        <f t="shared" si="8"/>
        <v>39262</v>
      </c>
      <c r="Q24" s="20">
        <f t="shared" si="9"/>
        <v>6.0256486796045249E-2</v>
      </c>
    </row>
    <row r="25" spans="1:17" x14ac:dyDescent="0.25">
      <c r="A25" s="16" t="s">
        <v>44</v>
      </c>
      <c r="B25" s="17" t="s">
        <v>45</v>
      </c>
      <c r="C25" s="18">
        <v>3199709</v>
      </c>
      <c r="D25" s="18">
        <v>14749014</v>
      </c>
      <c r="E25" s="18">
        <v>3271802</v>
      </c>
      <c r="F25" s="19">
        <f t="shared" si="3"/>
        <v>21220525</v>
      </c>
      <c r="G25" s="20">
        <f t="shared" si="4"/>
        <v>31.636065617957534</v>
      </c>
      <c r="H25" s="18">
        <v>3199709</v>
      </c>
      <c r="I25" s="18">
        <v>68225</v>
      </c>
      <c r="J25" s="18">
        <v>14749014</v>
      </c>
      <c r="K25" s="18">
        <f>194626+154940</f>
        <v>349566</v>
      </c>
      <c r="L25" s="18">
        <v>3271802</v>
      </c>
      <c r="M25" s="18">
        <v>151170</v>
      </c>
      <c r="N25" s="19">
        <f t="shared" si="6"/>
        <v>21220525</v>
      </c>
      <c r="O25" s="19">
        <f t="shared" si="7"/>
        <v>568961</v>
      </c>
      <c r="P25" s="19">
        <f t="shared" si="8"/>
        <v>21789486</v>
      </c>
      <c r="Q25" s="20">
        <f t="shared" si="9"/>
        <v>33.440932083225839</v>
      </c>
    </row>
    <row r="26" spans="1:17" x14ac:dyDescent="0.25">
      <c r="A26" s="16" t="s">
        <v>46</v>
      </c>
      <c r="B26" s="17" t="s">
        <v>47</v>
      </c>
      <c r="C26" s="18">
        <v>1119305</v>
      </c>
      <c r="D26" s="18">
        <v>0</v>
      </c>
      <c r="E26" s="18">
        <v>0</v>
      </c>
      <c r="F26" s="19">
        <f t="shared" si="3"/>
        <v>1119305</v>
      </c>
      <c r="G26" s="20">
        <f t="shared" si="4"/>
        <v>1.6686866336486943</v>
      </c>
      <c r="H26" s="18">
        <v>1119305</v>
      </c>
      <c r="I26" s="18"/>
      <c r="J26" s="18">
        <v>0</v>
      </c>
      <c r="K26" s="18"/>
      <c r="L26" s="18">
        <v>0</v>
      </c>
      <c r="M26" s="18"/>
      <c r="N26" s="19">
        <f t="shared" si="6"/>
        <v>1119305</v>
      </c>
      <c r="O26" s="19">
        <f t="shared" si="7"/>
        <v>0</v>
      </c>
      <c r="P26" s="19">
        <f t="shared" si="8"/>
        <v>1119305</v>
      </c>
      <c r="Q26" s="20">
        <f t="shared" si="9"/>
        <v>1.7178286117173713</v>
      </c>
    </row>
    <row r="27" spans="1:17" ht="13.8" x14ac:dyDescent="0.25">
      <c r="A27" s="9" t="s">
        <v>48</v>
      </c>
      <c r="B27" s="10" t="s">
        <v>49</v>
      </c>
      <c r="C27" s="11">
        <f>C28+C54+C68+C122+C148+C179+C213+C311+C176</f>
        <v>55842310</v>
      </c>
      <c r="D27" s="11">
        <f>D28+D54+D68+D122+D148+D179+D213+D311+D176</f>
        <v>16049709</v>
      </c>
      <c r="E27" s="11">
        <f>E28+E54+E68+E122+E148+E179+E213+E311+E176</f>
        <v>11475328</v>
      </c>
      <c r="F27" s="11">
        <f t="shared" si="3"/>
        <v>83367347</v>
      </c>
      <c r="G27" s="11">
        <f>F27*100/$F$27</f>
        <v>100</v>
      </c>
      <c r="H27" s="11">
        <f t="shared" ref="H27:M27" si="18">H28+H54+H68+H122+H148+H179+H213+H311+H176</f>
        <v>55842310</v>
      </c>
      <c r="I27" s="11">
        <f t="shared" si="18"/>
        <v>-1166980</v>
      </c>
      <c r="J27" s="11">
        <f t="shared" si="18"/>
        <v>16049709</v>
      </c>
      <c r="K27" s="11">
        <f t="shared" si="18"/>
        <v>349566</v>
      </c>
      <c r="L27" s="11">
        <f t="shared" si="18"/>
        <v>11475328</v>
      </c>
      <c r="M27" s="11">
        <f t="shared" si="18"/>
        <v>151250</v>
      </c>
      <c r="N27" s="11">
        <f t="shared" si="6"/>
        <v>83367347</v>
      </c>
      <c r="O27" s="11">
        <f t="shared" si="7"/>
        <v>-666164</v>
      </c>
      <c r="P27" s="11">
        <f t="shared" si="8"/>
        <v>82701183</v>
      </c>
      <c r="Q27" s="11">
        <f>P27*100/$P$27</f>
        <v>100</v>
      </c>
    </row>
    <row r="28" spans="1:17" ht="13.8" x14ac:dyDescent="0.25">
      <c r="A28" s="22" t="s">
        <v>50</v>
      </c>
      <c r="B28" s="23" t="s">
        <v>51</v>
      </c>
      <c r="C28" s="24">
        <f>C29+C39+C51+C47</f>
        <v>4321932</v>
      </c>
      <c r="D28" s="24">
        <f t="shared" ref="D28:E28" si="19">D29+D39+D51+D47</f>
        <v>34321</v>
      </c>
      <c r="E28" s="24">
        <f t="shared" si="19"/>
        <v>0</v>
      </c>
      <c r="F28" s="24">
        <f t="shared" si="3"/>
        <v>4356253</v>
      </c>
      <c r="G28" s="25">
        <f t="shared" ref="G28:G93" si="20">F28*100/$F$27</f>
        <v>5.2253707917561538</v>
      </c>
      <c r="H28" s="24">
        <f>H29+H39+H51+H47</f>
        <v>4321932</v>
      </c>
      <c r="I28" s="24">
        <f>I29+I39+I51+I47</f>
        <v>-106858</v>
      </c>
      <c r="J28" s="24">
        <f t="shared" ref="J28:M28" si="21">J29+J39+J51+J47</f>
        <v>34321</v>
      </c>
      <c r="K28" s="24">
        <f t="shared" si="21"/>
        <v>112873</v>
      </c>
      <c r="L28" s="24">
        <f t="shared" si="21"/>
        <v>0</v>
      </c>
      <c r="M28" s="24">
        <f t="shared" si="21"/>
        <v>0</v>
      </c>
      <c r="N28" s="24">
        <f t="shared" si="6"/>
        <v>4356253</v>
      </c>
      <c r="O28" s="24">
        <f t="shared" si="7"/>
        <v>6015</v>
      </c>
      <c r="P28" s="24">
        <f t="shared" si="8"/>
        <v>4362268</v>
      </c>
      <c r="Q28" s="25">
        <f t="shared" ref="Q28:Q92" si="22">P28*100/$P$27</f>
        <v>5.2747347036136105</v>
      </c>
    </row>
    <row r="29" spans="1:17" ht="55.2" x14ac:dyDescent="0.25">
      <c r="A29" s="26" t="s">
        <v>52</v>
      </c>
      <c r="B29" s="27" t="s">
        <v>53</v>
      </c>
      <c r="C29" s="28">
        <f>SUM(C30:C38)</f>
        <v>2055215</v>
      </c>
      <c r="D29" s="28">
        <f t="shared" ref="D29:E29" si="23">SUM(D30:D38)</f>
        <v>0</v>
      </c>
      <c r="E29" s="28">
        <f t="shared" si="23"/>
        <v>0</v>
      </c>
      <c r="F29" s="28">
        <f t="shared" si="3"/>
        <v>2055215</v>
      </c>
      <c r="G29" s="29">
        <f t="shared" si="20"/>
        <v>2.4652517729753352</v>
      </c>
      <c r="H29" s="28">
        <f>SUM(H30:H38)</f>
        <v>2055215</v>
      </c>
      <c r="I29" s="28">
        <f>SUM(I30:I38)</f>
        <v>-72039</v>
      </c>
      <c r="J29" s="28">
        <f t="shared" ref="J29:M29" si="24">SUM(J30:J38)</f>
        <v>0</v>
      </c>
      <c r="K29" s="28">
        <f t="shared" si="24"/>
        <v>0</v>
      </c>
      <c r="L29" s="28">
        <f t="shared" si="24"/>
        <v>0</v>
      </c>
      <c r="M29" s="28">
        <f t="shared" si="24"/>
        <v>0</v>
      </c>
      <c r="N29" s="28">
        <f t="shared" si="6"/>
        <v>2055215</v>
      </c>
      <c r="O29" s="28">
        <f t="shared" si="7"/>
        <v>-72039</v>
      </c>
      <c r="P29" s="28">
        <f t="shared" si="8"/>
        <v>1983176</v>
      </c>
      <c r="Q29" s="29">
        <f t="shared" si="22"/>
        <v>2.3980019729584763</v>
      </c>
    </row>
    <row r="30" spans="1:17" x14ac:dyDescent="0.25">
      <c r="A30" s="16" t="s">
        <v>54</v>
      </c>
      <c r="B30" s="17" t="s">
        <v>55</v>
      </c>
      <c r="C30" s="18">
        <v>1374514</v>
      </c>
      <c r="D30" s="18">
        <v>0</v>
      </c>
      <c r="E30" s="18">
        <v>0</v>
      </c>
      <c r="F30" s="19">
        <f t="shared" si="3"/>
        <v>1374514</v>
      </c>
      <c r="G30" s="30">
        <f t="shared" si="20"/>
        <v>1.6487438421184255</v>
      </c>
      <c r="H30" s="18">
        <v>1374514</v>
      </c>
      <c r="I30" s="18">
        <v>-51408</v>
      </c>
      <c r="J30" s="18">
        <v>0</v>
      </c>
      <c r="K30" s="18"/>
      <c r="L30" s="18">
        <v>0</v>
      </c>
      <c r="M30" s="18"/>
      <c r="N30" s="19">
        <f t="shared" si="6"/>
        <v>1374514</v>
      </c>
      <c r="O30" s="19">
        <f t="shared" si="7"/>
        <v>-51408</v>
      </c>
      <c r="P30" s="19">
        <f t="shared" si="8"/>
        <v>1323106</v>
      </c>
      <c r="Q30" s="30">
        <f t="shared" si="22"/>
        <v>1.5998634505627325</v>
      </c>
    </row>
    <row r="31" spans="1:17" ht="26.4" x14ac:dyDescent="0.25">
      <c r="A31" s="16" t="s">
        <v>56</v>
      </c>
      <c r="B31" s="17" t="s">
        <v>57</v>
      </c>
      <c r="C31" s="18">
        <v>402677</v>
      </c>
      <c r="D31" s="18">
        <v>0</v>
      </c>
      <c r="E31" s="18">
        <v>0</v>
      </c>
      <c r="F31" s="19">
        <f t="shared" si="3"/>
        <v>402677</v>
      </c>
      <c r="G31" s="30">
        <f t="shared" si="20"/>
        <v>0.48301525056326911</v>
      </c>
      <c r="H31" s="18">
        <v>402677</v>
      </c>
      <c r="I31" s="18">
        <v>-12127</v>
      </c>
      <c r="J31" s="18">
        <v>0</v>
      </c>
      <c r="K31" s="18"/>
      <c r="L31" s="18">
        <v>0</v>
      </c>
      <c r="M31" s="18"/>
      <c r="N31" s="19">
        <f t="shared" si="6"/>
        <v>402677</v>
      </c>
      <c r="O31" s="19">
        <f t="shared" si="7"/>
        <v>-12127</v>
      </c>
      <c r="P31" s="19">
        <f t="shared" si="8"/>
        <v>390550</v>
      </c>
      <c r="Q31" s="30">
        <f t="shared" si="22"/>
        <v>0.47224233781516767</v>
      </c>
    </row>
    <row r="32" spans="1:17" x14ac:dyDescent="0.25">
      <c r="A32" s="16" t="s">
        <v>58</v>
      </c>
      <c r="B32" s="17" t="s">
        <v>59</v>
      </c>
      <c r="C32" s="18">
        <v>12550</v>
      </c>
      <c r="D32" s="18">
        <v>0</v>
      </c>
      <c r="E32" s="18">
        <v>0</v>
      </c>
      <c r="F32" s="19">
        <f t="shared" si="3"/>
        <v>12550</v>
      </c>
      <c r="G32" s="30">
        <f t="shared" si="20"/>
        <v>1.5053855558099984E-2</v>
      </c>
      <c r="H32" s="18">
        <v>12550</v>
      </c>
      <c r="I32" s="18">
        <v>-9975</v>
      </c>
      <c r="J32" s="18">
        <v>0</v>
      </c>
      <c r="K32" s="18"/>
      <c r="L32" s="18">
        <v>0</v>
      </c>
      <c r="M32" s="18"/>
      <c r="N32" s="19">
        <f t="shared" si="6"/>
        <v>12550</v>
      </c>
      <c r="O32" s="19">
        <f t="shared" si="7"/>
        <v>-9975</v>
      </c>
      <c r="P32" s="19">
        <f t="shared" si="8"/>
        <v>2575</v>
      </c>
      <c r="Q32" s="30">
        <f t="shared" si="22"/>
        <v>3.1136193057842956E-3</v>
      </c>
    </row>
    <row r="33" spans="1:17" x14ac:dyDescent="0.25">
      <c r="A33" s="16" t="s">
        <v>60</v>
      </c>
      <c r="B33" s="17" t="s">
        <v>61</v>
      </c>
      <c r="C33" s="18">
        <v>96563</v>
      </c>
      <c r="D33" s="18">
        <v>0</v>
      </c>
      <c r="E33" s="18">
        <v>0</v>
      </c>
      <c r="F33" s="19">
        <f t="shared" si="3"/>
        <v>96563</v>
      </c>
      <c r="G33" s="30">
        <f t="shared" si="20"/>
        <v>0.11582832304835129</v>
      </c>
      <c r="H33" s="18">
        <v>96563</v>
      </c>
      <c r="I33" s="18">
        <v>2228</v>
      </c>
      <c r="J33" s="18">
        <v>0</v>
      </c>
      <c r="K33" s="18"/>
      <c r="L33" s="18">
        <v>0</v>
      </c>
      <c r="M33" s="18"/>
      <c r="N33" s="19">
        <f t="shared" si="6"/>
        <v>96563</v>
      </c>
      <c r="O33" s="19">
        <f t="shared" si="7"/>
        <v>2228</v>
      </c>
      <c r="P33" s="19">
        <f t="shared" si="8"/>
        <v>98791</v>
      </c>
      <c r="Q33" s="30">
        <f t="shared" si="22"/>
        <v>0.11945536498552868</v>
      </c>
    </row>
    <row r="34" spans="1:17" ht="26.4" x14ac:dyDescent="0.25">
      <c r="A34" s="16" t="s">
        <v>62</v>
      </c>
      <c r="B34" s="17" t="s">
        <v>63</v>
      </c>
      <c r="C34" s="18">
        <v>13129</v>
      </c>
      <c r="D34" s="18">
        <v>0</v>
      </c>
      <c r="E34" s="18">
        <v>0</v>
      </c>
      <c r="F34" s="19">
        <f t="shared" si="3"/>
        <v>13129</v>
      </c>
      <c r="G34" s="30">
        <f t="shared" si="20"/>
        <v>1.5748372081457743E-2</v>
      </c>
      <c r="H34" s="18">
        <v>13129</v>
      </c>
      <c r="I34" s="18">
        <v>-548</v>
      </c>
      <c r="J34" s="18">
        <v>0</v>
      </c>
      <c r="K34" s="18"/>
      <c r="L34" s="18">
        <v>0</v>
      </c>
      <c r="M34" s="18"/>
      <c r="N34" s="19">
        <f t="shared" si="6"/>
        <v>13129</v>
      </c>
      <c r="O34" s="19">
        <f t="shared" si="7"/>
        <v>-548</v>
      </c>
      <c r="P34" s="19">
        <f t="shared" si="8"/>
        <v>12581</v>
      </c>
      <c r="Q34" s="30">
        <f t="shared" si="22"/>
        <v>1.5212599800416398E-2</v>
      </c>
    </row>
    <row r="35" spans="1:17" x14ac:dyDescent="0.25">
      <c r="A35" s="16" t="s">
        <v>64</v>
      </c>
      <c r="B35" s="17" t="s">
        <v>65</v>
      </c>
      <c r="C35" s="18">
        <v>1470</v>
      </c>
      <c r="D35" s="18">
        <v>0</v>
      </c>
      <c r="E35" s="18">
        <v>0</v>
      </c>
      <c r="F35" s="19">
        <f t="shared" si="3"/>
        <v>1470</v>
      </c>
      <c r="G35" s="30">
        <f t="shared" si="20"/>
        <v>1.7632802924627071E-3</v>
      </c>
      <c r="H35" s="18">
        <v>1470</v>
      </c>
      <c r="I35" s="18">
        <v>-209</v>
      </c>
      <c r="J35" s="18">
        <v>0</v>
      </c>
      <c r="K35" s="18"/>
      <c r="L35" s="18">
        <v>0</v>
      </c>
      <c r="M35" s="18"/>
      <c r="N35" s="19">
        <f t="shared" si="6"/>
        <v>1470</v>
      </c>
      <c r="O35" s="19">
        <f t="shared" si="7"/>
        <v>-209</v>
      </c>
      <c r="P35" s="19">
        <f t="shared" si="8"/>
        <v>1261</v>
      </c>
      <c r="Q35" s="30">
        <f t="shared" si="22"/>
        <v>1.5247665804248532E-3</v>
      </c>
    </row>
    <row r="36" spans="1:17" x14ac:dyDescent="0.25">
      <c r="A36" s="16" t="s">
        <v>66</v>
      </c>
      <c r="B36" s="17" t="s">
        <v>67</v>
      </c>
      <c r="C36" s="18">
        <v>5960</v>
      </c>
      <c r="D36" s="18">
        <v>0</v>
      </c>
      <c r="E36" s="18">
        <v>0</v>
      </c>
      <c r="F36" s="19">
        <f t="shared" si="3"/>
        <v>5960</v>
      </c>
      <c r="G36" s="30">
        <f t="shared" si="20"/>
        <v>7.1490820020936978E-3</v>
      </c>
      <c r="H36" s="18">
        <v>5960</v>
      </c>
      <c r="I36" s="18">
        <v>0</v>
      </c>
      <c r="J36" s="18">
        <v>0</v>
      </c>
      <c r="K36" s="18"/>
      <c r="L36" s="18">
        <v>0</v>
      </c>
      <c r="M36" s="18"/>
      <c r="N36" s="19">
        <f t="shared" si="6"/>
        <v>5960</v>
      </c>
      <c r="O36" s="19">
        <f t="shared" si="7"/>
        <v>0</v>
      </c>
      <c r="P36" s="19">
        <f t="shared" si="8"/>
        <v>5960</v>
      </c>
      <c r="Q36" s="30">
        <f t="shared" si="22"/>
        <v>7.2066683737764667E-3</v>
      </c>
    </row>
    <row r="37" spans="1:17" x14ac:dyDescent="0.25">
      <c r="A37" s="16" t="s">
        <v>68</v>
      </c>
      <c r="B37" s="17" t="s">
        <v>69</v>
      </c>
      <c r="C37" s="18">
        <v>36828</v>
      </c>
      <c r="D37" s="18">
        <v>0</v>
      </c>
      <c r="E37" s="18">
        <v>0</v>
      </c>
      <c r="F37" s="19">
        <f t="shared" si="3"/>
        <v>36828</v>
      </c>
      <c r="G37" s="30">
        <f t="shared" si="20"/>
        <v>4.4175569123004479E-2</v>
      </c>
      <c r="H37" s="18">
        <v>36828</v>
      </c>
      <c r="I37" s="18"/>
      <c r="J37" s="18">
        <v>0</v>
      </c>
      <c r="K37" s="18"/>
      <c r="L37" s="18">
        <v>0</v>
      </c>
      <c r="M37" s="18"/>
      <c r="N37" s="19">
        <f t="shared" si="6"/>
        <v>36828</v>
      </c>
      <c r="O37" s="19">
        <f t="shared" si="7"/>
        <v>0</v>
      </c>
      <c r="P37" s="19">
        <f t="shared" si="8"/>
        <v>36828</v>
      </c>
      <c r="Q37" s="30">
        <f t="shared" si="22"/>
        <v>4.4531406521718074E-2</v>
      </c>
    </row>
    <row r="38" spans="1:17" x14ac:dyDescent="0.25">
      <c r="A38" s="16" t="s">
        <v>70</v>
      </c>
      <c r="B38" s="17" t="s">
        <v>71</v>
      </c>
      <c r="C38" s="18">
        <v>111524</v>
      </c>
      <c r="D38" s="18">
        <v>0</v>
      </c>
      <c r="E38" s="18">
        <v>0</v>
      </c>
      <c r="F38" s="19">
        <f t="shared" si="3"/>
        <v>111524</v>
      </c>
      <c r="G38" s="30">
        <f t="shared" si="20"/>
        <v>0.13377419818817071</v>
      </c>
      <c r="H38" s="18">
        <v>111524</v>
      </c>
      <c r="I38" s="18"/>
      <c r="J38" s="18">
        <v>0</v>
      </c>
      <c r="K38" s="18"/>
      <c r="L38" s="18">
        <v>0</v>
      </c>
      <c r="M38" s="18"/>
      <c r="N38" s="19">
        <f t="shared" si="6"/>
        <v>111524</v>
      </c>
      <c r="O38" s="19">
        <f t="shared" si="7"/>
        <v>0</v>
      </c>
      <c r="P38" s="19">
        <f t="shared" si="8"/>
        <v>111524</v>
      </c>
      <c r="Q38" s="30">
        <f t="shared" si="22"/>
        <v>0.13485175901292731</v>
      </c>
    </row>
    <row r="39" spans="1:17" ht="41.4" x14ac:dyDescent="0.25">
      <c r="A39" s="26" t="s">
        <v>72</v>
      </c>
      <c r="B39" s="31" t="s">
        <v>73</v>
      </c>
      <c r="C39" s="28">
        <f>SUM(C40:C46)</f>
        <v>1094122</v>
      </c>
      <c r="D39" s="28">
        <f t="shared" ref="D39:E39" si="25">SUM(D40:D46)</f>
        <v>28316</v>
      </c>
      <c r="E39" s="28">
        <f t="shared" si="25"/>
        <v>0</v>
      </c>
      <c r="F39" s="28">
        <f t="shared" si="3"/>
        <v>1122438</v>
      </c>
      <c r="G39" s="29">
        <f t="shared" si="20"/>
        <v>1.3463760577627593</v>
      </c>
      <c r="H39" s="28">
        <f>SUM(H40:H46)</f>
        <v>1094122</v>
      </c>
      <c r="I39" s="28">
        <f>SUM(I40:I46)</f>
        <v>-34819</v>
      </c>
      <c r="J39" s="28">
        <f t="shared" ref="J39:M39" si="26">SUM(J40:J46)</f>
        <v>28316</v>
      </c>
      <c r="K39" s="28">
        <f t="shared" si="26"/>
        <v>0</v>
      </c>
      <c r="L39" s="28">
        <f t="shared" si="26"/>
        <v>0</v>
      </c>
      <c r="M39" s="28">
        <f t="shared" si="26"/>
        <v>0</v>
      </c>
      <c r="N39" s="28">
        <f t="shared" si="6"/>
        <v>1122438</v>
      </c>
      <c r="O39" s="28">
        <f t="shared" si="7"/>
        <v>-34819</v>
      </c>
      <c r="P39" s="28">
        <f t="shared" si="8"/>
        <v>1087619</v>
      </c>
      <c r="Q39" s="29">
        <f t="shared" si="22"/>
        <v>1.3151190352379845</v>
      </c>
    </row>
    <row r="40" spans="1:17" x14ac:dyDescent="0.25">
      <c r="A40" s="16" t="s">
        <v>54</v>
      </c>
      <c r="B40" s="17" t="s">
        <v>55</v>
      </c>
      <c r="C40" s="18">
        <v>788765</v>
      </c>
      <c r="D40" s="18">
        <v>18737</v>
      </c>
      <c r="E40" s="18">
        <v>0</v>
      </c>
      <c r="F40" s="19">
        <f t="shared" si="3"/>
        <v>807502</v>
      </c>
      <c r="G40" s="30">
        <f t="shared" si="20"/>
        <v>0.96860704947225917</v>
      </c>
      <c r="H40" s="18">
        <v>788765</v>
      </c>
      <c r="I40" s="18">
        <v>-22600</v>
      </c>
      <c r="J40" s="18">
        <v>18737</v>
      </c>
      <c r="K40" s="18"/>
      <c r="L40" s="18">
        <v>0</v>
      </c>
      <c r="M40" s="18"/>
      <c r="N40" s="19">
        <f t="shared" ref="N40:N71" si="27">H40+J40+L40</f>
        <v>807502</v>
      </c>
      <c r="O40" s="19">
        <f t="shared" si="7"/>
        <v>-22600</v>
      </c>
      <c r="P40" s="19">
        <f t="shared" si="8"/>
        <v>784902</v>
      </c>
      <c r="Q40" s="30">
        <f t="shared" si="22"/>
        <v>0.9490819496499826</v>
      </c>
    </row>
    <row r="41" spans="1:17" ht="26.4" x14ac:dyDescent="0.25">
      <c r="A41" s="16" t="s">
        <v>56</v>
      </c>
      <c r="B41" s="17" t="s">
        <v>57</v>
      </c>
      <c r="C41" s="18">
        <v>236545</v>
      </c>
      <c r="D41" s="18">
        <v>4573</v>
      </c>
      <c r="E41" s="18">
        <v>0</v>
      </c>
      <c r="F41" s="19">
        <f t="shared" si="3"/>
        <v>241118</v>
      </c>
      <c r="G41" s="30">
        <f t="shared" si="20"/>
        <v>0.28922354935919936</v>
      </c>
      <c r="H41" s="18">
        <v>236545</v>
      </c>
      <c r="I41" s="18">
        <v>-5332</v>
      </c>
      <c r="J41" s="18">
        <v>4573</v>
      </c>
      <c r="K41" s="18"/>
      <c r="L41" s="18">
        <v>0</v>
      </c>
      <c r="M41" s="18"/>
      <c r="N41" s="19">
        <f t="shared" si="27"/>
        <v>241118</v>
      </c>
      <c r="O41" s="19">
        <f t="shared" si="7"/>
        <v>-5332</v>
      </c>
      <c r="P41" s="19">
        <f t="shared" si="8"/>
        <v>235786</v>
      </c>
      <c r="Q41" s="30">
        <f t="shared" si="22"/>
        <v>0.28510595791598292</v>
      </c>
    </row>
    <row r="42" spans="1:17" x14ac:dyDescent="0.25">
      <c r="A42" s="16" t="s">
        <v>58</v>
      </c>
      <c r="B42" s="17" t="s">
        <v>59</v>
      </c>
      <c r="C42" s="18">
        <v>1900</v>
      </c>
      <c r="D42" s="18">
        <v>0</v>
      </c>
      <c r="E42" s="18">
        <v>0</v>
      </c>
      <c r="F42" s="19">
        <f t="shared" si="3"/>
        <v>1900</v>
      </c>
      <c r="G42" s="30">
        <f t="shared" si="20"/>
        <v>2.279069765768125E-3</v>
      </c>
      <c r="H42" s="18">
        <v>1900</v>
      </c>
      <c r="I42" s="18">
        <v>-1400</v>
      </c>
      <c r="J42" s="18">
        <v>0</v>
      </c>
      <c r="K42" s="18"/>
      <c r="L42" s="18">
        <v>0</v>
      </c>
      <c r="M42" s="18"/>
      <c r="N42" s="19">
        <f t="shared" si="27"/>
        <v>1900</v>
      </c>
      <c r="O42" s="19">
        <f t="shared" si="7"/>
        <v>-1400</v>
      </c>
      <c r="P42" s="19">
        <f t="shared" si="8"/>
        <v>500</v>
      </c>
      <c r="Q42" s="30">
        <f t="shared" si="22"/>
        <v>6.045862729678244E-4</v>
      </c>
    </row>
    <row r="43" spans="1:17" x14ac:dyDescent="0.25">
      <c r="A43" s="16" t="s">
        <v>60</v>
      </c>
      <c r="B43" s="17" t="s">
        <v>61</v>
      </c>
      <c r="C43" s="18">
        <v>50570</v>
      </c>
      <c r="D43" s="18">
        <v>0</v>
      </c>
      <c r="E43" s="18">
        <v>0</v>
      </c>
      <c r="F43" s="19">
        <f t="shared" si="3"/>
        <v>50570</v>
      </c>
      <c r="G43" s="30">
        <f t="shared" si="20"/>
        <v>6.0659241081523201E-2</v>
      </c>
      <c r="H43" s="18">
        <v>50570</v>
      </c>
      <c r="I43" s="18">
        <v>-4964</v>
      </c>
      <c r="J43" s="18">
        <v>0</v>
      </c>
      <c r="K43" s="18"/>
      <c r="L43" s="18">
        <v>0</v>
      </c>
      <c r="M43" s="18"/>
      <c r="N43" s="19">
        <f t="shared" si="27"/>
        <v>50570</v>
      </c>
      <c r="O43" s="19">
        <f t="shared" si="7"/>
        <v>-4964</v>
      </c>
      <c r="P43" s="19">
        <f t="shared" si="8"/>
        <v>45606</v>
      </c>
      <c r="Q43" s="30">
        <f t="shared" si="22"/>
        <v>5.5145523129941199E-2</v>
      </c>
    </row>
    <row r="44" spans="1:17" ht="26.4" x14ac:dyDescent="0.25">
      <c r="A44" s="16" t="s">
        <v>62</v>
      </c>
      <c r="B44" s="17" t="s">
        <v>63</v>
      </c>
      <c r="C44" s="18">
        <v>9542</v>
      </c>
      <c r="D44" s="18">
        <v>5006</v>
      </c>
      <c r="E44" s="18">
        <v>0</v>
      </c>
      <c r="F44" s="19">
        <f t="shared" si="3"/>
        <v>14548</v>
      </c>
      <c r="G44" s="30">
        <f t="shared" si="20"/>
        <v>1.7450477343365623E-2</v>
      </c>
      <c r="H44" s="18">
        <v>9542</v>
      </c>
      <c r="I44" s="18">
        <v>-440</v>
      </c>
      <c r="J44" s="18">
        <v>5006</v>
      </c>
      <c r="K44" s="18"/>
      <c r="L44" s="18">
        <v>0</v>
      </c>
      <c r="M44" s="18"/>
      <c r="N44" s="19">
        <f t="shared" si="27"/>
        <v>14548</v>
      </c>
      <c r="O44" s="19">
        <f t="shared" si="7"/>
        <v>-440</v>
      </c>
      <c r="P44" s="19">
        <f t="shared" si="8"/>
        <v>14108</v>
      </c>
      <c r="Q44" s="30">
        <f t="shared" si="22"/>
        <v>1.7059006278060132E-2</v>
      </c>
    </row>
    <row r="45" spans="1:17" x14ac:dyDescent="0.25">
      <c r="A45" s="16" t="s">
        <v>64</v>
      </c>
      <c r="B45" s="17" t="s">
        <v>65</v>
      </c>
      <c r="C45" s="18">
        <v>700</v>
      </c>
      <c r="D45" s="18">
        <v>0</v>
      </c>
      <c r="E45" s="18">
        <v>0</v>
      </c>
      <c r="F45" s="19">
        <f t="shared" si="3"/>
        <v>700</v>
      </c>
      <c r="G45" s="30">
        <f t="shared" si="20"/>
        <v>8.3965728212509873E-4</v>
      </c>
      <c r="H45" s="18">
        <v>700</v>
      </c>
      <c r="I45" s="18"/>
      <c r="J45" s="18">
        <v>0</v>
      </c>
      <c r="K45" s="18"/>
      <c r="L45" s="18">
        <v>0</v>
      </c>
      <c r="M45" s="18"/>
      <c r="N45" s="19">
        <f t="shared" si="27"/>
        <v>700</v>
      </c>
      <c r="O45" s="19">
        <f t="shared" si="7"/>
        <v>0</v>
      </c>
      <c r="P45" s="19">
        <f t="shared" si="8"/>
        <v>700</v>
      </c>
      <c r="Q45" s="30">
        <f t="shared" si="22"/>
        <v>8.4642078215495416E-4</v>
      </c>
    </row>
    <row r="46" spans="1:17" x14ac:dyDescent="0.25">
      <c r="A46" s="16" t="s">
        <v>66</v>
      </c>
      <c r="B46" s="17" t="s">
        <v>67</v>
      </c>
      <c r="C46" s="18">
        <v>6100</v>
      </c>
      <c r="D46" s="18">
        <v>0</v>
      </c>
      <c r="E46" s="18">
        <v>0</v>
      </c>
      <c r="F46" s="19">
        <f t="shared" si="3"/>
        <v>6100</v>
      </c>
      <c r="G46" s="30">
        <f t="shared" si="20"/>
        <v>7.3170134585187167E-3</v>
      </c>
      <c r="H46" s="18">
        <v>6100</v>
      </c>
      <c r="I46" s="18">
        <v>-83</v>
      </c>
      <c r="J46" s="18">
        <v>0</v>
      </c>
      <c r="K46" s="18"/>
      <c r="L46" s="18">
        <v>0</v>
      </c>
      <c r="M46" s="18"/>
      <c r="N46" s="19">
        <f t="shared" si="27"/>
        <v>6100</v>
      </c>
      <c r="O46" s="19">
        <f t="shared" si="7"/>
        <v>-83</v>
      </c>
      <c r="P46" s="19">
        <f t="shared" si="8"/>
        <v>6017</v>
      </c>
      <c r="Q46" s="30">
        <f t="shared" si="22"/>
        <v>7.2755912088947987E-3</v>
      </c>
    </row>
    <row r="47" spans="1:17" ht="13.8" x14ac:dyDescent="0.25">
      <c r="A47" s="26" t="s">
        <v>74</v>
      </c>
      <c r="B47" s="31" t="s">
        <v>75</v>
      </c>
      <c r="C47" s="28">
        <f>SUM(C48:C50)</f>
        <v>0</v>
      </c>
      <c r="D47" s="28">
        <f>SUM(D48:D50)</f>
        <v>6005</v>
      </c>
      <c r="E47" s="28">
        <f>SUM(E48:E50)</f>
        <v>0</v>
      </c>
      <c r="F47" s="28">
        <f t="shared" si="3"/>
        <v>6005</v>
      </c>
      <c r="G47" s="29">
        <f t="shared" si="20"/>
        <v>7.2030599702303105E-3</v>
      </c>
      <c r="H47" s="28">
        <f t="shared" ref="H47:M47" si="28">SUM(H48:H50)</f>
        <v>0</v>
      </c>
      <c r="I47" s="28">
        <f t="shared" si="28"/>
        <v>0</v>
      </c>
      <c r="J47" s="28">
        <f t="shared" si="28"/>
        <v>6005</v>
      </c>
      <c r="K47" s="28">
        <f t="shared" si="28"/>
        <v>112873</v>
      </c>
      <c r="L47" s="28">
        <f t="shared" si="28"/>
        <v>0</v>
      </c>
      <c r="M47" s="28">
        <f t="shared" si="28"/>
        <v>0</v>
      </c>
      <c r="N47" s="28">
        <f t="shared" si="27"/>
        <v>6005</v>
      </c>
      <c r="O47" s="28">
        <f t="shared" si="7"/>
        <v>112873</v>
      </c>
      <c r="P47" s="28">
        <f t="shared" si="8"/>
        <v>118878</v>
      </c>
      <c r="Q47" s="29">
        <f t="shared" si="22"/>
        <v>0.14374401391573807</v>
      </c>
    </row>
    <row r="48" spans="1:17" x14ac:dyDescent="0.25">
      <c r="A48" s="16" t="s">
        <v>54</v>
      </c>
      <c r="B48" s="17" t="s">
        <v>55</v>
      </c>
      <c r="C48" s="18">
        <v>0</v>
      </c>
      <c r="D48" s="18">
        <v>4050</v>
      </c>
      <c r="E48" s="18">
        <v>0</v>
      </c>
      <c r="F48" s="19">
        <f t="shared" si="3"/>
        <v>4050</v>
      </c>
      <c r="G48" s="30">
        <f t="shared" si="20"/>
        <v>4.8580171322952139E-3</v>
      </c>
      <c r="H48" s="18">
        <v>0</v>
      </c>
      <c r="I48" s="18"/>
      <c r="J48" s="18">
        <v>4050</v>
      </c>
      <c r="K48" s="18">
        <v>85377</v>
      </c>
      <c r="L48" s="18">
        <v>0</v>
      </c>
      <c r="M48" s="18"/>
      <c r="N48" s="19">
        <f t="shared" si="27"/>
        <v>4050</v>
      </c>
      <c r="O48" s="19">
        <f t="shared" si="7"/>
        <v>85377</v>
      </c>
      <c r="P48" s="19">
        <f t="shared" si="8"/>
        <v>89427</v>
      </c>
      <c r="Q48" s="30">
        <f t="shared" si="22"/>
        <v>0.10813267326538727</v>
      </c>
    </row>
    <row r="49" spans="1:17" ht="26.4" x14ac:dyDescent="0.25">
      <c r="A49" s="16" t="s">
        <v>56</v>
      </c>
      <c r="B49" s="17" t="s">
        <v>57</v>
      </c>
      <c r="C49" s="18">
        <v>0</v>
      </c>
      <c r="D49" s="18">
        <v>955</v>
      </c>
      <c r="E49" s="18">
        <v>0</v>
      </c>
      <c r="F49" s="19">
        <f t="shared" si="3"/>
        <v>955</v>
      </c>
      <c r="G49" s="30">
        <f t="shared" si="20"/>
        <v>1.1455324348992417E-3</v>
      </c>
      <c r="H49" s="18">
        <v>0</v>
      </c>
      <c r="I49" s="18"/>
      <c r="J49" s="18">
        <v>955</v>
      </c>
      <c r="K49" s="18">
        <v>20124</v>
      </c>
      <c r="L49" s="18">
        <v>0</v>
      </c>
      <c r="M49" s="18"/>
      <c r="N49" s="19">
        <f t="shared" si="27"/>
        <v>955</v>
      </c>
      <c r="O49" s="19">
        <f t="shared" si="7"/>
        <v>20124</v>
      </c>
      <c r="P49" s="19">
        <f t="shared" si="8"/>
        <v>21079</v>
      </c>
      <c r="Q49" s="30">
        <f t="shared" si="22"/>
        <v>2.5488148095777541E-2</v>
      </c>
    </row>
    <row r="50" spans="1:17" ht="26.4" x14ac:dyDescent="0.25">
      <c r="A50" s="16" t="s">
        <v>62</v>
      </c>
      <c r="B50" s="17" t="s">
        <v>63</v>
      </c>
      <c r="C50" s="18">
        <v>0</v>
      </c>
      <c r="D50" s="18">
        <v>1000</v>
      </c>
      <c r="E50" s="18">
        <v>0</v>
      </c>
      <c r="F50" s="19">
        <f t="shared" si="3"/>
        <v>1000</v>
      </c>
      <c r="G50" s="30">
        <f t="shared" si="20"/>
        <v>1.1995104030358553E-3</v>
      </c>
      <c r="H50" s="18">
        <v>0</v>
      </c>
      <c r="I50" s="18"/>
      <c r="J50" s="18">
        <v>1000</v>
      </c>
      <c r="K50" s="18">
        <v>7372</v>
      </c>
      <c r="L50" s="18">
        <v>0</v>
      </c>
      <c r="M50" s="18"/>
      <c r="N50" s="19">
        <f t="shared" si="27"/>
        <v>1000</v>
      </c>
      <c r="O50" s="19">
        <f t="shared" si="7"/>
        <v>7372</v>
      </c>
      <c r="P50" s="19">
        <f t="shared" si="8"/>
        <v>8372</v>
      </c>
      <c r="Q50" s="30">
        <f t="shared" si="22"/>
        <v>1.0123192554573252E-2</v>
      </c>
    </row>
    <row r="51" spans="1:17" ht="27.6" x14ac:dyDescent="0.25">
      <c r="A51" s="26" t="s">
        <v>76</v>
      </c>
      <c r="B51" s="31" t="s">
        <v>77</v>
      </c>
      <c r="C51" s="28">
        <f>C52+C53</f>
        <v>1172595</v>
      </c>
      <c r="D51" s="28">
        <f t="shared" ref="D51:E51" si="29">D52+D53</f>
        <v>0</v>
      </c>
      <c r="E51" s="28">
        <f t="shared" si="29"/>
        <v>0</v>
      </c>
      <c r="F51" s="28">
        <f t="shared" si="3"/>
        <v>1172595</v>
      </c>
      <c r="G51" s="29">
        <f t="shared" si="20"/>
        <v>1.4065399010478288</v>
      </c>
      <c r="H51" s="28">
        <f>H52+H53</f>
        <v>1172595</v>
      </c>
      <c r="I51" s="28">
        <f>I52+I53</f>
        <v>0</v>
      </c>
      <c r="J51" s="28">
        <f t="shared" ref="J51:M51" si="30">J52+J53</f>
        <v>0</v>
      </c>
      <c r="K51" s="28">
        <f t="shared" si="30"/>
        <v>0</v>
      </c>
      <c r="L51" s="28">
        <f t="shared" si="30"/>
        <v>0</v>
      </c>
      <c r="M51" s="28">
        <f t="shared" si="30"/>
        <v>0</v>
      </c>
      <c r="N51" s="28">
        <f t="shared" si="27"/>
        <v>1172595</v>
      </c>
      <c r="O51" s="28">
        <f t="shared" si="7"/>
        <v>0</v>
      </c>
      <c r="P51" s="28">
        <f t="shared" si="8"/>
        <v>1172595</v>
      </c>
      <c r="Q51" s="29">
        <f t="shared" si="22"/>
        <v>1.4178696815014122</v>
      </c>
    </row>
    <row r="52" spans="1:17" x14ac:dyDescent="0.25">
      <c r="A52" s="16" t="s">
        <v>60</v>
      </c>
      <c r="B52" s="17" t="s">
        <v>61</v>
      </c>
      <c r="C52" s="18">
        <v>34475</v>
      </c>
      <c r="D52" s="18">
        <v>0</v>
      </c>
      <c r="E52" s="18">
        <v>0</v>
      </c>
      <c r="F52" s="19">
        <f t="shared" si="3"/>
        <v>34475</v>
      </c>
      <c r="G52" s="30">
        <f t="shared" si="20"/>
        <v>4.1353121144661109E-2</v>
      </c>
      <c r="H52" s="18">
        <v>34475</v>
      </c>
      <c r="I52" s="18"/>
      <c r="J52" s="18">
        <v>0</v>
      </c>
      <c r="K52" s="18"/>
      <c r="L52" s="18">
        <v>0</v>
      </c>
      <c r="M52" s="18"/>
      <c r="N52" s="19">
        <f t="shared" si="27"/>
        <v>34475</v>
      </c>
      <c r="O52" s="19">
        <f t="shared" si="7"/>
        <v>0</v>
      </c>
      <c r="P52" s="19">
        <f t="shared" si="8"/>
        <v>34475</v>
      </c>
      <c r="Q52" s="30">
        <f t="shared" si="22"/>
        <v>4.1686223521131494E-2</v>
      </c>
    </row>
    <row r="53" spans="1:17" x14ac:dyDescent="0.25">
      <c r="A53" s="16" t="s">
        <v>78</v>
      </c>
      <c r="B53" s="17" t="s">
        <v>79</v>
      </c>
      <c r="C53" s="18">
        <v>1138120</v>
      </c>
      <c r="D53" s="18">
        <v>0</v>
      </c>
      <c r="E53" s="18">
        <v>0</v>
      </c>
      <c r="F53" s="19">
        <f t="shared" si="3"/>
        <v>1138120</v>
      </c>
      <c r="G53" s="30">
        <f t="shared" si="20"/>
        <v>1.3651867799031676</v>
      </c>
      <c r="H53" s="18">
        <v>1138120</v>
      </c>
      <c r="I53" s="18"/>
      <c r="J53" s="18">
        <v>0</v>
      </c>
      <c r="K53" s="18"/>
      <c r="L53" s="18">
        <v>0</v>
      </c>
      <c r="M53" s="18"/>
      <c r="N53" s="19">
        <f t="shared" si="27"/>
        <v>1138120</v>
      </c>
      <c r="O53" s="19">
        <f t="shared" si="7"/>
        <v>0</v>
      </c>
      <c r="P53" s="19">
        <f t="shared" si="8"/>
        <v>1138120</v>
      </c>
      <c r="Q53" s="30">
        <f t="shared" si="22"/>
        <v>1.3761834579802807</v>
      </c>
    </row>
    <row r="54" spans="1:17" ht="13.8" x14ac:dyDescent="0.25">
      <c r="A54" s="22" t="s">
        <v>80</v>
      </c>
      <c r="B54" s="23" t="s">
        <v>81</v>
      </c>
      <c r="C54" s="24">
        <f>C55+C63</f>
        <v>714525</v>
      </c>
      <c r="D54" s="24">
        <f t="shared" ref="D54:E54" si="31">D55+D63</f>
        <v>0</v>
      </c>
      <c r="E54" s="24">
        <f t="shared" si="31"/>
        <v>15000</v>
      </c>
      <c r="F54" s="24">
        <f t="shared" si="3"/>
        <v>729525</v>
      </c>
      <c r="G54" s="25">
        <f t="shared" si="20"/>
        <v>0.8750728267747323</v>
      </c>
      <c r="H54" s="24">
        <f>H55+H63</f>
        <v>714525</v>
      </c>
      <c r="I54" s="24">
        <f>I55+I63</f>
        <v>-15574</v>
      </c>
      <c r="J54" s="24">
        <f t="shared" ref="J54:M54" si="32">J55+J63</f>
        <v>0</v>
      </c>
      <c r="K54" s="24">
        <f t="shared" si="32"/>
        <v>0</v>
      </c>
      <c r="L54" s="24">
        <f t="shared" si="32"/>
        <v>15000</v>
      </c>
      <c r="M54" s="24">
        <f t="shared" si="32"/>
        <v>-10000</v>
      </c>
      <c r="N54" s="24">
        <f t="shared" si="27"/>
        <v>729525</v>
      </c>
      <c r="O54" s="24">
        <f t="shared" si="7"/>
        <v>-25574</v>
      </c>
      <c r="P54" s="24">
        <f t="shared" si="8"/>
        <v>703951</v>
      </c>
      <c r="Q54" s="25">
        <f t="shared" si="22"/>
        <v>0.85119822288394598</v>
      </c>
    </row>
    <row r="55" spans="1:17" ht="13.8" x14ac:dyDescent="0.25">
      <c r="A55" s="26" t="s">
        <v>82</v>
      </c>
      <c r="B55" s="32" t="s">
        <v>83</v>
      </c>
      <c r="C55" s="28">
        <f>SUM(C56:C62)</f>
        <v>626050</v>
      </c>
      <c r="D55" s="28">
        <f t="shared" ref="D55:E55" si="33">SUM(D56:D62)</f>
        <v>0</v>
      </c>
      <c r="E55" s="28">
        <f t="shared" si="33"/>
        <v>15000</v>
      </c>
      <c r="F55" s="28">
        <f t="shared" si="3"/>
        <v>641050</v>
      </c>
      <c r="G55" s="29">
        <f t="shared" si="20"/>
        <v>0.76894614386613502</v>
      </c>
      <c r="H55" s="28">
        <f>SUM(H56:H62)</f>
        <v>626050</v>
      </c>
      <c r="I55" s="28">
        <f>SUM(I56:I62)</f>
        <v>-15574</v>
      </c>
      <c r="J55" s="28">
        <f t="shared" ref="J55:M55" si="34">SUM(J56:J62)</f>
        <v>0</v>
      </c>
      <c r="K55" s="28">
        <f t="shared" si="34"/>
        <v>0</v>
      </c>
      <c r="L55" s="28">
        <f t="shared" si="34"/>
        <v>15000</v>
      </c>
      <c r="M55" s="28">
        <f t="shared" si="34"/>
        <v>-10000</v>
      </c>
      <c r="N55" s="28">
        <f t="shared" si="27"/>
        <v>641050</v>
      </c>
      <c r="O55" s="28">
        <f t="shared" si="7"/>
        <v>-25574</v>
      </c>
      <c r="P55" s="28">
        <f t="shared" si="8"/>
        <v>615476</v>
      </c>
      <c r="Q55" s="29">
        <f t="shared" si="22"/>
        <v>0.7442166818822894</v>
      </c>
    </row>
    <row r="56" spans="1:17" x14ac:dyDescent="0.25">
      <c r="A56" s="16" t="s">
        <v>54</v>
      </c>
      <c r="B56" s="17" t="s">
        <v>55</v>
      </c>
      <c r="C56" s="18">
        <v>360793</v>
      </c>
      <c r="D56" s="18">
        <v>0</v>
      </c>
      <c r="E56" s="18">
        <v>0</v>
      </c>
      <c r="F56" s="19">
        <f t="shared" si="3"/>
        <v>360793</v>
      </c>
      <c r="G56" s="30">
        <f t="shared" si="20"/>
        <v>0.43277495684251532</v>
      </c>
      <c r="H56" s="18">
        <v>360793</v>
      </c>
      <c r="I56" s="18">
        <v>-4975</v>
      </c>
      <c r="J56" s="18">
        <v>0</v>
      </c>
      <c r="K56" s="18"/>
      <c r="L56" s="18">
        <v>0</v>
      </c>
      <c r="M56" s="18"/>
      <c r="N56" s="19">
        <f t="shared" si="27"/>
        <v>360793</v>
      </c>
      <c r="O56" s="19">
        <f t="shared" si="7"/>
        <v>-4975</v>
      </c>
      <c r="P56" s="19">
        <f t="shared" si="8"/>
        <v>355818</v>
      </c>
      <c r="Q56" s="30">
        <f t="shared" si="22"/>
        <v>0.43024535694973071</v>
      </c>
    </row>
    <row r="57" spans="1:17" ht="26.4" x14ac:dyDescent="0.25">
      <c r="A57" s="16" t="s">
        <v>56</v>
      </c>
      <c r="B57" s="17" t="s">
        <v>57</v>
      </c>
      <c r="C57" s="18">
        <v>135080</v>
      </c>
      <c r="D57" s="18">
        <v>0</v>
      </c>
      <c r="E57" s="18">
        <v>0</v>
      </c>
      <c r="F57" s="19">
        <f t="shared" si="3"/>
        <v>135080</v>
      </c>
      <c r="G57" s="30">
        <f t="shared" si="20"/>
        <v>0.16202986524208332</v>
      </c>
      <c r="H57" s="18">
        <v>135080</v>
      </c>
      <c r="I57" s="18">
        <v>-1174</v>
      </c>
      <c r="J57" s="18">
        <v>0</v>
      </c>
      <c r="K57" s="18"/>
      <c r="L57" s="18">
        <v>0</v>
      </c>
      <c r="M57" s="18"/>
      <c r="N57" s="19">
        <f t="shared" si="27"/>
        <v>135080</v>
      </c>
      <c r="O57" s="19">
        <f t="shared" si="7"/>
        <v>-1174</v>
      </c>
      <c r="P57" s="19">
        <f t="shared" si="8"/>
        <v>133906</v>
      </c>
      <c r="Q57" s="30">
        <f t="shared" si="22"/>
        <v>0.16191545893605899</v>
      </c>
    </row>
    <row r="58" spans="1:17" x14ac:dyDescent="0.25">
      <c r="A58" s="16" t="s">
        <v>58</v>
      </c>
      <c r="B58" s="17" t="s">
        <v>59</v>
      </c>
      <c r="C58" s="18">
        <v>680</v>
      </c>
      <c r="D58" s="18">
        <v>0</v>
      </c>
      <c r="E58" s="18">
        <v>0</v>
      </c>
      <c r="F58" s="19">
        <f t="shared" si="3"/>
        <v>680</v>
      </c>
      <c r="G58" s="30">
        <f t="shared" si="20"/>
        <v>8.1566707406438154E-4</v>
      </c>
      <c r="H58" s="18">
        <v>680</v>
      </c>
      <c r="I58" s="18">
        <v>-425</v>
      </c>
      <c r="J58" s="18">
        <v>0</v>
      </c>
      <c r="K58" s="18"/>
      <c r="L58" s="18">
        <v>0</v>
      </c>
      <c r="M58" s="18"/>
      <c r="N58" s="19">
        <f t="shared" si="27"/>
        <v>680</v>
      </c>
      <c r="O58" s="19">
        <f t="shared" si="7"/>
        <v>-425</v>
      </c>
      <c r="P58" s="19">
        <f t="shared" si="8"/>
        <v>255</v>
      </c>
      <c r="Q58" s="30">
        <f t="shared" si="22"/>
        <v>3.0833899921359046E-4</v>
      </c>
    </row>
    <row r="59" spans="1:17" x14ac:dyDescent="0.25">
      <c r="A59" s="16" t="s">
        <v>60</v>
      </c>
      <c r="B59" s="17" t="s">
        <v>61</v>
      </c>
      <c r="C59" s="18">
        <v>50201</v>
      </c>
      <c r="D59" s="18">
        <v>0</v>
      </c>
      <c r="E59" s="18">
        <v>0</v>
      </c>
      <c r="F59" s="19">
        <f t="shared" si="3"/>
        <v>50201</v>
      </c>
      <c r="G59" s="30">
        <f t="shared" si="20"/>
        <v>6.021662174280297E-2</v>
      </c>
      <c r="H59" s="18">
        <v>50201</v>
      </c>
      <c r="I59" s="18"/>
      <c r="J59" s="18">
        <v>0</v>
      </c>
      <c r="K59" s="18"/>
      <c r="L59" s="18">
        <v>0</v>
      </c>
      <c r="M59" s="18"/>
      <c r="N59" s="19">
        <f t="shared" si="27"/>
        <v>50201</v>
      </c>
      <c r="O59" s="19">
        <f t="shared" si="7"/>
        <v>0</v>
      </c>
      <c r="P59" s="19">
        <f t="shared" si="8"/>
        <v>50201</v>
      </c>
      <c r="Q59" s="30">
        <f t="shared" si="22"/>
        <v>6.0701670978515504E-2</v>
      </c>
    </row>
    <row r="60" spans="1:17" ht="26.4" x14ac:dyDescent="0.25">
      <c r="A60" s="16" t="s">
        <v>62</v>
      </c>
      <c r="B60" s="17" t="s">
        <v>63</v>
      </c>
      <c r="C60" s="18">
        <v>75386</v>
      </c>
      <c r="D60" s="18">
        <v>0</v>
      </c>
      <c r="E60" s="18">
        <v>0</v>
      </c>
      <c r="F60" s="19">
        <f t="shared" si="3"/>
        <v>75386</v>
      </c>
      <c r="G60" s="30">
        <f t="shared" si="20"/>
        <v>9.0426291243260987E-2</v>
      </c>
      <c r="H60" s="18">
        <v>75386</v>
      </c>
      <c r="I60" s="18">
        <v>-9000</v>
      </c>
      <c r="J60" s="18">
        <v>0</v>
      </c>
      <c r="K60" s="18"/>
      <c r="L60" s="18">
        <v>0</v>
      </c>
      <c r="M60" s="18"/>
      <c r="N60" s="19">
        <f t="shared" si="27"/>
        <v>75386</v>
      </c>
      <c r="O60" s="19">
        <f t="shared" si="7"/>
        <v>-9000</v>
      </c>
      <c r="P60" s="19">
        <f t="shared" si="8"/>
        <v>66386</v>
      </c>
      <c r="Q60" s="30">
        <f t="shared" si="22"/>
        <v>8.0272128634483977E-2</v>
      </c>
    </row>
    <row r="61" spans="1:17" x14ac:dyDescent="0.25">
      <c r="A61" s="16" t="s">
        <v>64</v>
      </c>
      <c r="B61" s="17" t="s">
        <v>65</v>
      </c>
      <c r="C61" s="18">
        <v>1450</v>
      </c>
      <c r="D61" s="18">
        <v>0</v>
      </c>
      <c r="E61" s="18">
        <v>0</v>
      </c>
      <c r="F61" s="19">
        <f t="shared" si="3"/>
        <v>1450</v>
      </c>
      <c r="G61" s="30">
        <f t="shared" si="20"/>
        <v>1.7392900844019901E-3</v>
      </c>
      <c r="H61" s="18">
        <v>1450</v>
      </c>
      <c r="I61" s="18"/>
      <c r="J61" s="18">
        <v>0</v>
      </c>
      <c r="K61" s="18"/>
      <c r="L61" s="18">
        <v>0</v>
      </c>
      <c r="M61" s="18"/>
      <c r="N61" s="19">
        <f t="shared" si="27"/>
        <v>1450</v>
      </c>
      <c r="O61" s="19">
        <f t="shared" si="7"/>
        <v>0</v>
      </c>
      <c r="P61" s="19">
        <f t="shared" si="8"/>
        <v>1450</v>
      </c>
      <c r="Q61" s="30">
        <f t="shared" si="22"/>
        <v>1.7533001916066908E-3</v>
      </c>
    </row>
    <row r="62" spans="1:17" x14ac:dyDescent="0.25">
      <c r="A62" s="16" t="s">
        <v>66</v>
      </c>
      <c r="B62" s="17" t="s">
        <v>67</v>
      </c>
      <c r="C62" s="18">
        <v>2460</v>
      </c>
      <c r="D62" s="18">
        <v>0</v>
      </c>
      <c r="E62" s="18">
        <v>15000</v>
      </c>
      <c r="F62" s="19">
        <f t="shared" si="3"/>
        <v>17460</v>
      </c>
      <c r="G62" s="30">
        <f t="shared" si="20"/>
        <v>2.0943451637006033E-2</v>
      </c>
      <c r="H62" s="18">
        <v>2460</v>
      </c>
      <c r="I62" s="18"/>
      <c r="J62" s="18">
        <v>0</v>
      </c>
      <c r="K62" s="18"/>
      <c r="L62" s="18">
        <v>15000</v>
      </c>
      <c r="M62" s="18">
        <v>-10000</v>
      </c>
      <c r="N62" s="19">
        <f t="shared" si="27"/>
        <v>17460</v>
      </c>
      <c r="O62" s="19">
        <f>I62+K62+M62</f>
        <v>-10000</v>
      </c>
      <c r="P62" s="19">
        <f t="shared" si="8"/>
        <v>7460</v>
      </c>
      <c r="Q62" s="30">
        <f t="shared" si="22"/>
        <v>9.0204271926799407E-3</v>
      </c>
    </row>
    <row r="63" spans="1:17" ht="28.5" customHeight="1" x14ac:dyDescent="0.25">
      <c r="A63" s="26" t="s">
        <v>84</v>
      </c>
      <c r="B63" s="31" t="s">
        <v>85</v>
      </c>
      <c r="C63" s="28">
        <f>SUM(C64:C67)</f>
        <v>88475</v>
      </c>
      <c r="D63" s="28">
        <f t="shared" ref="D63:E63" si="35">SUM(D64:D67)</f>
        <v>0</v>
      </c>
      <c r="E63" s="28">
        <f t="shared" si="35"/>
        <v>0</v>
      </c>
      <c r="F63" s="28">
        <f t="shared" si="3"/>
        <v>88475</v>
      </c>
      <c r="G63" s="29">
        <f t="shared" si="20"/>
        <v>0.10612668290859729</v>
      </c>
      <c r="H63" s="28">
        <f>SUM(H64:H67)</f>
        <v>88475</v>
      </c>
      <c r="I63" s="28">
        <f>SUM(I64:I67)</f>
        <v>0</v>
      </c>
      <c r="J63" s="28">
        <f t="shared" ref="J63:M63" si="36">SUM(J64:J67)</f>
        <v>0</v>
      </c>
      <c r="K63" s="28">
        <f t="shared" si="36"/>
        <v>0</v>
      </c>
      <c r="L63" s="28">
        <f t="shared" si="36"/>
        <v>0</v>
      </c>
      <c r="M63" s="28">
        <f t="shared" si="36"/>
        <v>0</v>
      </c>
      <c r="N63" s="28">
        <f t="shared" si="27"/>
        <v>88475</v>
      </c>
      <c r="O63" s="28">
        <f t="shared" si="7"/>
        <v>0</v>
      </c>
      <c r="P63" s="28">
        <f t="shared" si="8"/>
        <v>88475</v>
      </c>
      <c r="Q63" s="29">
        <f t="shared" si="22"/>
        <v>0.10698154100165654</v>
      </c>
    </row>
    <row r="64" spans="1:17" x14ac:dyDescent="0.25">
      <c r="A64" s="16" t="s">
        <v>60</v>
      </c>
      <c r="B64" s="17" t="s">
        <v>61</v>
      </c>
      <c r="C64" s="18">
        <v>0</v>
      </c>
      <c r="D64" s="18">
        <v>0</v>
      </c>
      <c r="E64" s="18">
        <v>0</v>
      </c>
      <c r="F64" s="19">
        <f t="shared" si="3"/>
        <v>0</v>
      </c>
      <c r="G64" s="30">
        <f t="shared" si="20"/>
        <v>0</v>
      </c>
      <c r="H64" s="18">
        <v>0</v>
      </c>
      <c r="I64" s="18"/>
      <c r="J64" s="18">
        <v>0</v>
      </c>
      <c r="K64" s="18"/>
      <c r="L64" s="18">
        <v>0</v>
      </c>
      <c r="M64" s="18"/>
      <c r="N64" s="19">
        <f t="shared" si="27"/>
        <v>0</v>
      </c>
      <c r="O64" s="19">
        <f t="shared" si="7"/>
        <v>0</v>
      </c>
      <c r="P64" s="19">
        <f t="shared" si="8"/>
        <v>0</v>
      </c>
      <c r="Q64" s="30">
        <f t="shared" si="22"/>
        <v>0</v>
      </c>
    </row>
    <row r="65" spans="1:17" ht="26.4" x14ac:dyDescent="0.25">
      <c r="A65" s="16" t="s">
        <v>62</v>
      </c>
      <c r="B65" s="17" t="s">
        <v>63</v>
      </c>
      <c r="C65" s="18">
        <v>2525</v>
      </c>
      <c r="D65" s="18">
        <v>0</v>
      </c>
      <c r="E65" s="18">
        <v>0</v>
      </c>
      <c r="F65" s="19">
        <f t="shared" si="3"/>
        <v>2525</v>
      </c>
      <c r="G65" s="30">
        <f t="shared" si="20"/>
        <v>3.0287637676655347E-3</v>
      </c>
      <c r="H65" s="18">
        <v>2525</v>
      </c>
      <c r="I65" s="18"/>
      <c r="J65" s="18">
        <v>0</v>
      </c>
      <c r="K65" s="18"/>
      <c r="L65" s="18">
        <v>0</v>
      </c>
      <c r="M65" s="18"/>
      <c r="N65" s="19">
        <f t="shared" si="27"/>
        <v>2525</v>
      </c>
      <c r="O65" s="19">
        <f t="shared" si="7"/>
        <v>0</v>
      </c>
      <c r="P65" s="19">
        <f t="shared" si="8"/>
        <v>2525</v>
      </c>
      <c r="Q65" s="30">
        <f t="shared" si="22"/>
        <v>3.0531606784875132E-3</v>
      </c>
    </row>
    <row r="66" spans="1:17" x14ac:dyDescent="0.25">
      <c r="A66" s="16" t="s">
        <v>66</v>
      </c>
      <c r="B66" s="17" t="s">
        <v>67</v>
      </c>
      <c r="C66" s="18">
        <v>70450</v>
      </c>
      <c r="D66" s="18">
        <v>0</v>
      </c>
      <c r="E66" s="18">
        <v>0</v>
      </c>
      <c r="F66" s="19">
        <f t="shared" si="3"/>
        <v>70450</v>
      </c>
      <c r="G66" s="30">
        <f t="shared" si="20"/>
        <v>8.4505507893876008E-2</v>
      </c>
      <c r="H66" s="18">
        <v>70450</v>
      </c>
      <c r="I66" s="18"/>
      <c r="J66" s="18">
        <v>0</v>
      </c>
      <c r="K66" s="18"/>
      <c r="L66" s="18">
        <v>0</v>
      </c>
      <c r="M66" s="18"/>
      <c r="N66" s="19">
        <f t="shared" si="27"/>
        <v>70450</v>
      </c>
      <c r="O66" s="19">
        <f t="shared" si="7"/>
        <v>0</v>
      </c>
      <c r="P66" s="19">
        <f t="shared" si="8"/>
        <v>70450</v>
      </c>
      <c r="Q66" s="30">
        <f t="shared" si="22"/>
        <v>8.5186205861166459E-2</v>
      </c>
    </row>
    <row r="67" spans="1:17" x14ac:dyDescent="0.25">
      <c r="A67" s="16" t="s">
        <v>70</v>
      </c>
      <c r="B67" s="17" t="s">
        <v>71</v>
      </c>
      <c r="C67" s="18">
        <v>15500</v>
      </c>
      <c r="D67" s="18">
        <v>0</v>
      </c>
      <c r="E67" s="18">
        <v>0</v>
      </c>
      <c r="F67" s="19">
        <f t="shared" si="3"/>
        <v>15500</v>
      </c>
      <c r="G67" s="30">
        <f t="shared" si="20"/>
        <v>1.8592411247055757E-2</v>
      </c>
      <c r="H67" s="18">
        <v>15500</v>
      </c>
      <c r="I67" s="18"/>
      <c r="J67" s="18">
        <v>0</v>
      </c>
      <c r="K67" s="18"/>
      <c r="L67" s="18">
        <v>0</v>
      </c>
      <c r="M67" s="18"/>
      <c r="N67" s="19">
        <f t="shared" si="27"/>
        <v>15500</v>
      </c>
      <c r="O67" s="19">
        <f t="shared" si="7"/>
        <v>0</v>
      </c>
      <c r="P67" s="19">
        <f t="shared" si="8"/>
        <v>15500</v>
      </c>
      <c r="Q67" s="30">
        <f t="shared" si="22"/>
        <v>1.8742174462002558E-2</v>
      </c>
    </row>
    <row r="68" spans="1:17" ht="13.8" x14ac:dyDescent="0.25">
      <c r="A68" s="22" t="s">
        <v>86</v>
      </c>
      <c r="B68" s="23" t="s">
        <v>87</v>
      </c>
      <c r="C68" s="24">
        <f>C69+C80+C88+C96+C101+C110</f>
        <v>4934045</v>
      </c>
      <c r="D68" s="24">
        <f t="shared" ref="D68:E68" si="37">D69+D80+D88+D96+D101+D110</f>
        <v>1393940</v>
      </c>
      <c r="E68" s="24">
        <f t="shared" si="37"/>
        <v>8703827</v>
      </c>
      <c r="F68" s="24">
        <f t="shared" si="3"/>
        <v>15031812</v>
      </c>
      <c r="G68" s="25">
        <f t="shared" si="20"/>
        <v>18.030814870479205</v>
      </c>
      <c r="H68" s="24">
        <f>H69+H80+H88+H96+H101+H110</f>
        <v>4934045</v>
      </c>
      <c r="I68" s="24">
        <f>I69+I80+I88+I96+I101+I110</f>
        <v>188510</v>
      </c>
      <c r="J68" s="24">
        <f t="shared" ref="J68:M68" si="38">J69+J80+J88+J96+J101+J110</f>
        <v>1393940</v>
      </c>
      <c r="K68" s="24">
        <f t="shared" si="38"/>
        <v>0</v>
      </c>
      <c r="L68" s="24">
        <f t="shared" si="38"/>
        <v>8703827</v>
      </c>
      <c r="M68" s="24">
        <f t="shared" si="38"/>
        <v>10000</v>
      </c>
      <c r="N68" s="24">
        <f t="shared" si="27"/>
        <v>15031812</v>
      </c>
      <c r="O68" s="24">
        <f t="shared" si="7"/>
        <v>198510</v>
      </c>
      <c r="P68" s="24">
        <f t="shared" si="8"/>
        <v>15230322</v>
      </c>
      <c r="Q68" s="25">
        <f t="shared" si="22"/>
        <v>18.416087228159721</v>
      </c>
    </row>
    <row r="69" spans="1:17" ht="69" x14ac:dyDescent="0.25">
      <c r="A69" s="33" t="s">
        <v>88</v>
      </c>
      <c r="B69" s="31" t="s">
        <v>89</v>
      </c>
      <c r="C69" s="28">
        <f>SUM(C70:C78)</f>
        <v>709249</v>
      </c>
      <c r="D69" s="28">
        <f t="shared" ref="D69:E69" si="39">SUM(D70:D78)</f>
        <v>0</v>
      </c>
      <c r="E69" s="28">
        <f t="shared" si="39"/>
        <v>198028</v>
      </c>
      <c r="F69" s="28">
        <f t="shared" si="3"/>
        <v>907277</v>
      </c>
      <c r="G69" s="29">
        <f t="shared" si="20"/>
        <v>1.0882881999351617</v>
      </c>
      <c r="H69" s="28">
        <f>SUM(H70:H78)</f>
        <v>709249</v>
      </c>
      <c r="I69" s="28">
        <f>SUM(I70:I79)</f>
        <v>-40640</v>
      </c>
      <c r="J69" s="28">
        <f t="shared" ref="J69:M69" si="40">SUM(J70:J78)</f>
        <v>0</v>
      </c>
      <c r="K69" s="28">
        <f t="shared" si="40"/>
        <v>0</v>
      </c>
      <c r="L69" s="28">
        <f t="shared" si="40"/>
        <v>198028</v>
      </c>
      <c r="M69" s="28">
        <f t="shared" si="40"/>
        <v>0</v>
      </c>
      <c r="N69" s="28">
        <f t="shared" si="27"/>
        <v>907277</v>
      </c>
      <c r="O69" s="28">
        <f t="shared" si="7"/>
        <v>-40640</v>
      </c>
      <c r="P69" s="28">
        <f t="shared" si="8"/>
        <v>866637</v>
      </c>
      <c r="Q69" s="29">
        <f t="shared" si="22"/>
        <v>1.0479136676920329</v>
      </c>
    </row>
    <row r="70" spans="1:17" x14ac:dyDescent="0.25">
      <c r="A70" s="16" t="s">
        <v>54</v>
      </c>
      <c r="B70" s="17" t="s">
        <v>55</v>
      </c>
      <c r="C70" s="18">
        <v>318249</v>
      </c>
      <c r="D70" s="18">
        <v>0</v>
      </c>
      <c r="E70" s="18">
        <v>158898</v>
      </c>
      <c r="F70" s="19">
        <f t="shared" si="3"/>
        <v>477147</v>
      </c>
      <c r="G70" s="30">
        <f t="shared" si="20"/>
        <v>0.57234279027734924</v>
      </c>
      <c r="H70" s="18">
        <v>318249</v>
      </c>
      <c r="I70" s="18">
        <v>-2864</v>
      </c>
      <c r="J70" s="18">
        <v>0</v>
      </c>
      <c r="K70" s="18"/>
      <c r="L70" s="18">
        <v>158898</v>
      </c>
      <c r="M70" s="18"/>
      <c r="N70" s="19">
        <f t="shared" si="27"/>
        <v>477147</v>
      </c>
      <c r="O70" s="19">
        <f t="shared" si="7"/>
        <v>-2864</v>
      </c>
      <c r="P70" s="19">
        <f t="shared" si="8"/>
        <v>474283</v>
      </c>
      <c r="Q70" s="30">
        <f t="shared" si="22"/>
        <v>0.57348998260399731</v>
      </c>
    </row>
    <row r="71" spans="1:17" ht="26.4" x14ac:dyDescent="0.25">
      <c r="A71" s="16" t="s">
        <v>56</v>
      </c>
      <c r="B71" s="17" t="s">
        <v>57</v>
      </c>
      <c r="C71" s="18">
        <v>115003</v>
      </c>
      <c r="D71" s="18">
        <v>0</v>
      </c>
      <c r="E71" s="18">
        <v>37481</v>
      </c>
      <c r="F71" s="19">
        <f t="shared" si="3"/>
        <v>152484</v>
      </c>
      <c r="G71" s="30">
        <f t="shared" si="20"/>
        <v>0.18290614429651936</v>
      </c>
      <c r="H71" s="18">
        <v>115003</v>
      </c>
      <c r="I71" s="18">
        <v>-676</v>
      </c>
      <c r="J71" s="18">
        <v>0</v>
      </c>
      <c r="K71" s="18"/>
      <c r="L71" s="18">
        <v>37481</v>
      </c>
      <c r="M71" s="18"/>
      <c r="N71" s="19">
        <f t="shared" si="27"/>
        <v>152484</v>
      </c>
      <c r="O71" s="19">
        <f t="shared" si="7"/>
        <v>-676</v>
      </c>
      <c r="P71" s="19">
        <f t="shared" si="8"/>
        <v>151808</v>
      </c>
      <c r="Q71" s="30">
        <f t="shared" si="22"/>
        <v>0.18356206585339899</v>
      </c>
    </row>
    <row r="72" spans="1:17" x14ac:dyDescent="0.25">
      <c r="A72" s="16" t="s">
        <v>58</v>
      </c>
      <c r="B72" s="17" t="s">
        <v>59</v>
      </c>
      <c r="C72" s="18">
        <v>96</v>
      </c>
      <c r="D72" s="18">
        <v>0</v>
      </c>
      <c r="E72" s="18">
        <v>0</v>
      </c>
      <c r="F72" s="19">
        <f t="shared" si="3"/>
        <v>96</v>
      </c>
      <c r="G72" s="30">
        <f t="shared" si="20"/>
        <v>1.1515299869144211E-4</v>
      </c>
      <c r="H72" s="18">
        <v>96</v>
      </c>
      <c r="I72" s="18">
        <v>0</v>
      </c>
      <c r="J72" s="18">
        <v>0</v>
      </c>
      <c r="K72" s="18"/>
      <c r="L72" s="18">
        <v>0</v>
      </c>
      <c r="M72" s="18"/>
      <c r="N72" s="19">
        <f t="shared" ref="N72:N104" si="41">H72+J72+L72</f>
        <v>96</v>
      </c>
      <c r="O72" s="19">
        <f t="shared" ref="O72:O136" si="42">I72+K72+M72</f>
        <v>0</v>
      </c>
      <c r="P72" s="19">
        <f t="shared" ref="P72:P136" si="43">N72+O72</f>
        <v>96</v>
      </c>
      <c r="Q72" s="30">
        <f t="shared" si="22"/>
        <v>1.1608056440982229E-4</v>
      </c>
    </row>
    <row r="73" spans="1:17" x14ac:dyDescent="0.25">
      <c r="A73" s="16" t="s">
        <v>60</v>
      </c>
      <c r="B73" s="17" t="s">
        <v>61</v>
      </c>
      <c r="C73" s="18">
        <v>169837</v>
      </c>
      <c r="D73" s="18">
        <v>0</v>
      </c>
      <c r="E73" s="18">
        <v>149</v>
      </c>
      <c r="F73" s="19">
        <f t="shared" si="3"/>
        <v>169986</v>
      </c>
      <c r="G73" s="30">
        <f t="shared" si="20"/>
        <v>0.2038999753704529</v>
      </c>
      <c r="H73" s="18">
        <v>169837</v>
      </c>
      <c r="I73" s="18">
        <f>-5345-33600</f>
        <v>-38945</v>
      </c>
      <c r="J73" s="18">
        <v>0</v>
      </c>
      <c r="K73" s="18"/>
      <c r="L73" s="18">
        <v>149</v>
      </c>
      <c r="M73" s="18"/>
      <c r="N73" s="19">
        <f t="shared" si="41"/>
        <v>169986</v>
      </c>
      <c r="O73" s="19">
        <f t="shared" si="42"/>
        <v>-38945</v>
      </c>
      <c r="P73" s="19">
        <f t="shared" si="43"/>
        <v>131041</v>
      </c>
      <c r="Q73" s="30">
        <f t="shared" si="22"/>
        <v>0.15845117959195335</v>
      </c>
    </row>
    <row r="74" spans="1:17" ht="26.4" x14ac:dyDescent="0.25">
      <c r="A74" s="16" t="s">
        <v>62</v>
      </c>
      <c r="B74" s="17" t="s">
        <v>63</v>
      </c>
      <c r="C74" s="18">
        <v>77554</v>
      </c>
      <c r="D74" s="18">
        <v>0</v>
      </c>
      <c r="E74" s="18">
        <v>0</v>
      </c>
      <c r="F74" s="19">
        <f t="shared" si="3"/>
        <v>77554</v>
      </c>
      <c r="G74" s="30">
        <f t="shared" si="20"/>
        <v>9.3026829797042715E-2</v>
      </c>
      <c r="H74" s="18">
        <v>77554</v>
      </c>
      <c r="I74" s="18">
        <f>-186-3500</f>
        <v>-3686</v>
      </c>
      <c r="J74" s="18">
        <v>0</v>
      </c>
      <c r="K74" s="18"/>
      <c r="L74" s="18">
        <v>0</v>
      </c>
      <c r="M74" s="18"/>
      <c r="N74" s="19">
        <f t="shared" si="41"/>
        <v>77554</v>
      </c>
      <c r="O74" s="19">
        <f t="shared" si="42"/>
        <v>-3686</v>
      </c>
      <c r="P74" s="19">
        <f t="shared" si="43"/>
        <v>73868</v>
      </c>
      <c r="Q74" s="30">
        <f t="shared" si="22"/>
        <v>8.9319157623174508E-2</v>
      </c>
    </row>
    <row r="75" spans="1:17" ht="26.4" x14ac:dyDescent="0.25">
      <c r="A75" s="16" t="s">
        <v>90</v>
      </c>
      <c r="B75" s="17" t="s">
        <v>91</v>
      </c>
      <c r="C75" s="18">
        <v>18000</v>
      </c>
      <c r="D75" s="18">
        <v>0</v>
      </c>
      <c r="E75" s="18">
        <v>0</v>
      </c>
      <c r="F75" s="19">
        <f t="shared" si="3"/>
        <v>18000</v>
      </c>
      <c r="G75" s="30">
        <f t="shared" si="20"/>
        <v>2.1591187254645396E-2</v>
      </c>
      <c r="H75" s="18">
        <v>18000</v>
      </c>
      <c r="I75" s="18"/>
      <c r="J75" s="18">
        <v>0</v>
      </c>
      <c r="K75" s="18"/>
      <c r="L75" s="18">
        <v>0</v>
      </c>
      <c r="M75" s="18"/>
      <c r="N75" s="19">
        <f t="shared" si="41"/>
        <v>18000</v>
      </c>
      <c r="O75" s="19">
        <f t="shared" si="42"/>
        <v>0</v>
      </c>
      <c r="P75" s="19">
        <f t="shared" si="43"/>
        <v>18000</v>
      </c>
      <c r="Q75" s="30">
        <f t="shared" si="22"/>
        <v>2.1765105826841678E-2</v>
      </c>
    </row>
    <row r="76" spans="1:17" x14ac:dyDescent="0.25">
      <c r="A76" s="16" t="s">
        <v>66</v>
      </c>
      <c r="B76" s="17" t="s">
        <v>67</v>
      </c>
      <c r="C76" s="18">
        <v>1820</v>
      </c>
      <c r="D76" s="18">
        <v>0</v>
      </c>
      <c r="E76" s="18">
        <v>0</v>
      </c>
      <c r="F76" s="19">
        <f t="shared" si="3"/>
        <v>1820</v>
      </c>
      <c r="G76" s="30">
        <f t="shared" si="20"/>
        <v>2.1831089335252567E-3</v>
      </c>
      <c r="H76" s="18">
        <v>1820</v>
      </c>
      <c r="I76" s="18">
        <v>3781</v>
      </c>
      <c r="J76" s="18">
        <v>0</v>
      </c>
      <c r="K76" s="18"/>
      <c r="L76" s="18">
        <v>0</v>
      </c>
      <c r="M76" s="18"/>
      <c r="N76" s="19">
        <f t="shared" si="41"/>
        <v>1820</v>
      </c>
      <c r="O76" s="19">
        <f t="shared" si="42"/>
        <v>3781</v>
      </c>
      <c r="P76" s="19">
        <f t="shared" si="43"/>
        <v>5601</v>
      </c>
      <c r="Q76" s="30">
        <f t="shared" si="22"/>
        <v>6.7725754297855694E-3</v>
      </c>
    </row>
    <row r="77" spans="1:17" x14ac:dyDescent="0.25">
      <c r="A77" s="16" t="s">
        <v>68</v>
      </c>
      <c r="B77" s="17" t="s">
        <v>69</v>
      </c>
      <c r="C77" s="18">
        <v>0</v>
      </c>
      <c r="D77" s="18">
        <v>0</v>
      </c>
      <c r="E77" s="18">
        <v>1500</v>
      </c>
      <c r="F77" s="19">
        <f t="shared" si="3"/>
        <v>1500</v>
      </c>
      <c r="G77" s="30">
        <f t="shared" si="20"/>
        <v>1.7992656045537829E-3</v>
      </c>
      <c r="H77" s="18">
        <v>0</v>
      </c>
      <c r="I77" s="18"/>
      <c r="J77" s="18">
        <v>0</v>
      </c>
      <c r="K77" s="18"/>
      <c r="L77" s="18">
        <v>1500</v>
      </c>
      <c r="M77" s="18"/>
      <c r="N77" s="19">
        <f t="shared" si="41"/>
        <v>1500</v>
      </c>
      <c r="O77" s="19">
        <f t="shared" si="42"/>
        <v>0</v>
      </c>
      <c r="P77" s="19">
        <f t="shared" si="43"/>
        <v>1500</v>
      </c>
      <c r="Q77" s="30">
        <f t="shared" si="22"/>
        <v>1.8137588189034732E-3</v>
      </c>
    </row>
    <row r="78" spans="1:17" ht="26.4" x14ac:dyDescent="0.25">
      <c r="A78" s="16" t="s">
        <v>92</v>
      </c>
      <c r="B78" s="17" t="s">
        <v>93</v>
      </c>
      <c r="C78" s="18">
        <v>8690</v>
      </c>
      <c r="D78" s="18">
        <v>0</v>
      </c>
      <c r="E78" s="18">
        <v>0</v>
      </c>
      <c r="F78" s="19">
        <f t="shared" si="3"/>
        <v>8690</v>
      </c>
      <c r="G78" s="30">
        <f t="shared" si="20"/>
        <v>1.0423745402381583E-2</v>
      </c>
      <c r="H78" s="18">
        <v>8690</v>
      </c>
      <c r="I78" s="18"/>
      <c r="J78" s="18">
        <v>0</v>
      </c>
      <c r="K78" s="18"/>
      <c r="L78" s="18">
        <v>0</v>
      </c>
      <c r="M78" s="18"/>
      <c r="N78" s="19">
        <f t="shared" si="41"/>
        <v>8690</v>
      </c>
      <c r="O78" s="19">
        <f t="shared" si="42"/>
        <v>0</v>
      </c>
      <c r="P78" s="19">
        <f t="shared" si="43"/>
        <v>8690</v>
      </c>
      <c r="Q78" s="30">
        <f t="shared" si="22"/>
        <v>1.0507709424180788E-2</v>
      </c>
    </row>
    <row r="79" spans="1:17" x14ac:dyDescent="0.25">
      <c r="A79" s="16" t="s">
        <v>70</v>
      </c>
      <c r="B79" s="17" t="s">
        <v>71</v>
      </c>
      <c r="C79" s="18"/>
      <c r="D79" s="18"/>
      <c r="E79" s="18"/>
      <c r="F79" s="19"/>
      <c r="G79" s="30"/>
      <c r="H79" s="18"/>
      <c r="I79" s="18">
        <v>1750</v>
      </c>
      <c r="J79" s="18"/>
      <c r="K79" s="18"/>
      <c r="L79" s="18"/>
      <c r="M79" s="18"/>
      <c r="N79" s="19">
        <f t="shared" si="41"/>
        <v>0</v>
      </c>
      <c r="O79" s="19">
        <f t="shared" si="42"/>
        <v>1750</v>
      </c>
      <c r="P79" s="19">
        <f t="shared" si="43"/>
        <v>1750</v>
      </c>
      <c r="Q79" s="30">
        <f t="shared" si="22"/>
        <v>2.1160519553873854E-3</v>
      </c>
    </row>
    <row r="80" spans="1:17" ht="27.6" x14ac:dyDescent="0.25">
      <c r="A80" s="33" t="s">
        <v>94</v>
      </c>
      <c r="B80" s="31" t="s">
        <v>95</v>
      </c>
      <c r="C80" s="28">
        <f>SUM(C81:C87)</f>
        <v>300687</v>
      </c>
      <c r="D80" s="28">
        <f t="shared" ref="D80:E80" si="44">SUM(D81:D87)</f>
        <v>0</v>
      </c>
      <c r="E80" s="28">
        <f t="shared" si="44"/>
        <v>0</v>
      </c>
      <c r="F80" s="28">
        <f t="shared" ref="F80:F151" si="45">C80+D80+E80</f>
        <v>300687</v>
      </c>
      <c r="G80" s="29">
        <f t="shared" si="20"/>
        <v>0.36067718455764219</v>
      </c>
      <c r="H80" s="28">
        <f>SUM(H81:H87)</f>
        <v>300687</v>
      </c>
      <c r="I80" s="28">
        <f>SUM(I81:I87)</f>
        <v>-923</v>
      </c>
      <c r="J80" s="28">
        <f t="shared" ref="J80:M80" si="46">SUM(J81:J87)</f>
        <v>0</v>
      </c>
      <c r="K80" s="28">
        <f t="shared" si="46"/>
        <v>0</v>
      </c>
      <c r="L80" s="28">
        <f t="shared" si="46"/>
        <v>0</v>
      </c>
      <c r="M80" s="28">
        <f t="shared" si="46"/>
        <v>10000</v>
      </c>
      <c r="N80" s="28">
        <f t="shared" si="41"/>
        <v>300687</v>
      </c>
      <c r="O80" s="28">
        <f t="shared" si="42"/>
        <v>9077</v>
      </c>
      <c r="P80" s="28">
        <f t="shared" si="43"/>
        <v>309764</v>
      </c>
      <c r="Q80" s="29">
        <f t="shared" si="22"/>
        <v>0.37455812451921033</v>
      </c>
    </row>
    <row r="81" spans="1:17" x14ac:dyDescent="0.25">
      <c r="A81" s="16" t="s">
        <v>54</v>
      </c>
      <c r="B81" s="17" t="s">
        <v>55</v>
      </c>
      <c r="C81" s="18">
        <v>23825</v>
      </c>
      <c r="D81" s="18">
        <v>0</v>
      </c>
      <c r="E81" s="18">
        <v>0</v>
      </c>
      <c r="F81" s="19">
        <f t="shared" si="45"/>
        <v>23825</v>
      </c>
      <c r="G81" s="30">
        <f t="shared" si="20"/>
        <v>2.8578335352329252E-2</v>
      </c>
      <c r="H81" s="18">
        <v>23825</v>
      </c>
      <c r="I81" s="18">
        <v>-747</v>
      </c>
      <c r="J81" s="18">
        <v>0</v>
      </c>
      <c r="K81" s="18"/>
      <c r="L81" s="18">
        <v>0</v>
      </c>
      <c r="M81" s="18"/>
      <c r="N81" s="19">
        <f t="shared" si="41"/>
        <v>23825</v>
      </c>
      <c r="O81" s="19">
        <f t="shared" si="42"/>
        <v>-747</v>
      </c>
      <c r="P81" s="19">
        <f t="shared" si="43"/>
        <v>23078</v>
      </c>
      <c r="Q81" s="30">
        <f t="shared" si="22"/>
        <v>2.7905284015102904E-2</v>
      </c>
    </row>
    <row r="82" spans="1:17" ht="26.4" x14ac:dyDescent="0.25">
      <c r="A82" s="16" t="s">
        <v>56</v>
      </c>
      <c r="B82" s="17" t="s">
        <v>57</v>
      </c>
      <c r="C82" s="18">
        <v>6732</v>
      </c>
      <c r="D82" s="18">
        <v>0</v>
      </c>
      <c r="E82" s="18">
        <v>0</v>
      </c>
      <c r="F82" s="19">
        <f t="shared" si="45"/>
        <v>6732</v>
      </c>
      <c r="G82" s="30">
        <f t="shared" si="20"/>
        <v>8.0751040332373777E-3</v>
      </c>
      <c r="H82" s="18">
        <v>6732</v>
      </c>
      <c r="I82" s="18">
        <v>-176</v>
      </c>
      <c r="J82" s="18">
        <v>0</v>
      </c>
      <c r="K82" s="18"/>
      <c r="L82" s="18">
        <v>0</v>
      </c>
      <c r="M82" s="18"/>
      <c r="N82" s="19">
        <f t="shared" si="41"/>
        <v>6732</v>
      </c>
      <c r="O82" s="19">
        <f t="shared" si="42"/>
        <v>-176</v>
      </c>
      <c r="P82" s="19">
        <f t="shared" si="43"/>
        <v>6556</v>
      </c>
      <c r="Q82" s="30">
        <f t="shared" si="22"/>
        <v>7.9273352111541139E-3</v>
      </c>
    </row>
    <row r="83" spans="1:17" x14ac:dyDescent="0.25">
      <c r="A83" s="16" t="s">
        <v>58</v>
      </c>
      <c r="B83" s="17" t="s">
        <v>59</v>
      </c>
      <c r="C83" s="18">
        <v>0</v>
      </c>
      <c r="D83" s="18">
        <v>0</v>
      </c>
      <c r="E83" s="18">
        <v>0</v>
      </c>
      <c r="F83" s="19">
        <f t="shared" si="45"/>
        <v>0</v>
      </c>
      <c r="G83" s="30">
        <f t="shared" si="20"/>
        <v>0</v>
      </c>
      <c r="H83" s="18">
        <v>0</v>
      </c>
      <c r="I83" s="18"/>
      <c r="J83" s="18">
        <v>0</v>
      </c>
      <c r="K83" s="18"/>
      <c r="L83" s="18">
        <v>0</v>
      </c>
      <c r="M83" s="18"/>
      <c r="N83" s="19">
        <f t="shared" si="41"/>
        <v>0</v>
      </c>
      <c r="O83" s="19">
        <f t="shared" si="42"/>
        <v>0</v>
      </c>
      <c r="P83" s="19">
        <f t="shared" si="43"/>
        <v>0</v>
      </c>
      <c r="Q83" s="30">
        <f t="shared" si="22"/>
        <v>0</v>
      </c>
    </row>
    <row r="84" spans="1:17" x14ac:dyDescent="0.25">
      <c r="A84" s="16" t="s">
        <v>60</v>
      </c>
      <c r="B84" s="17" t="s">
        <v>61</v>
      </c>
      <c r="C84" s="18">
        <v>153681</v>
      </c>
      <c r="D84" s="18">
        <v>0</v>
      </c>
      <c r="E84" s="18">
        <v>0</v>
      </c>
      <c r="F84" s="19">
        <f t="shared" si="45"/>
        <v>153681</v>
      </c>
      <c r="G84" s="30">
        <f t="shared" si="20"/>
        <v>0.18434195824895327</v>
      </c>
      <c r="H84" s="18">
        <v>153681</v>
      </c>
      <c r="I84" s="18"/>
      <c r="J84" s="18">
        <v>0</v>
      </c>
      <c r="K84" s="18"/>
      <c r="L84" s="18">
        <v>0</v>
      </c>
      <c r="M84" s="18"/>
      <c r="N84" s="19">
        <f t="shared" si="41"/>
        <v>153681</v>
      </c>
      <c r="O84" s="19">
        <f t="shared" si="42"/>
        <v>0</v>
      </c>
      <c r="P84" s="19">
        <f t="shared" si="43"/>
        <v>153681</v>
      </c>
      <c r="Q84" s="30">
        <f t="shared" si="22"/>
        <v>0.18582684603193644</v>
      </c>
    </row>
    <row r="85" spans="1:17" ht="26.4" x14ac:dyDescent="0.25">
      <c r="A85" s="16" t="s">
        <v>62</v>
      </c>
      <c r="B85" s="17" t="s">
        <v>63</v>
      </c>
      <c r="C85" s="18">
        <v>2777</v>
      </c>
      <c r="D85" s="18">
        <v>0</v>
      </c>
      <c r="E85" s="18">
        <v>0</v>
      </c>
      <c r="F85" s="19">
        <f t="shared" si="45"/>
        <v>2777</v>
      </c>
      <c r="G85" s="30">
        <f t="shared" si="20"/>
        <v>3.33104038923057E-3</v>
      </c>
      <c r="H85" s="18">
        <v>2777</v>
      </c>
      <c r="I85" s="18"/>
      <c r="J85" s="18">
        <v>0</v>
      </c>
      <c r="K85" s="18"/>
      <c r="L85" s="18">
        <v>0</v>
      </c>
      <c r="M85" s="18">
        <v>10000</v>
      </c>
      <c r="N85" s="19">
        <f t="shared" si="41"/>
        <v>2777</v>
      </c>
      <c r="O85" s="19">
        <f t="shared" si="42"/>
        <v>10000</v>
      </c>
      <c r="P85" s="19">
        <f t="shared" si="43"/>
        <v>12777</v>
      </c>
      <c r="Q85" s="30">
        <f t="shared" si="22"/>
        <v>1.5449597619419785E-2</v>
      </c>
    </row>
    <row r="86" spans="1:17" x14ac:dyDescent="0.25">
      <c r="A86" s="16" t="s">
        <v>64</v>
      </c>
      <c r="B86" s="17" t="s">
        <v>65</v>
      </c>
      <c r="C86" s="18">
        <v>2500</v>
      </c>
      <c r="D86" s="18">
        <v>0</v>
      </c>
      <c r="E86" s="18">
        <v>0</v>
      </c>
      <c r="F86" s="19">
        <f t="shared" si="45"/>
        <v>2500</v>
      </c>
      <c r="G86" s="30">
        <f t="shared" si="20"/>
        <v>2.998776007589638E-3</v>
      </c>
      <c r="H86" s="18">
        <v>2500</v>
      </c>
      <c r="I86" s="18"/>
      <c r="J86" s="18">
        <v>0</v>
      </c>
      <c r="K86" s="18"/>
      <c r="L86" s="18">
        <v>0</v>
      </c>
      <c r="M86" s="18"/>
      <c r="N86" s="19">
        <f t="shared" si="41"/>
        <v>2500</v>
      </c>
      <c r="O86" s="19">
        <f t="shared" si="42"/>
        <v>0</v>
      </c>
      <c r="P86" s="19">
        <f t="shared" si="43"/>
        <v>2500</v>
      </c>
      <c r="Q86" s="30">
        <f t="shared" si="22"/>
        <v>3.022931364839122E-3</v>
      </c>
    </row>
    <row r="87" spans="1:17" x14ac:dyDescent="0.25">
      <c r="A87" s="16" t="s">
        <v>66</v>
      </c>
      <c r="B87" s="17" t="s">
        <v>67</v>
      </c>
      <c r="C87" s="18">
        <v>111172</v>
      </c>
      <c r="D87" s="18">
        <v>0</v>
      </c>
      <c r="E87" s="18">
        <v>0</v>
      </c>
      <c r="F87" s="19">
        <f t="shared" si="45"/>
        <v>111172</v>
      </c>
      <c r="G87" s="30">
        <f t="shared" si="20"/>
        <v>0.1333519705263021</v>
      </c>
      <c r="H87" s="18">
        <v>111172</v>
      </c>
      <c r="I87" s="18"/>
      <c r="J87" s="18">
        <v>0</v>
      </c>
      <c r="K87" s="18"/>
      <c r="L87" s="18">
        <v>0</v>
      </c>
      <c r="M87" s="18"/>
      <c r="N87" s="19">
        <f t="shared" si="41"/>
        <v>111172</v>
      </c>
      <c r="O87" s="19">
        <f t="shared" si="42"/>
        <v>0</v>
      </c>
      <c r="P87" s="19">
        <f t="shared" si="43"/>
        <v>111172</v>
      </c>
      <c r="Q87" s="30">
        <f t="shared" si="22"/>
        <v>0.13442613027675795</v>
      </c>
    </row>
    <row r="88" spans="1:17" ht="13.8" x14ac:dyDescent="0.25">
      <c r="A88" s="33" t="s">
        <v>96</v>
      </c>
      <c r="B88" s="31" t="s">
        <v>97</v>
      </c>
      <c r="C88" s="28">
        <f>SUM(C89:C95)</f>
        <v>293500</v>
      </c>
      <c r="D88" s="28">
        <f t="shared" ref="D88:E88" si="47">SUM(D89:D95)</f>
        <v>0</v>
      </c>
      <c r="E88" s="28">
        <f t="shared" si="47"/>
        <v>0</v>
      </c>
      <c r="F88" s="28">
        <f t="shared" si="45"/>
        <v>293500</v>
      </c>
      <c r="G88" s="29">
        <f t="shared" si="20"/>
        <v>0.3520563032910235</v>
      </c>
      <c r="H88" s="28">
        <f>SUM(H89:H95)</f>
        <v>293500</v>
      </c>
      <c r="I88" s="28">
        <f>SUM(I89:I95)</f>
        <v>28897</v>
      </c>
      <c r="J88" s="28">
        <f t="shared" ref="J88:M88" si="48">SUM(J89:J95)</f>
        <v>0</v>
      </c>
      <c r="K88" s="28">
        <f t="shared" si="48"/>
        <v>0</v>
      </c>
      <c r="L88" s="28">
        <f t="shared" si="48"/>
        <v>0</v>
      </c>
      <c r="M88" s="28">
        <f t="shared" si="48"/>
        <v>0</v>
      </c>
      <c r="N88" s="28">
        <f t="shared" si="41"/>
        <v>293500</v>
      </c>
      <c r="O88" s="28">
        <f t="shared" si="42"/>
        <v>28897</v>
      </c>
      <c r="P88" s="28">
        <f t="shared" si="43"/>
        <v>322397</v>
      </c>
      <c r="Q88" s="29">
        <f t="shared" si="22"/>
        <v>0.38983360129201539</v>
      </c>
    </row>
    <row r="89" spans="1:17" x14ac:dyDescent="0.25">
      <c r="A89" s="16" t="s">
        <v>54</v>
      </c>
      <c r="B89" s="17" t="s">
        <v>55</v>
      </c>
      <c r="C89" s="18">
        <v>206988</v>
      </c>
      <c r="D89" s="18">
        <v>0</v>
      </c>
      <c r="E89" s="18">
        <v>0</v>
      </c>
      <c r="F89" s="19">
        <f t="shared" si="45"/>
        <v>206988</v>
      </c>
      <c r="G89" s="30">
        <f t="shared" si="20"/>
        <v>0.24828425930358561</v>
      </c>
      <c r="H89" s="18">
        <v>206988</v>
      </c>
      <c r="I89" s="18">
        <v>26383</v>
      </c>
      <c r="J89" s="18">
        <v>0</v>
      </c>
      <c r="K89" s="18"/>
      <c r="L89" s="18">
        <v>0</v>
      </c>
      <c r="M89" s="18"/>
      <c r="N89" s="19">
        <f t="shared" si="41"/>
        <v>206988</v>
      </c>
      <c r="O89" s="19">
        <f t="shared" si="42"/>
        <v>26383</v>
      </c>
      <c r="P89" s="19">
        <f t="shared" si="43"/>
        <v>233371</v>
      </c>
      <c r="Q89" s="30">
        <f t="shared" si="22"/>
        <v>0.2821858062175483</v>
      </c>
    </row>
    <row r="90" spans="1:17" ht="26.4" x14ac:dyDescent="0.25">
      <c r="A90" s="16" t="s">
        <v>56</v>
      </c>
      <c r="B90" s="17" t="s">
        <v>57</v>
      </c>
      <c r="C90" s="18">
        <v>61927</v>
      </c>
      <c r="D90" s="18">
        <v>0</v>
      </c>
      <c r="E90" s="18">
        <v>0</v>
      </c>
      <c r="F90" s="19">
        <f t="shared" si="45"/>
        <v>61927</v>
      </c>
      <c r="G90" s="30">
        <f t="shared" si="20"/>
        <v>7.4282080728801408E-2</v>
      </c>
      <c r="H90" s="18">
        <v>61927</v>
      </c>
      <c r="I90" s="18">
        <v>6224</v>
      </c>
      <c r="J90" s="18">
        <v>0</v>
      </c>
      <c r="K90" s="18"/>
      <c r="L90" s="18">
        <v>0</v>
      </c>
      <c r="M90" s="18"/>
      <c r="N90" s="19">
        <f t="shared" si="41"/>
        <v>61927</v>
      </c>
      <c r="O90" s="19">
        <f t="shared" si="42"/>
        <v>6224</v>
      </c>
      <c r="P90" s="19">
        <f t="shared" si="43"/>
        <v>68151</v>
      </c>
      <c r="Q90" s="30">
        <f t="shared" si="22"/>
        <v>8.2406318178060406E-2</v>
      </c>
    </row>
    <row r="91" spans="1:17" x14ac:dyDescent="0.25">
      <c r="A91" s="16" t="s">
        <v>58</v>
      </c>
      <c r="B91" s="17" t="s">
        <v>59</v>
      </c>
      <c r="C91" s="18">
        <v>510</v>
      </c>
      <c r="D91" s="18">
        <v>0</v>
      </c>
      <c r="E91" s="18">
        <v>0</v>
      </c>
      <c r="F91" s="19">
        <f t="shared" si="45"/>
        <v>510</v>
      </c>
      <c r="G91" s="30">
        <f t="shared" si="20"/>
        <v>6.1175030554828621E-4</v>
      </c>
      <c r="H91" s="18">
        <v>510</v>
      </c>
      <c r="I91" s="18">
        <v>-510</v>
      </c>
      <c r="J91" s="18">
        <v>0</v>
      </c>
      <c r="K91" s="18"/>
      <c r="L91" s="18">
        <v>0</v>
      </c>
      <c r="M91" s="18"/>
      <c r="N91" s="19">
        <f t="shared" si="41"/>
        <v>510</v>
      </c>
      <c r="O91" s="19">
        <f t="shared" si="42"/>
        <v>-510</v>
      </c>
      <c r="P91" s="19">
        <f t="shared" si="43"/>
        <v>0</v>
      </c>
      <c r="Q91" s="30">
        <f t="shared" si="22"/>
        <v>0</v>
      </c>
    </row>
    <row r="92" spans="1:17" x14ac:dyDescent="0.25">
      <c r="A92" s="16" t="s">
        <v>60</v>
      </c>
      <c r="B92" s="17" t="s">
        <v>61</v>
      </c>
      <c r="C92" s="18">
        <v>6112</v>
      </c>
      <c r="D92" s="18">
        <v>0</v>
      </c>
      <c r="E92" s="18">
        <v>0</v>
      </c>
      <c r="F92" s="19">
        <f t="shared" si="45"/>
        <v>6112</v>
      </c>
      <c r="G92" s="30">
        <f t="shared" si="20"/>
        <v>7.331407583355147E-3</v>
      </c>
      <c r="H92" s="18">
        <v>6112</v>
      </c>
      <c r="I92" s="18">
        <v>60</v>
      </c>
      <c r="J92" s="18">
        <v>0</v>
      </c>
      <c r="K92" s="18"/>
      <c r="L92" s="18">
        <v>0</v>
      </c>
      <c r="M92" s="18"/>
      <c r="N92" s="19">
        <f t="shared" si="41"/>
        <v>6112</v>
      </c>
      <c r="O92" s="19">
        <f t="shared" si="42"/>
        <v>60</v>
      </c>
      <c r="P92" s="19">
        <f t="shared" si="43"/>
        <v>6172</v>
      </c>
      <c r="Q92" s="30">
        <f t="shared" si="22"/>
        <v>7.4630129535148242E-3</v>
      </c>
    </row>
    <row r="93" spans="1:17" ht="26.4" x14ac:dyDescent="0.25">
      <c r="A93" s="16" t="s">
        <v>62</v>
      </c>
      <c r="B93" s="17" t="s">
        <v>63</v>
      </c>
      <c r="C93" s="18">
        <v>13333</v>
      </c>
      <c r="D93" s="18">
        <v>0</v>
      </c>
      <c r="E93" s="18">
        <v>0</v>
      </c>
      <c r="F93" s="19">
        <f t="shared" si="45"/>
        <v>13333</v>
      </c>
      <c r="G93" s="30">
        <f t="shared" si="20"/>
        <v>1.5993072203677058E-2</v>
      </c>
      <c r="H93" s="18">
        <v>13333</v>
      </c>
      <c r="I93" s="18">
        <v>-3260</v>
      </c>
      <c r="J93" s="18">
        <v>0</v>
      </c>
      <c r="K93" s="18"/>
      <c r="L93" s="18">
        <v>0</v>
      </c>
      <c r="M93" s="18"/>
      <c r="N93" s="19">
        <f t="shared" si="41"/>
        <v>13333</v>
      </c>
      <c r="O93" s="19">
        <f t="shared" si="42"/>
        <v>-3260</v>
      </c>
      <c r="P93" s="19">
        <f t="shared" si="43"/>
        <v>10073</v>
      </c>
      <c r="Q93" s="30">
        <f t="shared" ref="Q93:Q156" si="49">P93*100/$P$27</f>
        <v>1.2179995055209791E-2</v>
      </c>
    </row>
    <row r="94" spans="1:17" x14ac:dyDescent="0.25">
      <c r="A94" s="16" t="s">
        <v>64</v>
      </c>
      <c r="B94" s="17" t="s">
        <v>65</v>
      </c>
      <c r="C94" s="18">
        <v>250</v>
      </c>
      <c r="D94" s="18">
        <v>0</v>
      </c>
      <c r="E94" s="18">
        <v>0</v>
      </c>
      <c r="F94" s="19">
        <f t="shared" si="45"/>
        <v>250</v>
      </c>
      <c r="G94" s="30">
        <f t="shared" ref="G94:G157" si="50">F94*100/$F$27</f>
        <v>2.9987760075896383E-4</v>
      </c>
      <c r="H94" s="18">
        <v>250</v>
      </c>
      <c r="I94" s="18"/>
      <c r="J94" s="18">
        <v>0</v>
      </c>
      <c r="K94" s="18"/>
      <c r="L94" s="18">
        <v>0</v>
      </c>
      <c r="M94" s="18"/>
      <c r="N94" s="19">
        <f t="shared" si="41"/>
        <v>250</v>
      </c>
      <c r="O94" s="19">
        <f t="shared" si="42"/>
        <v>0</v>
      </c>
      <c r="P94" s="19">
        <f t="shared" si="43"/>
        <v>250</v>
      </c>
      <c r="Q94" s="30">
        <f t="shared" si="49"/>
        <v>3.022931364839122E-4</v>
      </c>
    </row>
    <row r="95" spans="1:17" x14ac:dyDescent="0.25">
      <c r="A95" s="16" t="s">
        <v>66</v>
      </c>
      <c r="B95" s="17" t="s">
        <v>67</v>
      </c>
      <c r="C95" s="18">
        <v>4380</v>
      </c>
      <c r="D95" s="18">
        <v>0</v>
      </c>
      <c r="E95" s="18">
        <v>0</v>
      </c>
      <c r="F95" s="19">
        <f t="shared" si="45"/>
        <v>4380</v>
      </c>
      <c r="G95" s="30">
        <f t="shared" si="50"/>
        <v>5.2538555652970461E-3</v>
      </c>
      <c r="H95" s="18">
        <v>4380</v>
      </c>
      <c r="I95" s="18"/>
      <c r="J95" s="18">
        <v>0</v>
      </c>
      <c r="K95" s="18"/>
      <c r="L95" s="18">
        <v>0</v>
      </c>
      <c r="M95" s="18"/>
      <c r="N95" s="19">
        <f t="shared" si="41"/>
        <v>4380</v>
      </c>
      <c r="O95" s="19">
        <f t="shared" si="42"/>
        <v>0</v>
      </c>
      <c r="P95" s="19">
        <f t="shared" si="43"/>
        <v>4380</v>
      </c>
      <c r="Q95" s="30">
        <f t="shared" si="49"/>
        <v>5.2961757511981421E-3</v>
      </c>
    </row>
    <row r="96" spans="1:17" ht="46.5" customHeight="1" x14ac:dyDescent="0.25">
      <c r="A96" s="33" t="s">
        <v>98</v>
      </c>
      <c r="B96" s="34" t="s">
        <v>99</v>
      </c>
      <c r="C96" s="28">
        <f>SUM(C97:C100)</f>
        <v>1681412</v>
      </c>
      <c r="D96" s="28">
        <f t="shared" ref="D96:E96" si="51">SUM(D97:D100)</f>
        <v>1393940</v>
      </c>
      <c r="E96" s="28">
        <f t="shared" si="51"/>
        <v>8130375</v>
      </c>
      <c r="F96" s="28">
        <f t="shared" si="45"/>
        <v>11205727</v>
      </c>
      <c r="G96" s="29">
        <f t="shared" si="50"/>
        <v>13.441386110079765</v>
      </c>
      <c r="H96" s="28">
        <f>SUM(H97:H100)</f>
        <v>1681412</v>
      </c>
      <c r="I96" s="28">
        <f>SUM(I97:I100)</f>
        <v>234334</v>
      </c>
      <c r="J96" s="28">
        <f t="shared" ref="J96:M96" si="52">SUM(J97:J100)</f>
        <v>1393940</v>
      </c>
      <c r="K96" s="28">
        <f t="shared" si="52"/>
        <v>0</v>
      </c>
      <c r="L96" s="28">
        <f t="shared" si="52"/>
        <v>8130375</v>
      </c>
      <c r="M96" s="28">
        <f t="shared" si="52"/>
        <v>0</v>
      </c>
      <c r="N96" s="28">
        <f t="shared" si="41"/>
        <v>11205727</v>
      </c>
      <c r="O96" s="28">
        <f t="shared" si="42"/>
        <v>234334</v>
      </c>
      <c r="P96" s="28">
        <f t="shared" si="43"/>
        <v>11440061</v>
      </c>
      <c r="Q96" s="29">
        <f t="shared" si="49"/>
        <v>13.833007685029125</v>
      </c>
    </row>
    <row r="97" spans="1:17" x14ac:dyDescent="0.25">
      <c r="A97" s="16" t="s">
        <v>60</v>
      </c>
      <c r="B97" s="17" t="s">
        <v>61</v>
      </c>
      <c r="C97" s="18">
        <v>732084</v>
      </c>
      <c r="D97" s="18">
        <v>1070245</v>
      </c>
      <c r="E97" s="18">
        <v>0</v>
      </c>
      <c r="F97" s="19">
        <f t="shared" si="45"/>
        <v>1802329</v>
      </c>
      <c r="G97" s="30">
        <f t="shared" si="50"/>
        <v>2.1619123851932098</v>
      </c>
      <c r="H97" s="18">
        <v>732084</v>
      </c>
      <c r="I97" s="18">
        <f>-2314-127500</f>
        <v>-129814</v>
      </c>
      <c r="J97" s="18">
        <v>1070245</v>
      </c>
      <c r="K97" s="18">
        <v>-5745</v>
      </c>
      <c r="L97" s="18">
        <v>0</v>
      </c>
      <c r="M97" s="18"/>
      <c r="N97" s="19">
        <f t="shared" si="41"/>
        <v>1802329</v>
      </c>
      <c r="O97" s="19">
        <f t="shared" si="42"/>
        <v>-135559</v>
      </c>
      <c r="P97" s="19">
        <f t="shared" si="43"/>
        <v>1666770</v>
      </c>
      <c r="Q97" s="30">
        <f t="shared" si="49"/>
        <v>2.0154125243891614</v>
      </c>
    </row>
    <row r="98" spans="1:17" ht="26.4" x14ac:dyDescent="0.25">
      <c r="A98" s="16" t="s">
        <v>62</v>
      </c>
      <c r="B98" s="17" t="s">
        <v>63</v>
      </c>
      <c r="C98" s="18">
        <v>575</v>
      </c>
      <c r="D98" s="18">
        <v>21000</v>
      </c>
      <c r="E98" s="18">
        <v>0</v>
      </c>
      <c r="F98" s="19">
        <f t="shared" si="45"/>
        <v>21575</v>
      </c>
      <c r="G98" s="30">
        <f t="shared" si="50"/>
        <v>2.5879436945498577E-2</v>
      </c>
      <c r="H98" s="18">
        <v>575</v>
      </c>
      <c r="I98" s="18">
        <v>2314</v>
      </c>
      <c r="J98" s="18">
        <v>21000</v>
      </c>
      <c r="K98" s="18"/>
      <c r="L98" s="18">
        <v>0</v>
      </c>
      <c r="M98" s="18"/>
      <c r="N98" s="19">
        <f t="shared" si="41"/>
        <v>21575</v>
      </c>
      <c r="O98" s="19">
        <f t="shared" si="42"/>
        <v>2314</v>
      </c>
      <c r="P98" s="19">
        <f t="shared" si="43"/>
        <v>23889</v>
      </c>
      <c r="Q98" s="30">
        <f t="shared" si="49"/>
        <v>2.8885922949856715E-2</v>
      </c>
    </row>
    <row r="99" spans="1:17" x14ac:dyDescent="0.25">
      <c r="A99" s="16" t="s">
        <v>66</v>
      </c>
      <c r="B99" s="17" t="s">
        <v>67</v>
      </c>
      <c r="C99" s="18">
        <v>948753</v>
      </c>
      <c r="D99" s="18">
        <v>302695</v>
      </c>
      <c r="E99" s="18">
        <v>8130375</v>
      </c>
      <c r="F99" s="19">
        <f t="shared" si="45"/>
        <v>9381823</v>
      </c>
      <c r="G99" s="30">
        <f t="shared" si="50"/>
        <v>11.253594287941057</v>
      </c>
      <c r="H99" s="18">
        <v>948753</v>
      </c>
      <c r="I99" s="18">
        <v>361834</v>
      </c>
      <c r="J99" s="18">
        <v>302695</v>
      </c>
      <c r="K99" s="18">
        <v>5745</v>
      </c>
      <c r="L99" s="18">
        <v>8130375</v>
      </c>
      <c r="M99" s="18"/>
      <c r="N99" s="19">
        <f t="shared" si="41"/>
        <v>9381823</v>
      </c>
      <c r="O99" s="19">
        <f t="shared" si="42"/>
        <v>367579</v>
      </c>
      <c r="P99" s="19">
        <f t="shared" si="43"/>
        <v>9749402</v>
      </c>
      <c r="Q99" s="30">
        <f t="shared" si="49"/>
        <v>11.788709237690107</v>
      </c>
    </row>
    <row r="100" spans="1:17" x14ac:dyDescent="0.25">
      <c r="A100" s="16" t="s">
        <v>100</v>
      </c>
      <c r="B100" s="17" t="s">
        <v>101</v>
      </c>
      <c r="C100" s="18">
        <v>0</v>
      </c>
      <c r="D100" s="18">
        <v>0</v>
      </c>
      <c r="E100" s="18">
        <v>0</v>
      </c>
      <c r="F100" s="19">
        <f t="shared" si="45"/>
        <v>0</v>
      </c>
      <c r="G100" s="30">
        <f t="shared" si="50"/>
        <v>0</v>
      </c>
      <c r="H100" s="18">
        <v>0</v>
      </c>
      <c r="I100" s="18"/>
      <c r="J100" s="18">
        <v>0</v>
      </c>
      <c r="K100" s="18"/>
      <c r="L100" s="18">
        <v>0</v>
      </c>
      <c r="M100" s="18"/>
      <c r="N100" s="19">
        <f t="shared" si="41"/>
        <v>0</v>
      </c>
      <c r="O100" s="19">
        <f t="shared" si="42"/>
        <v>0</v>
      </c>
      <c r="P100" s="19">
        <f t="shared" si="43"/>
        <v>0</v>
      </c>
      <c r="Q100" s="30">
        <f t="shared" si="49"/>
        <v>0</v>
      </c>
    </row>
    <row r="101" spans="1:17" ht="13.8" x14ac:dyDescent="0.25">
      <c r="A101" s="33" t="s">
        <v>102</v>
      </c>
      <c r="B101" s="34" t="s">
        <v>103</v>
      </c>
      <c r="C101" s="28">
        <f>SUM(C102:C109)</f>
        <v>1126839</v>
      </c>
      <c r="D101" s="28">
        <f t="shared" ref="D101:E101" si="53">SUM(D102:D109)</f>
        <v>0</v>
      </c>
      <c r="E101" s="28">
        <f t="shared" si="53"/>
        <v>0</v>
      </c>
      <c r="F101" s="28">
        <f t="shared" si="45"/>
        <v>1126839</v>
      </c>
      <c r="G101" s="29">
        <f t="shared" si="50"/>
        <v>1.35165510304652</v>
      </c>
      <c r="H101" s="28">
        <f>SUM(H102:H109)</f>
        <v>1126839</v>
      </c>
      <c r="I101" s="28">
        <f>SUM(I102:I109)</f>
        <v>-15151</v>
      </c>
      <c r="J101" s="28">
        <f t="shared" ref="J101:M101" si="54">SUM(J102:J109)</f>
        <v>0</v>
      </c>
      <c r="K101" s="28">
        <f t="shared" si="54"/>
        <v>0</v>
      </c>
      <c r="L101" s="28">
        <f t="shared" si="54"/>
        <v>0</v>
      </c>
      <c r="M101" s="28">
        <f t="shared" si="54"/>
        <v>0</v>
      </c>
      <c r="N101" s="28">
        <f t="shared" si="41"/>
        <v>1126839</v>
      </c>
      <c r="O101" s="28">
        <f t="shared" si="42"/>
        <v>-15151</v>
      </c>
      <c r="P101" s="28">
        <f t="shared" si="43"/>
        <v>1111688</v>
      </c>
      <c r="Q101" s="29">
        <f t="shared" si="49"/>
        <v>1.3442226092461096</v>
      </c>
    </row>
    <row r="102" spans="1:17" x14ac:dyDescent="0.25">
      <c r="A102" s="16" t="s">
        <v>54</v>
      </c>
      <c r="B102" s="17" t="s">
        <v>55</v>
      </c>
      <c r="C102" s="18">
        <v>330449</v>
      </c>
      <c r="D102" s="18">
        <v>0</v>
      </c>
      <c r="E102" s="18">
        <v>0</v>
      </c>
      <c r="F102" s="19">
        <f t="shared" si="45"/>
        <v>330449</v>
      </c>
      <c r="G102" s="30">
        <f t="shared" si="50"/>
        <v>0.39637701317279533</v>
      </c>
      <c r="H102" s="18">
        <v>330449</v>
      </c>
      <c r="I102" s="18">
        <v>-12259</v>
      </c>
      <c r="J102" s="18">
        <v>0</v>
      </c>
      <c r="K102" s="18"/>
      <c r="L102" s="18">
        <v>0</v>
      </c>
      <c r="M102" s="18"/>
      <c r="N102" s="19">
        <f t="shared" si="41"/>
        <v>330449</v>
      </c>
      <c r="O102" s="19">
        <f t="shared" si="42"/>
        <v>-12259</v>
      </c>
      <c r="P102" s="19">
        <f t="shared" si="43"/>
        <v>318190</v>
      </c>
      <c r="Q102" s="30">
        <f t="shared" si="49"/>
        <v>0.38474661239126412</v>
      </c>
    </row>
    <row r="103" spans="1:17" ht="26.4" x14ac:dyDescent="0.25">
      <c r="A103" s="16" t="s">
        <v>56</v>
      </c>
      <c r="B103" s="17" t="s">
        <v>57</v>
      </c>
      <c r="C103" s="18">
        <v>97624</v>
      </c>
      <c r="D103" s="18">
        <v>0</v>
      </c>
      <c r="E103" s="18">
        <v>0</v>
      </c>
      <c r="F103" s="19">
        <f t="shared" si="45"/>
        <v>97624</v>
      </c>
      <c r="G103" s="30">
        <f t="shared" si="50"/>
        <v>0.11710100358597234</v>
      </c>
      <c r="H103" s="18">
        <v>97624</v>
      </c>
      <c r="I103" s="18">
        <v>-2892</v>
      </c>
      <c r="J103" s="18">
        <v>0</v>
      </c>
      <c r="K103" s="18"/>
      <c r="L103" s="18">
        <v>0</v>
      </c>
      <c r="M103" s="18"/>
      <c r="N103" s="19">
        <f t="shared" si="41"/>
        <v>97624</v>
      </c>
      <c r="O103" s="19">
        <f t="shared" si="42"/>
        <v>-2892</v>
      </c>
      <c r="P103" s="19">
        <f t="shared" si="43"/>
        <v>94732</v>
      </c>
      <c r="Q103" s="30">
        <f t="shared" si="49"/>
        <v>0.11454733362157589</v>
      </c>
    </row>
    <row r="104" spans="1:17" x14ac:dyDescent="0.25">
      <c r="A104" s="16" t="s">
        <v>58</v>
      </c>
      <c r="B104" s="17" t="s">
        <v>59</v>
      </c>
      <c r="C104" s="18">
        <v>2548</v>
      </c>
      <c r="D104" s="18">
        <v>0</v>
      </c>
      <c r="E104" s="18">
        <v>0</v>
      </c>
      <c r="F104" s="19">
        <f t="shared" si="45"/>
        <v>2548</v>
      </c>
      <c r="G104" s="30">
        <f t="shared" si="50"/>
        <v>3.0563525069353592E-3</v>
      </c>
      <c r="H104" s="18">
        <v>2548</v>
      </c>
      <c r="I104" s="18"/>
      <c r="J104" s="18">
        <v>0</v>
      </c>
      <c r="K104" s="18"/>
      <c r="L104" s="18">
        <v>0</v>
      </c>
      <c r="M104" s="18"/>
      <c r="N104" s="19">
        <f t="shared" si="41"/>
        <v>2548</v>
      </c>
      <c r="O104" s="19">
        <f t="shared" si="42"/>
        <v>0</v>
      </c>
      <c r="P104" s="19">
        <f t="shared" si="43"/>
        <v>2548</v>
      </c>
      <c r="Q104" s="30">
        <f t="shared" si="49"/>
        <v>3.0809716470440334E-3</v>
      </c>
    </row>
    <row r="105" spans="1:17" x14ac:dyDescent="0.25">
      <c r="A105" s="16" t="s">
        <v>60</v>
      </c>
      <c r="B105" s="17" t="s">
        <v>61</v>
      </c>
      <c r="C105" s="18">
        <v>574233</v>
      </c>
      <c r="D105" s="18">
        <v>0</v>
      </c>
      <c r="E105" s="18">
        <v>0</v>
      </c>
      <c r="F105" s="19">
        <f t="shared" si="45"/>
        <v>574233</v>
      </c>
      <c r="G105" s="30">
        <f t="shared" si="50"/>
        <v>0.68879845726648825</v>
      </c>
      <c r="H105" s="18">
        <v>574233</v>
      </c>
      <c r="I105" s="18"/>
      <c r="J105" s="18">
        <v>0</v>
      </c>
      <c r="K105" s="18"/>
      <c r="L105" s="18">
        <v>0</v>
      </c>
      <c r="M105" s="18"/>
      <c r="N105" s="19">
        <f t="shared" ref="N105:N136" si="55">H105+J105+L105</f>
        <v>574233</v>
      </c>
      <c r="O105" s="19">
        <f t="shared" si="42"/>
        <v>0</v>
      </c>
      <c r="P105" s="19">
        <f t="shared" si="43"/>
        <v>574233</v>
      </c>
      <c r="Q105" s="30">
        <f t="shared" si="49"/>
        <v>0.69434677857026539</v>
      </c>
    </row>
    <row r="106" spans="1:17" ht="26.4" x14ac:dyDescent="0.25">
      <c r="A106" s="16" t="s">
        <v>62</v>
      </c>
      <c r="B106" s="17" t="s">
        <v>63</v>
      </c>
      <c r="C106" s="18">
        <v>17963</v>
      </c>
      <c r="D106" s="18">
        <v>0</v>
      </c>
      <c r="E106" s="18">
        <v>0</v>
      </c>
      <c r="F106" s="19">
        <f t="shared" si="45"/>
        <v>17963</v>
      </c>
      <c r="G106" s="30">
        <f t="shared" si="50"/>
        <v>2.1546805369733069E-2</v>
      </c>
      <c r="H106" s="18">
        <v>17963</v>
      </c>
      <c r="I106" s="18"/>
      <c r="J106" s="18">
        <v>0</v>
      </c>
      <c r="K106" s="18"/>
      <c r="L106" s="18">
        <v>0</v>
      </c>
      <c r="M106" s="18"/>
      <c r="N106" s="19">
        <f t="shared" si="55"/>
        <v>17963</v>
      </c>
      <c r="O106" s="19">
        <f t="shared" si="42"/>
        <v>0</v>
      </c>
      <c r="P106" s="19">
        <f t="shared" si="43"/>
        <v>17963</v>
      </c>
      <c r="Q106" s="30">
        <f t="shared" si="49"/>
        <v>2.172036644264206E-2</v>
      </c>
    </row>
    <row r="107" spans="1:17" x14ac:dyDescent="0.25">
      <c r="A107" s="16" t="s">
        <v>64</v>
      </c>
      <c r="B107" s="17" t="s">
        <v>65</v>
      </c>
      <c r="C107" s="18">
        <v>282</v>
      </c>
      <c r="D107" s="18">
        <v>0</v>
      </c>
      <c r="E107" s="18">
        <v>0</v>
      </c>
      <c r="F107" s="19">
        <f t="shared" si="45"/>
        <v>282</v>
      </c>
      <c r="G107" s="30">
        <f t="shared" si="50"/>
        <v>3.3826193365611121E-4</v>
      </c>
      <c r="H107" s="18">
        <v>282</v>
      </c>
      <c r="I107" s="18"/>
      <c r="J107" s="18">
        <v>0</v>
      </c>
      <c r="K107" s="18"/>
      <c r="L107" s="18">
        <v>0</v>
      </c>
      <c r="M107" s="18"/>
      <c r="N107" s="19">
        <f t="shared" si="55"/>
        <v>282</v>
      </c>
      <c r="O107" s="19">
        <f t="shared" si="42"/>
        <v>0</v>
      </c>
      <c r="P107" s="19">
        <f t="shared" si="43"/>
        <v>282</v>
      </c>
      <c r="Q107" s="30">
        <f t="shared" si="49"/>
        <v>3.4098665795385296E-4</v>
      </c>
    </row>
    <row r="108" spans="1:17" x14ac:dyDescent="0.25">
      <c r="A108" s="16" t="s">
        <v>104</v>
      </c>
      <c r="B108" s="17" t="s">
        <v>105</v>
      </c>
      <c r="C108" s="18">
        <v>34580</v>
      </c>
      <c r="D108" s="18">
        <v>0</v>
      </c>
      <c r="E108" s="18">
        <v>0</v>
      </c>
      <c r="F108" s="19">
        <f t="shared" si="45"/>
        <v>34580</v>
      </c>
      <c r="G108" s="30">
        <f t="shared" si="50"/>
        <v>4.1479069736979873E-2</v>
      </c>
      <c r="H108" s="18">
        <v>34580</v>
      </c>
      <c r="I108" s="18"/>
      <c r="J108" s="18">
        <v>0</v>
      </c>
      <c r="K108" s="18"/>
      <c r="L108" s="18">
        <v>0</v>
      </c>
      <c r="M108" s="18"/>
      <c r="N108" s="19">
        <f t="shared" si="55"/>
        <v>34580</v>
      </c>
      <c r="O108" s="19">
        <f t="shared" si="42"/>
        <v>0</v>
      </c>
      <c r="P108" s="19">
        <f t="shared" si="43"/>
        <v>34580</v>
      </c>
      <c r="Q108" s="30">
        <f t="shared" si="49"/>
        <v>4.1813186638454736E-2</v>
      </c>
    </row>
    <row r="109" spans="1:17" x14ac:dyDescent="0.25">
      <c r="A109" s="16" t="s">
        <v>66</v>
      </c>
      <c r="B109" s="17" t="s">
        <v>67</v>
      </c>
      <c r="C109" s="18">
        <v>69160</v>
      </c>
      <c r="D109" s="18">
        <v>0</v>
      </c>
      <c r="E109" s="18">
        <v>0</v>
      </c>
      <c r="F109" s="19">
        <f t="shared" si="45"/>
        <v>69160</v>
      </c>
      <c r="G109" s="30">
        <f t="shared" si="50"/>
        <v>8.2958139473959747E-2</v>
      </c>
      <c r="H109" s="18">
        <v>69160</v>
      </c>
      <c r="I109" s="18"/>
      <c r="J109" s="18">
        <v>0</v>
      </c>
      <c r="K109" s="18"/>
      <c r="L109" s="18">
        <v>0</v>
      </c>
      <c r="M109" s="18"/>
      <c r="N109" s="19">
        <f t="shared" si="55"/>
        <v>69160</v>
      </c>
      <c r="O109" s="19">
        <f t="shared" si="42"/>
        <v>0</v>
      </c>
      <c r="P109" s="19">
        <f t="shared" si="43"/>
        <v>69160</v>
      </c>
      <c r="Q109" s="30">
        <f t="shared" si="49"/>
        <v>8.3626373276909471E-2</v>
      </c>
    </row>
    <row r="110" spans="1:17" ht="27.6" x14ac:dyDescent="0.25">
      <c r="A110" s="33" t="s">
        <v>106</v>
      </c>
      <c r="B110" s="34" t="s">
        <v>107</v>
      </c>
      <c r="C110" s="28">
        <f>SUM(C111:C121)</f>
        <v>822358</v>
      </c>
      <c r="D110" s="28">
        <f t="shared" ref="D110:E110" si="56">SUM(D111:D121)</f>
        <v>0</v>
      </c>
      <c r="E110" s="28">
        <f t="shared" si="56"/>
        <v>375424</v>
      </c>
      <c r="F110" s="28">
        <f t="shared" si="45"/>
        <v>1197782</v>
      </c>
      <c r="G110" s="29">
        <f t="shared" si="50"/>
        <v>1.4367519695690929</v>
      </c>
      <c r="H110" s="28">
        <f>SUM(H111:H121)</f>
        <v>822358</v>
      </c>
      <c r="I110" s="28">
        <f>SUM(I111:I121)</f>
        <v>-18007</v>
      </c>
      <c r="J110" s="28">
        <f t="shared" ref="J110:M110" si="57">SUM(J111:J121)</f>
        <v>0</v>
      </c>
      <c r="K110" s="28">
        <f t="shared" si="57"/>
        <v>0</v>
      </c>
      <c r="L110" s="28">
        <f t="shared" si="57"/>
        <v>375424</v>
      </c>
      <c r="M110" s="28">
        <f t="shared" si="57"/>
        <v>0</v>
      </c>
      <c r="N110" s="28">
        <f t="shared" si="55"/>
        <v>1197782</v>
      </c>
      <c r="O110" s="28">
        <f t="shared" si="42"/>
        <v>-18007</v>
      </c>
      <c r="P110" s="28">
        <f t="shared" si="43"/>
        <v>1179775</v>
      </c>
      <c r="Q110" s="29">
        <f t="shared" si="49"/>
        <v>1.4265515403812301</v>
      </c>
    </row>
    <row r="111" spans="1:17" x14ac:dyDescent="0.25">
      <c r="A111" s="16" t="s">
        <v>54</v>
      </c>
      <c r="B111" s="17" t="s">
        <v>55</v>
      </c>
      <c r="C111" s="18">
        <v>283926</v>
      </c>
      <c r="D111" s="18">
        <v>0</v>
      </c>
      <c r="E111" s="18">
        <v>48335</v>
      </c>
      <c r="F111" s="19">
        <f t="shared" si="45"/>
        <v>332261</v>
      </c>
      <c r="G111" s="30">
        <f t="shared" si="50"/>
        <v>0.39855052602309632</v>
      </c>
      <c r="H111" s="18">
        <v>283926</v>
      </c>
      <c r="I111" s="18">
        <v>23341</v>
      </c>
      <c r="J111" s="18">
        <v>0</v>
      </c>
      <c r="K111" s="18"/>
      <c r="L111" s="18">
        <v>48335</v>
      </c>
      <c r="M111" s="18"/>
      <c r="N111" s="19">
        <f t="shared" si="55"/>
        <v>332261</v>
      </c>
      <c r="O111" s="19">
        <f t="shared" si="42"/>
        <v>23341</v>
      </c>
      <c r="P111" s="19">
        <f t="shared" si="43"/>
        <v>355602</v>
      </c>
      <c r="Q111" s="30">
        <f t="shared" si="49"/>
        <v>0.42998417567980862</v>
      </c>
    </row>
    <row r="112" spans="1:17" ht="26.4" x14ac:dyDescent="0.25">
      <c r="A112" s="16" t="s">
        <v>56</v>
      </c>
      <c r="B112" s="17" t="s">
        <v>57</v>
      </c>
      <c r="C112" s="18">
        <v>84776</v>
      </c>
      <c r="D112" s="18">
        <v>0</v>
      </c>
      <c r="E112" s="18">
        <v>12495</v>
      </c>
      <c r="F112" s="19">
        <f t="shared" si="45"/>
        <v>97271</v>
      </c>
      <c r="G112" s="30">
        <f t="shared" si="50"/>
        <v>0.11667757641370068</v>
      </c>
      <c r="H112" s="18">
        <v>84776</v>
      </c>
      <c r="I112" s="18">
        <v>5507</v>
      </c>
      <c r="J112" s="18">
        <v>0</v>
      </c>
      <c r="K112" s="18"/>
      <c r="L112" s="18">
        <v>12495</v>
      </c>
      <c r="M112" s="18"/>
      <c r="N112" s="19">
        <f t="shared" si="55"/>
        <v>97271</v>
      </c>
      <c r="O112" s="19">
        <f t="shared" si="42"/>
        <v>5507</v>
      </c>
      <c r="P112" s="19">
        <f t="shared" si="43"/>
        <v>102778</v>
      </c>
      <c r="Q112" s="30">
        <f t="shared" si="49"/>
        <v>0.12427633592617411</v>
      </c>
    </row>
    <row r="113" spans="1:17" x14ac:dyDescent="0.25">
      <c r="A113" s="16" t="s">
        <v>58</v>
      </c>
      <c r="B113" s="17" t="s">
        <v>59</v>
      </c>
      <c r="C113" s="18">
        <v>22776</v>
      </c>
      <c r="D113" s="18">
        <v>0</v>
      </c>
      <c r="E113" s="18">
        <v>49867</v>
      </c>
      <c r="F113" s="19">
        <f t="shared" si="45"/>
        <v>72643</v>
      </c>
      <c r="G113" s="30">
        <f t="shared" si="50"/>
        <v>8.7136034207733637E-2</v>
      </c>
      <c r="H113" s="18">
        <v>22776</v>
      </c>
      <c r="I113" s="18">
        <v>-5621</v>
      </c>
      <c r="J113" s="18">
        <v>0</v>
      </c>
      <c r="K113" s="18"/>
      <c r="L113" s="18">
        <v>49867</v>
      </c>
      <c r="M113" s="18"/>
      <c r="N113" s="19">
        <f t="shared" si="55"/>
        <v>72643</v>
      </c>
      <c r="O113" s="19">
        <f t="shared" si="42"/>
        <v>-5621</v>
      </c>
      <c r="P113" s="19">
        <f t="shared" si="43"/>
        <v>67022</v>
      </c>
      <c r="Q113" s="30">
        <f t="shared" si="49"/>
        <v>8.1041162373699058E-2</v>
      </c>
    </row>
    <row r="114" spans="1:17" x14ac:dyDescent="0.25">
      <c r="A114" s="16" t="s">
        <v>60</v>
      </c>
      <c r="B114" s="17" t="s">
        <v>61</v>
      </c>
      <c r="C114" s="18">
        <v>339099</v>
      </c>
      <c r="D114" s="18">
        <v>0</v>
      </c>
      <c r="E114" s="18">
        <v>89257</v>
      </c>
      <c r="F114" s="19">
        <f t="shared" si="45"/>
        <v>428356</v>
      </c>
      <c r="G114" s="30">
        <f t="shared" si="50"/>
        <v>0.51381747820282686</v>
      </c>
      <c r="H114" s="18">
        <v>339099</v>
      </c>
      <c r="I114" s="18">
        <f>-36302+418</f>
        <v>-35884</v>
      </c>
      <c r="J114" s="18">
        <v>0</v>
      </c>
      <c r="K114" s="18"/>
      <c r="L114" s="18">
        <v>89257</v>
      </c>
      <c r="M114" s="18">
        <v>-2404</v>
      </c>
      <c r="N114" s="19">
        <f t="shared" si="55"/>
        <v>428356</v>
      </c>
      <c r="O114" s="19">
        <f t="shared" si="42"/>
        <v>-38288</v>
      </c>
      <c r="P114" s="19">
        <f t="shared" si="43"/>
        <v>390068</v>
      </c>
      <c r="Q114" s="30">
        <f t="shared" si="49"/>
        <v>0.47165951664802669</v>
      </c>
    </row>
    <row r="115" spans="1:17" ht="26.4" x14ac:dyDescent="0.25">
      <c r="A115" s="16" t="s">
        <v>62</v>
      </c>
      <c r="B115" s="17" t="s">
        <v>63</v>
      </c>
      <c r="C115" s="18">
        <v>29781</v>
      </c>
      <c r="D115" s="18">
        <v>0</v>
      </c>
      <c r="E115" s="18">
        <v>28634</v>
      </c>
      <c r="F115" s="19">
        <f t="shared" si="45"/>
        <v>58415</v>
      </c>
      <c r="G115" s="30">
        <f t="shared" si="50"/>
        <v>7.0069400193339487E-2</v>
      </c>
      <c r="H115" s="18">
        <v>29781</v>
      </c>
      <c r="I115" s="18">
        <f>-418-932</f>
        <v>-1350</v>
      </c>
      <c r="J115" s="18">
        <v>0</v>
      </c>
      <c r="K115" s="18"/>
      <c r="L115" s="18">
        <v>28634</v>
      </c>
      <c r="M115" s="18"/>
      <c r="N115" s="19">
        <f t="shared" si="55"/>
        <v>58415</v>
      </c>
      <c r="O115" s="19">
        <f t="shared" si="42"/>
        <v>-1350</v>
      </c>
      <c r="P115" s="19">
        <f t="shared" si="43"/>
        <v>57065</v>
      </c>
      <c r="Q115" s="30">
        <f t="shared" si="49"/>
        <v>6.9001431333817795E-2</v>
      </c>
    </row>
    <row r="116" spans="1:17" x14ac:dyDescent="0.25">
      <c r="A116" s="16" t="s">
        <v>64</v>
      </c>
      <c r="B116" s="17" t="s">
        <v>65</v>
      </c>
      <c r="C116" s="18">
        <v>638</v>
      </c>
      <c r="D116" s="18">
        <v>0</v>
      </c>
      <c r="E116" s="18">
        <v>0</v>
      </c>
      <c r="F116" s="19">
        <f t="shared" si="45"/>
        <v>638</v>
      </c>
      <c r="G116" s="30">
        <f t="shared" si="50"/>
        <v>7.6528763713687561E-4</v>
      </c>
      <c r="H116" s="18">
        <v>638</v>
      </c>
      <c r="I116" s="18"/>
      <c r="J116" s="18">
        <v>0</v>
      </c>
      <c r="K116" s="18"/>
      <c r="L116" s="18">
        <v>0</v>
      </c>
      <c r="M116" s="18"/>
      <c r="N116" s="19">
        <f t="shared" si="55"/>
        <v>638</v>
      </c>
      <c r="O116" s="19">
        <f t="shared" si="42"/>
        <v>0</v>
      </c>
      <c r="P116" s="19">
        <f t="shared" si="43"/>
        <v>638</v>
      </c>
      <c r="Q116" s="30">
        <f t="shared" si="49"/>
        <v>7.7145208430694397E-4</v>
      </c>
    </row>
    <row r="117" spans="1:17" ht="26.4" x14ac:dyDescent="0.25">
      <c r="A117" s="16" t="s">
        <v>90</v>
      </c>
      <c r="B117" s="17" t="s">
        <v>91</v>
      </c>
      <c r="C117" s="18">
        <v>0</v>
      </c>
      <c r="D117" s="18">
        <v>0</v>
      </c>
      <c r="E117" s="18">
        <v>30000</v>
      </c>
      <c r="F117" s="19">
        <f t="shared" si="45"/>
        <v>30000</v>
      </c>
      <c r="G117" s="30">
        <f t="shared" si="50"/>
        <v>3.5985312091075659E-2</v>
      </c>
      <c r="H117" s="18">
        <v>0</v>
      </c>
      <c r="I117" s="18"/>
      <c r="J117" s="18">
        <v>0</v>
      </c>
      <c r="K117" s="18"/>
      <c r="L117" s="18">
        <v>30000</v>
      </c>
      <c r="M117" s="18"/>
      <c r="N117" s="19">
        <f t="shared" si="55"/>
        <v>30000</v>
      </c>
      <c r="O117" s="19">
        <f t="shared" si="42"/>
        <v>0</v>
      </c>
      <c r="P117" s="19">
        <f t="shared" si="43"/>
        <v>30000</v>
      </c>
      <c r="Q117" s="30">
        <f t="shared" si="49"/>
        <v>3.6275176378069464E-2</v>
      </c>
    </row>
    <row r="118" spans="1:17" x14ac:dyDescent="0.25">
      <c r="A118" s="16" t="s">
        <v>104</v>
      </c>
      <c r="B118" s="17" t="s">
        <v>105</v>
      </c>
      <c r="C118" s="18">
        <v>8712</v>
      </c>
      <c r="D118" s="18">
        <v>0</v>
      </c>
      <c r="E118" s="18">
        <v>20000</v>
      </c>
      <c r="F118" s="19">
        <f t="shared" si="45"/>
        <v>28712</v>
      </c>
      <c r="G118" s="30">
        <f t="shared" si="50"/>
        <v>3.4440342691965477E-2</v>
      </c>
      <c r="H118" s="18">
        <v>8712</v>
      </c>
      <c r="I118" s="18"/>
      <c r="J118" s="18">
        <v>0</v>
      </c>
      <c r="K118" s="18"/>
      <c r="L118" s="18">
        <v>20000</v>
      </c>
      <c r="M118" s="18">
        <v>2404</v>
      </c>
      <c r="N118" s="19">
        <f t="shared" si="55"/>
        <v>28712</v>
      </c>
      <c r="O118" s="19">
        <f t="shared" si="42"/>
        <v>2404</v>
      </c>
      <c r="P118" s="19">
        <f t="shared" si="43"/>
        <v>31116</v>
      </c>
      <c r="Q118" s="30">
        <f t="shared" si="49"/>
        <v>3.7624612939333647E-2</v>
      </c>
    </row>
    <row r="119" spans="1:17" x14ac:dyDescent="0.25">
      <c r="A119" s="16" t="s">
        <v>66</v>
      </c>
      <c r="B119" s="17" t="s">
        <v>67</v>
      </c>
      <c r="C119" s="18">
        <v>17650</v>
      </c>
      <c r="D119" s="18">
        <v>0</v>
      </c>
      <c r="E119" s="18">
        <v>96836</v>
      </c>
      <c r="F119" s="19">
        <f t="shared" si="45"/>
        <v>114486</v>
      </c>
      <c r="G119" s="30">
        <f t="shared" si="50"/>
        <v>0.13732714800196294</v>
      </c>
      <c r="H119" s="18">
        <v>17650</v>
      </c>
      <c r="I119" s="18">
        <v>-4000</v>
      </c>
      <c r="J119" s="18">
        <v>0</v>
      </c>
      <c r="K119" s="18"/>
      <c r="L119" s="18">
        <v>96836</v>
      </c>
      <c r="M119" s="18"/>
      <c r="N119" s="19">
        <f t="shared" si="55"/>
        <v>114486</v>
      </c>
      <c r="O119" s="19">
        <f t="shared" si="42"/>
        <v>-4000</v>
      </c>
      <c r="P119" s="19">
        <f t="shared" si="43"/>
        <v>110486</v>
      </c>
      <c r="Q119" s="30">
        <f t="shared" si="49"/>
        <v>0.13359663791024609</v>
      </c>
    </row>
    <row r="120" spans="1:17" x14ac:dyDescent="0.25">
      <c r="A120" s="16" t="s">
        <v>70</v>
      </c>
      <c r="B120" s="17" t="s">
        <v>71</v>
      </c>
      <c r="C120" s="18">
        <v>35000</v>
      </c>
      <c r="D120" s="18">
        <v>0</v>
      </c>
      <c r="E120" s="18">
        <v>0</v>
      </c>
      <c r="F120" s="19">
        <f t="shared" si="45"/>
        <v>35000</v>
      </c>
      <c r="G120" s="30">
        <f t="shared" si="50"/>
        <v>4.1982864106254937E-2</v>
      </c>
      <c r="H120" s="18">
        <v>35000</v>
      </c>
      <c r="I120" s="18"/>
      <c r="J120" s="18">
        <v>0</v>
      </c>
      <c r="K120" s="18"/>
      <c r="L120" s="18">
        <v>0</v>
      </c>
      <c r="M120" s="18"/>
      <c r="N120" s="19">
        <f t="shared" si="55"/>
        <v>35000</v>
      </c>
      <c r="O120" s="19">
        <f t="shared" si="42"/>
        <v>0</v>
      </c>
      <c r="P120" s="19">
        <f t="shared" si="43"/>
        <v>35000</v>
      </c>
      <c r="Q120" s="30">
        <f t="shared" si="49"/>
        <v>4.2321039107747711E-2</v>
      </c>
    </row>
    <row r="121" spans="1:17" x14ac:dyDescent="0.25">
      <c r="A121" s="16" t="s">
        <v>108</v>
      </c>
      <c r="B121" s="17" t="s">
        <v>109</v>
      </c>
      <c r="C121" s="18">
        <v>0</v>
      </c>
      <c r="D121" s="18">
        <v>0</v>
      </c>
      <c r="E121" s="18">
        <v>0</v>
      </c>
      <c r="F121" s="19">
        <f t="shared" si="45"/>
        <v>0</v>
      </c>
      <c r="G121" s="30">
        <f t="shared" si="50"/>
        <v>0</v>
      </c>
      <c r="H121" s="18">
        <v>0</v>
      </c>
      <c r="I121" s="18"/>
      <c r="J121" s="18">
        <v>0</v>
      </c>
      <c r="K121" s="18"/>
      <c r="L121" s="18">
        <v>0</v>
      </c>
      <c r="M121" s="18"/>
      <c r="N121" s="19">
        <f t="shared" si="55"/>
        <v>0</v>
      </c>
      <c r="O121" s="19">
        <f t="shared" si="42"/>
        <v>0</v>
      </c>
      <c r="P121" s="19">
        <f t="shared" si="43"/>
        <v>0</v>
      </c>
      <c r="Q121" s="30">
        <f t="shared" si="49"/>
        <v>0</v>
      </c>
    </row>
    <row r="122" spans="1:17" ht="13.8" x14ac:dyDescent="0.25">
      <c r="A122" s="22" t="s">
        <v>110</v>
      </c>
      <c r="B122" s="23" t="s">
        <v>111</v>
      </c>
      <c r="C122" s="24">
        <f t="shared" ref="C122:D122" si="58">C123+C126+C138+C132</f>
        <v>707206</v>
      </c>
      <c r="D122" s="24">
        <f t="shared" si="58"/>
        <v>0</v>
      </c>
      <c r="E122" s="24">
        <f>E123+E126+E138+E132</f>
        <v>507085</v>
      </c>
      <c r="F122" s="24">
        <f t="shared" si="45"/>
        <v>1214291</v>
      </c>
      <c r="G122" s="25">
        <f t="shared" si="50"/>
        <v>1.4565546868128116</v>
      </c>
      <c r="H122" s="24">
        <f t="shared" ref="H122:K122" si="59">H123+H126+H138+H132</f>
        <v>707206</v>
      </c>
      <c r="I122" s="24">
        <f t="shared" si="59"/>
        <v>-5663</v>
      </c>
      <c r="J122" s="24">
        <f t="shared" si="59"/>
        <v>0</v>
      </c>
      <c r="K122" s="24">
        <f t="shared" si="59"/>
        <v>0</v>
      </c>
      <c r="L122" s="24">
        <f>L123+L126+L138+L132</f>
        <v>507085</v>
      </c>
      <c r="M122" s="24">
        <f>M123+M126+M138+M132</f>
        <v>0</v>
      </c>
      <c r="N122" s="24">
        <f t="shared" si="55"/>
        <v>1214291</v>
      </c>
      <c r="O122" s="24">
        <f t="shared" si="42"/>
        <v>-5663</v>
      </c>
      <c r="P122" s="24">
        <f t="shared" si="43"/>
        <v>1208628</v>
      </c>
      <c r="Q122" s="25">
        <f t="shared" si="49"/>
        <v>1.4614397958491114</v>
      </c>
    </row>
    <row r="123" spans="1:17" ht="13.8" x14ac:dyDescent="0.25">
      <c r="A123" s="33" t="s">
        <v>112</v>
      </c>
      <c r="B123" s="31" t="s">
        <v>113</v>
      </c>
      <c r="C123" s="28">
        <f>C124+C125</f>
        <v>60000</v>
      </c>
      <c r="D123" s="28">
        <f t="shared" ref="D123:E123" si="60">D124+D125</f>
        <v>0</v>
      </c>
      <c r="E123" s="28">
        <f t="shared" si="60"/>
        <v>0</v>
      </c>
      <c r="F123" s="28">
        <f t="shared" si="45"/>
        <v>60000</v>
      </c>
      <c r="G123" s="29">
        <f t="shared" si="50"/>
        <v>7.1970624182151319E-2</v>
      </c>
      <c r="H123" s="28">
        <f>H124+H125</f>
        <v>60000</v>
      </c>
      <c r="I123" s="28">
        <f>I124+I125</f>
        <v>0</v>
      </c>
      <c r="J123" s="28">
        <f t="shared" ref="J123:M123" si="61">J124+J125</f>
        <v>0</v>
      </c>
      <c r="K123" s="28">
        <f t="shared" si="61"/>
        <v>0</v>
      </c>
      <c r="L123" s="28">
        <f t="shared" si="61"/>
        <v>0</v>
      </c>
      <c r="M123" s="28">
        <f t="shared" si="61"/>
        <v>0</v>
      </c>
      <c r="N123" s="28">
        <f t="shared" si="55"/>
        <v>60000</v>
      </c>
      <c r="O123" s="28">
        <f t="shared" si="42"/>
        <v>0</v>
      </c>
      <c r="P123" s="28">
        <f t="shared" si="43"/>
        <v>60000</v>
      </c>
      <c r="Q123" s="29">
        <f t="shared" si="49"/>
        <v>7.2550352756138928E-2</v>
      </c>
    </row>
    <row r="124" spans="1:17" ht="26.4" x14ac:dyDescent="0.25">
      <c r="A124" s="16" t="s">
        <v>90</v>
      </c>
      <c r="B124" s="17" t="s">
        <v>91</v>
      </c>
      <c r="C124" s="18">
        <v>30000</v>
      </c>
      <c r="D124" s="18">
        <v>0</v>
      </c>
      <c r="E124" s="18">
        <v>0</v>
      </c>
      <c r="F124" s="19">
        <f t="shared" si="45"/>
        <v>30000</v>
      </c>
      <c r="G124" s="30">
        <f t="shared" si="50"/>
        <v>3.5985312091075659E-2</v>
      </c>
      <c r="H124" s="18">
        <v>30000</v>
      </c>
      <c r="I124" s="18"/>
      <c r="J124" s="18">
        <v>0</v>
      </c>
      <c r="K124" s="18"/>
      <c r="L124" s="18">
        <v>0</v>
      </c>
      <c r="M124" s="18"/>
      <c r="N124" s="19">
        <f t="shared" si="55"/>
        <v>30000</v>
      </c>
      <c r="O124" s="19">
        <f t="shared" si="42"/>
        <v>0</v>
      </c>
      <c r="P124" s="19">
        <f t="shared" si="43"/>
        <v>30000</v>
      </c>
      <c r="Q124" s="30">
        <f t="shared" si="49"/>
        <v>3.6275176378069464E-2</v>
      </c>
    </row>
    <row r="125" spans="1:17" x14ac:dyDescent="0.25">
      <c r="A125" s="16" t="s">
        <v>70</v>
      </c>
      <c r="B125" s="17" t="s">
        <v>71</v>
      </c>
      <c r="C125" s="18">
        <v>30000</v>
      </c>
      <c r="D125" s="18">
        <v>0</v>
      </c>
      <c r="E125" s="18">
        <v>0</v>
      </c>
      <c r="F125" s="19">
        <f t="shared" si="45"/>
        <v>30000</v>
      </c>
      <c r="G125" s="30">
        <f t="shared" si="50"/>
        <v>3.5985312091075659E-2</v>
      </c>
      <c r="H125" s="18">
        <v>30000</v>
      </c>
      <c r="I125" s="18"/>
      <c r="J125" s="18">
        <v>0</v>
      </c>
      <c r="K125" s="18"/>
      <c r="L125" s="18">
        <v>0</v>
      </c>
      <c r="M125" s="18"/>
      <c r="N125" s="19">
        <f t="shared" si="55"/>
        <v>30000</v>
      </c>
      <c r="O125" s="19">
        <f t="shared" si="42"/>
        <v>0</v>
      </c>
      <c r="P125" s="19">
        <f t="shared" si="43"/>
        <v>30000</v>
      </c>
      <c r="Q125" s="30">
        <f t="shared" si="49"/>
        <v>3.6275176378069464E-2</v>
      </c>
    </row>
    <row r="126" spans="1:17" ht="28.5" customHeight="1" x14ac:dyDescent="0.25">
      <c r="A126" s="33" t="s">
        <v>114</v>
      </c>
      <c r="B126" s="35" t="s">
        <v>115</v>
      </c>
      <c r="C126" s="28">
        <f>SUM(C127:C131)</f>
        <v>0</v>
      </c>
      <c r="D126" s="28">
        <f t="shared" ref="D126:E126" si="62">SUM(D127:D131)</f>
        <v>0</v>
      </c>
      <c r="E126" s="28">
        <f t="shared" si="62"/>
        <v>439349</v>
      </c>
      <c r="F126" s="28">
        <f t="shared" si="45"/>
        <v>439349</v>
      </c>
      <c r="G126" s="29">
        <f t="shared" si="50"/>
        <v>0.52700369606340003</v>
      </c>
      <c r="H126" s="28">
        <f>SUM(H127:H131)</f>
        <v>0</v>
      </c>
      <c r="I126" s="28">
        <f>SUM(I127:I131)</f>
        <v>0</v>
      </c>
      <c r="J126" s="28">
        <f t="shared" ref="J126:M126" si="63">SUM(J127:J131)</f>
        <v>0</v>
      </c>
      <c r="K126" s="28">
        <f t="shared" si="63"/>
        <v>0</v>
      </c>
      <c r="L126" s="28">
        <f t="shared" si="63"/>
        <v>439349</v>
      </c>
      <c r="M126" s="28">
        <f t="shared" si="63"/>
        <v>0</v>
      </c>
      <c r="N126" s="28">
        <f t="shared" si="55"/>
        <v>439349</v>
      </c>
      <c r="O126" s="28">
        <f t="shared" si="42"/>
        <v>0</v>
      </c>
      <c r="P126" s="28">
        <f t="shared" si="43"/>
        <v>439349</v>
      </c>
      <c r="Q126" s="29">
        <f t="shared" si="49"/>
        <v>0.53124874888428142</v>
      </c>
    </row>
    <row r="127" spans="1:17" x14ac:dyDescent="0.25">
      <c r="A127" s="16" t="s">
        <v>54</v>
      </c>
      <c r="B127" s="17" t="s">
        <v>55</v>
      </c>
      <c r="C127" s="18">
        <v>0</v>
      </c>
      <c r="D127" s="18">
        <v>0</v>
      </c>
      <c r="E127" s="18">
        <v>3449</v>
      </c>
      <c r="F127" s="19">
        <f t="shared" si="45"/>
        <v>3449</v>
      </c>
      <c r="G127" s="30">
        <f t="shared" si="50"/>
        <v>4.1371113800706648E-3</v>
      </c>
      <c r="H127" s="18">
        <v>0</v>
      </c>
      <c r="I127" s="18"/>
      <c r="J127" s="18">
        <v>0</v>
      </c>
      <c r="K127" s="18"/>
      <c r="L127" s="18">
        <v>3449</v>
      </c>
      <c r="M127" s="18"/>
      <c r="N127" s="19">
        <f t="shared" si="55"/>
        <v>3449</v>
      </c>
      <c r="O127" s="19">
        <f t="shared" si="42"/>
        <v>0</v>
      </c>
      <c r="P127" s="19">
        <f t="shared" si="43"/>
        <v>3449</v>
      </c>
      <c r="Q127" s="30">
        <f t="shared" si="49"/>
        <v>4.1704361109320531E-3</v>
      </c>
    </row>
    <row r="128" spans="1:17" ht="26.4" x14ac:dyDescent="0.25">
      <c r="A128" s="16" t="s">
        <v>56</v>
      </c>
      <c r="B128" s="17" t="s">
        <v>57</v>
      </c>
      <c r="C128" s="18">
        <v>0</v>
      </c>
      <c r="D128" s="18">
        <v>0</v>
      </c>
      <c r="E128" s="18">
        <v>814</v>
      </c>
      <c r="F128" s="19">
        <f t="shared" si="45"/>
        <v>814</v>
      </c>
      <c r="G128" s="30">
        <f t="shared" si="50"/>
        <v>9.764014680711862E-4</v>
      </c>
      <c r="H128" s="18">
        <v>0</v>
      </c>
      <c r="I128" s="18"/>
      <c r="J128" s="18">
        <v>0</v>
      </c>
      <c r="K128" s="18"/>
      <c r="L128" s="18">
        <v>814</v>
      </c>
      <c r="M128" s="18"/>
      <c r="N128" s="19">
        <f t="shared" si="55"/>
        <v>814</v>
      </c>
      <c r="O128" s="19">
        <f t="shared" si="42"/>
        <v>0</v>
      </c>
      <c r="P128" s="19">
        <f t="shared" si="43"/>
        <v>814</v>
      </c>
      <c r="Q128" s="30">
        <f t="shared" si="49"/>
        <v>9.8426645239161822E-4</v>
      </c>
    </row>
    <row r="129" spans="1:17" x14ac:dyDescent="0.25">
      <c r="A129" s="16" t="s">
        <v>60</v>
      </c>
      <c r="B129" s="17" t="s">
        <v>61</v>
      </c>
      <c r="C129" s="18">
        <v>0</v>
      </c>
      <c r="D129" s="18">
        <v>0</v>
      </c>
      <c r="E129" s="18">
        <v>4000</v>
      </c>
      <c r="F129" s="19">
        <f t="shared" si="45"/>
        <v>4000</v>
      </c>
      <c r="G129" s="30">
        <f t="shared" si="50"/>
        <v>4.7980416121434213E-3</v>
      </c>
      <c r="H129" s="18">
        <v>0</v>
      </c>
      <c r="I129" s="18"/>
      <c r="J129" s="18">
        <v>0</v>
      </c>
      <c r="K129" s="18"/>
      <c r="L129" s="18">
        <v>4000</v>
      </c>
      <c r="M129" s="18"/>
      <c r="N129" s="19">
        <f t="shared" si="55"/>
        <v>4000</v>
      </c>
      <c r="O129" s="19">
        <f t="shared" si="42"/>
        <v>0</v>
      </c>
      <c r="P129" s="19">
        <f t="shared" si="43"/>
        <v>4000</v>
      </c>
      <c r="Q129" s="30">
        <f t="shared" si="49"/>
        <v>4.8366901837425952E-3</v>
      </c>
    </row>
    <row r="130" spans="1:17" ht="26.4" x14ac:dyDescent="0.25">
      <c r="A130" s="16" t="s">
        <v>62</v>
      </c>
      <c r="B130" s="17" t="s">
        <v>63</v>
      </c>
      <c r="C130" s="18">
        <v>0</v>
      </c>
      <c r="D130" s="18">
        <v>0</v>
      </c>
      <c r="E130" s="18">
        <v>0</v>
      </c>
      <c r="F130" s="19">
        <f t="shared" si="45"/>
        <v>0</v>
      </c>
      <c r="G130" s="30">
        <f t="shared" si="50"/>
        <v>0</v>
      </c>
      <c r="H130" s="18">
        <v>0</v>
      </c>
      <c r="I130" s="18"/>
      <c r="J130" s="18">
        <v>0</v>
      </c>
      <c r="K130" s="18"/>
      <c r="L130" s="18">
        <v>0</v>
      </c>
      <c r="M130" s="18"/>
      <c r="N130" s="19">
        <f t="shared" si="55"/>
        <v>0</v>
      </c>
      <c r="O130" s="19">
        <f t="shared" si="42"/>
        <v>0</v>
      </c>
      <c r="P130" s="19">
        <f t="shared" si="43"/>
        <v>0</v>
      </c>
      <c r="Q130" s="30">
        <f t="shared" si="49"/>
        <v>0</v>
      </c>
    </row>
    <row r="131" spans="1:17" x14ac:dyDescent="0.25">
      <c r="A131" s="16" t="s">
        <v>66</v>
      </c>
      <c r="B131" s="17" t="s">
        <v>67</v>
      </c>
      <c r="C131" s="18">
        <v>0</v>
      </c>
      <c r="D131" s="18">
        <v>0</v>
      </c>
      <c r="E131" s="18">
        <v>431086</v>
      </c>
      <c r="F131" s="19">
        <f t="shared" si="45"/>
        <v>431086</v>
      </c>
      <c r="G131" s="30">
        <f t="shared" si="50"/>
        <v>0.51709214160311467</v>
      </c>
      <c r="H131" s="18">
        <v>0</v>
      </c>
      <c r="I131" s="18"/>
      <c r="J131" s="18">
        <v>0</v>
      </c>
      <c r="K131" s="18"/>
      <c r="L131" s="18">
        <v>431086</v>
      </c>
      <c r="M131" s="18"/>
      <c r="N131" s="19">
        <f t="shared" si="55"/>
        <v>431086</v>
      </c>
      <c r="O131" s="19">
        <f t="shared" si="42"/>
        <v>0</v>
      </c>
      <c r="P131" s="19">
        <f t="shared" si="43"/>
        <v>431086</v>
      </c>
      <c r="Q131" s="30">
        <f t="shared" si="49"/>
        <v>0.52125735613721513</v>
      </c>
    </row>
    <row r="132" spans="1:17" ht="28.5" customHeight="1" x14ac:dyDescent="0.25">
      <c r="A132" s="33" t="s">
        <v>116</v>
      </c>
      <c r="B132" s="35" t="s">
        <v>117</v>
      </c>
      <c r="C132" s="28">
        <f t="shared" ref="C132:E132" si="64">SUM(C133:C137)</f>
        <v>0</v>
      </c>
      <c r="D132" s="28">
        <f t="shared" si="64"/>
        <v>0</v>
      </c>
      <c r="E132" s="28">
        <f t="shared" si="64"/>
        <v>67736</v>
      </c>
      <c r="F132" s="28">
        <f t="shared" si="45"/>
        <v>67736</v>
      </c>
      <c r="G132" s="29">
        <f t="shared" si="50"/>
        <v>8.125003666003669E-2</v>
      </c>
      <c r="H132" s="28">
        <f t="shared" ref="H132:M132" si="65">SUM(H133:H137)</f>
        <v>0</v>
      </c>
      <c r="I132" s="28">
        <f t="shared" si="65"/>
        <v>0</v>
      </c>
      <c r="J132" s="28">
        <f t="shared" si="65"/>
        <v>0</v>
      </c>
      <c r="K132" s="28">
        <f t="shared" si="65"/>
        <v>0</v>
      </c>
      <c r="L132" s="28">
        <f t="shared" si="65"/>
        <v>67736</v>
      </c>
      <c r="M132" s="28">
        <f t="shared" si="65"/>
        <v>0</v>
      </c>
      <c r="N132" s="28">
        <f t="shared" si="55"/>
        <v>67736</v>
      </c>
      <c r="O132" s="28">
        <f t="shared" si="42"/>
        <v>0</v>
      </c>
      <c r="P132" s="28">
        <f t="shared" si="43"/>
        <v>67736</v>
      </c>
      <c r="Q132" s="29">
        <f t="shared" si="49"/>
        <v>8.1904511571497113E-2</v>
      </c>
    </row>
    <row r="133" spans="1:17" x14ac:dyDescent="0.25">
      <c r="A133" s="16" t="s">
        <v>54</v>
      </c>
      <c r="B133" s="17" t="s">
        <v>55</v>
      </c>
      <c r="C133" s="18">
        <v>0</v>
      </c>
      <c r="D133" s="18">
        <v>0</v>
      </c>
      <c r="E133" s="18">
        <v>500</v>
      </c>
      <c r="F133" s="19">
        <f t="shared" si="45"/>
        <v>500</v>
      </c>
      <c r="G133" s="30">
        <f t="shared" si="50"/>
        <v>5.9975520151792766E-4</v>
      </c>
      <c r="H133" s="18">
        <v>0</v>
      </c>
      <c r="I133" s="18"/>
      <c r="J133" s="18">
        <v>0</v>
      </c>
      <c r="K133" s="18"/>
      <c r="L133" s="18">
        <v>500</v>
      </c>
      <c r="M133" s="18"/>
      <c r="N133" s="19">
        <f t="shared" si="55"/>
        <v>500</v>
      </c>
      <c r="O133" s="19">
        <f t="shared" si="42"/>
        <v>0</v>
      </c>
      <c r="P133" s="19">
        <f t="shared" si="43"/>
        <v>500</v>
      </c>
      <c r="Q133" s="30">
        <f t="shared" si="49"/>
        <v>6.045862729678244E-4</v>
      </c>
    </row>
    <row r="134" spans="1:17" ht="26.4" x14ac:dyDescent="0.25">
      <c r="A134" s="16" t="s">
        <v>56</v>
      </c>
      <c r="B134" s="17" t="s">
        <v>57</v>
      </c>
      <c r="C134" s="18">
        <v>0</v>
      </c>
      <c r="D134" s="18">
        <v>0</v>
      </c>
      <c r="E134" s="18">
        <v>118</v>
      </c>
      <c r="F134" s="19">
        <f t="shared" si="45"/>
        <v>118</v>
      </c>
      <c r="G134" s="30">
        <f t="shared" si="50"/>
        <v>1.4154222755823092E-4</v>
      </c>
      <c r="H134" s="18">
        <v>0</v>
      </c>
      <c r="I134" s="18"/>
      <c r="J134" s="18">
        <v>0</v>
      </c>
      <c r="K134" s="18"/>
      <c r="L134" s="18">
        <v>118</v>
      </c>
      <c r="M134" s="18"/>
      <c r="N134" s="19">
        <f t="shared" si="55"/>
        <v>118</v>
      </c>
      <c r="O134" s="19">
        <f t="shared" si="42"/>
        <v>0</v>
      </c>
      <c r="P134" s="19">
        <f t="shared" si="43"/>
        <v>118</v>
      </c>
      <c r="Q134" s="30">
        <f t="shared" si="49"/>
        <v>1.4268236042040656E-4</v>
      </c>
    </row>
    <row r="135" spans="1:17" x14ac:dyDescent="0.25">
      <c r="A135" s="16" t="s">
        <v>60</v>
      </c>
      <c r="B135" s="17" t="s">
        <v>61</v>
      </c>
      <c r="C135" s="18">
        <v>0</v>
      </c>
      <c r="D135" s="18">
        <v>0</v>
      </c>
      <c r="E135" s="18">
        <v>0</v>
      </c>
      <c r="F135" s="19">
        <f t="shared" si="45"/>
        <v>0</v>
      </c>
      <c r="G135" s="30">
        <f t="shared" si="50"/>
        <v>0</v>
      </c>
      <c r="H135" s="18">
        <v>0</v>
      </c>
      <c r="I135" s="18"/>
      <c r="J135" s="18">
        <v>0</v>
      </c>
      <c r="K135" s="18"/>
      <c r="L135" s="18">
        <v>0</v>
      </c>
      <c r="M135" s="18"/>
      <c r="N135" s="19">
        <f t="shared" si="55"/>
        <v>0</v>
      </c>
      <c r="O135" s="19">
        <f t="shared" si="42"/>
        <v>0</v>
      </c>
      <c r="P135" s="19">
        <f t="shared" si="43"/>
        <v>0</v>
      </c>
      <c r="Q135" s="30">
        <f t="shared" si="49"/>
        <v>0</v>
      </c>
    </row>
    <row r="136" spans="1:17" ht="26.4" x14ac:dyDescent="0.25">
      <c r="A136" s="16" t="s">
        <v>62</v>
      </c>
      <c r="B136" s="17" t="s">
        <v>63</v>
      </c>
      <c r="C136" s="18">
        <v>0</v>
      </c>
      <c r="D136" s="18">
        <v>0</v>
      </c>
      <c r="E136" s="18">
        <v>0</v>
      </c>
      <c r="F136" s="19">
        <f t="shared" si="45"/>
        <v>0</v>
      </c>
      <c r="G136" s="30">
        <f t="shared" si="50"/>
        <v>0</v>
      </c>
      <c r="H136" s="18">
        <v>0</v>
      </c>
      <c r="I136" s="18"/>
      <c r="J136" s="18">
        <v>0</v>
      </c>
      <c r="K136" s="18"/>
      <c r="L136" s="18">
        <v>0</v>
      </c>
      <c r="M136" s="18"/>
      <c r="N136" s="19">
        <f t="shared" si="55"/>
        <v>0</v>
      </c>
      <c r="O136" s="19">
        <f t="shared" si="42"/>
        <v>0</v>
      </c>
      <c r="P136" s="19">
        <f t="shared" si="43"/>
        <v>0</v>
      </c>
      <c r="Q136" s="30">
        <f t="shared" si="49"/>
        <v>0</v>
      </c>
    </row>
    <row r="137" spans="1:17" x14ac:dyDescent="0.25">
      <c r="A137" s="16" t="s">
        <v>66</v>
      </c>
      <c r="B137" s="17" t="s">
        <v>67</v>
      </c>
      <c r="C137" s="18">
        <v>0</v>
      </c>
      <c r="D137" s="18">
        <v>0</v>
      </c>
      <c r="E137" s="18">
        <v>67118</v>
      </c>
      <c r="F137" s="19">
        <f t="shared" si="45"/>
        <v>67118</v>
      </c>
      <c r="G137" s="30">
        <f t="shared" si="50"/>
        <v>8.0508739230960538E-2</v>
      </c>
      <c r="H137" s="18">
        <v>0</v>
      </c>
      <c r="I137" s="18"/>
      <c r="J137" s="18">
        <v>0</v>
      </c>
      <c r="K137" s="18"/>
      <c r="L137" s="18">
        <v>67118</v>
      </c>
      <c r="M137" s="18"/>
      <c r="N137" s="19">
        <f t="shared" ref="N137:N168" si="66">H137+J137+L137</f>
        <v>67118</v>
      </c>
      <c r="O137" s="19">
        <f t="shared" ref="O137:O200" si="67">I137+K137+M137</f>
        <v>0</v>
      </c>
      <c r="P137" s="19">
        <f t="shared" ref="P137:P200" si="68">N137+O137</f>
        <v>67118</v>
      </c>
      <c r="Q137" s="30">
        <f t="shared" si="49"/>
        <v>8.1157242938108873E-2</v>
      </c>
    </row>
    <row r="138" spans="1:17" ht="45.75" customHeight="1" x14ac:dyDescent="0.25">
      <c r="A138" s="33" t="s">
        <v>118</v>
      </c>
      <c r="B138" s="35" t="s">
        <v>226</v>
      </c>
      <c r="C138" s="28">
        <f>SUM(C139:C147)</f>
        <v>647206</v>
      </c>
      <c r="D138" s="28">
        <f t="shared" ref="D138:E138" si="69">SUM(D139:D147)</f>
        <v>0</v>
      </c>
      <c r="E138" s="28">
        <f t="shared" si="69"/>
        <v>0</v>
      </c>
      <c r="F138" s="28">
        <f t="shared" si="45"/>
        <v>647206</v>
      </c>
      <c r="G138" s="29">
        <f t="shared" si="50"/>
        <v>0.77633032990722373</v>
      </c>
      <c r="H138" s="28">
        <f>SUM(H139:H147)</f>
        <v>647206</v>
      </c>
      <c r="I138" s="28">
        <f>SUM(I139:I147)</f>
        <v>-5663</v>
      </c>
      <c r="J138" s="28">
        <f t="shared" ref="J138:M138" si="70">SUM(J139:J147)</f>
        <v>0</v>
      </c>
      <c r="K138" s="28">
        <f t="shared" si="70"/>
        <v>0</v>
      </c>
      <c r="L138" s="28">
        <f t="shared" si="70"/>
        <v>0</v>
      </c>
      <c r="M138" s="28">
        <f t="shared" si="70"/>
        <v>0</v>
      </c>
      <c r="N138" s="28">
        <f t="shared" si="66"/>
        <v>647206</v>
      </c>
      <c r="O138" s="28">
        <f t="shared" si="67"/>
        <v>-5663</v>
      </c>
      <c r="P138" s="28">
        <f t="shared" si="68"/>
        <v>641543</v>
      </c>
      <c r="Q138" s="29">
        <f t="shared" si="49"/>
        <v>0.77573618263719391</v>
      </c>
    </row>
    <row r="139" spans="1:17" x14ac:dyDescent="0.25">
      <c r="A139" s="16" t="s">
        <v>54</v>
      </c>
      <c r="B139" s="17" t="s">
        <v>55</v>
      </c>
      <c r="C139" s="18">
        <v>78426</v>
      </c>
      <c r="D139" s="18">
        <v>0</v>
      </c>
      <c r="E139" s="18">
        <v>0</v>
      </c>
      <c r="F139" s="19">
        <f t="shared" si="45"/>
        <v>78426</v>
      </c>
      <c r="G139" s="30">
        <f t="shared" si="50"/>
        <v>9.4072802868489985E-2</v>
      </c>
      <c r="H139" s="18">
        <v>78426</v>
      </c>
      <c r="I139" s="18">
        <v>1891</v>
      </c>
      <c r="J139" s="18">
        <v>0</v>
      </c>
      <c r="K139" s="18"/>
      <c r="L139" s="18">
        <v>0</v>
      </c>
      <c r="M139" s="18"/>
      <c r="N139" s="19">
        <f t="shared" si="66"/>
        <v>78426</v>
      </c>
      <c r="O139" s="19">
        <f t="shared" si="67"/>
        <v>1891</v>
      </c>
      <c r="P139" s="19">
        <f t="shared" si="68"/>
        <v>80317</v>
      </c>
      <c r="Q139" s="30">
        <f t="shared" si="49"/>
        <v>9.7117111371913506E-2</v>
      </c>
    </row>
    <row r="140" spans="1:17" ht="26.4" x14ac:dyDescent="0.25">
      <c r="A140" s="16" t="s">
        <v>56</v>
      </c>
      <c r="B140" s="17" t="s">
        <v>57</v>
      </c>
      <c r="C140" s="18">
        <v>23736</v>
      </c>
      <c r="D140" s="18">
        <v>0</v>
      </c>
      <c r="E140" s="18">
        <v>0</v>
      </c>
      <c r="F140" s="19">
        <f t="shared" si="45"/>
        <v>23736</v>
      </c>
      <c r="G140" s="30">
        <f t="shared" si="50"/>
        <v>2.847157892645906E-2</v>
      </c>
      <c r="H140" s="18">
        <v>23736</v>
      </c>
      <c r="I140" s="18">
        <v>446</v>
      </c>
      <c r="J140" s="18">
        <v>0</v>
      </c>
      <c r="K140" s="18"/>
      <c r="L140" s="18">
        <v>0</v>
      </c>
      <c r="M140" s="18"/>
      <c r="N140" s="19">
        <f t="shared" si="66"/>
        <v>23736</v>
      </c>
      <c r="O140" s="19">
        <f t="shared" si="67"/>
        <v>446</v>
      </c>
      <c r="P140" s="19">
        <f t="shared" si="68"/>
        <v>24182</v>
      </c>
      <c r="Q140" s="30">
        <f t="shared" si="49"/>
        <v>2.9240210505815861E-2</v>
      </c>
    </row>
    <row r="141" spans="1:17" x14ac:dyDescent="0.25">
      <c r="A141" s="16" t="s">
        <v>58</v>
      </c>
      <c r="B141" s="17" t="s">
        <v>59</v>
      </c>
      <c r="C141" s="18">
        <v>200</v>
      </c>
      <c r="D141" s="18">
        <v>0</v>
      </c>
      <c r="E141" s="18">
        <v>0</v>
      </c>
      <c r="F141" s="19">
        <f t="shared" si="45"/>
        <v>200</v>
      </c>
      <c r="G141" s="30">
        <f t="shared" si="50"/>
        <v>2.3990208060717107E-4</v>
      </c>
      <c r="H141" s="18">
        <v>200</v>
      </c>
      <c r="I141" s="18"/>
      <c r="J141" s="18">
        <v>0</v>
      </c>
      <c r="K141" s="18"/>
      <c r="L141" s="18">
        <v>0</v>
      </c>
      <c r="M141" s="18"/>
      <c r="N141" s="19">
        <f t="shared" si="66"/>
        <v>200</v>
      </c>
      <c r="O141" s="19">
        <f t="shared" si="67"/>
        <v>0</v>
      </c>
      <c r="P141" s="19">
        <f t="shared" si="68"/>
        <v>200</v>
      </c>
      <c r="Q141" s="30">
        <f t="shared" si="49"/>
        <v>2.4183450918712976E-4</v>
      </c>
    </row>
    <row r="142" spans="1:17" x14ac:dyDescent="0.25">
      <c r="A142" s="16" t="s">
        <v>60</v>
      </c>
      <c r="B142" s="17" t="s">
        <v>61</v>
      </c>
      <c r="C142" s="18">
        <v>268044</v>
      </c>
      <c r="D142" s="18">
        <v>0</v>
      </c>
      <c r="E142" s="18">
        <v>0</v>
      </c>
      <c r="F142" s="19">
        <f t="shared" si="45"/>
        <v>268044</v>
      </c>
      <c r="G142" s="30">
        <f t="shared" si="50"/>
        <v>0.32152156647134278</v>
      </c>
      <c r="H142" s="18">
        <v>268044</v>
      </c>
      <c r="I142" s="18">
        <f>-4880-8000</f>
        <v>-12880</v>
      </c>
      <c r="J142" s="18">
        <v>0</v>
      </c>
      <c r="K142" s="18"/>
      <c r="L142" s="18">
        <v>0</v>
      </c>
      <c r="M142" s="18"/>
      <c r="N142" s="19">
        <f t="shared" si="66"/>
        <v>268044</v>
      </c>
      <c r="O142" s="19">
        <f t="shared" si="67"/>
        <v>-12880</v>
      </c>
      <c r="P142" s="19">
        <f t="shared" si="68"/>
        <v>255164</v>
      </c>
      <c r="Q142" s="30">
        <f t="shared" si="49"/>
        <v>0.30853730351112391</v>
      </c>
    </row>
    <row r="143" spans="1:17" ht="26.4" x14ac:dyDescent="0.25">
      <c r="A143" s="16" t="s">
        <v>62</v>
      </c>
      <c r="B143" s="17" t="s">
        <v>63</v>
      </c>
      <c r="C143" s="18">
        <v>10245</v>
      </c>
      <c r="D143" s="18">
        <v>0</v>
      </c>
      <c r="E143" s="18">
        <v>0</v>
      </c>
      <c r="F143" s="19">
        <f t="shared" si="45"/>
        <v>10245</v>
      </c>
      <c r="G143" s="30">
        <f t="shared" si="50"/>
        <v>1.2288984079102337E-2</v>
      </c>
      <c r="H143" s="18">
        <v>10245</v>
      </c>
      <c r="I143" s="18">
        <v>4880</v>
      </c>
      <c r="J143" s="18">
        <v>0</v>
      </c>
      <c r="K143" s="18"/>
      <c r="L143" s="18">
        <v>0</v>
      </c>
      <c r="M143" s="18"/>
      <c r="N143" s="19">
        <f t="shared" si="66"/>
        <v>10245</v>
      </c>
      <c r="O143" s="19">
        <f t="shared" si="67"/>
        <v>4880</v>
      </c>
      <c r="P143" s="19">
        <f t="shared" si="68"/>
        <v>15125</v>
      </c>
      <c r="Q143" s="30">
        <f t="shared" si="49"/>
        <v>1.828873475727669E-2</v>
      </c>
    </row>
    <row r="144" spans="1:17" x14ac:dyDescent="0.25">
      <c r="A144" s="16" t="s">
        <v>64</v>
      </c>
      <c r="B144" s="17" t="s">
        <v>65</v>
      </c>
      <c r="C144" s="18">
        <v>2220</v>
      </c>
      <c r="D144" s="18">
        <v>0</v>
      </c>
      <c r="E144" s="18">
        <v>0</v>
      </c>
      <c r="F144" s="19">
        <f t="shared" si="45"/>
        <v>2220</v>
      </c>
      <c r="G144" s="30">
        <f t="shared" si="50"/>
        <v>2.6629130947395988E-3</v>
      </c>
      <c r="H144" s="18">
        <v>2220</v>
      </c>
      <c r="I144" s="18"/>
      <c r="J144" s="18">
        <v>0</v>
      </c>
      <c r="K144" s="18"/>
      <c r="L144" s="18">
        <v>0</v>
      </c>
      <c r="M144" s="18"/>
      <c r="N144" s="19">
        <f t="shared" si="66"/>
        <v>2220</v>
      </c>
      <c r="O144" s="19">
        <f t="shared" si="67"/>
        <v>0</v>
      </c>
      <c r="P144" s="19">
        <f t="shared" si="68"/>
        <v>2220</v>
      </c>
      <c r="Q144" s="30">
        <f t="shared" si="49"/>
        <v>2.6843630519771404E-3</v>
      </c>
    </row>
    <row r="145" spans="1:17" ht="26.4" x14ac:dyDescent="0.25">
      <c r="A145" s="16" t="s">
        <v>90</v>
      </c>
      <c r="B145" s="17" t="s">
        <v>91</v>
      </c>
      <c r="C145" s="18">
        <v>259835</v>
      </c>
      <c r="D145" s="18">
        <v>0</v>
      </c>
      <c r="E145" s="18">
        <v>0</v>
      </c>
      <c r="F145" s="19">
        <f t="shared" si="45"/>
        <v>259835</v>
      </c>
      <c r="G145" s="30">
        <f t="shared" si="50"/>
        <v>0.31167478557282147</v>
      </c>
      <c r="H145" s="18">
        <v>259835</v>
      </c>
      <c r="I145" s="18"/>
      <c r="J145" s="18">
        <v>0</v>
      </c>
      <c r="K145" s="18"/>
      <c r="L145" s="18">
        <v>0</v>
      </c>
      <c r="M145" s="18"/>
      <c r="N145" s="19">
        <f t="shared" si="66"/>
        <v>259835</v>
      </c>
      <c r="O145" s="19">
        <f t="shared" si="67"/>
        <v>0</v>
      </c>
      <c r="P145" s="19">
        <f t="shared" si="68"/>
        <v>259835</v>
      </c>
      <c r="Q145" s="30">
        <f t="shared" si="49"/>
        <v>0.3141853484731893</v>
      </c>
    </row>
    <row r="146" spans="1:17" x14ac:dyDescent="0.25">
      <c r="A146" s="16" t="s">
        <v>104</v>
      </c>
      <c r="B146" s="17" t="s">
        <v>105</v>
      </c>
      <c r="C146" s="18">
        <v>0</v>
      </c>
      <c r="D146" s="18">
        <v>0</v>
      </c>
      <c r="E146" s="18">
        <v>0</v>
      </c>
      <c r="F146" s="19">
        <f t="shared" si="45"/>
        <v>0</v>
      </c>
      <c r="G146" s="30">
        <f t="shared" si="50"/>
        <v>0</v>
      </c>
      <c r="H146" s="18">
        <v>0</v>
      </c>
      <c r="I146" s="18"/>
      <c r="J146" s="18">
        <v>0</v>
      </c>
      <c r="K146" s="18"/>
      <c r="L146" s="18">
        <v>0</v>
      </c>
      <c r="M146" s="18"/>
      <c r="N146" s="19">
        <f t="shared" si="66"/>
        <v>0</v>
      </c>
      <c r="O146" s="19">
        <f t="shared" si="67"/>
        <v>0</v>
      </c>
      <c r="P146" s="19">
        <f t="shared" si="68"/>
        <v>0</v>
      </c>
      <c r="Q146" s="30">
        <f t="shared" si="49"/>
        <v>0</v>
      </c>
    </row>
    <row r="147" spans="1:17" x14ac:dyDescent="0.25">
      <c r="A147" s="16" t="s">
        <v>66</v>
      </c>
      <c r="B147" s="17" t="s">
        <v>67</v>
      </c>
      <c r="C147" s="18">
        <v>4500</v>
      </c>
      <c r="D147" s="18">
        <v>0</v>
      </c>
      <c r="E147" s="18">
        <v>0</v>
      </c>
      <c r="F147" s="19">
        <f t="shared" si="45"/>
        <v>4500</v>
      </c>
      <c r="G147" s="30">
        <f t="shared" si="50"/>
        <v>5.3977968136613491E-3</v>
      </c>
      <c r="H147" s="18">
        <v>4500</v>
      </c>
      <c r="I147" s="18"/>
      <c r="J147" s="18">
        <v>0</v>
      </c>
      <c r="K147" s="18"/>
      <c r="L147" s="18">
        <v>0</v>
      </c>
      <c r="M147" s="18"/>
      <c r="N147" s="19">
        <f t="shared" si="66"/>
        <v>4500</v>
      </c>
      <c r="O147" s="19">
        <f t="shared" si="67"/>
        <v>0</v>
      </c>
      <c r="P147" s="19">
        <f t="shared" si="68"/>
        <v>4500</v>
      </c>
      <c r="Q147" s="30">
        <f t="shared" si="49"/>
        <v>5.4412764567104196E-3</v>
      </c>
    </row>
    <row r="148" spans="1:17" ht="13.8" x14ac:dyDescent="0.25">
      <c r="A148" s="22" t="s">
        <v>119</v>
      </c>
      <c r="B148" s="23" t="s">
        <v>120</v>
      </c>
      <c r="C148" s="24">
        <f>C149+C153+C161+C165</f>
        <v>8746166</v>
      </c>
      <c r="D148" s="24">
        <f t="shared" ref="D148:E148" si="71">D149+D153+D161+D165</f>
        <v>0</v>
      </c>
      <c r="E148" s="24">
        <f t="shared" si="71"/>
        <v>948500</v>
      </c>
      <c r="F148" s="24">
        <f t="shared" si="45"/>
        <v>9694666</v>
      </c>
      <c r="G148" s="25">
        <f t="shared" si="50"/>
        <v>11.628852720958003</v>
      </c>
      <c r="H148" s="24">
        <f>H149+H153+H161+H165</f>
        <v>8746166</v>
      </c>
      <c r="I148" s="24">
        <f>I149+I153+I161+I165</f>
        <v>-1373781</v>
      </c>
      <c r="J148" s="24">
        <f t="shared" ref="J148:M148" si="72">J149+J153+J161+J165</f>
        <v>0</v>
      </c>
      <c r="K148" s="24">
        <f t="shared" si="72"/>
        <v>0</v>
      </c>
      <c r="L148" s="24">
        <f t="shared" si="72"/>
        <v>948500</v>
      </c>
      <c r="M148" s="24">
        <f t="shared" si="72"/>
        <v>0</v>
      </c>
      <c r="N148" s="24">
        <f t="shared" si="66"/>
        <v>9694666</v>
      </c>
      <c r="O148" s="24">
        <f t="shared" si="67"/>
        <v>-1373781</v>
      </c>
      <c r="P148" s="24">
        <f t="shared" si="68"/>
        <v>8320885</v>
      </c>
      <c r="Q148" s="25">
        <f t="shared" si="49"/>
        <v>10.061385699887751</v>
      </c>
    </row>
    <row r="149" spans="1:17" ht="13.8" x14ac:dyDescent="0.25">
      <c r="A149" s="33" t="s">
        <v>121</v>
      </c>
      <c r="B149" s="34" t="s">
        <v>122</v>
      </c>
      <c r="C149" s="28">
        <f>SUM(C150:C152)</f>
        <v>101157</v>
      </c>
      <c r="D149" s="28">
        <f t="shared" ref="D149:E149" si="73">SUM(D150:D152)</f>
        <v>0</v>
      </c>
      <c r="E149" s="28">
        <f t="shared" si="73"/>
        <v>0</v>
      </c>
      <c r="F149" s="28">
        <f t="shared" si="45"/>
        <v>101157</v>
      </c>
      <c r="G149" s="29">
        <f t="shared" si="50"/>
        <v>0.12133887383989801</v>
      </c>
      <c r="H149" s="28">
        <f>SUM(H150:H152)</f>
        <v>101157</v>
      </c>
      <c r="I149" s="28">
        <f>SUM(I150:I152)</f>
        <v>0</v>
      </c>
      <c r="J149" s="28">
        <f t="shared" ref="J149:M149" si="74">SUM(J150:J152)</f>
        <v>0</v>
      </c>
      <c r="K149" s="28">
        <f t="shared" si="74"/>
        <v>0</v>
      </c>
      <c r="L149" s="28">
        <f t="shared" si="74"/>
        <v>0</v>
      </c>
      <c r="M149" s="28">
        <f t="shared" si="74"/>
        <v>0</v>
      </c>
      <c r="N149" s="28">
        <f t="shared" si="66"/>
        <v>101157</v>
      </c>
      <c r="O149" s="28">
        <f t="shared" si="67"/>
        <v>0</v>
      </c>
      <c r="P149" s="28">
        <f t="shared" si="68"/>
        <v>101157</v>
      </c>
      <c r="Q149" s="29">
        <f t="shared" si="49"/>
        <v>0.12231626722921243</v>
      </c>
    </row>
    <row r="150" spans="1:17" x14ac:dyDescent="0.25">
      <c r="A150" s="16" t="s">
        <v>60</v>
      </c>
      <c r="B150" s="17" t="s">
        <v>61</v>
      </c>
      <c r="C150" s="18">
        <v>94774</v>
      </c>
      <c r="D150" s="18">
        <v>0</v>
      </c>
      <c r="E150" s="18">
        <v>0</v>
      </c>
      <c r="F150" s="19">
        <f t="shared" si="45"/>
        <v>94774</v>
      </c>
      <c r="G150" s="30">
        <f t="shared" si="50"/>
        <v>0.11368239893732014</v>
      </c>
      <c r="H150" s="18">
        <v>94774</v>
      </c>
      <c r="I150" s="18"/>
      <c r="J150" s="18">
        <v>0</v>
      </c>
      <c r="K150" s="18"/>
      <c r="L150" s="18">
        <v>0</v>
      </c>
      <c r="M150" s="18"/>
      <c r="N150" s="19">
        <f t="shared" si="66"/>
        <v>94774</v>
      </c>
      <c r="O150" s="19">
        <f t="shared" si="67"/>
        <v>0</v>
      </c>
      <c r="P150" s="19">
        <f t="shared" si="68"/>
        <v>94774</v>
      </c>
      <c r="Q150" s="30">
        <f t="shared" si="49"/>
        <v>0.11459811886850518</v>
      </c>
    </row>
    <row r="151" spans="1:17" ht="26.4" x14ac:dyDescent="0.25">
      <c r="A151" s="16" t="s">
        <v>62</v>
      </c>
      <c r="B151" s="17" t="s">
        <v>63</v>
      </c>
      <c r="C151" s="18">
        <v>383</v>
      </c>
      <c r="D151" s="18">
        <v>0</v>
      </c>
      <c r="E151" s="18">
        <v>0</v>
      </c>
      <c r="F151" s="19">
        <f t="shared" si="45"/>
        <v>383</v>
      </c>
      <c r="G151" s="30">
        <f t="shared" si="50"/>
        <v>4.5941248436273257E-4</v>
      </c>
      <c r="H151" s="18">
        <v>383</v>
      </c>
      <c r="I151" s="18"/>
      <c r="J151" s="18">
        <v>0</v>
      </c>
      <c r="K151" s="18"/>
      <c r="L151" s="18">
        <v>0</v>
      </c>
      <c r="M151" s="18"/>
      <c r="N151" s="19">
        <f t="shared" si="66"/>
        <v>383</v>
      </c>
      <c r="O151" s="19">
        <f t="shared" si="67"/>
        <v>0</v>
      </c>
      <c r="P151" s="19">
        <f t="shared" si="68"/>
        <v>383</v>
      </c>
      <c r="Q151" s="30">
        <f t="shared" si="49"/>
        <v>4.631130850933535E-4</v>
      </c>
    </row>
    <row r="152" spans="1:17" ht="26.4" x14ac:dyDescent="0.25">
      <c r="A152" s="16" t="s">
        <v>90</v>
      </c>
      <c r="B152" s="17" t="s">
        <v>91</v>
      </c>
      <c r="C152" s="18">
        <v>6000</v>
      </c>
      <c r="D152" s="18">
        <v>0</v>
      </c>
      <c r="E152" s="18">
        <v>0</v>
      </c>
      <c r="F152" s="19">
        <f t="shared" ref="F152:F224" si="75">C152+D152+E152</f>
        <v>6000</v>
      </c>
      <c r="G152" s="30">
        <f t="shared" si="50"/>
        <v>7.1970624182151315E-3</v>
      </c>
      <c r="H152" s="18">
        <v>6000</v>
      </c>
      <c r="I152" s="18"/>
      <c r="J152" s="18">
        <v>0</v>
      </c>
      <c r="K152" s="18"/>
      <c r="L152" s="18">
        <v>0</v>
      </c>
      <c r="M152" s="18"/>
      <c r="N152" s="19">
        <f t="shared" si="66"/>
        <v>6000</v>
      </c>
      <c r="O152" s="19">
        <f t="shared" si="67"/>
        <v>0</v>
      </c>
      <c r="P152" s="19">
        <f t="shared" si="68"/>
        <v>6000</v>
      </c>
      <c r="Q152" s="30">
        <f t="shared" si="49"/>
        <v>7.2550352756138928E-3</v>
      </c>
    </row>
    <row r="153" spans="1:17" ht="27.6" x14ac:dyDescent="0.25">
      <c r="A153" s="33" t="s">
        <v>123</v>
      </c>
      <c r="B153" s="34" t="s">
        <v>124</v>
      </c>
      <c r="C153" s="28">
        <f>SUM(C154:C160)</f>
        <v>235522</v>
      </c>
      <c r="D153" s="28">
        <f t="shared" ref="D153:E153" si="76">D157+D159</f>
        <v>0</v>
      </c>
      <c r="E153" s="28">
        <f t="shared" si="76"/>
        <v>0</v>
      </c>
      <c r="F153" s="28">
        <f t="shared" si="75"/>
        <v>235522</v>
      </c>
      <c r="G153" s="29">
        <f t="shared" si="50"/>
        <v>0.28251108914381068</v>
      </c>
      <c r="H153" s="28">
        <f>SUM(H154:H160)</f>
        <v>235522</v>
      </c>
      <c r="I153" s="28">
        <f>SUM(I154:I160)</f>
        <v>-484</v>
      </c>
      <c r="J153" s="28">
        <f t="shared" ref="J153:M153" si="77">J157+J159</f>
        <v>0</v>
      </c>
      <c r="K153" s="28">
        <f t="shared" si="77"/>
        <v>0</v>
      </c>
      <c r="L153" s="28">
        <f t="shared" si="77"/>
        <v>0</v>
      </c>
      <c r="M153" s="28">
        <f t="shared" si="77"/>
        <v>0</v>
      </c>
      <c r="N153" s="28">
        <f t="shared" si="66"/>
        <v>235522</v>
      </c>
      <c r="O153" s="28">
        <f t="shared" si="67"/>
        <v>-484</v>
      </c>
      <c r="P153" s="28">
        <f t="shared" si="68"/>
        <v>235038</v>
      </c>
      <c r="Q153" s="29">
        <f t="shared" si="49"/>
        <v>0.28420149685162305</v>
      </c>
    </row>
    <row r="154" spans="1:17" x14ac:dyDescent="0.25">
      <c r="A154" s="16" t="s">
        <v>54</v>
      </c>
      <c r="B154" s="17" t="s">
        <v>55</v>
      </c>
      <c r="C154" s="18">
        <v>81864</v>
      </c>
      <c r="D154" s="18">
        <v>0</v>
      </c>
      <c r="E154" s="18">
        <v>0</v>
      </c>
      <c r="F154" s="19">
        <f t="shared" si="75"/>
        <v>81864</v>
      </c>
      <c r="G154" s="30">
        <f t="shared" si="50"/>
        <v>9.8196719634127252E-2</v>
      </c>
      <c r="H154" s="18">
        <v>81864</v>
      </c>
      <c r="I154" s="18">
        <v>463</v>
      </c>
      <c r="J154" s="18">
        <v>0</v>
      </c>
      <c r="K154" s="18"/>
      <c r="L154" s="18">
        <v>0</v>
      </c>
      <c r="M154" s="18"/>
      <c r="N154" s="19">
        <f t="shared" si="66"/>
        <v>81864</v>
      </c>
      <c r="O154" s="19">
        <f t="shared" si="67"/>
        <v>463</v>
      </c>
      <c r="P154" s="19">
        <f t="shared" si="68"/>
        <v>82327</v>
      </c>
      <c r="Q154" s="30">
        <f t="shared" si="49"/>
        <v>9.9547548189244162E-2</v>
      </c>
    </row>
    <row r="155" spans="1:17" ht="26.4" x14ac:dyDescent="0.25">
      <c r="A155" s="16" t="s">
        <v>56</v>
      </c>
      <c r="B155" s="17" t="s">
        <v>57</v>
      </c>
      <c r="C155" s="18">
        <v>24241</v>
      </c>
      <c r="D155" s="18">
        <v>0</v>
      </c>
      <c r="E155" s="18">
        <v>0</v>
      </c>
      <c r="F155" s="19">
        <f t="shared" si="75"/>
        <v>24241</v>
      </c>
      <c r="G155" s="30">
        <f t="shared" si="50"/>
        <v>2.9077331679992168E-2</v>
      </c>
      <c r="H155" s="18">
        <v>24241</v>
      </c>
      <c r="I155" s="18">
        <v>109</v>
      </c>
      <c r="J155" s="18">
        <v>0</v>
      </c>
      <c r="K155" s="18"/>
      <c r="L155" s="18">
        <v>0</v>
      </c>
      <c r="M155" s="18"/>
      <c r="N155" s="19">
        <f t="shared" si="66"/>
        <v>24241</v>
      </c>
      <c r="O155" s="19">
        <f t="shared" si="67"/>
        <v>109</v>
      </c>
      <c r="P155" s="19">
        <f t="shared" si="68"/>
        <v>24350</v>
      </c>
      <c r="Q155" s="30">
        <f t="shared" si="49"/>
        <v>2.9443351493533047E-2</v>
      </c>
    </row>
    <row r="156" spans="1:17" x14ac:dyDescent="0.25">
      <c r="A156" s="16" t="s">
        <v>58</v>
      </c>
      <c r="B156" s="17" t="s">
        <v>59</v>
      </c>
      <c r="C156" s="18">
        <v>320</v>
      </c>
      <c r="D156" s="18">
        <v>0</v>
      </c>
      <c r="E156" s="18">
        <v>0</v>
      </c>
      <c r="F156" s="19">
        <f t="shared" si="75"/>
        <v>320</v>
      </c>
      <c r="G156" s="30">
        <f t="shared" si="50"/>
        <v>3.8384332897147368E-4</v>
      </c>
      <c r="H156" s="18">
        <v>320</v>
      </c>
      <c r="I156" s="18">
        <v>-320</v>
      </c>
      <c r="J156" s="18">
        <v>0</v>
      </c>
      <c r="K156" s="18"/>
      <c r="L156" s="18">
        <v>0</v>
      </c>
      <c r="M156" s="18"/>
      <c r="N156" s="19">
        <f t="shared" si="66"/>
        <v>320</v>
      </c>
      <c r="O156" s="19">
        <f t="shared" si="67"/>
        <v>-320</v>
      </c>
      <c r="P156" s="19">
        <f t="shared" si="68"/>
        <v>0</v>
      </c>
      <c r="Q156" s="30">
        <f t="shared" si="49"/>
        <v>0</v>
      </c>
    </row>
    <row r="157" spans="1:17" x14ac:dyDescent="0.25">
      <c r="A157" s="16" t="s">
        <v>60</v>
      </c>
      <c r="B157" s="17" t="s">
        <v>61</v>
      </c>
      <c r="C157" s="18">
        <v>1446</v>
      </c>
      <c r="D157" s="18">
        <v>0</v>
      </c>
      <c r="E157" s="18">
        <v>0</v>
      </c>
      <c r="F157" s="19">
        <f t="shared" si="75"/>
        <v>1446</v>
      </c>
      <c r="G157" s="30">
        <f t="shared" si="50"/>
        <v>1.7344920427898468E-3</v>
      </c>
      <c r="H157" s="18">
        <v>1446</v>
      </c>
      <c r="I157" s="18">
        <v>6445</v>
      </c>
      <c r="J157" s="18">
        <v>0</v>
      </c>
      <c r="K157" s="18"/>
      <c r="L157" s="18">
        <v>0</v>
      </c>
      <c r="M157" s="18"/>
      <c r="N157" s="19">
        <f t="shared" si="66"/>
        <v>1446</v>
      </c>
      <c r="O157" s="19">
        <f t="shared" si="67"/>
        <v>6445</v>
      </c>
      <c r="P157" s="19">
        <f t="shared" si="68"/>
        <v>7891</v>
      </c>
      <c r="Q157" s="30">
        <f t="shared" ref="Q157:Q220" si="78">P157*100/$P$27</f>
        <v>9.5415805599782053E-3</v>
      </c>
    </row>
    <row r="158" spans="1:17" ht="26.4" x14ac:dyDescent="0.25">
      <c r="A158" s="16" t="s">
        <v>62</v>
      </c>
      <c r="B158" s="17" t="s">
        <v>63</v>
      </c>
      <c r="C158" s="18">
        <v>287</v>
      </c>
      <c r="D158" s="18">
        <v>0</v>
      </c>
      <c r="E158" s="18">
        <v>0</v>
      </c>
      <c r="F158" s="19">
        <f t="shared" si="75"/>
        <v>287</v>
      </c>
      <c r="G158" s="30">
        <f t="shared" ref="G158:G221" si="79">F158*100/$F$27</f>
        <v>3.4425948567129048E-4</v>
      </c>
      <c r="H158" s="18">
        <v>287</v>
      </c>
      <c r="I158" s="18"/>
      <c r="J158" s="18">
        <v>0</v>
      </c>
      <c r="K158" s="18"/>
      <c r="L158" s="18">
        <v>0</v>
      </c>
      <c r="M158" s="18"/>
      <c r="N158" s="19">
        <f t="shared" si="66"/>
        <v>287</v>
      </c>
      <c r="O158" s="19">
        <f t="shared" si="67"/>
        <v>0</v>
      </c>
      <c r="P158" s="19">
        <f t="shared" si="68"/>
        <v>287</v>
      </c>
      <c r="Q158" s="30">
        <f t="shared" si="78"/>
        <v>3.4703252068353122E-4</v>
      </c>
    </row>
    <row r="159" spans="1:17" x14ac:dyDescent="0.25">
      <c r="A159" s="16" t="s">
        <v>104</v>
      </c>
      <c r="B159" s="17" t="s">
        <v>105</v>
      </c>
      <c r="C159" s="18">
        <v>124724</v>
      </c>
      <c r="D159" s="18">
        <v>0</v>
      </c>
      <c r="E159" s="18">
        <v>0</v>
      </c>
      <c r="F159" s="19">
        <f t="shared" si="75"/>
        <v>124724</v>
      </c>
      <c r="G159" s="30">
        <f t="shared" si="79"/>
        <v>0.14960773550824402</v>
      </c>
      <c r="H159" s="18">
        <v>124724</v>
      </c>
      <c r="I159" s="18">
        <v>-7181</v>
      </c>
      <c r="J159" s="18">
        <v>0</v>
      </c>
      <c r="K159" s="18"/>
      <c r="L159" s="18">
        <v>0</v>
      </c>
      <c r="M159" s="18"/>
      <c r="N159" s="19">
        <f t="shared" si="66"/>
        <v>124724</v>
      </c>
      <c r="O159" s="19">
        <f t="shared" si="67"/>
        <v>-7181</v>
      </c>
      <c r="P159" s="19">
        <f t="shared" si="68"/>
        <v>117543</v>
      </c>
      <c r="Q159" s="30">
        <f t="shared" si="78"/>
        <v>0.14212976856691398</v>
      </c>
    </row>
    <row r="160" spans="1:17" x14ac:dyDescent="0.25">
      <c r="A160" s="16" t="s">
        <v>66</v>
      </c>
      <c r="B160" s="17" t="s">
        <v>67</v>
      </c>
      <c r="C160" s="18">
        <v>2640</v>
      </c>
      <c r="D160" s="18">
        <v>0</v>
      </c>
      <c r="E160" s="18">
        <v>0</v>
      </c>
      <c r="F160" s="19">
        <f t="shared" si="75"/>
        <v>2640</v>
      </c>
      <c r="G160" s="30">
        <f t="shared" si="79"/>
        <v>3.1667074640146578E-3</v>
      </c>
      <c r="H160" s="18">
        <v>2640</v>
      </c>
      <c r="I160" s="18"/>
      <c r="J160" s="18">
        <v>0</v>
      </c>
      <c r="K160" s="18"/>
      <c r="L160" s="18">
        <v>0</v>
      </c>
      <c r="M160" s="18"/>
      <c r="N160" s="19">
        <f t="shared" si="66"/>
        <v>2640</v>
      </c>
      <c r="O160" s="19">
        <f t="shared" si="67"/>
        <v>0</v>
      </c>
      <c r="P160" s="19">
        <f t="shared" si="68"/>
        <v>2640</v>
      </c>
      <c r="Q160" s="30">
        <f t="shared" si="78"/>
        <v>3.192215521270113E-3</v>
      </c>
    </row>
    <row r="161" spans="1:17" ht="13.8" x14ac:dyDescent="0.25">
      <c r="A161" s="33" t="s">
        <v>125</v>
      </c>
      <c r="B161" s="34" t="s">
        <v>126</v>
      </c>
      <c r="C161" s="28">
        <f>SUM(C162:C164)</f>
        <v>357538</v>
      </c>
      <c r="D161" s="28">
        <f t="shared" ref="D161:E161" si="80">SUM(D162:D164)</f>
        <v>0</v>
      </c>
      <c r="E161" s="28">
        <f t="shared" si="80"/>
        <v>0</v>
      </c>
      <c r="F161" s="28">
        <f t="shared" si="75"/>
        <v>357538</v>
      </c>
      <c r="G161" s="29">
        <f t="shared" si="79"/>
        <v>0.42887055048063361</v>
      </c>
      <c r="H161" s="28">
        <f>SUM(H162:H164)</f>
        <v>357538</v>
      </c>
      <c r="I161" s="28">
        <f>SUM(I162:I164)</f>
        <v>0</v>
      </c>
      <c r="J161" s="28">
        <f t="shared" ref="J161:M161" si="81">SUM(J162:J164)</f>
        <v>0</v>
      </c>
      <c r="K161" s="28">
        <f t="shared" si="81"/>
        <v>0</v>
      </c>
      <c r="L161" s="28">
        <f t="shared" si="81"/>
        <v>0</v>
      </c>
      <c r="M161" s="28">
        <f t="shared" si="81"/>
        <v>0</v>
      </c>
      <c r="N161" s="28">
        <f t="shared" si="66"/>
        <v>357538</v>
      </c>
      <c r="O161" s="28">
        <f t="shared" si="67"/>
        <v>0</v>
      </c>
      <c r="P161" s="28">
        <f t="shared" si="68"/>
        <v>357538</v>
      </c>
      <c r="Q161" s="29">
        <f t="shared" si="78"/>
        <v>0.43232513372873999</v>
      </c>
    </row>
    <row r="162" spans="1:17" x14ac:dyDescent="0.25">
      <c r="A162" s="16" t="s">
        <v>60</v>
      </c>
      <c r="B162" s="17" t="s">
        <v>61</v>
      </c>
      <c r="C162" s="18">
        <v>331758</v>
      </c>
      <c r="D162" s="18">
        <v>0</v>
      </c>
      <c r="E162" s="18">
        <v>0</v>
      </c>
      <c r="F162" s="19">
        <f t="shared" si="75"/>
        <v>331758</v>
      </c>
      <c r="G162" s="30">
        <f t="shared" si="79"/>
        <v>0.3979471722903693</v>
      </c>
      <c r="H162" s="18">
        <v>331758</v>
      </c>
      <c r="I162" s="18"/>
      <c r="J162" s="18">
        <v>0</v>
      </c>
      <c r="K162" s="18"/>
      <c r="L162" s="18">
        <v>0</v>
      </c>
      <c r="M162" s="18"/>
      <c r="N162" s="19">
        <f t="shared" si="66"/>
        <v>331758</v>
      </c>
      <c r="O162" s="19">
        <f t="shared" si="67"/>
        <v>0</v>
      </c>
      <c r="P162" s="19">
        <f t="shared" si="68"/>
        <v>331758</v>
      </c>
      <c r="Q162" s="30">
        <f t="shared" si="78"/>
        <v>0.401152665494519</v>
      </c>
    </row>
    <row r="163" spans="1:17" ht="26.4" x14ac:dyDescent="0.25">
      <c r="A163" s="16" t="s">
        <v>62</v>
      </c>
      <c r="B163" s="17" t="s">
        <v>63</v>
      </c>
      <c r="C163" s="18">
        <v>2150</v>
      </c>
      <c r="D163" s="18">
        <v>0</v>
      </c>
      <c r="E163" s="18">
        <v>0</v>
      </c>
      <c r="F163" s="19">
        <f t="shared" si="75"/>
        <v>2150</v>
      </c>
      <c r="G163" s="30">
        <f t="shared" si="79"/>
        <v>2.5789473665270889E-3</v>
      </c>
      <c r="H163" s="18">
        <v>2150</v>
      </c>
      <c r="I163" s="18"/>
      <c r="J163" s="18">
        <v>0</v>
      </c>
      <c r="K163" s="18"/>
      <c r="L163" s="18">
        <v>0</v>
      </c>
      <c r="M163" s="18"/>
      <c r="N163" s="19">
        <f t="shared" si="66"/>
        <v>2150</v>
      </c>
      <c r="O163" s="19">
        <f t="shared" si="67"/>
        <v>0</v>
      </c>
      <c r="P163" s="19">
        <f t="shared" si="68"/>
        <v>2150</v>
      </c>
      <c r="Q163" s="30">
        <f t="shared" si="78"/>
        <v>2.5997209737616449E-3</v>
      </c>
    </row>
    <row r="164" spans="1:17" x14ac:dyDescent="0.25">
      <c r="A164" s="16" t="s">
        <v>66</v>
      </c>
      <c r="B164" s="17" t="s">
        <v>67</v>
      </c>
      <c r="C164" s="18">
        <v>23630</v>
      </c>
      <c r="D164" s="18">
        <v>0</v>
      </c>
      <c r="E164" s="18">
        <v>0</v>
      </c>
      <c r="F164" s="19">
        <f t="shared" si="75"/>
        <v>23630</v>
      </c>
      <c r="G164" s="30">
        <f t="shared" si="79"/>
        <v>2.8344430823737259E-2</v>
      </c>
      <c r="H164" s="18">
        <v>23630</v>
      </c>
      <c r="I164" s="18"/>
      <c r="J164" s="18">
        <v>0</v>
      </c>
      <c r="K164" s="18"/>
      <c r="L164" s="18">
        <v>0</v>
      </c>
      <c r="M164" s="18"/>
      <c r="N164" s="19">
        <f t="shared" si="66"/>
        <v>23630</v>
      </c>
      <c r="O164" s="19">
        <f t="shared" si="67"/>
        <v>0</v>
      </c>
      <c r="P164" s="19">
        <f t="shared" si="68"/>
        <v>23630</v>
      </c>
      <c r="Q164" s="30">
        <f t="shared" si="78"/>
        <v>2.8572747260459382E-2</v>
      </c>
    </row>
    <row r="165" spans="1:17" ht="69" x14ac:dyDescent="0.25">
      <c r="A165" s="33" t="s">
        <v>127</v>
      </c>
      <c r="B165" s="34" t="s">
        <v>128</v>
      </c>
      <c r="C165" s="28">
        <f>SUM(C166:C175)</f>
        <v>8051949</v>
      </c>
      <c r="D165" s="28">
        <f t="shared" ref="D165:E165" si="82">SUM(D166:D175)</f>
        <v>0</v>
      </c>
      <c r="E165" s="28">
        <f t="shared" si="82"/>
        <v>948500</v>
      </c>
      <c r="F165" s="28">
        <f t="shared" si="75"/>
        <v>9000449</v>
      </c>
      <c r="G165" s="29">
        <f t="shared" si="79"/>
        <v>10.796132207493661</v>
      </c>
      <c r="H165" s="28">
        <f>SUM(H166:H175)</f>
        <v>8051949</v>
      </c>
      <c r="I165" s="28">
        <f>SUM(I166:I175)</f>
        <v>-1373297</v>
      </c>
      <c r="J165" s="28">
        <f t="shared" ref="J165:M165" si="83">SUM(J166:J175)</f>
        <v>0</v>
      </c>
      <c r="K165" s="28">
        <f t="shared" si="83"/>
        <v>0</v>
      </c>
      <c r="L165" s="28">
        <f t="shared" si="83"/>
        <v>948500</v>
      </c>
      <c r="M165" s="28">
        <f t="shared" si="83"/>
        <v>0</v>
      </c>
      <c r="N165" s="28">
        <f t="shared" si="66"/>
        <v>9000449</v>
      </c>
      <c r="O165" s="28">
        <f t="shared" si="67"/>
        <v>-1373297</v>
      </c>
      <c r="P165" s="28">
        <f t="shared" si="68"/>
        <v>7627152</v>
      </c>
      <c r="Q165" s="29">
        <f t="shared" si="78"/>
        <v>9.2225428020781752</v>
      </c>
    </row>
    <row r="166" spans="1:17" x14ac:dyDescent="0.25">
      <c r="A166" s="16" t="s">
        <v>54</v>
      </c>
      <c r="B166" s="17" t="s">
        <v>55</v>
      </c>
      <c r="C166" s="18">
        <v>2310555</v>
      </c>
      <c r="D166" s="18">
        <v>0</v>
      </c>
      <c r="E166" s="18">
        <v>0</v>
      </c>
      <c r="F166" s="19">
        <f t="shared" si="75"/>
        <v>2310555</v>
      </c>
      <c r="G166" s="30">
        <f t="shared" si="79"/>
        <v>2.7715347592865105</v>
      </c>
      <c r="H166" s="18">
        <v>2310555</v>
      </c>
      <c r="I166" s="18">
        <v>-195687</v>
      </c>
      <c r="J166" s="18">
        <v>0</v>
      </c>
      <c r="K166" s="18"/>
      <c r="L166" s="18">
        <v>0</v>
      </c>
      <c r="M166" s="18"/>
      <c r="N166" s="19">
        <f t="shared" si="66"/>
        <v>2310555</v>
      </c>
      <c r="O166" s="19">
        <f t="shared" si="67"/>
        <v>-195687</v>
      </c>
      <c r="P166" s="19">
        <f t="shared" si="68"/>
        <v>2114868</v>
      </c>
      <c r="Q166" s="30">
        <f t="shared" si="78"/>
        <v>2.5572403238778336</v>
      </c>
    </row>
    <row r="167" spans="1:17" ht="26.4" x14ac:dyDescent="0.25">
      <c r="A167" s="16" t="s">
        <v>56</v>
      </c>
      <c r="B167" s="17" t="s">
        <v>57</v>
      </c>
      <c r="C167" s="18">
        <v>699032</v>
      </c>
      <c r="D167" s="18">
        <v>0</v>
      </c>
      <c r="E167" s="18">
        <v>0</v>
      </c>
      <c r="F167" s="19">
        <f t="shared" si="75"/>
        <v>699032</v>
      </c>
      <c r="G167" s="30">
        <f t="shared" si="79"/>
        <v>0.83849615605495997</v>
      </c>
      <c r="H167" s="18">
        <v>699032</v>
      </c>
      <c r="I167" s="18">
        <v>-46163</v>
      </c>
      <c r="J167" s="18">
        <v>0</v>
      </c>
      <c r="K167" s="18"/>
      <c r="L167" s="18">
        <v>0</v>
      </c>
      <c r="M167" s="18"/>
      <c r="N167" s="19">
        <f t="shared" si="66"/>
        <v>699032</v>
      </c>
      <c r="O167" s="19">
        <f t="shared" si="67"/>
        <v>-46163</v>
      </c>
      <c r="P167" s="19">
        <f t="shared" si="68"/>
        <v>652869</v>
      </c>
      <c r="Q167" s="30">
        <f t="shared" si="78"/>
        <v>0.78943127089246112</v>
      </c>
    </row>
    <row r="168" spans="1:17" x14ac:dyDescent="0.25">
      <c r="A168" s="16" t="s">
        <v>58</v>
      </c>
      <c r="B168" s="17" t="s">
        <v>59</v>
      </c>
      <c r="C168" s="18">
        <v>825</v>
      </c>
      <c r="D168" s="18">
        <v>0</v>
      </c>
      <c r="E168" s="18">
        <v>0</v>
      </c>
      <c r="F168" s="19">
        <f t="shared" si="75"/>
        <v>825</v>
      </c>
      <c r="G168" s="30">
        <f t="shared" si="79"/>
        <v>9.8959608250458056E-4</v>
      </c>
      <c r="H168" s="18">
        <v>825</v>
      </c>
      <c r="I168" s="18">
        <v>-120</v>
      </c>
      <c r="J168" s="18">
        <v>0</v>
      </c>
      <c r="K168" s="18"/>
      <c r="L168" s="18">
        <v>0</v>
      </c>
      <c r="M168" s="18"/>
      <c r="N168" s="19">
        <f t="shared" si="66"/>
        <v>825</v>
      </c>
      <c r="O168" s="19">
        <f t="shared" si="67"/>
        <v>-120</v>
      </c>
      <c r="P168" s="19">
        <f t="shared" si="68"/>
        <v>705</v>
      </c>
      <c r="Q168" s="30">
        <f t="shared" si="78"/>
        <v>8.5246664488463242E-4</v>
      </c>
    </row>
    <row r="169" spans="1:17" x14ac:dyDescent="0.25">
      <c r="A169" s="16" t="s">
        <v>60</v>
      </c>
      <c r="B169" s="17" t="s">
        <v>61</v>
      </c>
      <c r="C169" s="18">
        <v>2207875</v>
      </c>
      <c r="D169" s="18">
        <v>0</v>
      </c>
      <c r="E169" s="18">
        <v>0</v>
      </c>
      <c r="F169" s="19">
        <f t="shared" si="75"/>
        <v>2207875</v>
      </c>
      <c r="G169" s="30">
        <f t="shared" si="79"/>
        <v>2.648369031102789</v>
      </c>
      <c r="H169" s="18">
        <v>2207875</v>
      </c>
      <c r="I169" s="18">
        <f>-178022+333</f>
        <v>-177689</v>
      </c>
      <c r="J169" s="18">
        <v>0</v>
      </c>
      <c r="K169" s="18"/>
      <c r="L169" s="18">
        <v>0</v>
      </c>
      <c r="M169" s="18"/>
      <c r="N169" s="19">
        <f t="shared" ref="N169:N189" si="84">H169+J169+L169</f>
        <v>2207875</v>
      </c>
      <c r="O169" s="19">
        <f t="shared" si="67"/>
        <v>-177689</v>
      </c>
      <c r="P169" s="19">
        <f t="shared" si="68"/>
        <v>2030186</v>
      </c>
      <c r="Q169" s="30">
        <f t="shared" si="78"/>
        <v>2.4548451743429109</v>
      </c>
    </row>
    <row r="170" spans="1:17" ht="26.4" x14ac:dyDescent="0.25">
      <c r="A170" s="16" t="s">
        <v>62</v>
      </c>
      <c r="B170" s="17" t="s">
        <v>63</v>
      </c>
      <c r="C170" s="18">
        <v>443840</v>
      </c>
      <c r="D170" s="18">
        <v>0</v>
      </c>
      <c r="E170" s="18">
        <v>0</v>
      </c>
      <c r="F170" s="19">
        <f t="shared" si="75"/>
        <v>443840</v>
      </c>
      <c r="G170" s="30">
        <f t="shared" si="79"/>
        <v>0.53239069728343402</v>
      </c>
      <c r="H170" s="18">
        <v>443840</v>
      </c>
      <c r="I170" s="18">
        <f>-16549+417</f>
        <v>-16132</v>
      </c>
      <c r="J170" s="18">
        <v>0</v>
      </c>
      <c r="K170" s="18"/>
      <c r="L170" s="18">
        <v>0</v>
      </c>
      <c r="M170" s="18"/>
      <c r="N170" s="19">
        <f t="shared" si="84"/>
        <v>443840</v>
      </c>
      <c r="O170" s="19">
        <f t="shared" si="67"/>
        <v>-16132</v>
      </c>
      <c r="P170" s="19">
        <f t="shared" si="68"/>
        <v>427708</v>
      </c>
      <c r="Q170" s="30">
        <f t="shared" si="78"/>
        <v>0.51717277127704453</v>
      </c>
    </row>
    <row r="171" spans="1:17" x14ac:dyDescent="0.25">
      <c r="A171" s="16" t="s">
        <v>64</v>
      </c>
      <c r="B171" s="17" t="s">
        <v>65</v>
      </c>
      <c r="C171" s="18">
        <v>120898</v>
      </c>
      <c r="D171" s="18">
        <v>0</v>
      </c>
      <c r="E171" s="18">
        <v>0</v>
      </c>
      <c r="F171" s="19">
        <f t="shared" si="75"/>
        <v>120898</v>
      </c>
      <c r="G171" s="30">
        <f t="shared" si="79"/>
        <v>0.14501840870622884</v>
      </c>
      <c r="H171" s="18">
        <v>120898</v>
      </c>
      <c r="I171" s="18"/>
      <c r="J171" s="18">
        <v>0</v>
      </c>
      <c r="K171" s="18"/>
      <c r="L171" s="18">
        <v>0</v>
      </c>
      <c r="M171" s="18"/>
      <c r="N171" s="19">
        <f t="shared" si="84"/>
        <v>120898</v>
      </c>
      <c r="O171" s="19">
        <f t="shared" si="67"/>
        <v>0</v>
      </c>
      <c r="P171" s="19">
        <f t="shared" si="68"/>
        <v>120898</v>
      </c>
      <c r="Q171" s="30">
        <f t="shared" si="78"/>
        <v>0.14618654245852808</v>
      </c>
    </row>
    <row r="172" spans="1:17" ht="26.4" x14ac:dyDescent="0.25">
      <c r="A172" s="16" t="s">
        <v>90</v>
      </c>
      <c r="B172" s="17" t="s">
        <v>91</v>
      </c>
      <c r="C172" s="18">
        <v>625587</v>
      </c>
      <c r="D172" s="18">
        <v>0</v>
      </c>
      <c r="E172" s="18">
        <v>80000</v>
      </c>
      <c r="F172" s="19">
        <f t="shared" si="75"/>
        <v>705587</v>
      </c>
      <c r="G172" s="30">
        <f t="shared" si="79"/>
        <v>0.84635894674685996</v>
      </c>
      <c r="H172" s="18">
        <v>625587</v>
      </c>
      <c r="I172" s="18">
        <v>-20000</v>
      </c>
      <c r="J172" s="18">
        <v>0</v>
      </c>
      <c r="K172" s="18"/>
      <c r="L172" s="18">
        <v>80000</v>
      </c>
      <c r="M172" s="18"/>
      <c r="N172" s="19">
        <f t="shared" si="84"/>
        <v>705587</v>
      </c>
      <c r="O172" s="19">
        <f t="shared" si="67"/>
        <v>-20000</v>
      </c>
      <c r="P172" s="19">
        <f t="shared" si="68"/>
        <v>685587</v>
      </c>
      <c r="Q172" s="30">
        <f t="shared" si="78"/>
        <v>0.82899297825038365</v>
      </c>
    </row>
    <row r="173" spans="1:17" x14ac:dyDescent="0.25">
      <c r="A173" s="16" t="s">
        <v>104</v>
      </c>
      <c r="B173" s="17" t="s">
        <v>105</v>
      </c>
      <c r="C173" s="18">
        <v>800</v>
      </c>
      <c r="D173" s="18">
        <v>0</v>
      </c>
      <c r="E173" s="18">
        <v>0</v>
      </c>
      <c r="F173" s="19">
        <f t="shared" si="75"/>
        <v>800</v>
      </c>
      <c r="G173" s="30">
        <f t="shared" si="79"/>
        <v>9.5960832242868426E-4</v>
      </c>
      <c r="H173" s="18">
        <v>800</v>
      </c>
      <c r="I173" s="18"/>
      <c r="J173" s="18">
        <v>0</v>
      </c>
      <c r="K173" s="18"/>
      <c r="L173" s="18">
        <v>0</v>
      </c>
      <c r="M173" s="18"/>
      <c r="N173" s="19">
        <f t="shared" si="84"/>
        <v>800</v>
      </c>
      <c r="O173" s="19">
        <f t="shared" si="67"/>
        <v>0</v>
      </c>
      <c r="P173" s="19">
        <f t="shared" si="68"/>
        <v>800</v>
      </c>
      <c r="Q173" s="30">
        <f t="shared" si="78"/>
        <v>9.6733803674851904E-4</v>
      </c>
    </row>
    <row r="174" spans="1:17" x14ac:dyDescent="0.25">
      <c r="A174" s="16" t="s">
        <v>66</v>
      </c>
      <c r="B174" s="17" t="s">
        <v>67</v>
      </c>
      <c r="C174" s="18">
        <v>1642537</v>
      </c>
      <c r="D174" s="18">
        <v>0</v>
      </c>
      <c r="E174" s="18">
        <v>868500</v>
      </c>
      <c r="F174" s="19">
        <f t="shared" si="75"/>
        <v>2511037</v>
      </c>
      <c r="G174" s="30">
        <f t="shared" si="79"/>
        <v>3.012015003907945</v>
      </c>
      <c r="H174" s="18">
        <v>1642537</v>
      </c>
      <c r="I174" s="18">
        <f>-750-916756</f>
        <v>-917506</v>
      </c>
      <c r="J174" s="18">
        <v>0</v>
      </c>
      <c r="K174" s="18"/>
      <c r="L174" s="18">
        <v>868500</v>
      </c>
      <c r="M174" s="18"/>
      <c r="N174" s="19">
        <f t="shared" si="84"/>
        <v>2511037</v>
      </c>
      <c r="O174" s="19">
        <f t="shared" si="67"/>
        <v>-917506</v>
      </c>
      <c r="P174" s="19">
        <f t="shared" si="68"/>
        <v>1593531</v>
      </c>
      <c r="Q174" s="30">
        <f t="shared" si="78"/>
        <v>1.9268539362973804</v>
      </c>
    </row>
    <row r="175" spans="1:17" ht="26.4" x14ac:dyDescent="0.25">
      <c r="A175" s="16" t="s">
        <v>92</v>
      </c>
      <c r="B175" s="17" t="s">
        <v>93</v>
      </c>
      <c r="C175" s="18">
        <v>0</v>
      </c>
      <c r="D175" s="18">
        <v>0</v>
      </c>
      <c r="E175" s="18">
        <v>0</v>
      </c>
      <c r="F175" s="19">
        <f t="shared" si="75"/>
        <v>0</v>
      </c>
      <c r="G175" s="30">
        <f t="shared" si="79"/>
        <v>0</v>
      </c>
      <c r="H175" s="18">
        <v>0</v>
      </c>
      <c r="I175" s="18"/>
      <c r="J175" s="18">
        <v>0</v>
      </c>
      <c r="K175" s="18"/>
      <c r="L175" s="18">
        <v>0</v>
      </c>
      <c r="M175" s="18"/>
      <c r="N175" s="19">
        <f t="shared" si="84"/>
        <v>0</v>
      </c>
      <c r="O175" s="19">
        <f t="shared" si="67"/>
        <v>0</v>
      </c>
      <c r="P175" s="19">
        <f t="shared" si="68"/>
        <v>0</v>
      </c>
      <c r="Q175" s="30">
        <f t="shared" si="78"/>
        <v>0</v>
      </c>
    </row>
    <row r="176" spans="1:17" ht="13.8" x14ac:dyDescent="0.25">
      <c r="A176" s="22" t="s">
        <v>129</v>
      </c>
      <c r="B176" s="23" t="s">
        <v>130</v>
      </c>
      <c r="C176" s="24">
        <f>C177</f>
        <v>59400</v>
      </c>
      <c r="D176" s="24">
        <f>D177</f>
        <v>0</v>
      </c>
      <c r="E176" s="24">
        <f t="shared" ref="E176" si="85">E177+E187+E199</f>
        <v>0</v>
      </c>
      <c r="F176" s="24">
        <f t="shared" si="75"/>
        <v>59400</v>
      </c>
      <c r="G176" s="25">
        <f t="shared" si="79"/>
        <v>7.1250917940329797E-2</v>
      </c>
      <c r="H176" s="24">
        <f t="shared" ref="H176:K177" si="86">H177</f>
        <v>59400</v>
      </c>
      <c r="I176" s="24">
        <f t="shared" si="86"/>
        <v>0</v>
      </c>
      <c r="J176" s="24">
        <f t="shared" si="86"/>
        <v>0</v>
      </c>
      <c r="K176" s="24">
        <f t="shared" si="86"/>
        <v>0</v>
      </c>
      <c r="L176" s="24">
        <f t="shared" ref="L176:M176" si="87">L177+L187+L199</f>
        <v>0</v>
      </c>
      <c r="M176" s="24">
        <f t="shared" si="87"/>
        <v>0</v>
      </c>
      <c r="N176" s="24">
        <f t="shared" si="84"/>
        <v>59400</v>
      </c>
      <c r="O176" s="24">
        <f t="shared" si="67"/>
        <v>0</v>
      </c>
      <c r="P176" s="24">
        <f t="shared" si="68"/>
        <v>59400</v>
      </c>
      <c r="Q176" s="25">
        <f t="shared" si="78"/>
        <v>7.1824849228577542E-2</v>
      </c>
    </row>
    <row r="177" spans="1:17" ht="13.8" x14ac:dyDescent="0.25">
      <c r="A177" s="33" t="s">
        <v>131</v>
      </c>
      <c r="B177" s="31" t="s">
        <v>132</v>
      </c>
      <c r="C177" s="28">
        <f>C178</f>
        <v>59400</v>
      </c>
      <c r="D177" s="28">
        <f>D178</f>
        <v>0</v>
      </c>
      <c r="E177" s="28">
        <f>E178</f>
        <v>0</v>
      </c>
      <c r="F177" s="28">
        <f t="shared" si="75"/>
        <v>59400</v>
      </c>
      <c r="G177" s="29">
        <f t="shared" si="79"/>
        <v>7.1250917940329797E-2</v>
      </c>
      <c r="H177" s="28">
        <f t="shared" si="86"/>
        <v>59400</v>
      </c>
      <c r="I177" s="28">
        <f t="shared" si="86"/>
        <v>0</v>
      </c>
      <c r="J177" s="28">
        <f t="shared" si="86"/>
        <v>0</v>
      </c>
      <c r="K177" s="28">
        <f t="shared" si="86"/>
        <v>0</v>
      </c>
      <c r="L177" s="28">
        <f>L178</f>
        <v>0</v>
      </c>
      <c r="M177" s="28">
        <f>M178</f>
        <v>0</v>
      </c>
      <c r="N177" s="28">
        <f t="shared" si="84"/>
        <v>59400</v>
      </c>
      <c r="O177" s="28">
        <f t="shared" si="67"/>
        <v>0</v>
      </c>
      <c r="P177" s="28">
        <f t="shared" si="68"/>
        <v>59400</v>
      </c>
      <c r="Q177" s="29">
        <f t="shared" si="78"/>
        <v>7.1824849228577542E-2</v>
      </c>
    </row>
    <row r="178" spans="1:17" ht="26.4" x14ac:dyDescent="0.25">
      <c r="A178" s="16" t="s">
        <v>90</v>
      </c>
      <c r="B178" s="17" t="s">
        <v>91</v>
      </c>
      <c r="C178" s="18">
        <v>59400</v>
      </c>
      <c r="D178" s="18">
        <v>0</v>
      </c>
      <c r="E178" s="18">
        <v>0</v>
      </c>
      <c r="F178" s="19">
        <f t="shared" si="75"/>
        <v>59400</v>
      </c>
      <c r="G178" s="30">
        <f t="shared" si="79"/>
        <v>7.1250917940329797E-2</v>
      </c>
      <c r="H178" s="18">
        <v>59400</v>
      </c>
      <c r="I178" s="18"/>
      <c r="J178" s="18">
        <v>0</v>
      </c>
      <c r="K178" s="18"/>
      <c r="L178" s="18">
        <v>0</v>
      </c>
      <c r="M178" s="18"/>
      <c r="N178" s="19">
        <f t="shared" si="84"/>
        <v>59400</v>
      </c>
      <c r="O178" s="19">
        <f t="shared" si="67"/>
        <v>0</v>
      </c>
      <c r="P178" s="19">
        <f t="shared" si="68"/>
        <v>59400</v>
      </c>
      <c r="Q178" s="30">
        <f t="shared" si="78"/>
        <v>7.1824849228577542E-2</v>
      </c>
    </row>
    <row r="179" spans="1:17" ht="13.8" x14ac:dyDescent="0.25">
      <c r="A179" s="22" t="s">
        <v>133</v>
      </c>
      <c r="B179" s="23" t="s">
        <v>134</v>
      </c>
      <c r="C179" s="24">
        <f>C180+C190+C202</f>
        <v>5491807</v>
      </c>
      <c r="D179" s="24">
        <f>D180+D190+D202</f>
        <v>29109</v>
      </c>
      <c r="E179" s="24">
        <f t="shared" ref="E179" si="88">E180+E190+E202</f>
        <v>454865</v>
      </c>
      <c r="F179" s="24">
        <f t="shared" si="75"/>
        <v>5975781</v>
      </c>
      <c r="G179" s="25">
        <f t="shared" si="79"/>
        <v>7.1680114757640059</v>
      </c>
      <c r="H179" s="24">
        <f>H180+H190+H202</f>
        <v>5491807</v>
      </c>
      <c r="I179" s="24">
        <f>I180+I190+I202</f>
        <v>707817</v>
      </c>
      <c r="J179" s="24">
        <f>J180+J190+J202</f>
        <v>29109</v>
      </c>
      <c r="K179" s="24">
        <f>K180+K190+K202</f>
        <v>0</v>
      </c>
      <c r="L179" s="24">
        <f t="shared" ref="L179:M179" si="89">L180+L190+L202</f>
        <v>454865</v>
      </c>
      <c r="M179" s="24">
        <f t="shared" si="89"/>
        <v>0</v>
      </c>
      <c r="N179" s="24">
        <f t="shared" si="84"/>
        <v>5975781</v>
      </c>
      <c r="O179" s="24">
        <f t="shared" si="67"/>
        <v>707817</v>
      </c>
      <c r="P179" s="24">
        <f t="shared" si="68"/>
        <v>6683598</v>
      </c>
      <c r="Q179" s="25">
        <f t="shared" si="78"/>
        <v>8.0816232096704113</v>
      </c>
    </row>
    <row r="180" spans="1:17" ht="15.75" customHeight="1" x14ac:dyDescent="0.25">
      <c r="A180" s="33" t="s">
        <v>135</v>
      </c>
      <c r="B180" s="34" t="s">
        <v>136</v>
      </c>
      <c r="C180" s="28">
        <f>SUM(C181:C189)</f>
        <v>421340</v>
      </c>
      <c r="D180" s="28">
        <f t="shared" ref="D180:E180" si="90">SUM(D181:D189)</f>
        <v>0</v>
      </c>
      <c r="E180" s="28">
        <f t="shared" si="90"/>
        <v>0</v>
      </c>
      <c r="F180" s="28">
        <f t="shared" si="75"/>
        <v>421340</v>
      </c>
      <c r="G180" s="29">
        <f t="shared" si="79"/>
        <v>0.50540171321512728</v>
      </c>
      <c r="H180" s="28">
        <f>SUM(H181:H189)</f>
        <v>421340</v>
      </c>
      <c r="I180" s="28">
        <f>SUM(I181:I189)</f>
        <v>515251</v>
      </c>
      <c r="J180" s="28">
        <f t="shared" ref="J180:L180" si="91">SUM(J181:J189)</f>
        <v>0</v>
      </c>
      <c r="K180" s="28">
        <f t="shared" ref="K180" si="92">SUM(K181:K189)</f>
        <v>0</v>
      </c>
      <c r="L180" s="28">
        <f t="shared" si="91"/>
        <v>0</v>
      </c>
      <c r="M180" s="28">
        <f t="shared" ref="M180" si="93">SUM(M181:M189)</f>
        <v>0</v>
      </c>
      <c r="N180" s="28">
        <f t="shared" si="84"/>
        <v>421340</v>
      </c>
      <c r="O180" s="28">
        <f t="shared" si="67"/>
        <v>515251</v>
      </c>
      <c r="P180" s="28">
        <f t="shared" si="68"/>
        <v>936591</v>
      </c>
      <c r="Q180" s="29">
        <f t="shared" si="78"/>
        <v>1.1325001239704153</v>
      </c>
    </row>
    <row r="181" spans="1:17" x14ac:dyDescent="0.25">
      <c r="A181" s="16" t="s">
        <v>54</v>
      </c>
      <c r="B181" s="17" t="s">
        <v>55</v>
      </c>
      <c r="C181" s="18">
        <v>83109</v>
      </c>
      <c r="D181" s="18">
        <v>0</v>
      </c>
      <c r="E181" s="18">
        <v>0</v>
      </c>
      <c r="F181" s="19">
        <f t="shared" si="75"/>
        <v>83109</v>
      </c>
      <c r="G181" s="30">
        <f t="shared" si="79"/>
        <v>9.9690110085906891E-2</v>
      </c>
      <c r="H181" s="18">
        <v>83109</v>
      </c>
      <c r="I181" s="18">
        <f>417970-68094</f>
        <v>349876</v>
      </c>
      <c r="J181" s="18">
        <v>0</v>
      </c>
      <c r="K181" s="18">
        <v>0</v>
      </c>
      <c r="L181" s="18">
        <v>0</v>
      </c>
      <c r="M181" s="18"/>
      <c r="N181" s="19">
        <f t="shared" si="84"/>
        <v>83109</v>
      </c>
      <c r="O181" s="19">
        <f t="shared" si="67"/>
        <v>349876</v>
      </c>
      <c r="P181" s="19">
        <f t="shared" si="68"/>
        <v>432985</v>
      </c>
      <c r="Q181" s="30">
        <f t="shared" si="78"/>
        <v>0.52355357480194686</v>
      </c>
    </row>
    <row r="182" spans="1:17" ht="26.4" x14ac:dyDescent="0.25">
      <c r="A182" s="16" t="s">
        <v>56</v>
      </c>
      <c r="B182" s="17" t="s">
        <v>57</v>
      </c>
      <c r="C182" s="18">
        <v>25628</v>
      </c>
      <c r="D182" s="18">
        <v>0</v>
      </c>
      <c r="E182" s="18">
        <v>0</v>
      </c>
      <c r="F182" s="19">
        <f t="shared" si="75"/>
        <v>25628</v>
      </c>
      <c r="G182" s="30">
        <f t="shared" si="79"/>
        <v>3.0741052609002898E-2</v>
      </c>
      <c r="H182" s="18">
        <v>25628</v>
      </c>
      <c r="I182" s="18">
        <f>203643-16063</f>
        <v>187580</v>
      </c>
      <c r="J182" s="18">
        <v>0</v>
      </c>
      <c r="K182" s="18">
        <v>0</v>
      </c>
      <c r="L182" s="18">
        <v>0</v>
      </c>
      <c r="M182" s="18"/>
      <c r="N182" s="19">
        <f t="shared" si="84"/>
        <v>25628</v>
      </c>
      <c r="O182" s="19">
        <f t="shared" si="67"/>
        <v>187580</v>
      </c>
      <c r="P182" s="19">
        <f t="shared" si="68"/>
        <v>213208</v>
      </c>
      <c r="Q182" s="30">
        <f t="shared" si="78"/>
        <v>0.25780526017384781</v>
      </c>
    </row>
    <row r="183" spans="1:17" x14ac:dyDescent="0.25">
      <c r="A183" s="16" t="s">
        <v>58</v>
      </c>
      <c r="B183" s="17" t="s">
        <v>59</v>
      </c>
      <c r="C183" s="18">
        <v>13060</v>
      </c>
      <c r="D183" s="18">
        <v>0</v>
      </c>
      <c r="E183" s="18">
        <v>0</v>
      </c>
      <c r="F183" s="19">
        <f t="shared" si="75"/>
        <v>13060</v>
      </c>
      <c r="G183" s="30">
        <f t="shared" si="79"/>
        <v>1.566560586364827E-2</v>
      </c>
      <c r="H183" s="18">
        <v>13060</v>
      </c>
      <c r="I183" s="18">
        <v>-4000</v>
      </c>
      <c r="J183" s="18">
        <v>0</v>
      </c>
      <c r="K183" s="18">
        <v>0</v>
      </c>
      <c r="L183" s="18">
        <v>0</v>
      </c>
      <c r="M183" s="18"/>
      <c r="N183" s="19">
        <f t="shared" si="84"/>
        <v>13060</v>
      </c>
      <c r="O183" s="19">
        <f t="shared" si="67"/>
        <v>-4000</v>
      </c>
      <c r="P183" s="19">
        <f t="shared" si="68"/>
        <v>9060</v>
      </c>
      <c r="Q183" s="30">
        <f t="shared" si="78"/>
        <v>1.0955103266176979E-2</v>
      </c>
    </row>
    <row r="184" spans="1:17" x14ac:dyDescent="0.25">
      <c r="A184" s="16" t="s">
        <v>60</v>
      </c>
      <c r="B184" s="17" t="s">
        <v>61</v>
      </c>
      <c r="C184" s="18">
        <v>138413</v>
      </c>
      <c r="D184" s="18">
        <v>0</v>
      </c>
      <c r="E184" s="18">
        <v>0</v>
      </c>
      <c r="F184" s="19">
        <f t="shared" si="75"/>
        <v>138413</v>
      </c>
      <c r="G184" s="30">
        <f t="shared" si="79"/>
        <v>0.16602783341540184</v>
      </c>
      <c r="H184" s="18">
        <v>138413</v>
      </c>
      <c r="I184" s="18">
        <v>-10600</v>
      </c>
      <c r="J184" s="18">
        <v>0</v>
      </c>
      <c r="K184" s="18">
        <v>0</v>
      </c>
      <c r="L184" s="18">
        <v>0</v>
      </c>
      <c r="M184" s="18"/>
      <c r="N184" s="19">
        <f t="shared" si="84"/>
        <v>138413</v>
      </c>
      <c r="O184" s="19">
        <f t="shared" si="67"/>
        <v>-10600</v>
      </c>
      <c r="P184" s="19">
        <f t="shared" si="68"/>
        <v>127813</v>
      </c>
      <c r="Q184" s="30">
        <f t="shared" si="78"/>
        <v>0.15454797061367309</v>
      </c>
    </row>
    <row r="185" spans="1:17" ht="26.4" x14ac:dyDescent="0.25">
      <c r="A185" s="16" t="s">
        <v>62</v>
      </c>
      <c r="B185" s="17" t="s">
        <v>63</v>
      </c>
      <c r="C185" s="18">
        <v>55574</v>
      </c>
      <c r="D185" s="18">
        <v>0</v>
      </c>
      <c r="E185" s="18">
        <v>0</v>
      </c>
      <c r="F185" s="19">
        <f t="shared" si="75"/>
        <v>55574</v>
      </c>
      <c r="G185" s="30">
        <f t="shared" si="79"/>
        <v>6.6661591138314616E-2</v>
      </c>
      <c r="H185" s="18">
        <v>55574</v>
      </c>
      <c r="I185" s="18">
        <v>-7233</v>
      </c>
      <c r="J185" s="18">
        <v>0</v>
      </c>
      <c r="K185" s="18">
        <v>0</v>
      </c>
      <c r="L185" s="18">
        <v>0</v>
      </c>
      <c r="M185" s="18"/>
      <c r="N185" s="19">
        <f t="shared" si="84"/>
        <v>55574</v>
      </c>
      <c r="O185" s="19">
        <f t="shared" si="67"/>
        <v>-7233</v>
      </c>
      <c r="P185" s="19">
        <f t="shared" si="68"/>
        <v>48341</v>
      </c>
      <c r="Q185" s="30">
        <f t="shared" si="78"/>
        <v>5.8452610043075198E-2</v>
      </c>
    </row>
    <row r="186" spans="1:17" x14ac:dyDescent="0.25">
      <c r="A186" s="16" t="s">
        <v>64</v>
      </c>
      <c r="B186" s="17" t="s">
        <v>65</v>
      </c>
      <c r="C186" s="18">
        <v>1925</v>
      </c>
      <c r="D186" s="18">
        <v>0</v>
      </c>
      <c r="E186" s="18">
        <v>0</v>
      </c>
      <c r="F186" s="19">
        <f t="shared" si="75"/>
        <v>1925</v>
      </c>
      <c r="G186" s="30">
        <f t="shared" si="79"/>
        <v>2.3090575258440213E-3</v>
      </c>
      <c r="H186" s="18">
        <v>1925</v>
      </c>
      <c r="I186" s="18">
        <v>0</v>
      </c>
      <c r="J186" s="18">
        <v>0</v>
      </c>
      <c r="K186" s="18">
        <v>0</v>
      </c>
      <c r="L186" s="18">
        <v>0</v>
      </c>
      <c r="M186" s="18"/>
      <c r="N186" s="19">
        <f t="shared" si="84"/>
        <v>1925</v>
      </c>
      <c r="O186" s="19">
        <f t="shared" si="67"/>
        <v>0</v>
      </c>
      <c r="P186" s="19">
        <f t="shared" si="68"/>
        <v>1925</v>
      </c>
      <c r="Q186" s="30">
        <f t="shared" si="78"/>
        <v>2.3276571509261239E-3</v>
      </c>
    </row>
    <row r="187" spans="1:17" ht="26.4" x14ac:dyDescent="0.25">
      <c r="A187" s="16" t="s">
        <v>90</v>
      </c>
      <c r="B187" s="17" t="s">
        <v>91</v>
      </c>
      <c r="C187" s="18">
        <v>100000</v>
      </c>
      <c r="D187" s="18">
        <v>0</v>
      </c>
      <c r="E187" s="18">
        <v>0</v>
      </c>
      <c r="F187" s="19">
        <f t="shared" si="75"/>
        <v>100000</v>
      </c>
      <c r="G187" s="30">
        <f t="shared" si="79"/>
        <v>0.11995104030358553</v>
      </c>
      <c r="H187" s="18">
        <v>100000</v>
      </c>
      <c r="I187" s="18">
        <v>0</v>
      </c>
      <c r="J187" s="18">
        <v>0</v>
      </c>
      <c r="K187" s="18">
        <v>0</v>
      </c>
      <c r="L187" s="18">
        <v>0</v>
      </c>
      <c r="M187" s="18"/>
      <c r="N187" s="19">
        <f t="shared" si="84"/>
        <v>100000</v>
      </c>
      <c r="O187" s="19">
        <f t="shared" si="67"/>
        <v>0</v>
      </c>
      <c r="P187" s="19">
        <f t="shared" si="68"/>
        <v>100000</v>
      </c>
      <c r="Q187" s="30">
        <f t="shared" si="78"/>
        <v>0.12091725459356488</v>
      </c>
    </row>
    <row r="188" spans="1:17" x14ac:dyDescent="0.25">
      <c r="A188" s="16" t="s">
        <v>104</v>
      </c>
      <c r="B188" s="17" t="s">
        <v>105</v>
      </c>
      <c r="C188" s="18">
        <v>0</v>
      </c>
      <c r="D188" s="18">
        <v>0</v>
      </c>
      <c r="E188" s="18">
        <v>0</v>
      </c>
      <c r="F188" s="19">
        <f t="shared" si="75"/>
        <v>0</v>
      </c>
      <c r="G188" s="30">
        <f t="shared" si="79"/>
        <v>0</v>
      </c>
      <c r="H188" s="18">
        <v>0</v>
      </c>
      <c r="I188" s="18">
        <v>0</v>
      </c>
      <c r="J188" s="18">
        <v>0</v>
      </c>
      <c r="K188" s="18">
        <v>0</v>
      </c>
      <c r="L188" s="18">
        <v>0</v>
      </c>
      <c r="M188" s="18"/>
      <c r="N188" s="19">
        <f t="shared" si="84"/>
        <v>0</v>
      </c>
      <c r="O188" s="19">
        <f t="shared" si="67"/>
        <v>0</v>
      </c>
      <c r="P188" s="19">
        <f t="shared" si="68"/>
        <v>0</v>
      </c>
      <c r="Q188" s="30">
        <f t="shared" si="78"/>
        <v>0</v>
      </c>
    </row>
    <row r="189" spans="1:17" x14ac:dyDescent="0.25">
      <c r="A189" s="16" t="s">
        <v>66</v>
      </c>
      <c r="B189" s="17" t="s">
        <v>67</v>
      </c>
      <c r="C189" s="18">
        <v>3631</v>
      </c>
      <c r="D189" s="18">
        <v>0</v>
      </c>
      <c r="E189" s="18">
        <v>0</v>
      </c>
      <c r="F189" s="19">
        <f t="shared" si="75"/>
        <v>3631</v>
      </c>
      <c r="G189" s="30">
        <f t="shared" si="79"/>
        <v>4.3554222734231906E-3</v>
      </c>
      <c r="H189" s="18">
        <v>3631</v>
      </c>
      <c r="I189" s="18">
        <v>-372</v>
      </c>
      <c r="J189" s="18">
        <v>0</v>
      </c>
      <c r="K189" s="18">
        <v>0</v>
      </c>
      <c r="L189" s="18">
        <v>0</v>
      </c>
      <c r="M189" s="18"/>
      <c r="N189" s="19">
        <f t="shared" si="84"/>
        <v>3631</v>
      </c>
      <c r="O189" s="19">
        <f t="shared" si="67"/>
        <v>-372</v>
      </c>
      <c r="P189" s="19">
        <f t="shared" si="68"/>
        <v>3259</v>
      </c>
      <c r="Q189" s="30">
        <f t="shared" si="78"/>
        <v>3.9406933272042796E-3</v>
      </c>
    </row>
    <row r="190" spans="1:17" ht="41.4" x14ac:dyDescent="0.25">
      <c r="A190" s="33" t="s">
        <v>137</v>
      </c>
      <c r="B190" s="34" t="s">
        <v>138</v>
      </c>
      <c r="C190" s="28">
        <f>SUM(C191:C201)</f>
        <v>4984282</v>
      </c>
      <c r="D190" s="28">
        <f t="shared" ref="D190:F190" si="94">SUM(D191:D201)</f>
        <v>29109</v>
      </c>
      <c r="E190" s="28">
        <f t="shared" si="94"/>
        <v>0</v>
      </c>
      <c r="F190" s="28">
        <f t="shared" si="94"/>
        <v>5013391</v>
      </c>
      <c r="G190" s="29">
        <f t="shared" si="79"/>
        <v>6.0136146589863291</v>
      </c>
      <c r="H190" s="28">
        <f>SUM(H191:H201)</f>
        <v>4984282</v>
      </c>
      <c r="I190" s="28">
        <f>SUM(I191:I201)</f>
        <v>212180</v>
      </c>
      <c r="J190" s="28">
        <f t="shared" ref="J190:N190" si="95">SUM(J191:J201)</f>
        <v>29109</v>
      </c>
      <c r="K190" s="28">
        <f t="shared" si="95"/>
        <v>0</v>
      </c>
      <c r="L190" s="28">
        <f t="shared" si="95"/>
        <v>0</v>
      </c>
      <c r="M190" s="28">
        <f t="shared" si="95"/>
        <v>0</v>
      </c>
      <c r="N190" s="28">
        <f t="shared" si="95"/>
        <v>5013391</v>
      </c>
      <c r="O190" s="28">
        <f t="shared" si="67"/>
        <v>212180</v>
      </c>
      <c r="P190" s="28">
        <f t="shared" si="68"/>
        <v>5225571</v>
      </c>
      <c r="Q190" s="29">
        <f t="shared" si="78"/>
        <v>6.3186169900374942</v>
      </c>
    </row>
    <row r="191" spans="1:17" x14ac:dyDescent="0.25">
      <c r="A191" s="16" t="s">
        <v>54</v>
      </c>
      <c r="B191" s="17" t="s">
        <v>55</v>
      </c>
      <c r="C191" s="18">
        <v>1546607</v>
      </c>
      <c r="D191" s="18">
        <v>20217</v>
      </c>
      <c r="E191" s="18">
        <v>0</v>
      </c>
      <c r="F191" s="19">
        <f t="shared" si="75"/>
        <v>1566824</v>
      </c>
      <c r="G191" s="30">
        <f t="shared" si="79"/>
        <v>1.8794216877262508</v>
      </c>
      <c r="H191" s="18">
        <v>1546607</v>
      </c>
      <c r="I191" s="18">
        <f>-2366-3771</f>
        <v>-6137</v>
      </c>
      <c r="J191" s="18">
        <v>20217</v>
      </c>
      <c r="K191" s="18">
        <v>0</v>
      </c>
      <c r="L191" s="18">
        <v>0</v>
      </c>
      <c r="M191" s="18"/>
      <c r="N191" s="19">
        <f t="shared" ref="N191:N212" si="96">H191+J191+L191</f>
        <v>1566824</v>
      </c>
      <c r="O191" s="19">
        <f t="shared" si="67"/>
        <v>-6137</v>
      </c>
      <c r="P191" s="19">
        <f t="shared" si="68"/>
        <v>1560687</v>
      </c>
      <c r="Q191" s="30">
        <f t="shared" si="78"/>
        <v>1.8871398731986699</v>
      </c>
    </row>
    <row r="192" spans="1:17" ht="26.4" x14ac:dyDescent="0.25">
      <c r="A192" s="16" t="s">
        <v>56</v>
      </c>
      <c r="B192" s="17" t="s">
        <v>57</v>
      </c>
      <c r="C192" s="18">
        <v>438014</v>
      </c>
      <c r="D192" s="18">
        <v>4769</v>
      </c>
      <c r="E192" s="18">
        <v>0</v>
      </c>
      <c r="F192" s="19">
        <f t="shared" si="75"/>
        <v>442783</v>
      </c>
      <c r="G192" s="30">
        <f t="shared" si="79"/>
        <v>0.53112281478742507</v>
      </c>
      <c r="H192" s="18">
        <v>438014</v>
      </c>
      <c r="I192" s="18">
        <f>-210-892</f>
        <v>-1102</v>
      </c>
      <c r="J192" s="18">
        <v>4769</v>
      </c>
      <c r="K192" s="18">
        <v>0</v>
      </c>
      <c r="L192" s="18">
        <v>0</v>
      </c>
      <c r="M192" s="18"/>
      <c r="N192" s="19">
        <f t="shared" si="96"/>
        <v>442783</v>
      </c>
      <c r="O192" s="19">
        <f t="shared" si="67"/>
        <v>-1102</v>
      </c>
      <c r="P192" s="19">
        <f t="shared" si="68"/>
        <v>441681</v>
      </c>
      <c r="Q192" s="30">
        <f t="shared" si="78"/>
        <v>0.5340685392614033</v>
      </c>
    </row>
    <row r="193" spans="1:17" x14ac:dyDescent="0.25">
      <c r="A193" s="16" t="s">
        <v>58</v>
      </c>
      <c r="B193" s="17" t="s">
        <v>59</v>
      </c>
      <c r="C193" s="18">
        <v>2034</v>
      </c>
      <c r="D193" s="18">
        <v>0</v>
      </c>
      <c r="E193" s="18">
        <v>0</v>
      </c>
      <c r="F193" s="19">
        <f t="shared" si="75"/>
        <v>2034</v>
      </c>
      <c r="G193" s="30">
        <f t="shared" si="79"/>
        <v>2.4398041597749297E-3</v>
      </c>
      <c r="H193" s="18">
        <v>2034</v>
      </c>
      <c r="I193" s="18">
        <v>-220</v>
      </c>
      <c r="J193" s="18">
        <v>0</v>
      </c>
      <c r="K193" s="18">
        <v>0</v>
      </c>
      <c r="L193" s="18">
        <v>0</v>
      </c>
      <c r="M193" s="18"/>
      <c r="N193" s="19">
        <f t="shared" si="96"/>
        <v>2034</v>
      </c>
      <c r="O193" s="19">
        <f t="shared" si="67"/>
        <v>-220</v>
      </c>
      <c r="P193" s="19">
        <f t="shared" si="68"/>
        <v>1814</v>
      </c>
      <c r="Q193" s="30">
        <f t="shared" si="78"/>
        <v>2.193438998327267E-3</v>
      </c>
    </row>
    <row r="194" spans="1:17" x14ac:dyDescent="0.25">
      <c r="A194" s="16" t="s">
        <v>60</v>
      </c>
      <c r="B194" s="17" t="s">
        <v>61</v>
      </c>
      <c r="C194" s="18">
        <v>652325</v>
      </c>
      <c r="D194" s="18">
        <v>0</v>
      </c>
      <c r="E194" s="18">
        <v>0</v>
      </c>
      <c r="F194" s="19">
        <f t="shared" si="75"/>
        <v>652325</v>
      </c>
      <c r="G194" s="30">
        <f t="shared" si="79"/>
        <v>0.78247062366036424</v>
      </c>
      <c r="H194" s="18">
        <v>652325</v>
      </c>
      <c r="I194" s="18">
        <v>-69857</v>
      </c>
      <c r="J194" s="18">
        <v>0</v>
      </c>
      <c r="K194" s="18">
        <v>0</v>
      </c>
      <c r="L194" s="18">
        <v>0</v>
      </c>
      <c r="M194" s="18"/>
      <c r="N194" s="19">
        <f t="shared" si="96"/>
        <v>652325</v>
      </c>
      <c r="O194" s="19">
        <f t="shared" si="67"/>
        <v>-69857</v>
      </c>
      <c r="P194" s="19">
        <f t="shared" si="68"/>
        <v>582468</v>
      </c>
      <c r="Q194" s="30">
        <f t="shared" si="78"/>
        <v>0.70430431448604547</v>
      </c>
    </row>
    <row r="195" spans="1:17" ht="26.4" x14ac:dyDescent="0.25">
      <c r="A195" s="16" t="s">
        <v>62</v>
      </c>
      <c r="B195" s="17" t="s">
        <v>63</v>
      </c>
      <c r="C195" s="18">
        <v>247662</v>
      </c>
      <c r="D195" s="18">
        <v>0</v>
      </c>
      <c r="E195" s="18">
        <v>0</v>
      </c>
      <c r="F195" s="19">
        <f t="shared" si="75"/>
        <v>247662</v>
      </c>
      <c r="G195" s="30">
        <f t="shared" si="79"/>
        <v>0.29707314543666596</v>
      </c>
      <c r="H195" s="18">
        <v>247662</v>
      </c>
      <c r="I195" s="18">
        <v>-10465</v>
      </c>
      <c r="J195" s="18">
        <v>0</v>
      </c>
      <c r="K195" s="18">
        <v>0</v>
      </c>
      <c r="L195" s="18">
        <v>0</v>
      </c>
      <c r="M195" s="18"/>
      <c r="N195" s="19">
        <f t="shared" si="96"/>
        <v>247662</v>
      </c>
      <c r="O195" s="19">
        <f t="shared" si="67"/>
        <v>-10465</v>
      </c>
      <c r="P195" s="19">
        <f t="shared" si="68"/>
        <v>237197</v>
      </c>
      <c r="Q195" s="30">
        <f t="shared" si="78"/>
        <v>0.28681210037829807</v>
      </c>
    </row>
    <row r="196" spans="1:17" x14ac:dyDescent="0.25">
      <c r="A196" s="16" t="s">
        <v>139</v>
      </c>
      <c r="B196" s="17" t="s">
        <v>140</v>
      </c>
      <c r="C196" s="18">
        <v>23500</v>
      </c>
      <c r="D196" s="18">
        <v>0</v>
      </c>
      <c r="E196" s="18">
        <v>0</v>
      </c>
      <c r="F196" s="19">
        <f t="shared" si="75"/>
        <v>23500</v>
      </c>
      <c r="G196" s="30">
        <f t="shared" si="79"/>
        <v>2.8188494471342598E-2</v>
      </c>
      <c r="H196" s="18">
        <v>23500</v>
      </c>
      <c r="I196" s="18">
        <v>0</v>
      </c>
      <c r="J196" s="18">
        <v>0</v>
      </c>
      <c r="K196" s="18">
        <v>0</v>
      </c>
      <c r="L196" s="18">
        <v>0</v>
      </c>
      <c r="M196" s="18"/>
      <c r="N196" s="19">
        <f t="shared" si="96"/>
        <v>23500</v>
      </c>
      <c r="O196" s="19">
        <f t="shared" si="67"/>
        <v>0</v>
      </c>
      <c r="P196" s="19">
        <f t="shared" si="68"/>
        <v>23500</v>
      </c>
      <c r="Q196" s="30">
        <f t="shared" si="78"/>
        <v>2.8415554829487748E-2</v>
      </c>
    </row>
    <row r="197" spans="1:17" x14ac:dyDescent="0.25">
      <c r="A197" s="16" t="s">
        <v>64</v>
      </c>
      <c r="B197" s="17" t="s">
        <v>65</v>
      </c>
      <c r="C197" s="18">
        <v>13926</v>
      </c>
      <c r="D197" s="18">
        <v>0</v>
      </c>
      <c r="E197" s="18">
        <v>0</v>
      </c>
      <c r="F197" s="19">
        <f t="shared" si="75"/>
        <v>13926</v>
      </c>
      <c r="G197" s="30">
        <f t="shared" si="79"/>
        <v>1.670438187267732E-2</v>
      </c>
      <c r="H197" s="18">
        <v>13926</v>
      </c>
      <c r="I197" s="18">
        <v>-270</v>
      </c>
      <c r="J197" s="18">
        <v>0</v>
      </c>
      <c r="K197" s="18">
        <v>0</v>
      </c>
      <c r="L197" s="18">
        <v>0</v>
      </c>
      <c r="M197" s="18"/>
      <c r="N197" s="19">
        <f t="shared" si="96"/>
        <v>13926</v>
      </c>
      <c r="O197" s="19">
        <f t="shared" si="67"/>
        <v>-270</v>
      </c>
      <c r="P197" s="19">
        <f t="shared" si="68"/>
        <v>13656</v>
      </c>
      <c r="Q197" s="30">
        <f t="shared" si="78"/>
        <v>1.651246028729722E-2</v>
      </c>
    </row>
    <row r="198" spans="1:17" ht="26.4" x14ac:dyDescent="0.25">
      <c r="A198" s="16" t="s">
        <v>90</v>
      </c>
      <c r="B198" s="17" t="s">
        <v>91</v>
      </c>
      <c r="C198" s="18">
        <v>5000</v>
      </c>
      <c r="D198" s="18">
        <v>0</v>
      </c>
      <c r="E198" s="18">
        <v>0</v>
      </c>
      <c r="F198" s="19">
        <f t="shared" si="75"/>
        <v>5000</v>
      </c>
      <c r="G198" s="30">
        <f t="shared" si="79"/>
        <v>5.997552015179276E-3</v>
      </c>
      <c r="H198" s="18">
        <v>5000</v>
      </c>
      <c r="I198" s="18">
        <v>0</v>
      </c>
      <c r="J198" s="18">
        <v>0</v>
      </c>
      <c r="K198" s="18">
        <v>0</v>
      </c>
      <c r="L198" s="18">
        <v>0</v>
      </c>
      <c r="M198" s="18"/>
      <c r="N198" s="19">
        <f t="shared" si="96"/>
        <v>5000</v>
      </c>
      <c r="O198" s="19">
        <f t="shared" si="67"/>
        <v>0</v>
      </c>
      <c r="P198" s="19">
        <f t="shared" si="68"/>
        <v>5000</v>
      </c>
      <c r="Q198" s="30">
        <f t="shared" si="78"/>
        <v>6.045862729678244E-3</v>
      </c>
    </row>
    <row r="199" spans="1:17" x14ac:dyDescent="0.25">
      <c r="A199" s="16" t="s">
        <v>66</v>
      </c>
      <c r="B199" s="17" t="s">
        <v>67</v>
      </c>
      <c r="C199" s="18">
        <v>2055014</v>
      </c>
      <c r="D199" s="18">
        <v>0</v>
      </c>
      <c r="E199" s="18">
        <v>0</v>
      </c>
      <c r="F199" s="19">
        <f t="shared" si="75"/>
        <v>2055014</v>
      </c>
      <c r="G199" s="30">
        <f t="shared" si="79"/>
        <v>2.4650106713843249</v>
      </c>
      <c r="H199" s="18">
        <v>2055014</v>
      </c>
      <c r="I199" s="18">
        <v>300231</v>
      </c>
      <c r="J199" s="18">
        <v>0</v>
      </c>
      <c r="K199" s="18">
        <v>0</v>
      </c>
      <c r="L199" s="18">
        <v>0</v>
      </c>
      <c r="M199" s="18"/>
      <c r="N199" s="19">
        <f t="shared" si="96"/>
        <v>2055014</v>
      </c>
      <c r="O199" s="19">
        <f t="shared" si="67"/>
        <v>300231</v>
      </c>
      <c r="P199" s="19">
        <f t="shared" si="68"/>
        <v>2355245</v>
      </c>
      <c r="Q199" s="30">
        <f t="shared" si="78"/>
        <v>2.847897592952207</v>
      </c>
    </row>
    <row r="200" spans="1:17" ht="26.4" x14ac:dyDescent="0.25">
      <c r="A200" s="16" t="s">
        <v>92</v>
      </c>
      <c r="B200" s="17" t="s">
        <v>93</v>
      </c>
      <c r="C200" s="18">
        <v>0</v>
      </c>
      <c r="D200" s="18">
        <v>0</v>
      </c>
      <c r="E200" s="18">
        <v>0</v>
      </c>
      <c r="F200" s="19">
        <f t="shared" si="75"/>
        <v>0</v>
      </c>
      <c r="G200" s="30">
        <f t="shared" si="79"/>
        <v>0</v>
      </c>
      <c r="H200" s="18">
        <v>0</v>
      </c>
      <c r="I200" s="18">
        <v>0</v>
      </c>
      <c r="J200" s="18">
        <v>0</v>
      </c>
      <c r="K200" s="18">
        <v>0</v>
      </c>
      <c r="L200" s="18">
        <v>0</v>
      </c>
      <c r="M200" s="18"/>
      <c r="N200" s="19">
        <f t="shared" si="96"/>
        <v>0</v>
      </c>
      <c r="O200" s="19">
        <f t="shared" si="67"/>
        <v>0</v>
      </c>
      <c r="P200" s="19">
        <f t="shared" si="68"/>
        <v>0</v>
      </c>
      <c r="Q200" s="30">
        <f t="shared" si="78"/>
        <v>0</v>
      </c>
    </row>
    <row r="201" spans="1:17" x14ac:dyDescent="0.25">
      <c r="A201" s="16" t="s">
        <v>70</v>
      </c>
      <c r="B201" s="17" t="s">
        <v>71</v>
      </c>
      <c r="C201" s="18">
        <v>200</v>
      </c>
      <c r="D201" s="18">
        <v>4123</v>
      </c>
      <c r="E201" s="18">
        <v>0</v>
      </c>
      <c r="F201" s="19">
        <f t="shared" si="75"/>
        <v>4323</v>
      </c>
      <c r="G201" s="30">
        <f t="shared" si="79"/>
        <v>5.1854834723240022E-3</v>
      </c>
      <c r="H201" s="18">
        <v>200</v>
      </c>
      <c r="I201" s="18">
        <v>0</v>
      </c>
      <c r="J201" s="18">
        <v>4123</v>
      </c>
      <c r="K201" s="18">
        <v>0</v>
      </c>
      <c r="L201" s="18">
        <v>0</v>
      </c>
      <c r="M201" s="18"/>
      <c r="N201" s="19">
        <f t="shared" si="96"/>
        <v>4323</v>
      </c>
      <c r="O201" s="19">
        <f t="shared" ref="O201:O264" si="97">I201+K201+M201</f>
        <v>0</v>
      </c>
      <c r="P201" s="19">
        <f t="shared" ref="P201:P264" si="98">N201+O201</f>
        <v>4323</v>
      </c>
      <c r="Q201" s="30">
        <f t="shared" si="78"/>
        <v>5.22725291607981E-3</v>
      </c>
    </row>
    <row r="202" spans="1:17" ht="41.4" x14ac:dyDescent="0.25">
      <c r="A202" s="33" t="s">
        <v>141</v>
      </c>
      <c r="B202" s="34" t="s">
        <v>142</v>
      </c>
      <c r="C202" s="28">
        <f>SUM(C203:C212)</f>
        <v>86185</v>
      </c>
      <c r="D202" s="28">
        <f t="shared" ref="D202:E202" si="99">SUM(D203:D212)</f>
        <v>0</v>
      </c>
      <c r="E202" s="28">
        <f t="shared" si="99"/>
        <v>454865</v>
      </c>
      <c r="F202" s="28">
        <f t="shared" si="75"/>
        <v>541050</v>
      </c>
      <c r="G202" s="29">
        <f t="shared" si="79"/>
        <v>0.64899510356254952</v>
      </c>
      <c r="H202" s="28">
        <f>SUM(H203:H212)</f>
        <v>86185</v>
      </c>
      <c r="I202" s="28">
        <f>SUM(I203:I212)</f>
        <v>-19614</v>
      </c>
      <c r="J202" s="28">
        <f t="shared" ref="J202:M202" si="100">SUM(J203:J212)</f>
        <v>0</v>
      </c>
      <c r="K202" s="28">
        <f t="shared" si="100"/>
        <v>0</v>
      </c>
      <c r="L202" s="28">
        <f t="shared" si="100"/>
        <v>454865</v>
      </c>
      <c r="M202" s="28">
        <f t="shared" si="100"/>
        <v>0</v>
      </c>
      <c r="N202" s="28">
        <f t="shared" si="96"/>
        <v>541050</v>
      </c>
      <c r="O202" s="28">
        <f t="shared" si="97"/>
        <v>-19614</v>
      </c>
      <c r="P202" s="28">
        <f t="shared" si="98"/>
        <v>521436</v>
      </c>
      <c r="Q202" s="29">
        <f t="shared" si="78"/>
        <v>0.63050609566250093</v>
      </c>
    </row>
    <row r="203" spans="1:17" x14ac:dyDescent="0.25">
      <c r="A203" s="16" t="s">
        <v>54</v>
      </c>
      <c r="B203" s="17" t="s">
        <v>55</v>
      </c>
      <c r="C203" s="18">
        <v>5293</v>
      </c>
      <c r="D203" s="18">
        <v>0</v>
      </c>
      <c r="E203" s="18">
        <v>19693</v>
      </c>
      <c r="F203" s="19">
        <f t="shared" si="75"/>
        <v>24986</v>
      </c>
      <c r="G203" s="30">
        <f t="shared" si="79"/>
        <v>2.9970966930253879E-2</v>
      </c>
      <c r="H203" s="18">
        <v>5293</v>
      </c>
      <c r="I203" s="18"/>
      <c r="J203" s="18">
        <v>0</v>
      </c>
      <c r="K203" s="18"/>
      <c r="L203" s="18">
        <v>19693</v>
      </c>
      <c r="M203" s="18">
        <v>-357</v>
      </c>
      <c r="N203" s="19">
        <f t="shared" si="96"/>
        <v>24986</v>
      </c>
      <c r="O203" s="19">
        <f t="shared" si="97"/>
        <v>-357</v>
      </c>
      <c r="P203" s="19">
        <f t="shared" si="98"/>
        <v>24629</v>
      </c>
      <c r="Q203" s="30">
        <f t="shared" si="78"/>
        <v>2.9780710633849097E-2</v>
      </c>
    </row>
    <row r="204" spans="1:17" ht="26.4" x14ac:dyDescent="0.25">
      <c r="A204" s="16" t="s">
        <v>56</v>
      </c>
      <c r="B204" s="17" t="s">
        <v>57</v>
      </c>
      <c r="C204" s="18">
        <v>1250</v>
      </c>
      <c r="D204" s="18">
        <v>0</v>
      </c>
      <c r="E204" s="18">
        <v>3760</v>
      </c>
      <c r="F204" s="19">
        <f t="shared" si="75"/>
        <v>5010</v>
      </c>
      <c r="G204" s="30">
        <f t="shared" si="79"/>
        <v>6.0095471192096349E-3</v>
      </c>
      <c r="H204" s="18">
        <v>1250</v>
      </c>
      <c r="I204" s="18"/>
      <c r="J204" s="18">
        <v>0</v>
      </c>
      <c r="K204" s="18"/>
      <c r="L204" s="18">
        <v>3760</v>
      </c>
      <c r="M204" s="18">
        <v>357</v>
      </c>
      <c r="N204" s="19">
        <f t="shared" si="96"/>
        <v>5010</v>
      </c>
      <c r="O204" s="19">
        <f t="shared" si="97"/>
        <v>357</v>
      </c>
      <c r="P204" s="19">
        <f t="shared" si="98"/>
        <v>5367</v>
      </c>
      <c r="Q204" s="30">
        <f t="shared" si="78"/>
        <v>6.489629054036627E-3</v>
      </c>
    </row>
    <row r="205" spans="1:17" x14ac:dyDescent="0.25">
      <c r="A205" s="16" t="s">
        <v>58</v>
      </c>
      <c r="B205" s="17" t="s">
        <v>59</v>
      </c>
      <c r="C205" s="18">
        <v>0</v>
      </c>
      <c r="D205" s="18">
        <v>0</v>
      </c>
      <c r="E205" s="18">
        <v>1970</v>
      </c>
      <c r="F205" s="19">
        <f t="shared" si="75"/>
        <v>1970</v>
      </c>
      <c r="G205" s="30">
        <f t="shared" si="79"/>
        <v>2.3630354939806349E-3</v>
      </c>
      <c r="H205" s="18">
        <v>0</v>
      </c>
      <c r="I205" s="18"/>
      <c r="J205" s="18">
        <v>0</v>
      </c>
      <c r="K205" s="18"/>
      <c r="L205" s="18">
        <v>1970</v>
      </c>
      <c r="M205" s="18"/>
      <c r="N205" s="19">
        <f t="shared" si="96"/>
        <v>1970</v>
      </c>
      <c r="O205" s="19">
        <f t="shared" si="97"/>
        <v>0</v>
      </c>
      <c r="P205" s="19">
        <f t="shared" si="98"/>
        <v>1970</v>
      </c>
      <c r="Q205" s="30">
        <f t="shared" si="78"/>
        <v>2.3820699154932282E-3</v>
      </c>
    </row>
    <row r="206" spans="1:17" x14ac:dyDescent="0.25">
      <c r="A206" s="16" t="s">
        <v>60</v>
      </c>
      <c r="B206" s="17" t="s">
        <v>61</v>
      </c>
      <c r="C206" s="18">
        <v>46253</v>
      </c>
      <c r="D206" s="18">
        <v>0</v>
      </c>
      <c r="E206" s="18">
        <v>40360</v>
      </c>
      <c r="F206" s="19">
        <f t="shared" si="75"/>
        <v>86613</v>
      </c>
      <c r="G206" s="30">
        <f t="shared" si="79"/>
        <v>0.10389319453814454</v>
      </c>
      <c r="H206" s="18">
        <v>46253</v>
      </c>
      <c r="I206" s="18">
        <v>-19614</v>
      </c>
      <c r="J206" s="18">
        <v>0</v>
      </c>
      <c r="K206" s="18"/>
      <c r="L206" s="18">
        <v>40360</v>
      </c>
      <c r="M206" s="18"/>
      <c r="N206" s="19">
        <f t="shared" si="96"/>
        <v>86613</v>
      </c>
      <c r="O206" s="19">
        <f t="shared" si="97"/>
        <v>-19614</v>
      </c>
      <c r="P206" s="19">
        <f t="shared" si="98"/>
        <v>66999</v>
      </c>
      <c r="Q206" s="30">
        <f t="shared" si="78"/>
        <v>8.1013351405142542E-2</v>
      </c>
    </row>
    <row r="207" spans="1:17" ht="26.4" x14ac:dyDescent="0.25">
      <c r="A207" s="16" t="s">
        <v>62</v>
      </c>
      <c r="B207" s="17" t="s">
        <v>63</v>
      </c>
      <c r="C207" s="18">
        <v>4600</v>
      </c>
      <c r="D207" s="18">
        <v>0</v>
      </c>
      <c r="E207" s="18">
        <v>26380</v>
      </c>
      <c r="F207" s="19">
        <f t="shared" si="75"/>
        <v>30980</v>
      </c>
      <c r="G207" s="30">
        <f t="shared" si="79"/>
        <v>3.7160832286050799E-2</v>
      </c>
      <c r="H207" s="18">
        <v>4600</v>
      </c>
      <c r="I207" s="18"/>
      <c r="J207" s="18">
        <v>0</v>
      </c>
      <c r="K207" s="18"/>
      <c r="L207" s="18">
        <v>26380</v>
      </c>
      <c r="M207" s="18"/>
      <c r="N207" s="19">
        <f t="shared" si="96"/>
        <v>30980</v>
      </c>
      <c r="O207" s="19">
        <f t="shared" si="97"/>
        <v>0</v>
      </c>
      <c r="P207" s="19">
        <f t="shared" si="98"/>
        <v>30980</v>
      </c>
      <c r="Q207" s="30">
        <f t="shared" si="78"/>
        <v>3.74601654730864E-2</v>
      </c>
    </row>
    <row r="208" spans="1:17" ht="26.4" x14ac:dyDescent="0.25">
      <c r="A208" s="16" t="s">
        <v>90</v>
      </c>
      <c r="B208" s="17" t="s">
        <v>91</v>
      </c>
      <c r="C208" s="18">
        <v>0</v>
      </c>
      <c r="D208" s="18">
        <v>0</v>
      </c>
      <c r="E208" s="18">
        <v>0</v>
      </c>
      <c r="F208" s="19">
        <f t="shared" si="75"/>
        <v>0</v>
      </c>
      <c r="G208" s="30">
        <f t="shared" si="79"/>
        <v>0</v>
      </c>
      <c r="H208" s="18">
        <v>0</v>
      </c>
      <c r="I208" s="18"/>
      <c r="J208" s="18">
        <v>0</v>
      </c>
      <c r="K208" s="18"/>
      <c r="L208" s="18">
        <v>0</v>
      </c>
      <c r="M208" s="18"/>
      <c r="N208" s="19">
        <f t="shared" si="96"/>
        <v>0</v>
      </c>
      <c r="O208" s="19">
        <f t="shared" si="97"/>
        <v>0</v>
      </c>
      <c r="P208" s="19">
        <f t="shared" si="98"/>
        <v>0</v>
      </c>
      <c r="Q208" s="30">
        <f t="shared" si="78"/>
        <v>0</v>
      </c>
    </row>
    <row r="209" spans="1:17" x14ac:dyDescent="0.25">
      <c r="A209" s="16" t="s">
        <v>66</v>
      </c>
      <c r="B209" s="17" t="s">
        <v>67</v>
      </c>
      <c r="C209" s="18">
        <v>0</v>
      </c>
      <c r="D209" s="18">
        <v>0</v>
      </c>
      <c r="E209" s="18">
        <v>362702</v>
      </c>
      <c r="F209" s="19">
        <f t="shared" si="75"/>
        <v>362702</v>
      </c>
      <c r="G209" s="30">
        <f t="shared" si="79"/>
        <v>0.43506482220191078</v>
      </c>
      <c r="H209" s="18">
        <v>0</v>
      </c>
      <c r="I209" s="18"/>
      <c r="J209" s="18">
        <v>0</v>
      </c>
      <c r="K209" s="18"/>
      <c r="L209" s="18">
        <v>362702</v>
      </c>
      <c r="M209" s="18"/>
      <c r="N209" s="19">
        <f t="shared" si="96"/>
        <v>362702</v>
      </c>
      <c r="O209" s="19">
        <f t="shared" si="97"/>
        <v>0</v>
      </c>
      <c r="P209" s="19">
        <f t="shared" si="98"/>
        <v>362702</v>
      </c>
      <c r="Q209" s="30">
        <f t="shared" si="78"/>
        <v>0.43856930075595169</v>
      </c>
    </row>
    <row r="210" spans="1:17" ht="26.4" x14ac:dyDescent="0.25">
      <c r="A210" s="16" t="s">
        <v>92</v>
      </c>
      <c r="B210" s="17" t="s">
        <v>93</v>
      </c>
      <c r="C210" s="18">
        <v>9025</v>
      </c>
      <c r="D210" s="18">
        <v>0</v>
      </c>
      <c r="E210" s="18">
        <v>0</v>
      </c>
      <c r="F210" s="19">
        <f t="shared" si="75"/>
        <v>9025</v>
      </c>
      <c r="G210" s="30">
        <f t="shared" si="79"/>
        <v>1.0825581387398593E-2</v>
      </c>
      <c r="H210" s="18">
        <v>9025</v>
      </c>
      <c r="I210" s="18"/>
      <c r="J210" s="18">
        <v>0</v>
      </c>
      <c r="K210" s="18"/>
      <c r="L210" s="18">
        <v>0</v>
      </c>
      <c r="M210" s="18"/>
      <c r="N210" s="19">
        <f t="shared" si="96"/>
        <v>9025</v>
      </c>
      <c r="O210" s="19">
        <f t="shared" si="97"/>
        <v>0</v>
      </c>
      <c r="P210" s="19">
        <f t="shared" si="98"/>
        <v>9025</v>
      </c>
      <c r="Q210" s="30">
        <f t="shared" si="78"/>
        <v>1.0912782227069231E-2</v>
      </c>
    </row>
    <row r="211" spans="1:17" x14ac:dyDescent="0.25">
      <c r="A211" s="16" t="s">
        <v>70</v>
      </c>
      <c r="B211" s="17" t="s">
        <v>71</v>
      </c>
      <c r="C211" s="18">
        <v>19764</v>
      </c>
      <c r="D211" s="18">
        <v>0</v>
      </c>
      <c r="E211" s="18">
        <v>0</v>
      </c>
      <c r="F211" s="19">
        <f t="shared" si="75"/>
        <v>19764</v>
      </c>
      <c r="G211" s="30">
        <f t="shared" si="79"/>
        <v>2.3707123605600643E-2</v>
      </c>
      <c r="H211" s="18">
        <v>19764</v>
      </c>
      <c r="I211" s="18"/>
      <c r="J211" s="18">
        <v>0</v>
      </c>
      <c r="K211" s="18"/>
      <c r="L211" s="18">
        <v>0</v>
      </c>
      <c r="M211" s="18"/>
      <c r="N211" s="19">
        <f t="shared" si="96"/>
        <v>19764</v>
      </c>
      <c r="O211" s="19">
        <f t="shared" si="97"/>
        <v>0</v>
      </c>
      <c r="P211" s="19">
        <f t="shared" si="98"/>
        <v>19764</v>
      </c>
      <c r="Q211" s="30">
        <f t="shared" si="78"/>
        <v>2.3898086197872162E-2</v>
      </c>
    </row>
    <row r="212" spans="1:17" x14ac:dyDescent="0.25">
      <c r="A212" s="16" t="s">
        <v>108</v>
      </c>
      <c r="B212" s="17" t="s">
        <v>109</v>
      </c>
      <c r="C212" s="18">
        <v>0</v>
      </c>
      <c r="D212" s="18">
        <v>0</v>
      </c>
      <c r="E212" s="18">
        <v>0</v>
      </c>
      <c r="F212" s="19">
        <f t="shared" si="75"/>
        <v>0</v>
      </c>
      <c r="G212" s="30">
        <f t="shared" si="79"/>
        <v>0</v>
      </c>
      <c r="H212" s="18">
        <v>0</v>
      </c>
      <c r="I212" s="18"/>
      <c r="J212" s="18">
        <v>0</v>
      </c>
      <c r="K212" s="18"/>
      <c r="L212" s="18">
        <v>0</v>
      </c>
      <c r="M212" s="18"/>
      <c r="N212" s="19">
        <f t="shared" si="96"/>
        <v>0</v>
      </c>
      <c r="O212" s="19">
        <f t="shared" si="97"/>
        <v>0</v>
      </c>
      <c r="P212" s="19">
        <f t="shared" si="98"/>
        <v>0</v>
      </c>
      <c r="Q212" s="30">
        <f t="shared" si="78"/>
        <v>0</v>
      </c>
    </row>
    <row r="213" spans="1:17" ht="13.8" x14ac:dyDescent="0.25">
      <c r="A213" s="22" t="s">
        <v>143</v>
      </c>
      <c r="B213" s="23" t="s">
        <v>144</v>
      </c>
      <c r="C213" s="24">
        <f>C214+C227+C252+C267+C278+C285+C298</f>
        <v>20207602</v>
      </c>
      <c r="D213" s="24">
        <f>D214+D227+D252+D267+D278+D285+D298</f>
        <v>13817939</v>
      </c>
      <c r="E213" s="24">
        <f t="shared" ref="E213:F213" si="101">E214+E227+E252+E267+E278+E285+E298</f>
        <v>568425</v>
      </c>
      <c r="F213" s="24">
        <f t="shared" si="101"/>
        <v>34437817</v>
      </c>
      <c r="G213" s="25">
        <f t="shared" si="79"/>
        <v>41.308519749345031</v>
      </c>
      <c r="H213" s="24">
        <f>H214+H227+H252+H267+H278+H285+H298</f>
        <v>20207602</v>
      </c>
      <c r="I213" s="24">
        <f>I214+I227+I252+I267+I278+I285+I298</f>
        <v>-229345</v>
      </c>
      <c r="J213" s="24">
        <f>J214+J227+J252+J267+J278+J285+J298</f>
        <v>13817939</v>
      </c>
      <c r="K213" s="24">
        <f>K214+K227+K252+K267+K278+K285+K298</f>
        <v>215431</v>
      </c>
      <c r="L213" s="24">
        <f t="shared" ref="L213:N213" si="102">L214+L227+L252+L267+L278+L285+L298</f>
        <v>568425</v>
      </c>
      <c r="M213" s="24">
        <f t="shared" ref="M213" si="103">M214+M227+M252+M267+M278+M285+M298</f>
        <v>151250</v>
      </c>
      <c r="N213" s="24">
        <f t="shared" si="102"/>
        <v>34593966</v>
      </c>
      <c r="O213" s="24">
        <f t="shared" si="97"/>
        <v>137336</v>
      </c>
      <c r="P213" s="24">
        <f t="shared" si="98"/>
        <v>34731302</v>
      </c>
      <c r="Q213" s="25">
        <f t="shared" si="78"/>
        <v>41.99613686299989</v>
      </c>
    </row>
    <row r="214" spans="1:17" ht="15" customHeight="1" x14ac:dyDescent="0.25">
      <c r="A214" s="33" t="s">
        <v>145</v>
      </c>
      <c r="B214" s="34" t="s">
        <v>146</v>
      </c>
      <c r="C214" s="28">
        <f t="shared" ref="C214:F214" si="104">SUM(C215:C226)</f>
        <v>7664141</v>
      </c>
      <c r="D214" s="28">
        <f t="shared" si="104"/>
        <v>1733239</v>
      </c>
      <c r="E214" s="28">
        <f t="shared" si="104"/>
        <v>0</v>
      </c>
      <c r="F214" s="28">
        <f t="shared" si="104"/>
        <v>9241231</v>
      </c>
      <c r="G214" s="29">
        <f t="shared" si="79"/>
        <v>11.084952721357439</v>
      </c>
      <c r="H214" s="28">
        <f t="shared" ref="H214:N214" si="105">SUM(H215:H226)</f>
        <v>7664141</v>
      </c>
      <c r="I214" s="28">
        <f t="shared" ref="I214" si="106">SUM(I215:I226)</f>
        <v>769247</v>
      </c>
      <c r="J214" s="28">
        <f t="shared" si="105"/>
        <v>1733239</v>
      </c>
      <c r="K214" s="28">
        <f t="shared" ref="K214" si="107">SUM(K215:K226)</f>
        <v>-19854</v>
      </c>
      <c r="L214" s="28">
        <f t="shared" si="105"/>
        <v>0</v>
      </c>
      <c r="M214" s="28">
        <f t="shared" ref="M214" si="108">SUM(M215:M226)</f>
        <v>0</v>
      </c>
      <c r="N214" s="28">
        <f t="shared" si="105"/>
        <v>9397380</v>
      </c>
      <c r="O214" s="28">
        <f t="shared" si="97"/>
        <v>749393</v>
      </c>
      <c r="P214" s="28">
        <f t="shared" si="98"/>
        <v>10146773</v>
      </c>
      <c r="Q214" s="29">
        <f t="shared" si="78"/>
        <v>12.269199341441102</v>
      </c>
    </row>
    <row r="215" spans="1:17" x14ac:dyDescent="0.25">
      <c r="A215" s="16" t="s">
        <v>54</v>
      </c>
      <c r="B215" s="17" t="s">
        <v>55</v>
      </c>
      <c r="C215" s="18">
        <v>4847832</v>
      </c>
      <c r="D215" s="18">
        <v>1402411</v>
      </c>
      <c r="E215" s="18">
        <v>0</v>
      </c>
      <c r="F215" s="19">
        <f t="shared" si="75"/>
        <v>6250243</v>
      </c>
      <c r="G215" s="30">
        <f t="shared" si="79"/>
        <v>7.4972315000020329</v>
      </c>
      <c r="H215" s="18">
        <v>4847832</v>
      </c>
      <c r="I215" s="18">
        <f>-2686+714554</f>
        <v>711868</v>
      </c>
      <c r="J215" s="18">
        <v>1402411</v>
      </c>
      <c r="K215" s="18">
        <v>-17131</v>
      </c>
      <c r="L215" s="18">
        <v>0</v>
      </c>
      <c r="M215" s="18"/>
      <c r="N215" s="19">
        <f t="shared" ref="N215:N223" si="109">H215+J215+L215</f>
        <v>6250243</v>
      </c>
      <c r="O215" s="19">
        <f t="shared" si="97"/>
        <v>694737</v>
      </c>
      <c r="P215" s="19">
        <f t="shared" si="98"/>
        <v>6944980</v>
      </c>
      <c r="Q215" s="30">
        <f t="shared" si="78"/>
        <v>8.3976791480721626</v>
      </c>
    </row>
    <row r="216" spans="1:17" ht="26.4" x14ac:dyDescent="0.25">
      <c r="A216" s="16" t="s">
        <v>56</v>
      </c>
      <c r="B216" s="17" t="s">
        <v>57</v>
      </c>
      <c r="C216" s="18">
        <v>1260408</v>
      </c>
      <c r="D216" s="18">
        <v>330828</v>
      </c>
      <c r="E216" s="18">
        <v>0</v>
      </c>
      <c r="F216" s="19">
        <f t="shared" si="75"/>
        <v>1591236</v>
      </c>
      <c r="G216" s="30">
        <f t="shared" si="79"/>
        <v>1.9087041356851622</v>
      </c>
      <c r="H216" s="18">
        <v>1260408</v>
      </c>
      <c r="I216" s="18">
        <f>2686+171661</f>
        <v>174347</v>
      </c>
      <c r="J216" s="18">
        <v>330828</v>
      </c>
      <c r="K216" s="18">
        <v>-4041</v>
      </c>
      <c r="L216" s="18">
        <v>0</v>
      </c>
      <c r="M216" s="18"/>
      <c r="N216" s="19">
        <f t="shared" si="109"/>
        <v>1591236</v>
      </c>
      <c r="O216" s="19">
        <f t="shared" si="97"/>
        <v>170306</v>
      </c>
      <c r="P216" s="19">
        <f t="shared" si="98"/>
        <v>1761542</v>
      </c>
      <c r="Q216" s="30">
        <f t="shared" si="78"/>
        <v>2.1300082249125749</v>
      </c>
    </row>
    <row r="217" spans="1:17" x14ac:dyDescent="0.25">
      <c r="A217" s="16" t="s">
        <v>58</v>
      </c>
      <c r="B217" s="17" t="s">
        <v>59</v>
      </c>
      <c r="C217" s="18">
        <v>6927</v>
      </c>
      <c r="D217" s="18">
        <v>0</v>
      </c>
      <c r="E217" s="18">
        <v>0</v>
      </c>
      <c r="F217" s="19">
        <f t="shared" si="75"/>
        <v>6927</v>
      </c>
      <c r="G217" s="30">
        <f t="shared" si="79"/>
        <v>8.3090085618293692E-3</v>
      </c>
      <c r="H217" s="18">
        <v>6927</v>
      </c>
      <c r="I217" s="18">
        <v>-3945</v>
      </c>
      <c r="J217" s="18">
        <v>0</v>
      </c>
      <c r="K217" s="18">
        <v>0</v>
      </c>
      <c r="L217" s="18">
        <v>0</v>
      </c>
      <c r="M217" s="18"/>
      <c r="N217" s="19">
        <f t="shared" si="109"/>
        <v>6927</v>
      </c>
      <c r="O217" s="19">
        <f t="shared" si="97"/>
        <v>-3945</v>
      </c>
      <c r="P217" s="19">
        <f t="shared" si="98"/>
        <v>2982</v>
      </c>
      <c r="Q217" s="30">
        <f t="shared" si="78"/>
        <v>3.6057525319801048E-3</v>
      </c>
    </row>
    <row r="218" spans="1:17" x14ac:dyDescent="0.25">
      <c r="A218" s="16" t="s">
        <v>60</v>
      </c>
      <c r="B218" s="17" t="s">
        <v>61</v>
      </c>
      <c r="C218" s="18">
        <v>527998</v>
      </c>
      <c r="D218" s="18">
        <v>0</v>
      </c>
      <c r="E218" s="18">
        <v>0</v>
      </c>
      <c r="F218" s="19">
        <f t="shared" si="75"/>
        <v>527998</v>
      </c>
      <c r="G218" s="30">
        <f t="shared" si="79"/>
        <v>0.6333390937821255</v>
      </c>
      <c r="H218" s="18">
        <v>527998</v>
      </c>
      <c r="I218" s="18">
        <v>-25792</v>
      </c>
      <c r="J218" s="18">
        <v>0</v>
      </c>
      <c r="K218" s="18">
        <v>0</v>
      </c>
      <c r="L218" s="18">
        <v>0</v>
      </c>
      <c r="M218" s="18"/>
      <c r="N218" s="19">
        <f t="shared" si="109"/>
        <v>527998</v>
      </c>
      <c r="O218" s="19">
        <f t="shared" si="97"/>
        <v>-25792</v>
      </c>
      <c r="P218" s="19">
        <f t="shared" si="98"/>
        <v>502206</v>
      </c>
      <c r="Q218" s="30">
        <f t="shared" si="78"/>
        <v>0.60725370760415842</v>
      </c>
    </row>
    <row r="219" spans="1:17" ht="26.4" x14ac:dyDescent="0.25">
      <c r="A219" s="16" t="s">
        <v>62</v>
      </c>
      <c r="B219" s="17" t="s">
        <v>63</v>
      </c>
      <c r="C219" s="18">
        <v>306013</v>
      </c>
      <c r="D219" s="18">
        <v>0</v>
      </c>
      <c r="E219" s="18">
        <v>0</v>
      </c>
      <c r="F219" s="19">
        <f t="shared" si="75"/>
        <v>306013</v>
      </c>
      <c r="G219" s="30">
        <f t="shared" si="79"/>
        <v>0.36706577696421117</v>
      </c>
      <c r="H219" s="18">
        <v>306013</v>
      </c>
      <c r="I219" s="18">
        <v>-16435</v>
      </c>
      <c r="J219" s="18">
        <v>0</v>
      </c>
      <c r="K219" s="18">
        <v>1195</v>
      </c>
      <c r="L219" s="18">
        <v>0</v>
      </c>
      <c r="M219" s="18"/>
      <c r="N219" s="19">
        <f t="shared" si="109"/>
        <v>306013</v>
      </c>
      <c r="O219" s="19">
        <f t="shared" si="97"/>
        <v>-15240</v>
      </c>
      <c r="P219" s="19">
        <f t="shared" si="98"/>
        <v>290773</v>
      </c>
      <c r="Q219" s="30">
        <f t="shared" si="78"/>
        <v>0.35159472869934644</v>
      </c>
    </row>
    <row r="220" spans="1:17" x14ac:dyDescent="0.25">
      <c r="A220" s="16" t="s">
        <v>139</v>
      </c>
      <c r="B220" s="17" t="s">
        <v>140</v>
      </c>
      <c r="C220" s="18">
        <v>519</v>
      </c>
      <c r="D220" s="18">
        <v>0</v>
      </c>
      <c r="E220" s="18">
        <v>0</v>
      </c>
      <c r="F220" s="19">
        <f t="shared" si="75"/>
        <v>519</v>
      </c>
      <c r="G220" s="30">
        <f t="shared" si="79"/>
        <v>6.2254589917560893E-4</v>
      </c>
      <c r="H220" s="18">
        <v>519</v>
      </c>
      <c r="I220" s="18">
        <v>0</v>
      </c>
      <c r="J220" s="18">
        <v>0</v>
      </c>
      <c r="K220" s="18">
        <v>0</v>
      </c>
      <c r="L220" s="18">
        <v>0</v>
      </c>
      <c r="M220" s="18"/>
      <c r="N220" s="19">
        <f t="shared" si="109"/>
        <v>519</v>
      </c>
      <c r="O220" s="19">
        <f t="shared" si="97"/>
        <v>0</v>
      </c>
      <c r="P220" s="19">
        <f t="shared" si="98"/>
        <v>519</v>
      </c>
      <c r="Q220" s="30">
        <f t="shared" si="78"/>
        <v>6.2756055134060174E-4</v>
      </c>
    </row>
    <row r="221" spans="1:17" x14ac:dyDescent="0.25">
      <c r="A221" s="16" t="s">
        <v>64</v>
      </c>
      <c r="B221" s="17" t="s">
        <v>65</v>
      </c>
      <c r="C221" s="18">
        <v>5182</v>
      </c>
      <c r="D221" s="18">
        <v>0</v>
      </c>
      <c r="E221" s="18">
        <v>0</v>
      </c>
      <c r="F221" s="19">
        <f t="shared" si="75"/>
        <v>5182</v>
      </c>
      <c r="G221" s="30">
        <f t="shared" si="79"/>
        <v>6.2158629085318018E-3</v>
      </c>
      <c r="H221" s="18">
        <v>5182</v>
      </c>
      <c r="I221" s="18">
        <v>0</v>
      </c>
      <c r="J221" s="18">
        <v>0</v>
      </c>
      <c r="K221" s="18">
        <v>0</v>
      </c>
      <c r="L221" s="18">
        <v>0</v>
      </c>
      <c r="M221" s="18"/>
      <c r="N221" s="19">
        <f t="shared" si="109"/>
        <v>5182</v>
      </c>
      <c r="O221" s="19">
        <f t="shared" si="97"/>
        <v>0</v>
      </c>
      <c r="P221" s="19">
        <f t="shared" si="98"/>
        <v>5182</v>
      </c>
      <c r="Q221" s="30">
        <f t="shared" ref="Q221:Q285" si="110">P221*100/$P$27</f>
        <v>6.2659321330385325E-3</v>
      </c>
    </row>
    <row r="222" spans="1:17" ht="26.4" x14ac:dyDescent="0.25">
      <c r="A222" s="16" t="s">
        <v>90</v>
      </c>
      <c r="B222" s="17" t="s">
        <v>91</v>
      </c>
      <c r="C222" s="2">
        <v>156149</v>
      </c>
      <c r="D222" s="18">
        <v>0</v>
      </c>
      <c r="E222" s="18">
        <v>0</v>
      </c>
      <c r="F222" s="19">
        <f>C223+D222+E222</f>
        <v>0</v>
      </c>
      <c r="G222" s="30">
        <f t="shared" ref="G222:G286" si="111">F222*100/$F$27</f>
        <v>0</v>
      </c>
      <c r="H222" s="2">
        <v>156149</v>
      </c>
      <c r="I222" s="2">
        <v>0</v>
      </c>
      <c r="J222" s="18">
        <v>0</v>
      </c>
      <c r="K222" s="18">
        <v>0</v>
      </c>
      <c r="L222" s="18">
        <v>0</v>
      </c>
      <c r="M222" s="18"/>
      <c r="N222" s="19">
        <f t="shared" si="109"/>
        <v>156149</v>
      </c>
      <c r="O222" s="19">
        <f t="shared" si="97"/>
        <v>0</v>
      </c>
      <c r="P222" s="19">
        <f t="shared" si="98"/>
        <v>156149</v>
      </c>
      <c r="Q222" s="30">
        <f t="shared" si="110"/>
        <v>0.18881108387530562</v>
      </c>
    </row>
    <row r="223" spans="1:17" x14ac:dyDescent="0.25">
      <c r="A223" s="16" t="s">
        <v>104</v>
      </c>
      <c r="B223" s="17" t="s">
        <v>105</v>
      </c>
      <c r="C223" s="18">
        <v>0</v>
      </c>
      <c r="D223" s="18">
        <v>0</v>
      </c>
      <c r="E223" s="18">
        <v>0</v>
      </c>
      <c r="F223" s="19">
        <f>C223+D223+E223</f>
        <v>0</v>
      </c>
      <c r="G223" s="30">
        <f t="shared" si="111"/>
        <v>0</v>
      </c>
      <c r="H223" s="18">
        <v>0</v>
      </c>
      <c r="I223" s="18">
        <v>0</v>
      </c>
      <c r="J223" s="18">
        <v>0</v>
      </c>
      <c r="K223" s="18">
        <v>0</v>
      </c>
      <c r="L223" s="18">
        <v>0</v>
      </c>
      <c r="M223" s="18"/>
      <c r="N223" s="19">
        <f t="shared" si="109"/>
        <v>0</v>
      </c>
      <c r="O223" s="19">
        <f t="shared" si="97"/>
        <v>0</v>
      </c>
      <c r="P223" s="19">
        <f t="shared" si="98"/>
        <v>0</v>
      </c>
      <c r="Q223" s="30">
        <f t="shared" si="110"/>
        <v>0</v>
      </c>
    </row>
    <row r="224" spans="1:17" x14ac:dyDescent="0.25">
      <c r="A224" s="16" t="s">
        <v>66</v>
      </c>
      <c r="B224" s="17" t="s">
        <v>67</v>
      </c>
      <c r="C224" s="18">
        <v>213656</v>
      </c>
      <c r="D224" s="18">
        <v>0</v>
      </c>
      <c r="E224" s="18">
        <v>0</v>
      </c>
      <c r="F224" s="19">
        <f t="shared" si="75"/>
        <v>213656</v>
      </c>
      <c r="G224" s="30">
        <f t="shared" si="111"/>
        <v>0.25628259467102871</v>
      </c>
      <c r="H224" s="18">
        <v>213656</v>
      </c>
      <c r="I224" s="18">
        <v>-70796</v>
      </c>
      <c r="J224" s="18">
        <v>0</v>
      </c>
      <c r="K224" s="18">
        <v>0</v>
      </c>
      <c r="L224" s="18">
        <v>0</v>
      </c>
      <c r="M224" s="18"/>
      <c r="N224" s="19">
        <f t="shared" ref="N224:N254" si="112">H224+J224+L224</f>
        <v>213656</v>
      </c>
      <c r="O224" s="19">
        <f t="shared" si="97"/>
        <v>-70796</v>
      </c>
      <c r="P224" s="19">
        <f t="shared" si="98"/>
        <v>142860</v>
      </c>
      <c r="Q224" s="30">
        <f t="shared" si="110"/>
        <v>0.17274238991236679</v>
      </c>
    </row>
    <row r="225" spans="1:17" ht="26.4" x14ac:dyDescent="0.25">
      <c r="A225" s="16" t="s">
        <v>92</v>
      </c>
      <c r="B225" s="17" t="s">
        <v>93</v>
      </c>
      <c r="C225" s="18">
        <v>10000</v>
      </c>
      <c r="D225" s="18">
        <v>0</v>
      </c>
      <c r="E225" s="18">
        <v>0</v>
      </c>
      <c r="F225" s="19">
        <f t="shared" ref="F225:F300" si="113">C225+D225+E225</f>
        <v>10000</v>
      </c>
      <c r="G225" s="30">
        <f t="shared" si="111"/>
        <v>1.1995104030358552E-2</v>
      </c>
      <c r="H225" s="18">
        <v>10000</v>
      </c>
      <c r="I225" s="18">
        <v>0</v>
      </c>
      <c r="J225" s="18">
        <v>0</v>
      </c>
      <c r="K225" s="18">
        <v>0</v>
      </c>
      <c r="L225" s="18">
        <v>0</v>
      </c>
      <c r="M225" s="18"/>
      <c r="N225" s="19">
        <f t="shared" si="112"/>
        <v>10000</v>
      </c>
      <c r="O225" s="19">
        <f t="shared" si="97"/>
        <v>0</v>
      </c>
      <c r="P225" s="19">
        <f t="shared" si="98"/>
        <v>10000</v>
      </c>
      <c r="Q225" s="30">
        <f t="shared" si="110"/>
        <v>1.2091725459356488E-2</v>
      </c>
    </row>
    <row r="226" spans="1:17" x14ac:dyDescent="0.25">
      <c r="A226" s="16" t="s">
        <v>70</v>
      </c>
      <c r="B226" s="17" t="s">
        <v>71</v>
      </c>
      <c r="C226" s="18">
        <v>329457</v>
      </c>
      <c r="D226" s="18">
        <v>0</v>
      </c>
      <c r="E226" s="18">
        <v>0</v>
      </c>
      <c r="F226" s="19">
        <f t="shared" si="113"/>
        <v>329457</v>
      </c>
      <c r="G226" s="30">
        <f t="shared" si="111"/>
        <v>0.39518709885298375</v>
      </c>
      <c r="H226" s="18">
        <v>329457</v>
      </c>
      <c r="I226" s="18">
        <v>0</v>
      </c>
      <c r="J226" s="18">
        <v>0</v>
      </c>
      <c r="K226" s="18">
        <v>123</v>
      </c>
      <c r="L226" s="18">
        <v>0</v>
      </c>
      <c r="M226" s="18"/>
      <c r="N226" s="19">
        <f t="shared" si="112"/>
        <v>329457</v>
      </c>
      <c r="O226" s="19">
        <f t="shared" si="97"/>
        <v>123</v>
      </c>
      <c r="P226" s="19">
        <f t="shared" si="98"/>
        <v>329580</v>
      </c>
      <c r="Q226" s="30">
        <f t="shared" si="110"/>
        <v>0.39851908768947114</v>
      </c>
    </row>
    <row r="227" spans="1:17" ht="13.8" x14ac:dyDescent="0.25">
      <c r="A227" s="33" t="s">
        <v>147</v>
      </c>
      <c r="B227" s="34" t="s">
        <v>148</v>
      </c>
      <c r="C227" s="28">
        <f>C228+C244</f>
        <v>7194931</v>
      </c>
      <c r="D227" s="28">
        <f t="shared" ref="D227:E227" si="114">D228+D244</f>
        <v>10436080</v>
      </c>
      <c r="E227" s="28">
        <f t="shared" si="114"/>
        <v>153927</v>
      </c>
      <c r="F227" s="28">
        <f t="shared" si="113"/>
        <v>17784938</v>
      </c>
      <c r="G227" s="29">
        <f t="shared" si="111"/>
        <v>21.333218148347697</v>
      </c>
      <c r="H227" s="28">
        <f>H228+H244</f>
        <v>7194931</v>
      </c>
      <c r="I227" s="28">
        <f>I228+I244</f>
        <v>-651332</v>
      </c>
      <c r="J227" s="28">
        <f t="shared" ref="J227:L227" si="115">J228+J244</f>
        <v>10436080</v>
      </c>
      <c r="K227" s="28">
        <f t="shared" ref="K227" si="116">K228+K244</f>
        <v>147413</v>
      </c>
      <c r="L227" s="28">
        <f t="shared" si="115"/>
        <v>153927</v>
      </c>
      <c r="M227" s="28">
        <f t="shared" ref="M227" si="117">M228+M244</f>
        <v>169897</v>
      </c>
      <c r="N227" s="28">
        <f t="shared" si="112"/>
        <v>17784938</v>
      </c>
      <c r="O227" s="28">
        <f t="shared" si="97"/>
        <v>-334022</v>
      </c>
      <c r="P227" s="28">
        <f t="shared" si="98"/>
        <v>17450916</v>
      </c>
      <c r="Q227" s="29">
        <f t="shared" si="110"/>
        <v>21.101168528629149</v>
      </c>
    </row>
    <row r="228" spans="1:17" ht="14.4" x14ac:dyDescent="0.3">
      <c r="A228" s="36" t="s">
        <v>149</v>
      </c>
      <c r="B228" s="37" t="s">
        <v>150</v>
      </c>
      <c r="C228" s="38">
        <f>SUM(C229:C243)</f>
        <v>4951499</v>
      </c>
      <c r="D228" s="38">
        <f t="shared" ref="D228:E228" si="118">SUM(D229:D243)</f>
        <v>10101131</v>
      </c>
      <c r="E228" s="38">
        <f t="shared" si="118"/>
        <v>153927</v>
      </c>
      <c r="F228" s="28">
        <f t="shared" si="113"/>
        <v>15206557</v>
      </c>
      <c r="G228" s="29">
        <f t="shared" si="111"/>
        <v>18.240423315857708</v>
      </c>
      <c r="H228" s="38">
        <f>SUM(H229:H243)</f>
        <v>4951499</v>
      </c>
      <c r="I228" s="38">
        <f>SUM(I229:I243)</f>
        <v>14899</v>
      </c>
      <c r="J228" s="38">
        <f t="shared" ref="J228:L228" si="119">SUM(J229:J243)</f>
        <v>10101131</v>
      </c>
      <c r="K228" s="38">
        <f t="shared" ref="K228" si="120">SUM(K229:K243)</f>
        <v>79784</v>
      </c>
      <c r="L228" s="38">
        <f t="shared" si="119"/>
        <v>153927</v>
      </c>
      <c r="M228" s="38">
        <f t="shared" ref="M228" si="121">SUM(M229:M243)</f>
        <v>169897</v>
      </c>
      <c r="N228" s="28">
        <f t="shared" si="112"/>
        <v>15206557</v>
      </c>
      <c r="O228" s="28">
        <f t="shared" si="97"/>
        <v>264580</v>
      </c>
      <c r="P228" s="28">
        <f t="shared" si="98"/>
        <v>15471137</v>
      </c>
      <c r="Q228" s="29">
        <f t="shared" si="110"/>
        <v>18.707274114809216</v>
      </c>
    </row>
    <row r="229" spans="1:17" x14ac:dyDescent="0.25">
      <c r="A229" s="16" t="s">
        <v>54</v>
      </c>
      <c r="B229" s="17" t="s">
        <v>55</v>
      </c>
      <c r="C229" s="18">
        <v>1994943</v>
      </c>
      <c r="D229" s="18">
        <v>7963986</v>
      </c>
      <c r="E229" s="18">
        <v>9500</v>
      </c>
      <c r="F229" s="19">
        <f t="shared" si="113"/>
        <v>9968429</v>
      </c>
      <c r="G229" s="30">
        <f t="shared" si="111"/>
        <v>11.957234287424308</v>
      </c>
      <c r="H229" s="18">
        <v>1994943</v>
      </c>
      <c r="I229" s="18">
        <f>-10147+53784</f>
        <v>43637</v>
      </c>
      <c r="J229" s="18">
        <v>7963986</v>
      </c>
      <c r="K229" s="18">
        <v>16577</v>
      </c>
      <c r="L229" s="18">
        <v>9500</v>
      </c>
      <c r="M229" s="18">
        <v>7524</v>
      </c>
      <c r="N229" s="19">
        <f t="shared" si="112"/>
        <v>9968429</v>
      </c>
      <c r="O229" s="19">
        <f t="shared" si="97"/>
        <v>67738</v>
      </c>
      <c r="P229" s="19">
        <f t="shared" si="98"/>
        <v>10036167</v>
      </c>
      <c r="Q229" s="30">
        <f t="shared" si="110"/>
        <v>12.135457602825342</v>
      </c>
    </row>
    <row r="230" spans="1:17" ht="26.4" x14ac:dyDescent="0.25">
      <c r="A230" s="16" t="s">
        <v>56</v>
      </c>
      <c r="B230" s="17" t="s">
        <v>57</v>
      </c>
      <c r="C230" s="18">
        <v>543459</v>
      </c>
      <c r="D230" s="18">
        <v>1885842</v>
      </c>
      <c r="E230" s="18">
        <v>2242</v>
      </c>
      <c r="F230" s="19">
        <f t="shared" si="113"/>
        <v>2431543</v>
      </c>
      <c r="G230" s="30">
        <f t="shared" si="111"/>
        <v>2.9166611239290128</v>
      </c>
      <c r="H230" s="18">
        <v>543459</v>
      </c>
      <c r="I230" s="18">
        <f>8649+12688</f>
        <v>21337</v>
      </c>
      <c r="J230" s="18">
        <v>1885842</v>
      </c>
      <c r="K230" s="18">
        <v>3911</v>
      </c>
      <c r="L230" s="18">
        <v>2242</v>
      </c>
      <c r="M230" s="18">
        <v>1776</v>
      </c>
      <c r="N230" s="19">
        <f t="shared" si="112"/>
        <v>2431543</v>
      </c>
      <c r="O230" s="19">
        <f t="shared" si="97"/>
        <v>27024</v>
      </c>
      <c r="P230" s="19">
        <f t="shared" si="98"/>
        <v>2458567</v>
      </c>
      <c r="Q230" s="30">
        <f t="shared" si="110"/>
        <v>2.9728317187433704</v>
      </c>
    </row>
    <row r="231" spans="1:17" x14ac:dyDescent="0.25">
      <c r="A231" s="16" t="s">
        <v>58</v>
      </c>
      <c r="B231" s="17" t="s">
        <v>59</v>
      </c>
      <c r="C231" s="18">
        <v>18309</v>
      </c>
      <c r="D231" s="18">
        <v>800</v>
      </c>
      <c r="E231" s="18">
        <v>61035</v>
      </c>
      <c r="F231" s="19">
        <f t="shared" si="113"/>
        <v>80144</v>
      </c>
      <c r="G231" s="30">
        <f t="shared" si="111"/>
        <v>9.6133561740905579E-2</v>
      </c>
      <c r="H231" s="18">
        <v>18309</v>
      </c>
      <c r="I231" s="18">
        <v>-11635</v>
      </c>
      <c r="J231" s="18">
        <v>800</v>
      </c>
      <c r="K231" s="18">
        <v>0</v>
      </c>
      <c r="L231" s="18">
        <v>61035</v>
      </c>
      <c r="M231" s="18">
        <v>8095</v>
      </c>
      <c r="N231" s="19">
        <f t="shared" si="112"/>
        <v>80144</v>
      </c>
      <c r="O231" s="19">
        <f t="shared" si="97"/>
        <v>-3540</v>
      </c>
      <c r="P231" s="19">
        <f t="shared" si="98"/>
        <v>76604</v>
      </c>
      <c r="Q231" s="30">
        <f t="shared" si="110"/>
        <v>9.2627453708854446E-2</v>
      </c>
    </row>
    <row r="232" spans="1:17" x14ac:dyDescent="0.25">
      <c r="A232" s="16" t="s">
        <v>60</v>
      </c>
      <c r="B232" s="17" t="s">
        <v>61</v>
      </c>
      <c r="C232" s="18">
        <v>799606</v>
      </c>
      <c r="D232" s="18">
        <v>39712</v>
      </c>
      <c r="E232" s="18">
        <v>34435</v>
      </c>
      <c r="F232" s="19">
        <f t="shared" si="113"/>
        <v>873753</v>
      </c>
      <c r="G232" s="30">
        <f t="shared" si="111"/>
        <v>1.0480758131837877</v>
      </c>
      <c r="H232" s="18">
        <v>799606</v>
      </c>
      <c r="I232" s="18">
        <v>-17211</v>
      </c>
      <c r="J232" s="18">
        <v>39712</v>
      </c>
      <c r="K232" s="18">
        <v>0</v>
      </c>
      <c r="L232" s="18">
        <v>34435</v>
      </c>
      <c r="M232" s="18">
        <v>-7294</v>
      </c>
      <c r="N232" s="19">
        <f t="shared" si="112"/>
        <v>873753</v>
      </c>
      <c r="O232" s="19">
        <f t="shared" si="97"/>
        <v>-24505</v>
      </c>
      <c r="P232" s="19">
        <f t="shared" si="98"/>
        <v>849248</v>
      </c>
      <c r="Q232" s="30">
        <f t="shared" si="110"/>
        <v>1.0268873662907578</v>
      </c>
    </row>
    <row r="233" spans="1:17" ht="26.4" x14ac:dyDescent="0.25">
      <c r="A233" s="16" t="s">
        <v>62</v>
      </c>
      <c r="B233" s="17" t="s">
        <v>63</v>
      </c>
      <c r="C233" s="18">
        <v>561226</v>
      </c>
      <c r="D233" s="18">
        <v>141301</v>
      </c>
      <c r="E233" s="18">
        <v>10769</v>
      </c>
      <c r="F233" s="19">
        <f t="shared" si="113"/>
        <v>713296</v>
      </c>
      <c r="G233" s="30">
        <f t="shared" si="111"/>
        <v>0.85560597244386338</v>
      </c>
      <c r="H233" s="18">
        <v>561226</v>
      </c>
      <c r="I233" s="18">
        <v>-18246</v>
      </c>
      <c r="J233" s="18">
        <v>141301</v>
      </c>
      <c r="K233" s="18">
        <v>13787</v>
      </c>
      <c r="L233" s="18">
        <v>10769</v>
      </c>
      <c r="M233" s="18">
        <v>2336</v>
      </c>
      <c r="N233" s="19">
        <f t="shared" si="112"/>
        <v>713296</v>
      </c>
      <c r="O233" s="19">
        <f t="shared" si="97"/>
        <v>-2123</v>
      </c>
      <c r="P233" s="19">
        <f t="shared" si="98"/>
        <v>711173</v>
      </c>
      <c r="Q233" s="30">
        <f t="shared" si="110"/>
        <v>0.85993086701069321</v>
      </c>
    </row>
    <row r="234" spans="1:17" x14ac:dyDescent="0.25">
      <c r="A234" s="16" t="s">
        <v>139</v>
      </c>
      <c r="B234" s="17" t="s">
        <v>140</v>
      </c>
      <c r="C234" s="18">
        <v>2670</v>
      </c>
      <c r="D234" s="18">
        <v>60</v>
      </c>
      <c r="E234" s="18">
        <v>0</v>
      </c>
      <c r="F234" s="19">
        <f t="shared" si="113"/>
        <v>2730</v>
      </c>
      <c r="G234" s="30">
        <f t="shared" si="111"/>
        <v>3.274663400287885E-3</v>
      </c>
      <c r="H234" s="18">
        <v>2670</v>
      </c>
      <c r="I234" s="18">
        <v>-218</v>
      </c>
      <c r="J234" s="18">
        <v>60</v>
      </c>
      <c r="K234" s="18">
        <v>0</v>
      </c>
      <c r="L234" s="18">
        <v>0</v>
      </c>
      <c r="M234" s="18"/>
      <c r="N234" s="19">
        <f t="shared" si="112"/>
        <v>2730</v>
      </c>
      <c r="O234" s="19">
        <f t="shared" si="97"/>
        <v>-218</v>
      </c>
      <c r="P234" s="19">
        <f t="shared" si="98"/>
        <v>2512</v>
      </c>
      <c r="Q234" s="30">
        <f t="shared" si="110"/>
        <v>3.0374414353903497E-3</v>
      </c>
    </row>
    <row r="235" spans="1:17" x14ac:dyDescent="0.25">
      <c r="A235" s="16" t="s">
        <v>64</v>
      </c>
      <c r="B235" s="17" t="s">
        <v>65</v>
      </c>
      <c r="C235" s="18">
        <v>20232</v>
      </c>
      <c r="D235" s="18">
        <v>749</v>
      </c>
      <c r="E235" s="18">
        <v>0</v>
      </c>
      <c r="F235" s="19">
        <f t="shared" si="113"/>
        <v>20981</v>
      </c>
      <c r="G235" s="30">
        <f t="shared" si="111"/>
        <v>2.516692776609528E-2</v>
      </c>
      <c r="H235" s="18">
        <v>20232</v>
      </c>
      <c r="I235" s="18">
        <v>0</v>
      </c>
      <c r="J235" s="18">
        <v>749</v>
      </c>
      <c r="K235" s="18">
        <v>0</v>
      </c>
      <c r="L235" s="18">
        <v>0</v>
      </c>
      <c r="M235" s="18"/>
      <c r="N235" s="19">
        <f t="shared" si="112"/>
        <v>20981</v>
      </c>
      <c r="O235" s="19">
        <f t="shared" si="97"/>
        <v>0</v>
      </c>
      <c r="P235" s="19">
        <f t="shared" si="98"/>
        <v>20981</v>
      </c>
      <c r="Q235" s="30">
        <f t="shared" si="110"/>
        <v>2.5369649186275847E-2</v>
      </c>
    </row>
    <row r="236" spans="1:17" ht="26.4" x14ac:dyDescent="0.25">
      <c r="A236" s="16" t="s">
        <v>90</v>
      </c>
      <c r="B236" s="17" t="s">
        <v>91</v>
      </c>
      <c r="C236" s="18">
        <v>0</v>
      </c>
      <c r="D236" s="18">
        <v>0</v>
      </c>
      <c r="E236" s="18">
        <v>0</v>
      </c>
      <c r="F236" s="19">
        <f t="shared" si="113"/>
        <v>0</v>
      </c>
      <c r="G236" s="30">
        <f t="shared" si="111"/>
        <v>0</v>
      </c>
      <c r="H236" s="18">
        <v>0</v>
      </c>
      <c r="I236" s="18">
        <v>322</v>
      </c>
      <c r="J236" s="18">
        <v>0</v>
      </c>
      <c r="K236" s="18">
        <v>0</v>
      </c>
      <c r="L236" s="18">
        <v>0</v>
      </c>
      <c r="M236" s="18"/>
      <c r="N236" s="19">
        <f t="shared" si="112"/>
        <v>0</v>
      </c>
      <c r="O236" s="19">
        <f t="shared" si="97"/>
        <v>322</v>
      </c>
      <c r="P236" s="19">
        <f t="shared" si="98"/>
        <v>322</v>
      </c>
      <c r="Q236" s="30">
        <f t="shared" si="110"/>
        <v>3.8935355979127892E-4</v>
      </c>
    </row>
    <row r="237" spans="1:17" x14ac:dyDescent="0.25">
      <c r="A237" s="16" t="s">
        <v>104</v>
      </c>
      <c r="B237" s="17" t="s">
        <v>105</v>
      </c>
      <c r="C237" s="18">
        <v>1600</v>
      </c>
      <c r="D237" s="18">
        <v>307</v>
      </c>
      <c r="E237" s="18">
        <v>0</v>
      </c>
      <c r="F237" s="19">
        <f t="shared" si="113"/>
        <v>1907</v>
      </c>
      <c r="G237" s="30">
        <f t="shared" si="111"/>
        <v>2.2874663385893759E-3</v>
      </c>
      <c r="H237" s="18">
        <v>1600</v>
      </c>
      <c r="I237" s="18">
        <v>0</v>
      </c>
      <c r="J237" s="18">
        <v>307</v>
      </c>
      <c r="K237" s="18">
        <v>5993</v>
      </c>
      <c r="L237" s="18">
        <v>0</v>
      </c>
      <c r="M237" s="18"/>
      <c r="N237" s="19">
        <f t="shared" si="112"/>
        <v>1907</v>
      </c>
      <c r="O237" s="19">
        <f t="shared" si="97"/>
        <v>5993</v>
      </c>
      <c r="P237" s="19">
        <f t="shared" si="98"/>
        <v>7900</v>
      </c>
      <c r="Q237" s="30">
        <f t="shared" si="110"/>
        <v>9.5524631128916255E-3</v>
      </c>
    </row>
    <row r="238" spans="1:17" x14ac:dyDescent="0.25">
      <c r="A238" s="16" t="s">
        <v>66</v>
      </c>
      <c r="B238" s="17" t="s">
        <v>67</v>
      </c>
      <c r="C238" s="18">
        <v>273430</v>
      </c>
      <c r="D238" s="18">
        <v>66674</v>
      </c>
      <c r="E238" s="18">
        <v>0</v>
      </c>
      <c r="F238" s="19">
        <f t="shared" si="113"/>
        <v>340104</v>
      </c>
      <c r="G238" s="30">
        <f t="shared" si="111"/>
        <v>0.40795828611410651</v>
      </c>
      <c r="H238" s="18">
        <v>273430</v>
      </c>
      <c r="I238" s="18">
        <v>-3087</v>
      </c>
      <c r="J238" s="18">
        <v>66674</v>
      </c>
      <c r="K238" s="18">
        <v>38955</v>
      </c>
      <c r="L238" s="18">
        <v>0</v>
      </c>
      <c r="M238" s="18">
        <v>157460</v>
      </c>
      <c r="N238" s="19">
        <f t="shared" si="112"/>
        <v>340104</v>
      </c>
      <c r="O238" s="19">
        <f t="shared" si="97"/>
        <v>193328</v>
      </c>
      <c r="P238" s="19">
        <f t="shared" si="98"/>
        <v>533432</v>
      </c>
      <c r="Q238" s="30">
        <f t="shared" si="110"/>
        <v>0.64501132952354501</v>
      </c>
    </row>
    <row r="239" spans="1:17" x14ac:dyDescent="0.25">
      <c r="A239" s="16" t="s">
        <v>68</v>
      </c>
      <c r="B239" s="17" t="s">
        <v>69</v>
      </c>
      <c r="C239" s="18">
        <v>0</v>
      </c>
      <c r="D239" s="18">
        <v>1700</v>
      </c>
      <c r="E239" s="18">
        <v>0</v>
      </c>
      <c r="F239" s="19">
        <f t="shared" si="113"/>
        <v>1700</v>
      </c>
      <c r="G239" s="30">
        <f t="shared" si="111"/>
        <v>2.0391676851609542E-3</v>
      </c>
      <c r="H239" s="18">
        <v>0</v>
      </c>
      <c r="I239" s="18">
        <v>0</v>
      </c>
      <c r="J239" s="18">
        <v>1700</v>
      </c>
      <c r="K239" s="18">
        <v>0</v>
      </c>
      <c r="L239" s="18">
        <v>0</v>
      </c>
      <c r="M239" s="18"/>
      <c r="N239" s="19">
        <f t="shared" si="112"/>
        <v>1700</v>
      </c>
      <c r="O239" s="19">
        <f t="shared" si="97"/>
        <v>0</v>
      </c>
      <c r="P239" s="19">
        <f t="shared" si="98"/>
        <v>1700</v>
      </c>
      <c r="Q239" s="30">
        <f t="shared" si="110"/>
        <v>2.055593328090603E-3</v>
      </c>
    </row>
    <row r="240" spans="1:17" x14ac:dyDescent="0.25">
      <c r="A240" s="16" t="s">
        <v>151</v>
      </c>
      <c r="B240" s="17" t="s">
        <v>152</v>
      </c>
      <c r="C240" s="18">
        <v>0</v>
      </c>
      <c r="D240" s="18">
        <v>0</v>
      </c>
      <c r="E240" s="18">
        <v>0</v>
      </c>
      <c r="F240" s="19">
        <f t="shared" si="113"/>
        <v>0</v>
      </c>
      <c r="G240" s="30">
        <f t="shared" si="111"/>
        <v>0</v>
      </c>
      <c r="H240" s="18">
        <v>0</v>
      </c>
      <c r="I240" s="18">
        <v>0</v>
      </c>
      <c r="J240" s="18">
        <v>0</v>
      </c>
      <c r="K240" s="18">
        <v>0</v>
      </c>
      <c r="L240" s="18">
        <v>0</v>
      </c>
      <c r="M240" s="18"/>
      <c r="N240" s="19">
        <f t="shared" si="112"/>
        <v>0</v>
      </c>
      <c r="O240" s="19">
        <f t="shared" si="97"/>
        <v>0</v>
      </c>
      <c r="P240" s="19">
        <f t="shared" si="98"/>
        <v>0</v>
      </c>
      <c r="Q240" s="30">
        <f t="shared" si="110"/>
        <v>0</v>
      </c>
    </row>
    <row r="241" spans="1:17" ht="26.4" x14ac:dyDescent="0.25">
      <c r="A241" s="16" t="s">
        <v>92</v>
      </c>
      <c r="B241" s="17" t="s">
        <v>93</v>
      </c>
      <c r="C241" s="18">
        <v>11083</v>
      </c>
      <c r="D241" s="18">
        <v>0</v>
      </c>
      <c r="E241" s="18">
        <v>0</v>
      </c>
      <c r="F241" s="19">
        <f t="shared" si="113"/>
        <v>11083</v>
      </c>
      <c r="G241" s="30">
        <f t="shared" si="111"/>
        <v>1.3294173796846383E-2</v>
      </c>
      <c r="H241" s="18">
        <v>11083</v>
      </c>
      <c r="I241" s="18">
        <v>0</v>
      </c>
      <c r="J241" s="18">
        <v>0</v>
      </c>
      <c r="K241" s="18">
        <v>0</v>
      </c>
      <c r="L241" s="18">
        <v>0</v>
      </c>
      <c r="M241" s="18"/>
      <c r="N241" s="19">
        <f t="shared" si="112"/>
        <v>11083</v>
      </c>
      <c r="O241" s="19">
        <f t="shared" si="97"/>
        <v>0</v>
      </c>
      <c r="P241" s="19">
        <f t="shared" si="98"/>
        <v>11083</v>
      </c>
      <c r="Q241" s="30">
        <f t="shared" si="110"/>
        <v>1.3401259326604796E-2</v>
      </c>
    </row>
    <row r="242" spans="1:17" x14ac:dyDescent="0.25">
      <c r="A242" s="16" t="s">
        <v>70</v>
      </c>
      <c r="B242" s="17" t="s">
        <v>71</v>
      </c>
      <c r="C242" s="18">
        <v>724941</v>
      </c>
      <c r="D242" s="18">
        <v>0</v>
      </c>
      <c r="E242" s="18">
        <v>0</v>
      </c>
      <c r="F242" s="19">
        <f t="shared" si="113"/>
        <v>724941</v>
      </c>
      <c r="G242" s="30">
        <f t="shared" si="111"/>
        <v>0.86957427108721597</v>
      </c>
      <c r="H242" s="18">
        <v>724941</v>
      </c>
      <c r="I242" s="18">
        <v>0</v>
      </c>
      <c r="J242" s="18">
        <v>0</v>
      </c>
      <c r="K242" s="18">
        <v>561</v>
      </c>
      <c r="L242" s="18">
        <v>0</v>
      </c>
      <c r="M242" s="18"/>
      <c r="N242" s="19">
        <f t="shared" si="112"/>
        <v>724941</v>
      </c>
      <c r="O242" s="19">
        <f t="shared" si="97"/>
        <v>561</v>
      </c>
      <c r="P242" s="19">
        <f t="shared" si="98"/>
        <v>725502</v>
      </c>
      <c r="Q242" s="30">
        <f t="shared" si="110"/>
        <v>0.87725710042140514</v>
      </c>
    </row>
    <row r="243" spans="1:17" x14ac:dyDescent="0.25">
      <c r="A243" s="16" t="s">
        <v>108</v>
      </c>
      <c r="B243" s="17" t="s">
        <v>109</v>
      </c>
      <c r="C243" s="18">
        <v>0</v>
      </c>
      <c r="D243" s="18">
        <v>0</v>
      </c>
      <c r="E243" s="18">
        <v>35946</v>
      </c>
      <c r="F243" s="19">
        <f t="shared" si="113"/>
        <v>35946</v>
      </c>
      <c r="G243" s="30">
        <f t="shared" si="111"/>
        <v>4.3117600947526855E-2</v>
      </c>
      <c r="H243" s="18">
        <v>0</v>
      </c>
      <c r="I243" s="18"/>
      <c r="J243" s="18">
        <v>0</v>
      </c>
      <c r="K243" s="18"/>
      <c r="L243" s="18">
        <v>35946</v>
      </c>
      <c r="M243" s="18"/>
      <c r="N243" s="19">
        <f t="shared" si="112"/>
        <v>35946</v>
      </c>
      <c r="O243" s="19">
        <f t="shared" si="97"/>
        <v>0</v>
      </c>
      <c r="P243" s="19">
        <f t="shared" si="98"/>
        <v>35946</v>
      </c>
      <c r="Q243" s="30">
        <f t="shared" si="110"/>
        <v>4.3464916336202836E-2</v>
      </c>
    </row>
    <row r="244" spans="1:17" ht="14.4" x14ac:dyDescent="0.3">
      <c r="A244" s="36" t="s">
        <v>153</v>
      </c>
      <c r="B244" s="37" t="s">
        <v>154</v>
      </c>
      <c r="C244" s="38">
        <f>SUM(C245:C251)</f>
        <v>2243432</v>
      </c>
      <c r="D244" s="38">
        <f>SUM(D245:D251)</f>
        <v>334949</v>
      </c>
      <c r="E244" s="38">
        <f>SUM(E245:E251)</f>
        <v>0</v>
      </c>
      <c r="F244" s="28">
        <f t="shared" si="113"/>
        <v>2578381</v>
      </c>
      <c r="G244" s="29">
        <f t="shared" si="111"/>
        <v>3.0927948324899917</v>
      </c>
      <c r="H244" s="38">
        <f t="shared" ref="H244:M244" si="122">SUM(H245:H251)</f>
        <v>2243432</v>
      </c>
      <c r="I244" s="38">
        <f t="shared" si="122"/>
        <v>-666231</v>
      </c>
      <c r="J244" s="38">
        <f t="shared" si="122"/>
        <v>334949</v>
      </c>
      <c r="K244" s="38">
        <f t="shared" si="122"/>
        <v>67629</v>
      </c>
      <c r="L244" s="38">
        <f t="shared" si="122"/>
        <v>0</v>
      </c>
      <c r="M244" s="38">
        <f t="shared" si="122"/>
        <v>0</v>
      </c>
      <c r="N244" s="28">
        <f t="shared" si="112"/>
        <v>2578381</v>
      </c>
      <c r="O244" s="28">
        <f t="shared" si="97"/>
        <v>-598602</v>
      </c>
      <c r="P244" s="28">
        <f t="shared" si="98"/>
        <v>1979779</v>
      </c>
      <c r="Q244" s="29">
        <f t="shared" si="110"/>
        <v>2.393894413819933</v>
      </c>
    </row>
    <row r="245" spans="1:17" x14ac:dyDescent="0.25">
      <c r="A245" s="16" t="s">
        <v>54</v>
      </c>
      <c r="B245" s="17" t="s">
        <v>55</v>
      </c>
      <c r="C245" s="18">
        <v>939637</v>
      </c>
      <c r="D245" s="18">
        <v>270779</v>
      </c>
      <c r="E245" s="18">
        <v>0</v>
      </c>
      <c r="F245" s="19">
        <f t="shared" si="113"/>
        <v>1210416</v>
      </c>
      <c r="G245" s="30">
        <f t="shared" si="111"/>
        <v>1.4519065840010479</v>
      </c>
      <c r="H245" s="18">
        <v>939637</v>
      </c>
      <c r="I245" s="18">
        <f>-422540+18561</f>
        <v>-403979</v>
      </c>
      <c r="J245" s="18">
        <v>270779</v>
      </c>
      <c r="K245" s="18">
        <v>54720</v>
      </c>
      <c r="L245" s="18">
        <v>0</v>
      </c>
      <c r="M245" s="18"/>
      <c r="N245" s="19">
        <f t="shared" si="112"/>
        <v>1210416</v>
      </c>
      <c r="O245" s="19">
        <f t="shared" si="97"/>
        <v>-349259</v>
      </c>
      <c r="P245" s="19">
        <f t="shared" si="98"/>
        <v>861157</v>
      </c>
      <c r="Q245" s="30">
        <f t="shared" si="110"/>
        <v>1.0412874021403056</v>
      </c>
    </row>
    <row r="246" spans="1:17" ht="26.4" x14ac:dyDescent="0.25">
      <c r="A246" s="16" t="s">
        <v>56</v>
      </c>
      <c r="B246" s="17" t="s">
        <v>57</v>
      </c>
      <c r="C246" s="18">
        <v>377780</v>
      </c>
      <c r="D246" s="18">
        <v>64170</v>
      </c>
      <c r="E246" s="18">
        <v>0</v>
      </c>
      <c r="F246" s="19">
        <f t="shared" si="113"/>
        <v>441950</v>
      </c>
      <c r="G246" s="30">
        <f t="shared" si="111"/>
        <v>0.53012362262169621</v>
      </c>
      <c r="H246" s="18">
        <v>377780</v>
      </c>
      <c r="I246" s="18">
        <f>-203643+4380</f>
        <v>-199263</v>
      </c>
      <c r="J246" s="18">
        <v>64170</v>
      </c>
      <c r="K246" s="18">
        <v>12909</v>
      </c>
      <c r="L246" s="18">
        <v>0</v>
      </c>
      <c r="M246" s="18"/>
      <c r="N246" s="19">
        <f t="shared" si="112"/>
        <v>441950</v>
      </c>
      <c r="O246" s="19">
        <f t="shared" si="97"/>
        <v>-186354</v>
      </c>
      <c r="P246" s="19">
        <f t="shared" si="98"/>
        <v>255596</v>
      </c>
      <c r="Q246" s="30">
        <f t="shared" si="110"/>
        <v>0.30905966605096807</v>
      </c>
    </row>
    <row r="247" spans="1:17" x14ac:dyDescent="0.25">
      <c r="A247" s="16" t="s">
        <v>58</v>
      </c>
      <c r="B247" s="17" t="s">
        <v>59</v>
      </c>
      <c r="C247" s="18">
        <v>68783</v>
      </c>
      <c r="D247" s="18">
        <v>0</v>
      </c>
      <c r="E247" s="18">
        <v>0</v>
      </c>
      <c r="F247" s="19">
        <f t="shared" si="113"/>
        <v>68783</v>
      </c>
      <c r="G247" s="30">
        <f t="shared" si="111"/>
        <v>8.2505924052015234E-2</v>
      </c>
      <c r="H247" s="18">
        <v>68783</v>
      </c>
      <c r="I247" s="18">
        <v>-15000</v>
      </c>
      <c r="J247" s="18">
        <v>0</v>
      </c>
      <c r="K247" s="18">
        <v>0</v>
      </c>
      <c r="L247" s="18">
        <v>0</v>
      </c>
      <c r="M247" s="18"/>
      <c r="N247" s="19">
        <f t="shared" si="112"/>
        <v>68783</v>
      </c>
      <c r="O247" s="19">
        <f t="shared" si="97"/>
        <v>-15000</v>
      </c>
      <c r="P247" s="19">
        <f t="shared" si="98"/>
        <v>53783</v>
      </c>
      <c r="Q247" s="30">
        <f t="shared" si="110"/>
        <v>6.5032927038057006E-2</v>
      </c>
    </row>
    <row r="248" spans="1:17" x14ac:dyDescent="0.25">
      <c r="A248" s="16" t="s">
        <v>60</v>
      </c>
      <c r="B248" s="17" t="s">
        <v>61</v>
      </c>
      <c r="C248" s="18">
        <v>476894</v>
      </c>
      <c r="D248" s="18">
        <v>0</v>
      </c>
      <c r="E248" s="18">
        <v>0</v>
      </c>
      <c r="F248" s="19">
        <f t="shared" si="113"/>
        <v>476894</v>
      </c>
      <c r="G248" s="30">
        <f t="shared" si="111"/>
        <v>0.57203931414538112</v>
      </c>
      <c r="H248" s="18">
        <v>476894</v>
      </c>
      <c r="I248" s="18">
        <v>-34274</v>
      </c>
      <c r="J248" s="18">
        <v>0</v>
      </c>
      <c r="K248" s="18">
        <v>0</v>
      </c>
      <c r="L248" s="18">
        <v>0</v>
      </c>
      <c r="M248" s="18"/>
      <c r="N248" s="19">
        <f t="shared" si="112"/>
        <v>476894</v>
      </c>
      <c r="O248" s="19">
        <f t="shared" si="97"/>
        <v>-34274</v>
      </c>
      <c r="P248" s="19">
        <f t="shared" si="98"/>
        <v>442620</v>
      </c>
      <c r="Q248" s="30">
        <f t="shared" si="110"/>
        <v>0.53520395228203688</v>
      </c>
    </row>
    <row r="249" spans="1:17" ht="26.4" x14ac:dyDescent="0.25">
      <c r="A249" s="16" t="s">
        <v>62</v>
      </c>
      <c r="B249" s="17" t="s">
        <v>63</v>
      </c>
      <c r="C249" s="18">
        <v>215226</v>
      </c>
      <c r="D249" s="18">
        <v>0</v>
      </c>
      <c r="E249" s="18">
        <v>0</v>
      </c>
      <c r="F249" s="19">
        <f t="shared" si="113"/>
        <v>215226</v>
      </c>
      <c r="G249" s="30">
        <f t="shared" si="111"/>
        <v>0.25816582600379501</v>
      </c>
      <c r="H249" s="18">
        <v>215226</v>
      </c>
      <c r="I249" s="18">
        <v>-21762</v>
      </c>
      <c r="J249" s="18">
        <v>0</v>
      </c>
      <c r="K249" s="18">
        <v>0</v>
      </c>
      <c r="L249" s="18">
        <v>0</v>
      </c>
      <c r="M249" s="18"/>
      <c r="N249" s="19">
        <f t="shared" si="112"/>
        <v>215226</v>
      </c>
      <c r="O249" s="19">
        <f t="shared" si="97"/>
        <v>-21762</v>
      </c>
      <c r="P249" s="19">
        <f t="shared" si="98"/>
        <v>193464</v>
      </c>
      <c r="Q249" s="30">
        <f t="shared" si="110"/>
        <v>0.23393135742689436</v>
      </c>
    </row>
    <row r="250" spans="1:17" x14ac:dyDescent="0.25">
      <c r="A250" s="16" t="s">
        <v>64</v>
      </c>
      <c r="B250" s="17" t="s">
        <v>65</v>
      </c>
      <c r="C250" s="18">
        <v>12732</v>
      </c>
      <c r="D250" s="18">
        <v>0</v>
      </c>
      <c r="E250" s="18">
        <v>0</v>
      </c>
      <c r="F250" s="19">
        <f t="shared" si="113"/>
        <v>12732</v>
      </c>
      <c r="G250" s="30">
        <f t="shared" si="111"/>
        <v>1.5272166451452509E-2</v>
      </c>
      <c r="H250" s="18">
        <v>12732</v>
      </c>
      <c r="I250" s="18">
        <v>0</v>
      </c>
      <c r="J250" s="18">
        <v>0</v>
      </c>
      <c r="K250" s="18">
        <v>0</v>
      </c>
      <c r="L250" s="18">
        <v>0</v>
      </c>
      <c r="M250" s="18"/>
      <c r="N250" s="19">
        <f t="shared" si="112"/>
        <v>12732</v>
      </c>
      <c r="O250" s="19">
        <f t="shared" si="97"/>
        <v>0</v>
      </c>
      <c r="P250" s="19">
        <f t="shared" si="98"/>
        <v>12732</v>
      </c>
      <c r="Q250" s="30">
        <f t="shared" si="110"/>
        <v>1.5395184854852681E-2</v>
      </c>
    </row>
    <row r="251" spans="1:17" x14ac:dyDescent="0.25">
      <c r="A251" s="16" t="s">
        <v>66</v>
      </c>
      <c r="B251" s="17" t="s">
        <v>67</v>
      </c>
      <c r="C251" s="18">
        <v>152380</v>
      </c>
      <c r="D251" s="18">
        <v>0</v>
      </c>
      <c r="E251" s="18">
        <v>0</v>
      </c>
      <c r="F251" s="19">
        <f t="shared" si="113"/>
        <v>152380</v>
      </c>
      <c r="G251" s="30">
        <f t="shared" si="111"/>
        <v>0.18278139521460363</v>
      </c>
      <c r="H251" s="18">
        <v>152380</v>
      </c>
      <c r="I251" s="18">
        <v>8047</v>
      </c>
      <c r="J251" s="18">
        <v>0</v>
      </c>
      <c r="K251" s="18">
        <v>0</v>
      </c>
      <c r="L251" s="18">
        <v>0</v>
      </c>
      <c r="M251" s="18"/>
      <c r="N251" s="19">
        <f t="shared" si="112"/>
        <v>152380</v>
      </c>
      <c r="O251" s="19">
        <f t="shared" si="97"/>
        <v>8047</v>
      </c>
      <c r="P251" s="19">
        <f t="shared" si="98"/>
        <v>160427</v>
      </c>
      <c r="Q251" s="30">
        <f t="shared" si="110"/>
        <v>0.19398392402681833</v>
      </c>
    </row>
    <row r="252" spans="1:17" ht="13.8" x14ac:dyDescent="0.25">
      <c r="A252" s="26" t="s">
        <v>155</v>
      </c>
      <c r="B252" s="32" t="s">
        <v>156</v>
      </c>
      <c r="C252" s="28">
        <f>SUM(C253:C266)</f>
        <v>484145</v>
      </c>
      <c r="D252" s="28">
        <f t="shared" ref="D252:E252" si="123">SUM(D253:D266)</f>
        <v>235349</v>
      </c>
      <c r="E252" s="28">
        <f t="shared" si="123"/>
        <v>48224</v>
      </c>
      <c r="F252" s="28">
        <f t="shared" si="113"/>
        <v>767718</v>
      </c>
      <c r="G252" s="29">
        <f t="shared" si="111"/>
        <v>0.92088572759788079</v>
      </c>
      <c r="H252" s="28">
        <f>SUM(H253:H266)</f>
        <v>484145</v>
      </c>
      <c r="I252" s="28">
        <f>SUM(I253:I266)</f>
        <v>44802</v>
      </c>
      <c r="J252" s="28">
        <f t="shared" ref="J252:M252" si="124">SUM(J253:J266)</f>
        <v>235349</v>
      </c>
      <c r="K252" s="28">
        <f t="shared" si="124"/>
        <v>0</v>
      </c>
      <c r="L252" s="28">
        <f t="shared" si="124"/>
        <v>48224</v>
      </c>
      <c r="M252" s="28">
        <f t="shared" si="124"/>
        <v>0</v>
      </c>
      <c r="N252" s="28">
        <f t="shared" si="112"/>
        <v>767718</v>
      </c>
      <c r="O252" s="28">
        <f t="shared" si="97"/>
        <v>44802</v>
      </c>
      <c r="P252" s="28">
        <f t="shared" si="98"/>
        <v>812520</v>
      </c>
      <c r="Q252" s="29">
        <f t="shared" si="110"/>
        <v>0.9824768770236334</v>
      </c>
    </row>
    <row r="253" spans="1:17" x14ac:dyDescent="0.25">
      <c r="A253" s="16" t="s">
        <v>54</v>
      </c>
      <c r="B253" s="17" t="s">
        <v>55</v>
      </c>
      <c r="C253" s="18">
        <v>160106</v>
      </c>
      <c r="D253" s="18">
        <v>190428</v>
      </c>
      <c r="E253" s="18">
        <v>0</v>
      </c>
      <c r="F253" s="19">
        <f t="shared" si="113"/>
        <v>350534</v>
      </c>
      <c r="G253" s="30">
        <f t="shared" si="111"/>
        <v>0.42046917961777047</v>
      </c>
      <c r="H253" s="18">
        <v>160106</v>
      </c>
      <c r="I253" s="18">
        <f>-94+39659</f>
        <v>39565</v>
      </c>
      <c r="J253" s="18">
        <v>190428</v>
      </c>
      <c r="K253" s="18">
        <v>0</v>
      </c>
      <c r="L253" s="18">
        <v>0</v>
      </c>
      <c r="M253" s="18">
        <v>1008</v>
      </c>
      <c r="N253" s="19">
        <f t="shared" si="112"/>
        <v>350534</v>
      </c>
      <c r="O253" s="19">
        <f t="shared" si="97"/>
        <v>40573</v>
      </c>
      <c r="P253" s="19">
        <f t="shared" si="98"/>
        <v>391107</v>
      </c>
      <c r="Q253" s="30">
        <f t="shared" si="110"/>
        <v>0.47291584692325378</v>
      </c>
    </row>
    <row r="254" spans="1:17" ht="26.4" x14ac:dyDescent="0.25">
      <c r="A254" s="16" t="s">
        <v>56</v>
      </c>
      <c r="B254" s="17" t="s">
        <v>57</v>
      </c>
      <c r="C254" s="18">
        <v>46164</v>
      </c>
      <c r="D254" s="18">
        <v>44921</v>
      </c>
      <c r="E254" s="18">
        <v>0</v>
      </c>
      <c r="F254" s="19">
        <f t="shared" si="113"/>
        <v>91085</v>
      </c>
      <c r="G254" s="30">
        <f t="shared" si="111"/>
        <v>0.10925740506052088</v>
      </c>
      <c r="H254" s="18">
        <v>46164</v>
      </c>
      <c r="I254" s="18">
        <f>94+9356</f>
        <v>9450</v>
      </c>
      <c r="J254" s="18">
        <v>44921</v>
      </c>
      <c r="K254" s="18">
        <v>0</v>
      </c>
      <c r="L254" s="18">
        <v>0</v>
      </c>
      <c r="M254" s="18">
        <v>238</v>
      </c>
      <c r="N254" s="19">
        <f t="shared" si="112"/>
        <v>91085</v>
      </c>
      <c r="O254" s="19">
        <f t="shared" si="97"/>
        <v>9688</v>
      </c>
      <c r="P254" s="19">
        <f t="shared" si="98"/>
        <v>100773</v>
      </c>
      <c r="Q254" s="30">
        <f t="shared" si="110"/>
        <v>0.12185194497157315</v>
      </c>
    </row>
    <row r="255" spans="1:17" x14ac:dyDescent="0.25">
      <c r="A255" s="16" t="s">
        <v>58</v>
      </c>
      <c r="B255" s="17" t="s">
        <v>59</v>
      </c>
      <c r="C255" s="18">
        <v>1000</v>
      </c>
      <c r="D255" s="18">
        <v>0</v>
      </c>
      <c r="E255" s="18">
        <v>35514</v>
      </c>
      <c r="F255" s="19">
        <f t="shared" si="113"/>
        <v>36514</v>
      </c>
      <c r="G255" s="30">
        <f t="shared" si="111"/>
        <v>4.379892285645122E-2</v>
      </c>
      <c r="H255" s="18">
        <v>1000</v>
      </c>
      <c r="I255" s="18">
        <v>-1000</v>
      </c>
      <c r="J255" s="18">
        <v>0</v>
      </c>
      <c r="K255" s="18">
        <v>0</v>
      </c>
      <c r="L255" s="18">
        <v>35514</v>
      </c>
      <c r="M255" s="18">
        <v>-520</v>
      </c>
      <c r="N255" s="19">
        <f t="shared" ref="N255:N287" si="125">H255+J255+L255</f>
        <v>36514</v>
      </c>
      <c r="O255" s="19">
        <f t="shared" si="97"/>
        <v>-1520</v>
      </c>
      <c r="P255" s="19">
        <f t="shared" si="98"/>
        <v>34994</v>
      </c>
      <c r="Q255" s="30">
        <f t="shared" si="110"/>
        <v>4.2313784072472098E-2</v>
      </c>
    </row>
    <row r="256" spans="1:17" x14ac:dyDescent="0.25">
      <c r="A256" s="16" t="s">
        <v>60</v>
      </c>
      <c r="B256" s="17" t="s">
        <v>61</v>
      </c>
      <c r="C256" s="18">
        <v>100680</v>
      </c>
      <c r="D256" s="18">
        <v>0</v>
      </c>
      <c r="E256" s="18">
        <v>12060</v>
      </c>
      <c r="F256" s="19">
        <f t="shared" si="113"/>
        <v>112740</v>
      </c>
      <c r="G256" s="30">
        <f t="shared" si="111"/>
        <v>0.13523280283826233</v>
      </c>
      <c r="H256" s="18">
        <v>100680</v>
      </c>
      <c r="I256" s="18">
        <v>-751</v>
      </c>
      <c r="J256" s="18">
        <v>0</v>
      </c>
      <c r="K256" s="18">
        <v>0</v>
      </c>
      <c r="L256" s="18">
        <v>12060</v>
      </c>
      <c r="M256" s="18">
        <v>-1246</v>
      </c>
      <c r="N256" s="19">
        <f t="shared" si="125"/>
        <v>112740</v>
      </c>
      <c r="O256" s="19">
        <f t="shared" si="97"/>
        <v>-1997</v>
      </c>
      <c r="P256" s="19">
        <f t="shared" si="98"/>
        <v>110743</v>
      </c>
      <c r="Q256" s="30">
        <f t="shared" si="110"/>
        <v>0.13390739525455156</v>
      </c>
    </row>
    <row r="257" spans="1:17" ht="26.4" x14ac:dyDescent="0.25">
      <c r="A257" s="16" t="s">
        <v>62</v>
      </c>
      <c r="B257" s="17" t="s">
        <v>63</v>
      </c>
      <c r="C257" s="18">
        <v>111665</v>
      </c>
      <c r="D257" s="18">
        <v>0</v>
      </c>
      <c r="E257" s="18">
        <v>650</v>
      </c>
      <c r="F257" s="19">
        <f t="shared" si="113"/>
        <v>112315</v>
      </c>
      <c r="G257" s="30">
        <f t="shared" si="111"/>
        <v>0.13472301091697209</v>
      </c>
      <c r="H257" s="18">
        <v>111665</v>
      </c>
      <c r="I257" s="18">
        <v>-1562</v>
      </c>
      <c r="J257" s="18">
        <v>0</v>
      </c>
      <c r="K257" s="18">
        <v>0</v>
      </c>
      <c r="L257" s="18">
        <v>650</v>
      </c>
      <c r="M257" s="18">
        <v>520</v>
      </c>
      <c r="N257" s="19">
        <f t="shared" si="125"/>
        <v>112315</v>
      </c>
      <c r="O257" s="19">
        <f t="shared" si="97"/>
        <v>-1042</v>
      </c>
      <c r="P257" s="19">
        <f t="shared" si="98"/>
        <v>111273</v>
      </c>
      <c r="Q257" s="30">
        <f t="shared" si="110"/>
        <v>0.13454825670389745</v>
      </c>
    </row>
    <row r="258" spans="1:17" x14ac:dyDescent="0.25">
      <c r="A258" s="16" t="s">
        <v>139</v>
      </c>
      <c r="B258" s="17" t="s">
        <v>140</v>
      </c>
      <c r="C258" s="18">
        <v>120</v>
      </c>
      <c r="D258" s="18">
        <v>0</v>
      </c>
      <c r="E258" s="18">
        <v>0</v>
      </c>
      <c r="F258" s="19">
        <f t="shared" si="113"/>
        <v>120</v>
      </c>
      <c r="G258" s="30">
        <f t="shared" si="111"/>
        <v>1.4394124836430264E-4</v>
      </c>
      <c r="H258" s="18">
        <v>120</v>
      </c>
      <c r="I258" s="18">
        <v>0</v>
      </c>
      <c r="J258" s="18">
        <v>0</v>
      </c>
      <c r="K258" s="18">
        <v>0</v>
      </c>
      <c r="L258" s="18">
        <v>0</v>
      </c>
      <c r="M258" s="18"/>
      <c r="N258" s="19">
        <f t="shared" si="125"/>
        <v>120</v>
      </c>
      <c r="O258" s="19">
        <f t="shared" si="97"/>
        <v>0</v>
      </c>
      <c r="P258" s="19">
        <f t="shared" si="98"/>
        <v>120</v>
      </c>
      <c r="Q258" s="30">
        <f t="shared" si="110"/>
        <v>1.4510070551227786E-4</v>
      </c>
    </row>
    <row r="259" spans="1:17" x14ac:dyDescent="0.25">
      <c r="A259" s="16" t="s">
        <v>64</v>
      </c>
      <c r="B259" s="17" t="s">
        <v>65</v>
      </c>
      <c r="C259" s="18">
        <v>3610</v>
      </c>
      <c r="D259" s="18">
        <v>0</v>
      </c>
      <c r="E259" s="18">
        <v>0</v>
      </c>
      <c r="F259" s="19">
        <f t="shared" si="113"/>
        <v>3610</v>
      </c>
      <c r="G259" s="30">
        <f t="shared" si="111"/>
        <v>4.3302325549594376E-3</v>
      </c>
      <c r="H259" s="18">
        <v>3610</v>
      </c>
      <c r="I259" s="18">
        <v>0</v>
      </c>
      <c r="J259" s="18">
        <v>0</v>
      </c>
      <c r="K259" s="18">
        <v>0</v>
      </c>
      <c r="L259" s="18">
        <v>0</v>
      </c>
      <c r="M259" s="18"/>
      <c r="N259" s="19">
        <f t="shared" si="125"/>
        <v>3610</v>
      </c>
      <c r="O259" s="19">
        <f t="shared" si="97"/>
        <v>0</v>
      </c>
      <c r="P259" s="19">
        <f t="shared" si="98"/>
        <v>3610</v>
      </c>
      <c r="Q259" s="30">
        <f t="shared" si="110"/>
        <v>4.365112890827692E-3</v>
      </c>
    </row>
    <row r="260" spans="1:17" ht="26.4" x14ac:dyDescent="0.25">
      <c r="A260" s="16" t="s">
        <v>90</v>
      </c>
      <c r="B260" s="17" t="s">
        <v>91</v>
      </c>
      <c r="C260" s="18">
        <v>0</v>
      </c>
      <c r="D260" s="18">
        <v>0</v>
      </c>
      <c r="E260" s="18">
        <v>0</v>
      </c>
      <c r="F260" s="19">
        <f t="shared" si="113"/>
        <v>0</v>
      </c>
      <c r="G260" s="30">
        <f t="shared" si="111"/>
        <v>0</v>
      </c>
      <c r="H260" s="18">
        <v>0</v>
      </c>
      <c r="I260" s="18">
        <v>0</v>
      </c>
      <c r="J260" s="18">
        <v>0</v>
      </c>
      <c r="K260" s="18">
        <v>0</v>
      </c>
      <c r="L260" s="18">
        <v>0</v>
      </c>
      <c r="M260" s="18"/>
      <c r="N260" s="19">
        <f t="shared" si="125"/>
        <v>0</v>
      </c>
      <c r="O260" s="19">
        <f t="shared" si="97"/>
        <v>0</v>
      </c>
      <c r="P260" s="19">
        <f t="shared" si="98"/>
        <v>0</v>
      </c>
      <c r="Q260" s="30">
        <f t="shared" si="110"/>
        <v>0</v>
      </c>
    </row>
    <row r="261" spans="1:17" x14ac:dyDescent="0.25">
      <c r="A261" s="16" t="s">
        <v>104</v>
      </c>
      <c r="B261" s="17" t="s">
        <v>105</v>
      </c>
      <c r="C261" s="18">
        <v>0</v>
      </c>
      <c r="D261" s="18">
        <v>0</v>
      </c>
      <c r="E261" s="18">
        <v>0</v>
      </c>
      <c r="F261" s="19">
        <f t="shared" si="113"/>
        <v>0</v>
      </c>
      <c r="G261" s="30">
        <f t="shared" si="111"/>
        <v>0</v>
      </c>
      <c r="H261" s="18">
        <v>0</v>
      </c>
      <c r="I261" s="18">
        <v>0</v>
      </c>
      <c r="J261" s="18">
        <v>0</v>
      </c>
      <c r="K261" s="18">
        <v>0</v>
      </c>
      <c r="L261" s="18">
        <v>0</v>
      </c>
      <c r="M261" s="18"/>
      <c r="N261" s="19">
        <f t="shared" si="125"/>
        <v>0</v>
      </c>
      <c r="O261" s="19">
        <f t="shared" si="97"/>
        <v>0</v>
      </c>
      <c r="P261" s="19">
        <f t="shared" si="98"/>
        <v>0</v>
      </c>
      <c r="Q261" s="30">
        <f t="shared" si="110"/>
        <v>0</v>
      </c>
    </row>
    <row r="262" spans="1:17" x14ac:dyDescent="0.25">
      <c r="A262" s="16" t="s">
        <v>66</v>
      </c>
      <c r="B262" s="17" t="s">
        <v>67</v>
      </c>
      <c r="C262" s="18">
        <v>8800</v>
      </c>
      <c r="D262" s="18">
        <v>0</v>
      </c>
      <c r="E262" s="18">
        <v>0</v>
      </c>
      <c r="F262" s="19">
        <f t="shared" si="113"/>
        <v>8800</v>
      </c>
      <c r="G262" s="30">
        <f t="shared" si="111"/>
        <v>1.0555691546715526E-2</v>
      </c>
      <c r="H262" s="18">
        <v>8800</v>
      </c>
      <c r="I262" s="18">
        <v>-900</v>
      </c>
      <c r="J262" s="18">
        <v>0</v>
      </c>
      <c r="K262" s="18">
        <v>0</v>
      </c>
      <c r="L262" s="18">
        <v>0</v>
      </c>
      <c r="M262" s="18"/>
      <c r="N262" s="19">
        <f t="shared" si="125"/>
        <v>8800</v>
      </c>
      <c r="O262" s="19">
        <f t="shared" si="97"/>
        <v>-900</v>
      </c>
      <c r="P262" s="19">
        <f t="shared" si="98"/>
        <v>7900</v>
      </c>
      <c r="Q262" s="30">
        <f t="shared" si="110"/>
        <v>9.5524631128916255E-3</v>
      </c>
    </row>
    <row r="263" spans="1:17" x14ac:dyDescent="0.25">
      <c r="A263" s="16" t="s">
        <v>68</v>
      </c>
      <c r="B263" s="17" t="s">
        <v>69</v>
      </c>
      <c r="C263" s="18">
        <v>52000</v>
      </c>
      <c r="D263" s="18">
        <v>0</v>
      </c>
      <c r="E263" s="18">
        <v>0</v>
      </c>
      <c r="F263" s="19">
        <f t="shared" si="113"/>
        <v>52000</v>
      </c>
      <c r="G263" s="30">
        <f t="shared" si="111"/>
        <v>6.2374540957864474E-2</v>
      </c>
      <c r="H263" s="18">
        <v>52000</v>
      </c>
      <c r="I263" s="18">
        <v>0</v>
      </c>
      <c r="J263" s="18">
        <v>0</v>
      </c>
      <c r="K263" s="18">
        <v>0</v>
      </c>
      <c r="L263" s="18">
        <v>0</v>
      </c>
      <c r="M263" s="18"/>
      <c r="N263" s="19">
        <f t="shared" si="125"/>
        <v>52000</v>
      </c>
      <c r="O263" s="19">
        <f t="shared" si="97"/>
        <v>0</v>
      </c>
      <c r="P263" s="19">
        <f t="shared" si="98"/>
        <v>52000</v>
      </c>
      <c r="Q263" s="30">
        <f t="shared" si="110"/>
        <v>6.2876972388653737E-2</v>
      </c>
    </row>
    <row r="264" spans="1:17" ht="26.4" x14ac:dyDescent="0.25">
      <c r="A264" s="16" t="s">
        <v>92</v>
      </c>
      <c r="B264" s="17" t="s">
        <v>93</v>
      </c>
      <c r="C264" s="18">
        <v>0</v>
      </c>
      <c r="D264" s="18">
        <v>0</v>
      </c>
      <c r="E264" s="18">
        <v>0</v>
      </c>
      <c r="F264" s="19">
        <f t="shared" si="113"/>
        <v>0</v>
      </c>
      <c r="G264" s="30">
        <f t="shared" si="111"/>
        <v>0</v>
      </c>
      <c r="H264" s="18">
        <v>0</v>
      </c>
      <c r="I264" s="18">
        <v>0</v>
      </c>
      <c r="J264" s="18">
        <v>0</v>
      </c>
      <c r="K264" s="18">
        <v>0</v>
      </c>
      <c r="L264" s="18">
        <v>0</v>
      </c>
      <c r="M264" s="18"/>
      <c r="N264" s="19">
        <f t="shared" si="125"/>
        <v>0</v>
      </c>
      <c r="O264" s="19">
        <f t="shared" si="97"/>
        <v>0</v>
      </c>
      <c r="P264" s="19">
        <f t="shared" si="98"/>
        <v>0</v>
      </c>
      <c r="Q264" s="30">
        <f t="shared" si="110"/>
        <v>0</v>
      </c>
    </row>
    <row r="265" spans="1:17" x14ac:dyDescent="0.25">
      <c r="A265" s="16" t="s">
        <v>70</v>
      </c>
      <c r="B265" s="17" t="s">
        <v>71</v>
      </c>
      <c r="C265" s="18">
        <v>0</v>
      </c>
      <c r="D265" s="18">
        <v>0</v>
      </c>
      <c r="E265" s="18">
        <v>0</v>
      </c>
      <c r="F265" s="19">
        <f t="shared" si="113"/>
        <v>0</v>
      </c>
      <c r="G265" s="30">
        <f t="shared" si="111"/>
        <v>0</v>
      </c>
      <c r="H265" s="18">
        <v>0</v>
      </c>
      <c r="I265" s="18">
        <v>0</v>
      </c>
      <c r="J265" s="18">
        <v>0</v>
      </c>
      <c r="K265" s="18">
        <v>0</v>
      </c>
      <c r="L265" s="18">
        <v>0</v>
      </c>
      <c r="M265" s="18"/>
      <c r="N265" s="19">
        <f t="shared" si="125"/>
        <v>0</v>
      </c>
      <c r="O265" s="19">
        <f t="shared" ref="O265:O329" si="126">I265+K265+M265</f>
        <v>0</v>
      </c>
      <c r="P265" s="19">
        <f t="shared" ref="P265:P329" si="127">N265+O265</f>
        <v>0</v>
      </c>
      <c r="Q265" s="30">
        <f t="shared" si="110"/>
        <v>0</v>
      </c>
    </row>
    <row r="266" spans="1:17" x14ac:dyDescent="0.25">
      <c r="A266" s="16" t="s">
        <v>108</v>
      </c>
      <c r="B266" s="17" t="s">
        <v>109</v>
      </c>
      <c r="C266" s="18">
        <v>0</v>
      </c>
      <c r="D266" s="18">
        <v>0</v>
      </c>
      <c r="E266" s="18">
        <v>0</v>
      </c>
      <c r="F266" s="19">
        <f t="shared" si="113"/>
        <v>0</v>
      </c>
      <c r="G266" s="30">
        <f t="shared" si="111"/>
        <v>0</v>
      </c>
      <c r="H266" s="18">
        <v>0</v>
      </c>
      <c r="I266" s="18">
        <v>0</v>
      </c>
      <c r="J266" s="18">
        <v>0</v>
      </c>
      <c r="K266" s="18">
        <v>0</v>
      </c>
      <c r="L266" s="18">
        <v>0</v>
      </c>
      <c r="M266" s="18"/>
      <c r="N266" s="19">
        <f t="shared" si="125"/>
        <v>0</v>
      </c>
      <c r="O266" s="19">
        <f t="shared" si="126"/>
        <v>0</v>
      </c>
      <c r="P266" s="19">
        <f t="shared" si="127"/>
        <v>0</v>
      </c>
      <c r="Q266" s="30">
        <f t="shared" si="110"/>
        <v>0</v>
      </c>
    </row>
    <row r="267" spans="1:17" ht="13.8" x14ac:dyDescent="0.25">
      <c r="A267" s="33" t="s">
        <v>157</v>
      </c>
      <c r="B267" s="34" t="s">
        <v>158</v>
      </c>
      <c r="C267" s="28">
        <f>SUM(C268:C276)</f>
        <v>995215</v>
      </c>
      <c r="D267" s="28">
        <f t="shared" ref="D267:E267" si="128">SUM(D268:D276)</f>
        <v>1069094</v>
      </c>
      <c r="E267" s="28">
        <f t="shared" si="128"/>
        <v>0</v>
      </c>
      <c r="F267" s="28">
        <f t="shared" si="113"/>
        <v>2064309</v>
      </c>
      <c r="G267" s="29">
        <f t="shared" si="111"/>
        <v>2.4761601205805435</v>
      </c>
      <c r="H267" s="28">
        <f>SUM(H268:H277)</f>
        <v>995215</v>
      </c>
      <c r="I267" s="28">
        <f t="shared" ref="I267:M267" si="129">SUM(I268:I277)</f>
        <v>-22874</v>
      </c>
      <c r="J267" s="28">
        <f t="shared" si="129"/>
        <v>1069094</v>
      </c>
      <c r="K267" s="28">
        <f t="shared" si="129"/>
        <v>87872</v>
      </c>
      <c r="L267" s="28">
        <f t="shared" si="129"/>
        <v>0</v>
      </c>
      <c r="M267" s="28">
        <f t="shared" si="129"/>
        <v>0</v>
      </c>
      <c r="N267" s="28">
        <f t="shared" si="125"/>
        <v>2064309</v>
      </c>
      <c r="O267" s="28">
        <f t="shared" si="126"/>
        <v>64998</v>
      </c>
      <c r="P267" s="28">
        <f t="shared" si="127"/>
        <v>2129307</v>
      </c>
      <c r="Q267" s="29">
        <f t="shared" si="110"/>
        <v>2.5746995662685985</v>
      </c>
    </row>
    <row r="268" spans="1:17" x14ac:dyDescent="0.25">
      <c r="A268" s="16" t="s">
        <v>54</v>
      </c>
      <c r="B268" s="17" t="s">
        <v>55</v>
      </c>
      <c r="C268" s="18">
        <v>491510</v>
      </c>
      <c r="D268" s="18">
        <v>865033</v>
      </c>
      <c r="E268" s="18">
        <v>0</v>
      </c>
      <c r="F268" s="19">
        <f t="shared" si="113"/>
        <v>1356543</v>
      </c>
      <c r="G268" s="30">
        <f t="shared" si="111"/>
        <v>1.6271874406654683</v>
      </c>
      <c r="H268" s="18">
        <v>491510</v>
      </c>
      <c r="I268" s="18">
        <f>-787+10803</f>
        <v>10016</v>
      </c>
      <c r="J268" s="18">
        <v>865033</v>
      </c>
      <c r="K268" s="18">
        <v>65206</v>
      </c>
      <c r="L268" s="18">
        <v>0</v>
      </c>
      <c r="M268" s="18"/>
      <c r="N268" s="19">
        <f t="shared" si="125"/>
        <v>1356543</v>
      </c>
      <c r="O268" s="19">
        <f t="shared" si="126"/>
        <v>75222</v>
      </c>
      <c r="P268" s="19">
        <f t="shared" si="127"/>
        <v>1431765</v>
      </c>
      <c r="Q268" s="30">
        <f t="shared" si="110"/>
        <v>1.7312509302315542</v>
      </c>
    </row>
    <row r="269" spans="1:17" ht="26.4" x14ac:dyDescent="0.25">
      <c r="A269" s="16" t="s">
        <v>56</v>
      </c>
      <c r="B269" s="17" t="s">
        <v>57</v>
      </c>
      <c r="C269" s="18">
        <v>130628</v>
      </c>
      <c r="D269" s="18">
        <v>204061</v>
      </c>
      <c r="E269" s="18">
        <v>0</v>
      </c>
      <c r="F269" s="19">
        <f t="shared" si="113"/>
        <v>334689</v>
      </c>
      <c r="G269" s="30">
        <f t="shared" si="111"/>
        <v>0.40146293728166738</v>
      </c>
      <c r="H269" s="18">
        <v>130628</v>
      </c>
      <c r="I269" s="18">
        <f>594+2551</f>
        <v>3145</v>
      </c>
      <c r="J269" s="18">
        <v>204061</v>
      </c>
      <c r="K269" s="18">
        <v>15382</v>
      </c>
      <c r="L269" s="18">
        <v>0</v>
      </c>
      <c r="M269" s="18"/>
      <c r="N269" s="19">
        <f t="shared" si="125"/>
        <v>334689</v>
      </c>
      <c r="O269" s="19">
        <f t="shared" si="126"/>
        <v>18527</v>
      </c>
      <c r="P269" s="19">
        <f t="shared" si="127"/>
        <v>353216</v>
      </c>
      <c r="Q269" s="30">
        <f t="shared" si="110"/>
        <v>0.42709908998520613</v>
      </c>
    </row>
    <row r="270" spans="1:17" x14ac:dyDescent="0.25">
      <c r="A270" s="16" t="s">
        <v>58</v>
      </c>
      <c r="B270" s="17" t="s">
        <v>59</v>
      </c>
      <c r="C270" s="18">
        <v>5320</v>
      </c>
      <c r="D270" s="18">
        <v>0</v>
      </c>
      <c r="E270" s="18">
        <v>0</v>
      </c>
      <c r="F270" s="19">
        <f t="shared" si="113"/>
        <v>5320</v>
      </c>
      <c r="G270" s="30">
        <f t="shared" si="111"/>
        <v>6.3813953441507502E-3</v>
      </c>
      <c r="H270" s="18">
        <v>5320</v>
      </c>
      <c r="I270" s="18">
        <v>6088</v>
      </c>
      <c r="J270" s="18">
        <v>0</v>
      </c>
      <c r="K270" s="18">
        <v>0</v>
      </c>
      <c r="L270" s="18">
        <v>0</v>
      </c>
      <c r="M270" s="18"/>
      <c r="N270" s="19">
        <f t="shared" si="125"/>
        <v>5320</v>
      </c>
      <c r="O270" s="19">
        <f t="shared" si="126"/>
        <v>6088</v>
      </c>
      <c r="P270" s="19">
        <f t="shared" si="127"/>
        <v>11408</v>
      </c>
      <c r="Q270" s="30">
        <f t="shared" si="110"/>
        <v>1.3794240404033882E-2</v>
      </c>
    </row>
    <row r="271" spans="1:17" x14ac:dyDescent="0.25">
      <c r="A271" s="16" t="s">
        <v>60</v>
      </c>
      <c r="B271" s="17" t="s">
        <v>61</v>
      </c>
      <c r="C271" s="18">
        <v>166060</v>
      </c>
      <c r="D271" s="18">
        <v>0</v>
      </c>
      <c r="E271" s="18">
        <v>0</v>
      </c>
      <c r="F271" s="19">
        <f t="shared" si="113"/>
        <v>166060</v>
      </c>
      <c r="G271" s="30">
        <f t="shared" si="111"/>
        <v>0.19919069752813412</v>
      </c>
      <c r="H271" s="18">
        <v>166060</v>
      </c>
      <c r="I271" s="18">
        <v>-13846</v>
      </c>
      <c r="J271" s="18">
        <v>0</v>
      </c>
      <c r="K271" s="18">
        <v>7138</v>
      </c>
      <c r="L271" s="18">
        <v>0</v>
      </c>
      <c r="M271" s="18"/>
      <c r="N271" s="19">
        <f t="shared" si="125"/>
        <v>166060</v>
      </c>
      <c r="O271" s="19">
        <f t="shared" si="126"/>
        <v>-6708</v>
      </c>
      <c r="P271" s="19">
        <f t="shared" si="127"/>
        <v>159352</v>
      </c>
      <c r="Q271" s="30">
        <f t="shared" si="110"/>
        <v>0.1926840635399375</v>
      </c>
    </row>
    <row r="272" spans="1:17" ht="26.4" x14ac:dyDescent="0.25">
      <c r="A272" s="16" t="s">
        <v>62</v>
      </c>
      <c r="B272" s="17" t="s">
        <v>63</v>
      </c>
      <c r="C272" s="18">
        <v>178068</v>
      </c>
      <c r="D272" s="18">
        <v>0</v>
      </c>
      <c r="E272" s="18">
        <v>0</v>
      </c>
      <c r="F272" s="19">
        <f t="shared" si="113"/>
        <v>178068</v>
      </c>
      <c r="G272" s="30">
        <f t="shared" si="111"/>
        <v>0.21359441844778868</v>
      </c>
      <c r="H272" s="18">
        <v>178068</v>
      </c>
      <c r="I272" s="18">
        <v>-27365</v>
      </c>
      <c r="J272" s="18">
        <v>0</v>
      </c>
      <c r="K272" s="18">
        <v>0</v>
      </c>
      <c r="L272" s="18">
        <v>0</v>
      </c>
      <c r="M272" s="18"/>
      <c r="N272" s="19">
        <f t="shared" si="125"/>
        <v>178068</v>
      </c>
      <c r="O272" s="19">
        <f t="shared" si="126"/>
        <v>-27365</v>
      </c>
      <c r="P272" s="19">
        <f t="shared" si="127"/>
        <v>150703</v>
      </c>
      <c r="Q272" s="30">
        <f t="shared" si="110"/>
        <v>0.18222593019014008</v>
      </c>
    </row>
    <row r="273" spans="1:17" x14ac:dyDescent="0.25">
      <c r="A273" s="16" t="s">
        <v>139</v>
      </c>
      <c r="B273" s="17" t="s">
        <v>140</v>
      </c>
      <c r="C273" s="18">
        <v>0</v>
      </c>
      <c r="D273" s="18">
        <v>0</v>
      </c>
      <c r="E273" s="18">
        <v>0</v>
      </c>
      <c r="F273" s="19">
        <f t="shared" si="113"/>
        <v>0</v>
      </c>
      <c r="G273" s="30">
        <f t="shared" si="111"/>
        <v>0</v>
      </c>
      <c r="H273" s="18">
        <v>0</v>
      </c>
      <c r="I273" s="18">
        <v>0</v>
      </c>
      <c r="J273" s="18">
        <v>0</v>
      </c>
      <c r="K273" s="18">
        <v>0</v>
      </c>
      <c r="L273" s="18">
        <v>0</v>
      </c>
      <c r="M273" s="18"/>
      <c r="N273" s="19">
        <f t="shared" si="125"/>
        <v>0</v>
      </c>
      <c r="O273" s="19">
        <f t="shared" si="126"/>
        <v>0</v>
      </c>
      <c r="P273" s="19">
        <f t="shared" si="127"/>
        <v>0</v>
      </c>
      <c r="Q273" s="30">
        <f t="shared" si="110"/>
        <v>0</v>
      </c>
    </row>
    <row r="274" spans="1:17" x14ac:dyDescent="0.25">
      <c r="A274" s="16" t="s">
        <v>64</v>
      </c>
      <c r="B274" s="17" t="s">
        <v>65</v>
      </c>
      <c r="C274" s="18">
        <v>765</v>
      </c>
      <c r="D274" s="18">
        <v>0</v>
      </c>
      <c r="E274" s="18">
        <v>0</v>
      </c>
      <c r="F274" s="19">
        <f t="shared" si="113"/>
        <v>765</v>
      </c>
      <c r="G274" s="30">
        <f t="shared" si="111"/>
        <v>9.1762545832242931E-4</v>
      </c>
      <c r="H274" s="18">
        <v>765</v>
      </c>
      <c r="I274" s="18">
        <v>0</v>
      </c>
      <c r="J274" s="18">
        <v>0</v>
      </c>
      <c r="K274" s="18">
        <v>0</v>
      </c>
      <c r="L274" s="18">
        <v>0</v>
      </c>
      <c r="M274" s="18"/>
      <c r="N274" s="19">
        <f t="shared" si="125"/>
        <v>765</v>
      </c>
      <c r="O274" s="19">
        <f t="shared" si="126"/>
        <v>0</v>
      </c>
      <c r="P274" s="19">
        <f t="shared" si="127"/>
        <v>765</v>
      </c>
      <c r="Q274" s="30">
        <f t="shared" si="110"/>
        <v>9.2501699764077139E-4</v>
      </c>
    </row>
    <row r="275" spans="1:17" x14ac:dyDescent="0.25">
      <c r="A275" s="16" t="s">
        <v>66</v>
      </c>
      <c r="B275" s="17" t="s">
        <v>67</v>
      </c>
      <c r="C275" s="18">
        <v>18064</v>
      </c>
      <c r="D275" s="18">
        <v>0</v>
      </c>
      <c r="E275" s="18">
        <v>0</v>
      </c>
      <c r="F275" s="19">
        <f t="shared" si="113"/>
        <v>18064</v>
      </c>
      <c r="G275" s="30">
        <f t="shared" si="111"/>
        <v>2.1667955920439689E-2</v>
      </c>
      <c r="H275" s="18">
        <v>18064</v>
      </c>
      <c r="I275" s="18">
        <v>1388</v>
      </c>
      <c r="J275" s="18">
        <v>0</v>
      </c>
      <c r="K275" s="18">
        <v>0</v>
      </c>
      <c r="L275" s="18">
        <v>0</v>
      </c>
      <c r="M275" s="18"/>
      <c r="N275" s="19">
        <f t="shared" si="125"/>
        <v>18064</v>
      </c>
      <c r="O275" s="19">
        <f t="shared" si="126"/>
        <v>1388</v>
      </c>
      <c r="P275" s="19">
        <f t="shared" si="127"/>
        <v>19452</v>
      </c>
      <c r="Q275" s="30">
        <f t="shared" si="110"/>
        <v>2.3520824363540242E-2</v>
      </c>
    </row>
    <row r="276" spans="1:17" ht="26.4" x14ac:dyDescent="0.25">
      <c r="A276" s="16" t="s">
        <v>92</v>
      </c>
      <c r="B276" s="17" t="s">
        <v>93</v>
      </c>
      <c r="C276" s="18">
        <v>4800</v>
      </c>
      <c r="D276" s="18">
        <v>0</v>
      </c>
      <c r="E276" s="18">
        <v>0</v>
      </c>
      <c r="F276" s="19">
        <f t="shared" si="113"/>
        <v>4800</v>
      </c>
      <c r="G276" s="30">
        <f t="shared" si="111"/>
        <v>5.7576499345721056E-3</v>
      </c>
      <c r="H276" s="18">
        <v>4800</v>
      </c>
      <c r="I276" s="18">
        <v>-2300</v>
      </c>
      <c r="J276" s="18">
        <v>0</v>
      </c>
      <c r="K276" s="18">
        <v>0</v>
      </c>
      <c r="L276" s="18">
        <v>0</v>
      </c>
      <c r="M276" s="18"/>
      <c r="N276" s="19">
        <f t="shared" si="125"/>
        <v>4800</v>
      </c>
      <c r="O276" s="19">
        <f t="shared" si="126"/>
        <v>-2300</v>
      </c>
      <c r="P276" s="19">
        <f t="shared" si="127"/>
        <v>2500</v>
      </c>
      <c r="Q276" s="30">
        <f t="shared" si="110"/>
        <v>3.022931364839122E-3</v>
      </c>
    </row>
    <row r="277" spans="1:17" x14ac:dyDescent="0.25">
      <c r="A277" s="16" t="s">
        <v>70</v>
      </c>
      <c r="B277" s="17" t="s">
        <v>71</v>
      </c>
      <c r="C277" s="18">
        <v>0</v>
      </c>
      <c r="D277" s="18">
        <v>0</v>
      </c>
      <c r="E277" s="18">
        <v>0</v>
      </c>
      <c r="F277" s="19">
        <f t="shared" ref="F277" si="130">C277+D277+E277</f>
        <v>0</v>
      </c>
      <c r="G277" s="30">
        <f t="shared" ref="G277" si="131">F277*100/$F$27</f>
        <v>0</v>
      </c>
      <c r="H277" s="18">
        <v>0</v>
      </c>
      <c r="I277" s="18">
        <v>0</v>
      </c>
      <c r="J277" s="18">
        <v>0</v>
      </c>
      <c r="K277" s="18">
        <v>146</v>
      </c>
      <c r="L277" s="18">
        <v>0</v>
      </c>
      <c r="M277" s="18"/>
      <c r="N277" s="19">
        <f t="shared" ref="N277" si="132">H277+J277+L277</f>
        <v>0</v>
      </c>
      <c r="O277" s="19">
        <f t="shared" ref="O277" si="133">I277+K277+M277</f>
        <v>146</v>
      </c>
      <c r="P277" s="19">
        <f t="shared" ref="P277" si="134">N277+O277</f>
        <v>146</v>
      </c>
      <c r="Q277" s="30">
        <f t="shared" ref="Q277" si="135">P277*100/$P$27</f>
        <v>1.7653919170660472E-4</v>
      </c>
    </row>
    <row r="278" spans="1:17" ht="27.6" x14ac:dyDescent="0.25">
      <c r="A278" s="33" t="s">
        <v>159</v>
      </c>
      <c r="B278" s="34" t="s">
        <v>160</v>
      </c>
      <c r="C278" s="28">
        <f>SUM(C279:C284)</f>
        <v>119048</v>
      </c>
      <c r="D278" s="28">
        <f t="shared" ref="D278:E278" si="136">SUM(D279:D284)</f>
        <v>0</v>
      </c>
      <c r="E278" s="28">
        <f t="shared" si="136"/>
        <v>0</v>
      </c>
      <c r="F278" s="28">
        <f t="shared" si="113"/>
        <v>119048</v>
      </c>
      <c r="G278" s="29">
        <f t="shared" si="111"/>
        <v>0.1427993144606125</v>
      </c>
      <c r="H278" s="28">
        <f>SUM(H279:H284)</f>
        <v>119048</v>
      </c>
      <c r="I278" s="28">
        <f>SUM(I279:I284)</f>
        <v>-23338</v>
      </c>
      <c r="J278" s="28">
        <f t="shared" ref="J278:M278" si="137">SUM(J279:J284)</f>
        <v>0</v>
      </c>
      <c r="K278" s="28">
        <f t="shared" si="137"/>
        <v>0</v>
      </c>
      <c r="L278" s="28">
        <f t="shared" si="137"/>
        <v>0</v>
      </c>
      <c r="M278" s="28">
        <f t="shared" si="137"/>
        <v>0</v>
      </c>
      <c r="N278" s="28">
        <f t="shared" si="125"/>
        <v>119048</v>
      </c>
      <c r="O278" s="28">
        <f t="shared" si="126"/>
        <v>-23338</v>
      </c>
      <c r="P278" s="28">
        <f t="shared" si="127"/>
        <v>95710</v>
      </c>
      <c r="Q278" s="29">
        <f t="shared" si="110"/>
        <v>0.11572990437150095</v>
      </c>
    </row>
    <row r="279" spans="1:17" x14ac:dyDescent="0.25">
      <c r="A279" s="16" t="s">
        <v>54</v>
      </c>
      <c r="B279" s="17" t="s">
        <v>55</v>
      </c>
      <c r="C279" s="18">
        <v>70773</v>
      </c>
      <c r="D279" s="18">
        <v>0</v>
      </c>
      <c r="E279" s="18">
        <v>0</v>
      </c>
      <c r="F279" s="19">
        <f t="shared" si="113"/>
        <v>70773</v>
      </c>
      <c r="G279" s="30">
        <f t="shared" si="111"/>
        <v>8.489294975405659E-2</v>
      </c>
      <c r="H279" s="18">
        <v>70773</v>
      </c>
      <c r="I279" s="18">
        <f>-1538-12835</f>
        <v>-14373</v>
      </c>
      <c r="J279" s="18">
        <v>0</v>
      </c>
      <c r="K279" s="18">
        <v>0</v>
      </c>
      <c r="L279" s="18">
        <v>0</v>
      </c>
      <c r="M279" s="18"/>
      <c r="N279" s="19">
        <f t="shared" si="125"/>
        <v>70773</v>
      </c>
      <c r="O279" s="19">
        <f t="shared" si="126"/>
        <v>-14373</v>
      </c>
      <c r="P279" s="19">
        <f t="shared" si="127"/>
        <v>56400</v>
      </c>
      <c r="Q279" s="30">
        <f t="shared" si="110"/>
        <v>6.8197331590770599E-2</v>
      </c>
    </row>
    <row r="280" spans="1:17" ht="26.4" x14ac:dyDescent="0.25">
      <c r="A280" s="16" t="s">
        <v>56</v>
      </c>
      <c r="B280" s="17" t="s">
        <v>57</v>
      </c>
      <c r="C280" s="18">
        <v>19779</v>
      </c>
      <c r="D280" s="18">
        <v>0</v>
      </c>
      <c r="E280" s="18">
        <v>0</v>
      </c>
      <c r="F280" s="19">
        <f t="shared" si="113"/>
        <v>19779</v>
      </c>
      <c r="G280" s="30">
        <f t="shared" si="111"/>
        <v>2.3725116261646181E-2</v>
      </c>
      <c r="H280" s="18">
        <v>19779</v>
      </c>
      <c r="I280" s="18">
        <f>-362-3028</f>
        <v>-3390</v>
      </c>
      <c r="J280" s="18">
        <v>0</v>
      </c>
      <c r="K280" s="18">
        <v>0</v>
      </c>
      <c r="L280" s="18">
        <v>0</v>
      </c>
      <c r="M280" s="18"/>
      <c r="N280" s="19">
        <f t="shared" si="125"/>
        <v>19779</v>
      </c>
      <c r="O280" s="19">
        <f t="shared" si="126"/>
        <v>-3390</v>
      </c>
      <c r="P280" s="19">
        <f t="shared" si="127"/>
        <v>16389</v>
      </c>
      <c r="Q280" s="30">
        <f t="shared" si="110"/>
        <v>1.9817128855339348E-2</v>
      </c>
    </row>
    <row r="281" spans="1:17" x14ac:dyDescent="0.25">
      <c r="A281" s="16" t="s">
        <v>58</v>
      </c>
      <c r="B281" s="17" t="s">
        <v>59</v>
      </c>
      <c r="C281" s="18">
        <v>375</v>
      </c>
      <c r="D281" s="18">
        <v>0</v>
      </c>
      <c r="E281" s="18">
        <v>0</v>
      </c>
      <c r="F281" s="19">
        <f t="shared" si="113"/>
        <v>375</v>
      </c>
      <c r="G281" s="30">
        <f t="shared" si="111"/>
        <v>4.4981640113844572E-4</v>
      </c>
      <c r="H281" s="18">
        <v>375</v>
      </c>
      <c r="I281" s="18">
        <v>-375</v>
      </c>
      <c r="J281" s="18">
        <v>0</v>
      </c>
      <c r="K281" s="18">
        <v>0</v>
      </c>
      <c r="L281" s="18">
        <v>0</v>
      </c>
      <c r="M281" s="18"/>
      <c r="N281" s="19">
        <f t="shared" si="125"/>
        <v>375</v>
      </c>
      <c r="O281" s="19">
        <f t="shared" si="126"/>
        <v>-375</v>
      </c>
      <c r="P281" s="19">
        <f t="shared" si="127"/>
        <v>0</v>
      </c>
      <c r="Q281" s="30">
        <f t="shared" si="110"/>
        <v>0</v>
      </c>
    </row>
    <row r="282" spans="1:17" x14ac:dyDescent="0.25">
      <c r="A282" s="16" t="s">
        <v>60</v>
      </c>
      <c r="B282" s="17" t="s">
        <v>61</v>
      </c>
      <c r="C282" s="18">
        <v>21176</v>
      </c>
      <c r="D282" s="18">
        <v>0</v>
      </c>
      <c r="E282" s="18">
        <v>0</v>
      </c>
      <c r="F282" s="19">
        <f t="shared" si="113"/>
        <v>21176</v>
      </c>
      <c r="G282" s="30">
        <f t="shared" si="111"/>
        <v>2.5400832294687273E-2</v>
      </c>
      <c r="H282" s="18">
        <v>21176</v>
      </c>
      <c r="I282" s="18">
        <v>-3200</v>
      </c>
      <c r="J282" s="18">
        <v>0</v>
      </c>
      <c r="K282" s="18">
        <v>0</v>
      </c>
      <c r="L282" s="18">
        <v>0</v>
      </c>
      <c r="M282" s="18"/>
      <c r="N282" s="19">
        <f t="shared" si="125"/>
        <v>21176</v>
      </c>
      <c r="O282" s="19">
        <f t="shared" si="126"/>
        <v>-3200</v>
      </c>
      <c r="P282" s="19">
        <f t="shared" si="127"/>
        <v>17976</v>
      </c>
      <c r="Q282" s="30">
        <f t="shared" si="110"/>
        <v>2.1736085685739225E-2</v>
      </c>
    </row>
    <row r="283" spans="1:17" ht="26.4" x14ac:dyDescent="0.25">
      <c r="A283" s="16" t="s">
        <v>62</v>
      </c>
      <c r="B283" s="17" t="s">
        <v>63</v>
      </c>
      <c r="C283" s="18">
        <v>6945</v>
      </c>
      <c r="D283" s="18">
        <v>0</v>
      </c>
      <c r="E283" s="18">
        <v>0</v>
      </c>
      <c r="F283" s="19">
        <f t="shared" si="113"/>
        <v>6945</v>
      </c>
      <c r="G283" s="30">
        <f t="shared" si="111"/>
        <v>8.3305997490840146E-3</v>
      </c>
      <c r="H283" s="18">
        <v>6945</v>
      </c>
      <c r="I283" s="18">
        <v>-2000</v>
      </c>
      <c r="J283" s="18">
        <v>0</v>
      </c>
      <c r="K283" s="18">
        <v>0</v>
      </c>
      <c r="L283" s="18">
        <v>0</v>
      </c>
      <c r="M283" s="18"/>
      <c r="N283" s="19">
        <f t="shared" si="125"/>
        <v>6945</v>
      </c>
      <c r="O283" s="19">
        <f t="shared" si="126"/>
        <v>-2000</v>
      </c>
      <c r="P283" s="19">
        <f t="shared" si="127"/>
        <v>4945</v>
      </c>
      <c r="Q283" s="30">
        <f t="shared" si="110"/>
        <v>5.9793582396517834E-3</v>
      </c>
    </row>
    <row r="284" spans="1:17" x14ac:dyDescent="0.25">
      <c r="A284" s="16" t="s">
        <v>66</v>
      </c>
      <c r="B284" s="17" t="s">
        <v>67</v>
      </c>
      <c r="C284" s="18">
        <v>0</v>
      </c>
      <c r="D284" s="18">
        <v>0</v>
      </c>
      <c r="E284" s="18">
        <v>0</v>
      </c>
      <c r="F284" s="19">
        <f t="shared" si="113"/>
        <v>0</v>
      </c>
      <c r="G284" s="30">
        <f t="shared" si="111"/>
        <v>0</v>
      </c>
      <c r="H284" s="18">
        <v>0</v>
      </c>
      <c r="I284" s="18">
        <v>0</v>
      </c>
      <c r="J284" s="18">
        <v>0</v>
      </c>
      <c r="K284" s="18">
        <v>0</v>
      </c>
      <c r="L284" s="18">
        <v>0</v>
      </c>
      <c r="M284" s="18"/>
      <c r="N284" s="19">
        <f t="shared" si="125"/>
        <v>0</v>
      </c>
      <c r="O284" s="19">
        <f t="shared" si="126"/>
        <v>0</v>
      </c>
      <c r="P284" s="19">
        <f t="shared" si="127"/>
        <v>0</v>
      </c>
      <c r="Q284" s="30">
        <f t="shared" si="110"/>
        <v>0</v>
      </c>
    </row>
    <row r="285" spans="1:17" ht="41.4" x14ac:dyDescent="0.25">
      <c r="A285" s="33" t="s">
        <v>161</v>
      </c>
      <c r="B285" s="34" t="s">
        <v>162</v>
      </c>
      <c r="C285" s="28">
        <f>SUM(C286:C297)</f>
        <v>1942836</v>
      </c>
      <c r="D285" s="28">
        <f t="shared" ref="D285:E285" si="138">SUM(D286:D297)</f>
        <v>297305</v>
      </c>
      <c r="E285" s="28">
        <f t="shared" si="138"/>
        <v>366274</v>
      </c>
      <c r="F285" s="28">
        <f t="shared" si="113"/>
        <v>2606415</v>
      </c>
      <c r="G285" s="29">
        <f t="shared" si="111"/>
        <v>3.1264219071286989</v>
      </c>
      <c r="H285" s="28">
        <f>SUM(H286:H297)</f>
        <v>1942836</v>
      </c>
      <c r="I285" s="28">
        <f>SUM(I286:I297)</f>
        <v>513641</v>
      </c>
      <c r="J285" s="28">
        <f t="shared" ref="J285:M285" si="139">SUM(J286:J297)</f>
        <v>297305</v>
      </c>
      <c r="K285" s="28">
        <f t="shared" si="139"/>
        <v>0</v>
      </c>
      <c r="L285" s="28">
        <f t="shared" si="139"/>
        <v>366274</v>
      </c>
      <c r="M285" s="28">
        <f t="shared" si="139"/>
        <v>-18647</v>
      </c>
      <c r="N285" s="28">
        <f t="shared" si="125"/>
        <v>2606415</v>
      </c>
      <c r="O285" s="28">
        <f t="shared" si="126"/>
        <v>494994</v>
      </c>
      <c r="P285" s="28">
        <f t="shared" si="127"/>
        <v>3101409</v>
      </c>
      <c r="Q285" s="29">
        <f t="shared" si="110"/>
        <v>3.7501386165177348</v>
      </c>
    </row>
    <row r="286" spans="1:17" x14ac:dyDescent="0.25">
      <c r="A286" s="16" t="s">
        <v>54</v>
      </c>
      <c r="B286" s="17" t="s">
        <v>55</v>
      </c>
      <c r="C286" s="18">
        <v>266504</v>
      </c>
      <c r="D286" s="18">
        <v>0</v>
      </c>
      <c r="E286" s="18">
        <v>25007</v>
      </c>
      <c r="F286" s="19">
        <f t="shared" si="113"/>
        <v>291511</v>
      </c>
      <c r="G286" s="30">
        <f t="shared" si="111"/>
        <v>0.3496704770993852</v>
      </c>
      <c r="H286" s="18">
        <v>266504</v>
      </c>
      <c r="I286" s="18">
        <f>-66871</f>
        <v>-66871</v>
      </c>
      <c r="J286" s="18">
        <v>0</v>
      </c>
      <c r="K286" s="18">
        <v>0</v>
      </c>
      <c r="L286" s="18">
        <v>25007</v>
      </c>
      <c r="M286" s="18">
        <v>-1718</v>
      </c>
      <c r="N286" s="19">
        <f t="shared" si="125"/>
        <v>291511</v>
      </c>
      <c r="O286" s="19">
        <f t="shared" si="126"/>
        <v>-68589</v>
      </c>
      <c r="P286" s="19">
        <f t="shared" si="127"/>
        <v>222922</v>
      </c>
      <c r="Q286" s="30">
        <f t="shared" ref="Q286:Q349" si="140">P286*100/$P$27</f>
        <v>0.2695511622850667</v>
      </c>
    </row>
    <row r="287" spans="1:17" ht="26.4" x14ac:dyDescent="0.25">
      <c r="A287" s="16" t="s">
        <v>56</v>
      </c>
      <c r="B287" s="17" t="s">
        <v>57</v>
      </c>
      <c r="C287" s="18">
        <v>77007</v>
      </c>
      <c r="D287" s="18">
        <v>0</v>
      </c>
      <c r="E287" s="18">
        <v>5900</v>
      </c>
      <c r="F287" s="19">
        <f t="shared" si="113"/>
        <v>82907</v>
      </c>
      <c r="G287" s="30">
        <f t="shared" ref="G287:G350" si="141">F287*100/$F$27</f>
        <v>9.9447808984493652E-2</v>
      </c>
      <c r="H287" s="18">
        <v>77007</v>
      </c>
      <c r="I287" s="18">
        <v>-15775</v>
      </c>
      <c r="J287" s="18">
        <v>0</v>
      </c>
      <c r="K287" s="18">
        <v>0</v>
      </c>
      <c r="L287" s="18">
        <v>5900</v>
      </c>
      <c r="M287" s="18">
        <v>-154</v>
      </c>
      <c r="N287" s="19">
        <f t="shared" si="125"/>
        <v>82907</v>
      </c>
      <c r="O287" s="19">
        <f t="shared" si="126"/>
        <v>-15929</v>
      </c>
      <c r="P287" s="19">
        <f t="shared" si="127"/>
        <v>66978</v>
      </c>
      <c r="Q287" s="30">
        <f t="shared" si="140"/>
        <v>8.0987958781677888E-2</v>
      </c>
    </row>
    <row r="288" spans="1:17" x14ac:dyDescent="0.25">
      <c r="A288" s="16" t="s">
        <v>58</v>
      </c>
      <c r="B288" s="17" t="s">
        <v>59</v>
      </c>
      <c r="C288" s="18">
        <v>0</v>
      </c>
      <c r="D288" s="18">
        <v>0</v>
      </c>
      <c r="E288" s="18">
        <v>158353</v>
      </c>
      <c r="F288" s="19">
        <f>C288+D288+E288</f>
        <v>158353</v>
      </c>
      <c r="G288" s="30">
        <f t="shared" si="141"/>
        <v>0.18994607085193679</v>
      </c>
      <c r="H288" s="18">
        <v>0</v>
      </c>
      <c r="I288" s="18">
        <v>0</v>
      </c>
      <c r="J288" s="18">
        <v>0</v>
      </c>
      <c r="K288" s="18">
        <v>0</v>
      </c>
      <c r="L288" s="18">
        <v>158353</v>
      </c>
      <c r="M288" s="18">
        <v>1933</v>
      </c>
      <c r="N288" s="19">
        <f t="shared" ref="N288:N319" si="142">H288+J288+L288</f>
        <v>158353</v>
      </c>
      <c r="O288" s="19">
        <f>I288+K288+M288</f>
        <v>1933</v>
      </c>
      <c r="P288" s="19">
        <f t="shared" si="127"/>
        <v>160286</v>
      </c>
      <c r="Q288" s="30">
        <f t="shared" si="140"/>
        <v>0.1938134306978414</v>
      </c>
    </row>
    <row r="289" spans="1:17" x14ac:dyDescent="0.25">
      <c r="A289" s="16" t="s">
        <v>60</v>
      </c>
      <c r="B289" s="17" t="s">
        <v>61</v>
      </c>
      <c r="C289" s="18">
        <v>113066</v>
      </c>
      <c r="D289" s="18">
        <v>0</v>
      </c>
      <c r="E289" s="18">
        <v>85555</v>
      </c>
      <c r="F289" s="19">
        <f>C289+D289+E289</f>
        <v>198621</v>
      </c>
      <c r="G289" s="30">
        <f t="shared" si="141"/>
        <v>0.23824795576138461</v>
      </c>
      <c r="H289" s="18">
        <v>113066</v>
      </c>
      <c r="I289" s="18">
        <v>-1307</v>
      </c>
      <c r="J289" s="18">
        <v>0</v>
      </c>
      <c r="K289" s="18">
        <v>0</v>
      </c>
      <c r="L289" s="18">
        <v>85555</v>
      </c>
      <c r="M289" s="18">
        <v>-13908</v>
      </c>
      <c r="N289" s="19">
        <f t="shared" si="142"/>
        <v>198621</v>
      </c>
      <c r="O289" s="19">
        <f>I289+K289+M289</f>
        <v>-15215</v>
      </c>
      <c r="P289" s="19">
        <f t="shared" si="127"/>
        <v>183406</v>
      </c>
      <c r="Q289" s="30">
        <f t="shared" si="140"/>
        <v>0.22176949995987361</v>
      </c>
    </row>
    <row r="290" spans="1:17" ht="26.4" x14ac:dyDescent="0.25">
      <c r="A290" s="16" t="s">
        <v>62</v>
      </c>
      <c r="B290" s="17" t="s">
        <v>63</v>
      </c>
      <c r="C290" s="18">
        <v>1271607</v>
      </c>
      <c r="D290" s="18">
        <v>297305</v>
      </c>
      <c r="E290" s="18">
        <v>21180</v>
      </c>
      <c r="F290" s="19">
        <f t="shared" si="113"/>
        <v>1590092</v>
      </c>
      <c r="G290" s="30">
        <f t="shared" si="141"/>
        <v>1.9073318957840892</v>
      </c>
      <c r="H290" s="18">
        <v>1271607</v>
      </c>
      <c r="I290" s="18">
        <v>-286449</v>
      </c>
      <c r="J290" s="18">
        <v>297305</v>
      </c>
      <c r="K290" s="18">
        <v>0</v>
      </c>
      <c r="L290" s="18">
        <v>21180</v>
      </c>
      <c r="M290" s="18">
        <v>1410</v>
      </c>
      <c r="N290" s="19">
        <f t="shared" si="142"/>
        <v>1590092</v>
      </c>
      <c r="O290" s="19">
        <f>I290+K290+M290</f>
        <v>-285039</v>
      </c>
      <c r="P290" s="19">
        <f t="shared" si="127"/>
        <v>1305053</v>
      </c>
      <c r="Q290" s="30">
        <f t="shared" si="140"/>
        <v>1.5780342585909564</v>
      </c>
    </row>
    <row r="291" spans="1:17" x14ac:dyDescent="0.25">
      <c r="A291" s="16" t="s">
        <v>64</v>
      </c>
      <c r="B291" s="17" t="s">
        <v>65</v>
      </c>
      <c r="C291" s="18">
        <v>3828</v>
      </c>
      <c r="D291" s="18">
        <v>0</v>
      </c>
      <c r="E291" s="18">
        <v>0</v>
      </c>
      <c r="F291" s="19">
        <f t="shared" si="113"/>
        <v>3828</v>
      </c>
      <c r="G291" s="30">
        <f t="shared" si="141"/>
        <v>4.5917258228212543E-3</v>
      </c>
      <c r="H291" s="18">
        <v>3828</v>
      </c>
      <c r="I291" s="18">
        <v>0</v>
      </c>
      <c r="J291" s="18">
        <v>0</v>
      </c>
      <c r="K291" s="18">
        <v>0</v>
      </c>
      <c r="L291" s="18">
        <v>0</v>
      </c>
      <c r="M291" s="18"/>
      <c r="N291" s="19">
        <f t="shared" si="142"/>
        <v>3828</v>
      </c>
      <c r="O291" s="19">
        <f t="shared" si="126"/>
        <v>0</v>
      </c>
      <c r="P291" s="19">
        <f t="shared" si="127"/>
        <v>3828</v>
      </c>
      <c r="Q291" s="30">
        <f t="shared" si="140"/>
        <v>4.6287125058416638E-3</v>
      </c>
    </row>
    <row r="292" spans="1:17" ht="26.4" x14ac:dyDescent="0.25">
      <c r="A292" s="16" t="s">
        <v>90</v>
      </c>
      <c r="B292" s="17" t="s">
        <v>91</v>
      </c>
      <c r="C292" s="18">
        <v>121450</v>
      </c>
      <c r="D292" s="18">
        <v>0</v>
      </c>
      <c r="E292" s="18">
        <v>0</v>
      </c>
      <c r="F292" s="19">
        <f t="shared" si="113"/>
        <v>121450</v>
      </c>
      <c r="G292" s="30">
        <f t="shared" si="141"/>
        <v>0.14568053844870463</v>
      </c>
      <c r="H292" s="18">
        <v>121450</v>
      </c>
      <c r="I292" s="18">
        <v>-322</v>
      </c>
      <c r="J292" s="18">
        <v>0</v>
      </c>
      <c r="K292" s="18">
        <v>0</v>
      </c>
      <c r="L292" s="18">
        <v>0</v>
      </c>
      <c r="M292" s="18"/>
      <c r="N292" s="19">
        <f t="shared" si="142"/>
        <v>121450</v>
      </c>
      <c r="O292" s="19">
        <f t="shared" si="126"/>
        <v>-322</v>
      </c>
      <c r="P292" s="19">
        <f t="shared" si="127"/>
        <v>121128</v>
      </c>
      <c r="Q292" s="30">
        <f t="shared" si="140"/>
        <v>0.14646465214409327</v>
      </c>
    </row>
    <row r="293" spans="1:17" x14ac:dyDescent="0.25">
      <c r="A293" s="16" t="s">
        <v>104</v>
      </c>
      <c r="B293" s="17" t="s">
        <v>105</v>
      </c>
      <c r="C293" s="18">
        <v>766</v>
      </c>
      <c r="D293" s="18">
        <v>0</v>
      </c>
      <c r="E293" s="18">
        <v>0</v>
      </c>
      <c r="F293" s="19">
        <f t="shared" si="113"/>
        <v>766</v>
      </c>
      <c r="G293" s="30">
        <f t="shared" si="141"/>
        <v>9.1882496872546513E-4</v>
      </c>
      <c r="H293" s="18">
        <v>766</v>
      </c>
      <c r="I293" s="18">
        <v>0</v>
      </c>
      <c r="J293" s="18">
        <v>0</v>
      </c>
      <c r="K293" s="18">
        <v>0</v>
      </c>
      <c r="L293" s="18">
        <v>0</v>
      </c>
      <c r="M293" s="18"/>
      <c r="N293" s="19">
        <f t="shared" si="142"/>
        <v>766</v>
      </c>
      <c r="O293" s="19">
        <f t="shared" si="126"/>
        <v>0</v>
      </c>
      <c r="P293" s="19">
        <f t="shared" si="127"/>
        <v>766</v>
      </c>
      <c r="Q293" s="30">
        <f t="shared" si="140"/>
        <v>9.26226170186707E-4</v>
      </c>
    </row>
    <row r="294" spans="1:17" x14ac:dyDescent="0.25">
      <c r="A294" s="16" t="s">
        <v>66</v>
      </c>
      <c r="B294" s="17" t="s">
        <v>67</v>
      </c>
      <c r="C294" s="18">
        <v>0</v>
      </c>
      <c r="D294" s="18">
        <v>0</v>
      </c>
      <c r="E294" s="18">
        <v>70279</v>
      </c>
      <c r="F294" s="19">
        <f t="shared" si="113"/>
        <v>70279</v>
      </c>
      <c r="G294" s="30">
        <f t="shared" si="141"/>
        <v>8.4300391614956879E-2</v>
      </c>
      <c r="H294" s="18">
        <v>0</v>
      </c>
      <c r="I294" s="18">
        <v>884365</v>
      </c>
      <c r="J294" s="18">
        <v>0</v>
      </c>
      <c r="K294" s="18">
        <v>0</v>
      </c>
      <c r="L294" s="18">
        <v>70279</v>
      </c>
      <c r="M294" s="18">
        <v>-6210</v>
      </c>
      <c r="N294" s="19">
        <f t="shared" si="142"/>
        <v>70279</v>
      </c>
      <c r="O294" s="19">
        <f t="shared" si="126"/>
        <v>878155</v>
      </c>
      <c r="P294" s="19">
        <f t="shared" si="127"/>
        <v>948434</v>
      </c>
      <c r="Q294" s="30">
        <f t="shared" si="140"/>
        <v>1.1468203544319311</v>
      </c>
    </row>
    <row r="295" spans="1:17" x14ac:dyDescent="0.25">
      <c r="A295" s="16" t="s">
        <v>68</v>
      </c>
      <c r="B295" s="17" t="s">
        <v>69</v>
      </c>
      <c r="C295" s="18">
        <v>83193</v>
      </c>
      <c r="D295" s="18">
        <v>0</v>
      </c>
      <c r="E295" s="18">
        <v>0</v>
      </c>
      <c r="F295" s="19">
        <f t="shared" si="113"/>
        <v>83193</v>
      </c>
      <c r="G295" s="30">
        <f t="shared" si="141"/>
        <v>9.9790868959761914E-2</v>
      </c>
      <c r="H295" s="18">
        <v>83193</v>
      </c>
      <c r="I295" s="18">
        <v>0</v>
      </c>
      <c r="J295" s="18">
        <v>0</v>
      </c>
      <c r="K295" s="18">
        <v>0</v>
      </c>
      <c r="L295" s="18">
        <v>0</v>
      </c>
      <c r="M295" s="18"/>
      <c r="N295" s="19">
        <f t="shared" si="142"/>
        <v>83193</v>
      </c>
      <c r="O295" s="19">
        <f t="shared" si="126"/>
        <v>0</v>
      </c>
      <c r="P295" s="19">
        <f t="shared" si="127"/>
        <v>83193</v>
      </c>
      <c r="Q295" s="30">
        <f t="shared" si="140"/>
        <v>0.10059469161402443</v>
      </c>
    </row>
    <row r="296" spans="1:17" ht="26.4" x14ac:dyDescent="0.25">
      <c r="A296" s="16" t="s">
        <v>92</v>
      </c>
      <c r="B296" s="17" t="s">
        <v>93</v>
      </c>
      <c r="C296" s="18">
        <v>5415</v>
      </c>
      <c r="D296" s="18">
        <v>0</v>
      </c>
      <c r="E296" s="18">
        <v>0</v>
      </c>
      <c r="F296" s="19">
        <f t="shared" si="113"/>
        <v>5415</v>
      </c>
      <c r="G296" s="30">
        <f t="shared" si="141"/>
        <v>6.4953488324391564E-3</v>
      </c>
      <c r="H296" s="18">
        <v>5415</v>
      </c>
      <c r="I296" s="18">
        <v>0</v>
      </c>
      <c r="J296" s="18">
        <v>0</v>
      </c>
      <c r="K296" s="18">
        <v>0</v>
      </c>
      <c r="L296" s="18">
        <v>0</v>
      </c>
      <c r="M296" s="18"/>
      <c r="N296" s="19">
        <f t="shared" si="142"/>
        <v>5415</v>
      </c>
      <c r="O296" s="19">
        <f t="shared" si="126"/>
        <v>0</v>
      </c>
      <c r="P296" s="19">
        <f t="shared" si="127"/>
        <v>5415</v>
      </c>
      <c r="Q296" s="30">
        <f t="shared" si="140"/>
        <v>6.5476693362415388E-3</v>
      </c>
    </row>
    <row r="297" spans="1:17" x14ac:dyDescent="0.25">
      <c r="A297" s="16" t="s">
        <v>70</v>
      </c>
      <c r="B297" s="17" t="s">
        <v>71</v>
      </c>
      <c r="C297" s="18">
        <v>0</v>
      </c>
      <c r="D297" s="18">
        <v>0</v>
      </c>
      <c r="E297" s="18">
        <v>0</v>
      </c>
      <c r="F297" s="19">
        <f t="shared" si="113"/>
        <v>0</v>
      </c>
      <c r="G297" s="30">
        <f t="shared" si="141"/>
        <v>0</v>
      </c>
      <c r="H297" s="18">
        <v>0</v>
      </c>
      <c r="I297" s="18">
        <v>0</v>
      </c>
      <c r="J297" s="18">
        <v>0</v>
      </c>
      <c r="K297" s="18">
        <v>0</v>
      </c>
      <c r="L297" s="18">
        <v>0</v>
      </c>
      <c r="M297" s="18"/>
      <c r="N297" s="19">
        <f t="shared" si="142"/>
        <v>0</v>
      </c>
      <c r="O297" s="19">
        <f t="shared" si="126"/>
        <v>0</v>
      </c>
      <c r="P297" s="19">
        <f t="shared" si="127"/>
        <v>0</v>
      </c>
      <c r="Q297" s="30">
        <f t="shared" si="140"/>
        <v>0</v>
      </c>
    </row>
    <row r="298" spans="1:17" ht="13.8" x14ac:dyDescent="0.25">
      <c r="A298" s="33" t="s">
        <v>163</v>
      </c>
      <c r="B298" s="34" t="s">
        <v>164</v>
      </c>
      <c r="C298" s="28">
        <f>SUM(C299:C310)</f>
        <v>1807286</v>
      </c>
      <c r="D298" s="28">
        <f t="shared" ref="D298:E298" si="143">SUM(D299:D310)</f>
        <v>46872</v>
      </c>
      <c r="E298" s="28">
        <f t="shared" si="143"/>
        <v>0</v>
      </c>
      <c r="F298" s="28">
        <f t="shared" si="113"/>
        <v>1854158</v>
      </c>
      <c r="G298" s="29">
        <f t="shared" si="141"/>
        <v>2.2240818098721555</v>
      </c>
      <c r="H298" s="28">
        <f>SUM(H299:H310)</f>
        <v>1807286</v>
      </c>
      <c r="I298" s="28">
        <f>SUM(I299:I310)</f>
        <v>-859491</v>
      </c>
      <c r="J298" s="28">
        <f t="shared" ref="J298:M298" si="144">SUM(J299:J310)</f>
        <v>46872</v>
      </c>
      <c r="K298" s="28">
        <f t="shared" si="144"/>
        <v>0</v>
      </c>
      <c r="L298" s="28">
        <f t="shared" si="144"/>
        <v>0</v>
      </c>
      <c r="M298" s="28">
        <f t="shared" si="144"/>
        <v>0</v>
      </c>
      <c r="N298" s="28">
        <f t="shared" si="142"/>
        <v>1854158</v>
      </c>
      <c r="O298" s="28">
        <f t="shared" si="126"/>
        <v>-859491</v>
      </c>
      <c r="P298" s="28">
        <f t="shared" si="127"/>
        <v>994667</v>
      </c>
      <c r="Q298" s="29">
        <f t="shared" si="140"/>
        <v>1.202724028748174</v>
      </c>
    </row>
    <row r="299" spans="1:17" x14ac:dyDescent="0.25">
      <c r="A299" s="16" t="s">
        <v>54</v>
      </c>
      <c r="B299" s="17" t="s">
        <v>55</v>
      </c>
      <c r="C299" s="18">
        <v>1044493</v>
      </c>
      <c r="D299" s="18">
        <v>0</v>
      </c>
      <c r="E299" s="18">
        <v>0</v>
      </c>
      <c r="F299" s="19">
        <f t="shared" si="113"/>
        <v>1044493</v>
      </c>
      <c r="G299" s="30">
        <f t="shared" si="141"/>
        <v>1.2528802193981297</v>
      </c>
      <c r="H299" s="18">
        <v>1044493</v>
      </c>
      <c r="I299" s="18">
        <f>-275-670416</f>
        <v>-670691</v>
      </c>
      <c r="J299" s="18">
        <v>0</v>
      </c>
      <c r="K299" s="18">
        <v>0</v>
      </c>
      <c r="L299" s="18">
        <v>0</v>
      </c>
      <c r="M299" s="18"/>
      <c r="N299" s="19">
        <f t="shared" si="142"/>
        <v>1044493</v>
      </c>
      <c r="O299" s="19">
        <f t="shared" si="126"/>
        <v>-670691</v>
      </c>
      <c r="P299" s="19">
        <f t="shared" si="127"/>
        <v>373802</v>
      </c>
      <c r="Q299" s="30">
        <f t="shared" si="140"/>
        <v>0.45199111601583741</v>
      </c>
    </row>
    <row r="300" spans="1:17" ht="26.4" x14ac:dyDescent="0.25">
      <c r="A300" s="16" t="s">
        <v>56</v>
      </c>
      <c r="B300" s="17" t="s">
        <v>57</v>
      </c>
      <c r="C300" s="18">
        <v>496725</v>
      </c>
      <c r="D300" s="18">
        <v>0</v>
      </c>
      <c r="E300" s="18">
        <v>0</v>
      </c>
      <c r="F300" s="19">
        <f t="shared" si="113"/>
        <v>496725</v>
      </c>
      <c r="G300" s="30">
        <f t="shared" si="141"/>
        <v>0.59582680494798523</v>
      </c>
      <c r="H300" s="18">
        <v>496725</v>
      </c>
      <c r="I300" s="18">
        <f>275-176850</f>
        <v>-176575</v>
      </c>
      <c r="J300" s="18">
        <v>0</v>
      </c>
      <c r="K300" s="18">
        <v>0</v>
      </c>
      <c r="L300" s="18">
        <v>0</v>
      </c>
      <c r="M300" s="18"/>
      <c r="N300" s="19">
        <f t="shared" si="142"/>
        <v>496725</v>
      </c>
      <c r="O300" s="19">
        <f t="shared" si="126"/>
        <v>-176575</v>
      </c>
      <c r="P300" s="19">
        <f t="shared" si="127"/>
        <v>320150</v>
      </c>
      <c r="Q300" s="30">
        <f t="shared" si="140"/>
        <v>0.38711659058129799</v>
      </c>
    </row>
    <row r="301" spans="1:17" x14ac:dyDescent="0.25">
      <c r="A301" s="16" t="s">
        <v>58</v>
      </c>
      <c r="B301" s="17" t="s">
        <v>59</v>
      </c>
      <c r="C301" s="18">
        <v>7765</v>
      </c>
      <c r="D301" s="18">
        <v>0</v>
      </c>
      <c r="E301" s="18">
        <v>0</v>
      </c>
      <c r="F301" s="19">
        <f t="shared" ref="F301:F367" si="145">C301+D301+E301</f>
        <v>7765</v>
      </c>
      <c r="G301" s="30">
        <f t="shared" si="141"/>
        <v>9.3141982795734157E-3</v>
      </c>
      <c r="H301" s="18">
        <v>7765</v>
      </c>
      <c r="I301" s="18">
        <v>6644</v>
      </c>
      <c r="J301" s="18">
        <v>0</v>
      </c>
      <c r="K301" s="18">
        <v>0</v>
      </c>
      <c r="L301" s="18">
        <v>0</v>
      </c>
      <c r="M301" s="18"/>
      <c r="N301" s="19">
        <f t="shared" si="142"/>
        <v>7765</v>
      </c>
      <c r="O301" s="19">
        <f t="shared" si="126"/>
        <v>6644</v>
      </c>
      <c r="P301" s="19">
        <f t="shared" si="127"/>
        <v>14409</v>
      </c>
      <c r="Q301" s="30">
        <f t="shared" si="140"/>
        <v>1.7422967214386763E-2</v>
      </c>
    </row>
    <row r="302" spans="1:17" x14ac:dyDescent="0.25">
      <c r="A302" s="16" t="s">
        <v>60</v>
      </c>
      <c r="B302" s="17" t="s">
        <v>61</v>
      </c>
      <c r="C302" s="18">
        <v>130793</v>
      </c>
      <c r="D302" s="18">
        <v>46872</v>
      </c>
      <c r="E302" s="18">
        <v>0</v>
      </c>
      <c r="F302" s="19">
        <f t="shared" si="145"/>
        <v>177665</v>
      </c>
      <c r="G302" s="30">
        <f t="shared" si="141"/>
        <v>0.21311101575536523</v>
      </c>
      <c r="H302" s="18">
        <v>130793</v>
      </c>
      <c r="I302" s="18">
        <v>-10254</v>
      </c>
      <c r="J302" s="18">
        <v>46872</v>
      </c>
      <c r="K302" s="18">
        <v>0</v>
      </c>
      <c r="L302" s="18">
        <v>0</v>
      </c>
      <c r="M302" s="18"/>
      <c r="N302" s="19">
        <f t="shared" si="142"/>
        <v>177665</v>
      </c>
      <c r="O302" s="19">
        <f t="shared" si="126"/>
        <v>-10254</v>
      </c>
      <c r="P302" s="19">
        <f t="shared" si="127"/>
        <v>167411</v>
      </c>
      <c r="Q302" s="30">
        <f t="shared" si="140"/>
        <v>0.2024287850876329</v>
      </c>
    </row>
    <row r="303" spans="1:17" ht="26.4" x14ac:dyDescent="0.25">
      <c r="A303" s="16" t="s">
        <v>62</v>
      </c>
      <c r="B303" s="17" t="s">
        <v>63</v>
      </c>
      <c r="C303" s="18">
        <v>47710</v>
      </c>
      <c r="D303" s="18">
        <v>0</v>
      </c>
      <c r="E303" s="18">
        <v>0</v>
      </c>
      <c r="F303" s="19">
        <f t="shared" si="145"/>
        <v>47710</v>
      </c>
      <c r="G303" s="30">
        <f t="shared" si="141"/>
        <v>5.7228641328840653E-2</v>
      </c>
      <c r="H303" s="18">
        <v>47710</v>
      </c>
      <c r="I303" s="18">
        <v>-7281</v>
      </c>
      <c r="J303" s="18">
        <v>0</v>
      </c>
      <c r="K303" s="18">
        <v>0</v>
      </c>
      <c r="L303" s="18">
        <v>0</v>
      </c>
      <c r="M303" s="18"/>
      <c r="N303" s="19">
        <f t="shared" si="142"/>
        <v>47710</v>
      </c>
      <c r="O303" s="19">
        <f t="shared" si="126"/>
        <v>-7281</v>
      </c>
      <c r="P303" s="19">
        <f t="shared" si="127"/>
        <v>40429</v>
      </c>
      <c r="Q303" s="30">
        <f t="shared" si="140"/>
        <v>4.8885636859632348E-2</v>
      </c>
    </row>
    <row r="304" spans="1:17" x14ac:dyDescent="0.25">
      <c r="A304" s="16" t="s">
        <v>64</v>
      </c>
      <c r="B304" s="17" t="s">
        <v>65</v>
      </c>
      <c r="C304" s="18">
        <v>100</v>
      </c>
      <c r="D304" s="18">
        <v>0</v>
      </c>
      <c r="E304" s="18">
        <v>0</v>
      </c>
      <c r="F304" s="19">
        <f t="shared" si="145"/>
        <v>100</v>
      </c>
      <c r="G304" s="30">
        <f t="shared" si="141"/>
        <v>1.1995104030358553E-4</v>
      </c>
      <c r="H304" s="18">
        <v>100</v>
      </c>
      <c r="I304" s="18">
        <v>0</v>
      </c>
      <c r="J304" s="18">
        <v>0</v>
      </c>
      <c r="K304" s="18">
        <v>0</v>
      </c>
      <c r="L304" s="18">
        <v>0</v>
      </c>
      <c r="M304" s="18"/>
      <c r="N304" s="19">
        <f t="shared" si="142"/>
        <v>100</v>
      </c>
      <c r="O304" s="19">
        <f t="shared" si="126"/>
        <v>0</v>
      </c>
      <c r="P304" s="19">
        <f t="shared" si="127"/>
        <v>100</v>
      </c>
      <c r="Q304" s="30">
        <f t="shared" si="140"/>
        <v>1.2091725459356488E-4</v>
      </c>
    </row>
    <row r="305" spans="1:17" ht="26.4" x14ac:dyDescent="0.25">
      <c r="A305" s="16" t="s">
        <v>90</v>
      </c>
      <c r="B305" s="17" t="s">
        <v>91</v>
      </c>
      <c r="C305" s="18">
        <v>0</v>
      </c>
      <c r="D305" s="18">
        <v>0</v>
      </c>
      <c r="E305" s="18">
        <v>0</v>
      </c>
      <c r="F305" s="19">
        <f t="shared" si="145"/>
        <v>0</v>
      </c>
      <c r="G305" s="30">
        <f t="shared" si="141"/>
        <v>0</v>
      </c>
      <c r="H305" s="18">
        <v>0</v>
      </c>
      <c r="I305" s="18">
        <v>0</v>
      </c>
      <c r="J305" s="18">
        <v>0</v>
      </c>
      <c r="K305" s="18">
        <v>0</v>
      </c>
      <c r="L305" s="18">
        <v>0</v>
      </c>
      <c r="M305" s="18"/>
      <c r="N305" s="19">
        <f t="shared" si="142"/>
        <v>0</v>
      </c>
      <c r="O305" s="19">
        <f t="shared" si="126"/>
        <v>0</v>
      </c>
      <c r="P305" s="19">
        <f t="shared" si="127"/>
        <v>0</v>
      </c>
      <c r="Q305" s="30">
        <f t="shared" si="140"/>
        <v>0</v>
      </c>
    </row>
    <row r="306" spans="1:17" x14ac:dyDescent="0.25">
      <c r="A306" s="16" t="s">
        <v>104</v>
      </c>
      <c r="B306" s="17" t="s">
        <v>105</v>
      </c>
      <c r="C306" s="18">
        <v>40000</v>
      </c>
      <c r="D306" s="18">
        <v>0</v>
      </c>
      <c r="E306" s="18">
        <v>0</v>
      </c>
      <c r="F306" s="19">
        <f t="shared" si="145"/>
        <v>40000</v>
      </c>
      <c r="G306" s="30">
        <f t="shared" si="141"/>
        <v>4.7980416121434208E-2</v>
      </c>
      <c r="H306" s="18">
        <v>40000</v>
      </c>
      <c r="I306" s="18">
        <v>0</v>
      </c>
      <c r="J306" s="18">
        <v>0</v>
      </c>
      <c r="K306" s="18">
        <v>0</v>
      </c>
      <c r="L306" s="18">
        <v>0</v>
      </c>
      <c r="M306" s="18"/>
      <c r="N306" s="19">
        <f t="shared" si="142"/>
        <v>40000</v>
      </c>
      <c r="O306" s="19">
        <f t="shared" si="126"/>
        <v>0</v>
      </c>
      <c r="P306" s="19">
        <f t="shared" si="127"/>
        <v>40000</v>
      </c>
      <c r="Q306" s="30">
        <f t="shared" si="140"/>
        <v>4.8366901837425952E-2</v>
      </c>
    </row>
    <row r="307" spans="1:17" x14ac:dyDescent="0.25">
      <c r="A307" s="16" t="s">
        <v>66</v>
      </c>
      <c r="B307" s="17" t="s">
        <v>67</v>
      </c>
      <c r="C307" s="18">
        <v>0</v>
      </c>
      <c r="D307" s="18">
        <v>0</v>
      </c>
      <c r="E307" s="18">
        <v>0</v>
      </c>
      <c r="F307" s="19">
        <f t="shared" si="145"/>
        <v>0</v>
      </c>
      <c r="G307" s="30">
        <f t="shared" si="141"/>
        <v>0</v>
      </c>
      <c r="H307" s="18">
        <v>0</v>
      </c>
      <c r="I307" s="18">
        <v>666</v>
      </c>
      <c r="J307" s="18">
        <v>0</v>
      </c>
      <c r="K307" s="18">
        <v>0</v>
      </c>
      <c r="L307" s="18">
        <v>0</v>
      </c>
      <c r="M307" s="18"/>
      <c r="N307" s="19">
        <f t="shared" si="142"/>
        <v>0</v>
      </c>
      <c r="O307" s="19">
        <f t="shared" si="126"/>
        <v>666</v>
      </c>
      <c r="P307" s="19">
        <f t="shared" si="127"/>
        <v>666</v>
      </c>
      <c r="Q307" s="30">
        <f t="shared" si="140"/>
        <v>8.0530891559314212E-4</v>
      </c>
    </row>
    <row r="308" spans="1:17" x14ac:dyDescent="0.25">
      <c r="A308" s="16" t="s">
        <v>68</v>
      </c>
      <c r="B308" s="17" t="s">
        <v>69</v>
      </c>
      <c r="C308" s="18">
        <v>0</v>
      </c>
      <c r="D308" s="18">
        <v>0</v>
      </c>
      <c r="E308" s="18">
        <v>0</v>
      </c>
      <c r="F308" s="19">
        <f t="shared" si="145"/>
        <v>0</v>
      </c>
      <c r="G308" s="30">
        <f t="shared" si="141"/>
        <v>0</v>
      </c>
      <c r="H308" s="18">
        <v>0</v>
      </c>
      <c r="I308" s="18"/>
      <c r="J308" s="18">
        <v>0</v>
      </c>
      <c r="K308" s="18">
        <v>0</v>
      </c>
      <c r="L308" s="18">
        <v>0</v>
      </c>
      <c r="M308" s="18"/>
      <c r="N308" s="19">
        <f t="shared" si="142"/>
        <v>0</v>
      </c>
      <c r="O308" s="19">
        <f t="shared" si="126"/>
        <v>0</v>
      </c>
      <c r="P308" s="19">
        <f t="shared" si="127"/>
        <v>0</v>
      </c>
      <c r="Q308" s="30">
        <f t="shared" si="140"/>
        <v>0</v>
      </c>
    </row>
    <row r="309" spans="1:17" ht="26.4" x14ac:dyDescent="0.25">
      <c r="A309" s="16" t="s">
        <v>92</v>
      </c>
      <c r="B309" s="17" t="s">
        <v>93</v>
      </c>
      <c r="C309" s="18">
        <v>39700</v>
      </c>
      <c r="D309" s="18">
        <v>0</v>
      </c>
      <c r="E309" s="18">
        <v>0</v>
      </c>
      <c r="F309" s="19">
        <f t="shared" si="145"/>
        <v>39700</v>
      </c>
      <c r="G309" s="30">
        <f t="shared" si="141"/>
        <v>4.7620563000523454E-2</v>
      </c>
      <c r="H309" s="18">
        <v>39700</v>
      </c>
      <c r="I309" s="18">
        <v>-2000</v>
      </c>
      <c r="J309" s="18">
        <v>0</v>
      </c>
      <c r="K309" s="18">
        <v>0</v>
      </c>
      <c r="L309" s="18">
        <v>0</v>
      </c>
      <c r="M309" s="18"/>
      <c r="N309" s="19">
        <f t="shared" si="142"/>
        <v>39700</v>
      </c>
      <c r="O309" s="19">
        <f t="shared" si="126"/>
        <v>-2000</v>
      </c>
      <c r="P309" s="19">
        <f t="shared" si="127"/>
        <v>37700</v>
      </c>
      <c r="Q309" s="30">
        <f t="shared" si="140"/>
        <v>4.5585804981773961E-2</v>
      </c>
    </row>
    <row r="310" spans="1:17" x14ac:dyDescent="0.25">
      <c r="A310" s="16" t="s">
        <v>70</v>
      </c>
      <c r="B310" s="17" t="s">
        <v>71</v>
      </c>
      <c r="C310" s="18">
        <v>0</v>
      </c>
      <c r="D310" s="18">
        <v>0</v>
      </c>
      <c r="E310" s="18">
        <v>0</v>
      </c>
      <c r="F310" s="19">
        <f t="shared" si="145"/>
        <v>0</v>
      </c>
      <c r="G310" s="30">
        <f t="shared" si="141"/>
        <v>0</v>
      </c>
      <c r="H310" s="18">
        <v>0</v>
      </c>
      <c r="I310" s="18">
        <v>0</v>
      </c>
      <c r="J310" s="18">
        <v>0</v>
      </c>
      <c r="K310" s="18">
        <v>0</v>
      </c>
      <c r="L310" s="18">
        <v>0</v>
      </c>
      <c r="M310" s="18"/>
      <c r="N310" s="19">
        <f t="shared" si="142"/>
        <v>0</v>
      </c>
      <c r="O310" s="19">
        <f t="shared" si="126"/>
        <v>0</v>
      </c>
      <c r="P310" s="19">
        <f t="shared" si="127"/>
        <v>0</v>
      </c>
      <c r="Q310" s="30">
        <f t="shared" si="140"/>
        <v>0</v>
      </c>
    </row>
    <row r="311" spans="1:17" ht="13.8" x14ac:dyDescent="0.25">
      <c r="A311" s="22" t="s">
        <v>165</v>
      </c>
      <c r="B311" s="23" t="s">
        <v>166</v>
      </c>
      <c r="C311" s="24">
        <f>C312+C324+C336+C338+C349+C352+C364</f>
        <v>10659627</v>
      </c>
      <c r="D311" s="24">
        <f t="shared" ref="D311:E311" si="146">D312+D324+D336+D338+D349+D352+D364</f>
        <v>774400</v>
      </c>
      <c r="E311" s="24">
        <f t="shared" si="146"/>
        <v>277626</v>
      </c>
      <c r="F311" s="24">
        <f t="shared" si="145"/>
        <v>11711653</v>
      </c>
      <c r="G311" s="25">
        <f t="shared" si="141"/>
        <v>14.048249610246083</v>
      </c>
      <c r="H311" s="24">
        <f>H312+H324+H336+H338+H349+H352+H364</f>
        <v>10659627</v>
      </c>
      <c r="I311" s="24">
        <f>I312+I324+I336+I338+I349+I352+I364</f>
        <v>-332086</v>
      </c>
      <c r="J311" s="24">
        <f t="shared" ref="J311:L311" si="147">J312+J324+J336+J338+J349+J352+J364</f>
        <v>774400</v>
      </c>
      <c r="K311" s="24">
        <f t="shared" ref="K311" si="148">K312+K324+K336+K338+K349+K352+K364</f>
        <v>21262</v>
      </c>
      <c r="L311" s="24">
        <f t="shared" si="147"/>
        <v>277626</v>
      </c>
      <c r="M311" s="24">
        <f t="shared" ref="M311" si="149">M312+M324+M336+M338+M349+M352+M364</f>
        <v>0</v>
      </c>
      <c r="N311" s="24">
        <f t="shared" si="142"/>
        <v>11711653</v>
      </c>
      <c r="O311" s="24">
        <f t="shared" si="126"/>
        <v>-310824</v>
      </c>
      <c r="P311" s="24">
        <f t="shared" si="127"/>
        <v>11400829</v>
      </c>
      <c r="Q311" s="25">
        <f t="shared" si="140"/>
        <v>13.785569427706978</v>
      </c>
    </row>
    <row r="312" spans="1:17" ht="57.75" customHeight="1" x14ac:dyDescent="0.25">
      <c r="A312" s="33" t="s">
        <v>167</v>
      </c>
      <c r="B312" s="34" t="s">
        <v>168</v>
      </c>
      <c r="C312" s="28">
        <f t="shared" ref="C312:D312" si="150">SUM(C313:C323)</f>
        <v>966154</v>
      </c>
      <c r="D312" s="28">
        <f t="shared" si="150"/>
        <v>738770</v>
      </c>
      <c r="E312" s="28">
        <f>SUM(E313:E323)</f>
        <v>145798</v>
      </c>
      <c r="F312" s="28">
        <f t="shared" si="145"/>
        <v>1850722</v>
      </c>
      <c r="G312" s="29">
        <f t="shared" si="141"/>
        <v>2.219960292127324</v>
      </c>
      <c r="H312" s="28">
        <f t="shared" ref="H312:J312" si="151">SUM(H313:H323)</f>
        <v>966154</v>
      </c>
      <c r="I312" s="28">
        <f t="shared" ref="I312" si="152">SUM(I313:I323)</f>
        <v>-55283</v>
      </c>
      <c r="J312" s="28">
        <f t="shared" si="151"/>
        <v>738770</v>
      </c>
      <c r="K312" s="28">
        <f t="shared" ref="K312" si="153">SUM(K313:K323)</f>
        <v>0</v>
      </c>
      <c r="L312" s="28">
        <f>SUM(L313:L323)</f>
        <v>145798</v>
      </c>
      <c r="M312" s="28">
        <f>SUM(M313:M323)</f>
        <v>0</v>
      </c>
      <c r="N312" s="28">
        <f t="shared" si="142"/>
        <v>1850722</v>
      </c>
      <c r="O312" s="28">
        <f t="shared" si="126"/>
        <v>-55283</v>
      </c>
      <c r="P312" s="28">
        <f t="shared" si="127"/>
        <v>1795439</v>
      </c>
      <c r="Q312" s="29">
        <f t="shared" si="140"/>
        <v>2.1709955467021556</v>
      </c>
    </row>
    <row r="313" spans="1:17" x14ac:dyDescent="0.25">
      <c r="A313" s="16" t="s">
        <v>54</v>
      </c>
      <c r="B313" s="17" t="s">
        <v>55</v>
      </c>
      <c r="C313" s="18">
        <v>501356</v>
      </c>
      <c r="D313" s="18">
        <v>526256</v>
      </c>
      <c r="E313" s="18">
        <v>0</v>
      </c>
      <c r="F313" s="19">
        <f t="shared" si="145"/>
        <v>1027612</v>
      </c>
      <c r="G313" s="30">
        <f t="shared" si="141"/>
        <v>1.2326312842844813</v>
      </c>
      <c r="H313" s="18">
        <v>501356</v>
      </c>
      <c r="I313" s="18">
        <v>-35240</v>
      </c>
      <c r="J313" s="18">
        <v>526256</v>
      </c>
      <c r="K313" s="18"/>
      <c r="L313" s="18">
        <v>0</v>
      </c>
      <c r="M313" s="18"/>
      <c r="N313" s="19">
        <f t="shared" si="142"/>
        <v>1027612</v>
      </c>
      <c r="O313" s="19">
        <f t="shared" si="126"/>
        <v>-35240</v>
      </c>
      <c r="P313" s="19">
        <f t="shared" si="127"/>
        <v>992372</v>
      </c>
      <c r="Q313" s="30">
        <f t="shared" si="140"/>
        <v>1.1999489777552517</v>
      </c>
    </row>
    <row r="314" spans="1:17" ht="26.4" x14ac:dyDescent="0.25">
      <c r="A314" s="16" t="s">
        <v>56</v>
      </c>
      <c r="B314" s="17" t="s">
        <v>57</v>
      </c>
      <c r="C314" s="18">
        <v>142856</v>
      </c>
      <c r="D314" s="18">
        <v>124144</v>
      </c>
      <c r="E314" s="18">
        <v>0</v>
      </c>
      <c r="F314" s="19">
        <f t="shared" si="145"/>
        <v>267000</v>
      </c>
      <c r="G314" s="30">
        <f t="shared" si="141"/>
        <v>0.32026927761057333</v>
      </c>
      <c r="H314" s="18">
        <v>142856</v>
      </c>
      <c r="I314" s="18">
        <v>-8313</v>
      </c>
      <c r="J314" s="18">
        <v>124144</v>
      </c>
      <c r="K314" s="18"/>
      <c r="L314" s="18">
        <v>0</v>
      </c>
      <c r="M314" s="18"/>
      <c r="N314" s="19">
        <f t="shared" si="142"/>
        <v>267000</v>
      </c>
      <c r="O314" s="19">
        <f t="shared" si="126"/>
        <v>-8313</v>
      </c>
      <c r="P314" s="19">
        <f t="shared" si="127"/>
        <v>258687</v>
      </c>
      <c r="Q314" s="30">
        <f t="shared" si="140"/>
        <v>0.31279721839045521</v>
      </c>
    </row>
    <row r="315" spans="1:17" x14ac:dyDescent="0.25">
      <c r="A315" s="16" t="s">
        <v>58</v>
      </c>
      <c r="B315" s="17" t="s">
        <v>59</v>
      </c>
      <c r="C315" s="18">
        <v>2046</v>
      </c>
      <c r="D315" s="18">
        <v>0</v>
      </c>
      <c r="E315" s="18">
        <v>3679</v>
      </c>
      <c r="F315" s="19">
        <f t="shared" si="145"/>
        <v>5725</v>
      </c>
      <c r="G315" s="30">
        <f t="shared" si="141"/>
        <v>6.8671970573802718E-3</v>
      </c>
      <c r="H315" s="18">
        <v>2046</v>
      </c>
      <c r="I315" s="18">
        <v>-1650</v>
      </c>
      <c r="J315" s="18">
        <v>0</v>
      </c>
      <c r="K315" s="18"/>
      <c r="L315" s="18">
        <v>3679</v>
      </c>
      <c r="M315" s="18"/>
      <c r="N315" s="19">
        <f t="shared" si="142"/>
        <v>5725</v>
      </c>
      <c r="O315" s="19">
        <f t="shared" si="126"/>
        <v>-1650</v>
      </c>
      <c r="P315" s="19">
        <f t="shared" si="127"/>
        <v>4075</v>
      </c>
      <c r="Q315" s="30">
        <f t="shared" si="140"/>
        <v>4.9273781246877693E-3</v>
      </c>
    </row>
    <row r="316" spans="1:17" x14ac:dyDescent="0.25">
      <c r="A316" s="16" t="s">
        <v>60</v>
      </c>
      <c r="B316" s="17" t="s">
        <v>61</v>
      </c>
      <c r="C316" s="18">
        <v>86014</v>
      </c>
      <c r="D316" s="18">
        <v>0</v>
      </c>
      <c r="E316" s="18">
        <v>3479</v>
      </c>
      <c r="F316" s="19">
        <f t="shared" si="145"/>
        <v>89493</v>
      </c>
      <c r="G316" s="30">
        <f t="shared" si="141"/>
        <v>0.10734778449888779</v>
      </c>
      <c r="H316" s="18">
        <v>86014</v>
      </c>
      <c r="I316" s="18">
        <v>-3400</v>
      </c>
      <c r="J316" s="18">
        <v>0</v>
      </c>
      <c r="K316" s="18"/>
      <c r="L316" s="18">
        <v>3479</v>
      </c>
      <c r="M316" s="18"/>
      <c r="N316" s="19">
        <f t="shared" si="142"/>
        <v>89493</v>
      </c>
      <c r="O316" s="19">
        <f t="shared" si="126"/>
        <v>-3400</v>
      </c>
      <c r="P316" s="19">
        <f t="shared" si="127"/>
        <v>86093</v>
      </c>
      <c r="Q316" s="30">
        <f t="shared" si="140"/>
        <v>0.10410129199723782</v>
      </c>
    </row>
    <row r="317" spans="1:17" ht="26.4" x14ac:dyDescent="0.25">
      <c r="A317" s="16" t="s">
        <v>62</v>
      </c>
      <c r="B317" s="17" t="s">
        <v>63</v>
      </c>
      <c r="C317" s="18">
        <v>75445</v>
      </c>
      <c r="D317" s="18">
        <v>68370</v>
      </c>
      <c r="E317" s="18">
        <v>300</v>
      </c>
      <c r="F317" s="19">
        <f t="shared" si="145"/>
        <v>144115</v>
      </c>
      <c r="G317" s="30">
        <f t="shared" si="141"/>
        <v>0.17286744173351229</v>
      </c>
      <c r="H317" s="18">
        <v>75445</v>
      </c>
      <c r="I317" s="18">
        <v>-6680</v>
      </c>
      <c r="J317" s="18">
        <v>68370</v>
      </c>
      <c r="K317" s="18">
        <v>-33000</v>
      </c>
      <c r="L317" s="18">
        <v>300</v>
      </c>
      <c r="M317" s="18"/>
      <c r="N317" s="19">
        <f t="shared" si="142"/>
        <v>144115</v>
      </c>
      <c r="O317" s="19">
        <f t="shared" si="126"/>
        <v>-39680</v>
      </c>
      <c r="P317" s="19">
        <f t="shared" si="127"/>
        <v>104435</v>
      </c>
      <c r="Q317" s="30">
        <f t="shared" si="140"/>
        <v>0.1262799348347895</v>
      </c>
    </row>
    <row r="318" spans="1:17" x14ac:dyDescent="0.25">
      <c r="A318" s="16" t="s">
        <v>64</v>
      </c>
      <c r="B318" s="17" t="s">
        <v>65</v>
      </c>
      <c r="C318" s="18">
        <v>1401</v>
      </c>
      <c r="D318" s="18">
        <v>0</v>
      </c>
      <c r="E318" s="18">
        <v>0</v>
      </c>
      <c r="F318" s="19">
        <f t="shared" si="145"/>
        <v>1401</v>
      </c>
      <c r="G318" s="30">
        <f t="shared" si="141"/>
        <v>1.6805140746532332E-3</v>
      </c>
      <c r="H318" s="18">
        <v>1401</v>
      </c>
      <c r="I318" s="18"/>
      <c r="J318" s="18">
        <v>0</v>
      </c>
      <c r="K318" s="18"/>
      <c r="L318" s="18">
        <v>0</v>
      </c>
      <c r="M318" s="18"/>
      <c r="N318" s="19">
        <f t="shared" si="142"/>
        <v>1401</v>
      </c>
      <c r="O318" s="19">
        <f t="shared" si="126"/>
        <v>0</v>
      </c>
      <c r="P318" s="19">
        <f t="shared" si="127"/>
        <v>1401</v>
      </c>
      <c r="Q318" s="30">
        <f t="shared" si="140"/>
        <v>1.694050736855844E-3</v>
      </c>
    </row>
    <row r="319" spans="1:17" x14ac:dyDescent="0.25">
      <c r="A319" s="16" t="s">
        <v>66</v>
      </c>
      <c r="B319" s="17" t="s">
        <v>67</v>
      </c>
      <c r="C319" s="18">
        <v>2000</v>
      </c>
      <c r="D319" s="18">
        <v>20000</v>
      </c>
      <c r="E319" s="18">
        <v>132900</v>
      </c>
      <c r="F319" s="19">
        <f t="shared" si="145"/>
        <v>154900</v>
      </c>
      <c r="G319" s="30">
        <f t="shared" si="141"/>
        <v>0.18580416143025399</v>
      </c>
      <c r="H319" s="18">
        <v>2000</v>
      </c>
      <c r="I319" s="18"/>
      <c r="J319" s="18">
        <v>20000</v>
      </c>
      <c r="K319" s="18"/>
      <c r="L319" s="18">
        <v>132900</v>
      </c>
      <c r="M319" s="18">
        <v>-132900</v>
      </c>
      <c r="N319" s="19">
        <f t="shared" si="142"/>
        <v>154900</v>
      </c>
      <c r="O319" s="19">
        <f t="shared" si="126"/>
        <v>-132900</v>
      </c>
      <c r="P319" s="19">
        <f t="shared" si="127"/>
        <v>22000</v>
      </c>
      <c r="Q319" s="30">
        <f t="shared" si="140"/>
        <v>2.6601796010584274E-2</v>
      </c>
    </row>
    <row r="320" spans="1:17" x14ac:dyDescent="0.25">
      <c r="A320" s="16" t="s">
        <v>68</v>
      </c>
      <c r="B320" s="17" t="s">
        <v>69</v>
      </c>
      <c r="C320" s="18">
        <v>90163</v>
      </c>
      <c r="D320" s="18">
        <v>0</v>
      </c>
      <c r="E320" s="18">
        <v>0</v>
      </c>
      <c r="F320" s="19">
        <f t="shared" si="145"/>
        <v>90163</v>
      </c>
      <c r="G320" s="30">
        <f t="shared" si="141"/>
        <v>0.10815145646892182</v>
      </c>
      <c r="H320" s="18">
        <v>90163</v>
      </c>
      <c r="I320" s="18"/>
      <c r="J320" s="18">
        <v>0</v>
      </c>
      <c r="K320" s="18">
        <v>33000</v>
      </c>
      <c r="L320" s="18">
        <v>0</v>
      </c>
      <c r="M320" s="18"/>
      <c r="N320" s="19">
        <f t="shared" ref="N320:N351" si="154">H320+J320+L320</f>
        <v>90163</v>
      </c>
      <c r="O320" s="19">
        <f t="shared" si="126"/>
        <v>33000</v>
      </c>
      <c r="P320" s="19">
        <f t="shared" si="127"/>
        <v>123163</v>
      </c>
      <c r="Q320" s="30">
        <f t="shared" si="140"/>
        <v>0.14892531827507233</v>
      </c>
    </row>
    <row r="321" spans="1:17" x14ac:dyDescent="0.25">
      <c r="A321" s="16" t="s">
        <v>151</v>
      </c>
      <c r="B321" s="17" t="s">
        <v>152</v>
      </c>
      <c r="C321" s="18">
        <v>38113</v>
      </c>
      <c r="D321" s="18">
        <v>0</v>
      </c>
      <c r="E321" s="18">
        <v>0</v>
      </c>
      <c r="F321" s="19">
        <f t="shared" si="145"/>
        <v>38113</v>
      </c>
      <c r="G321" s="30">
        <f t="shared" si="141"/>
        <v>4.571693999090555E-2</v>
      </c>
      <c r="H321" s="18">
        <v>38113</v>
      </c>
      <c r="I321" s="18"/>
      <c r="J321" s="18">
        <v>0</v>
      </c>
      <c r="K321" s="18"/>
      <c r="L321" s="18">
        <v>0</v>
      </c>
      <c r="M321" s="18">
        <v>132900</v>
      </c>
      <c r="N321" s="19">
        <f t="shared" si="154"/>
        <v>38113</v>
      </c>
      <c r="O321" s="19">
        <f t="shared" si="126"/>
        <v>132900</v>
      </c>
      <c r="P321" s="19">
        <f t="shared" si="127"/>
        <v>171013</v>
      </c>
      <c r="Q321" s="30">
        <f t="shared" si="140"/>
        <v>0.20678422459809312</v>
      </c>
    </row>
    <row r="322" spans="1:17" ht="26.4" x14ac:dyDescent="0.25">
      <c r="A322" s="16" t="s">
        <v>92</v>
      </c>
      <c r="B322" s="17" t="s">
        <v>93</v>
      </c>
      <c r="C322" s="18">
        <v>26760</v>
      </c>
      <c r="D322" s="18">
        <v>0</v>
      </c>
      <c r="E322" s="18">
        <v>0</v>
      </c>
      <c r="F322" s="19">
        <f t="shared" si="145"/>
        <v>26760</v>
      </c>
      <c r="G322" s="30">
        <f t="shared" si="141"/>
        <v>3.2098898385239487E-2</v>
      </c>
      <c r="H322" s="18">
        <v>26760</v>
      </c>
      <c r="I322" s="18"/>
      <c r="J322" s="18">
        <v>0</v>
      </c>
      <c r="K322" s="18"/>
      <c r="L322" s="18">
        <v>0</v>
      </c>
      <c r="M322" s="18"/>
      <c r="N322" s="19">
        <f t="shared" si="154"/>
        <v>26760</v>
      </c>
      <c r="O322" s="19">
        <f t="shared" si="126"/>
        <v>0</v>
      </c>
      <c r="P322" s="19">
        <f t="shared" si="127"/>
        <v>26760</v>
      </c>
      <c r="Q322" s="30">
        <f t="shared" si="140"/>
        <v>3.2357457329237962E-2</v>
      </c>
    </row>
    <row r="323" spans="1:17" x14ac:dyDescent="0.25">
      <c r="A323" s="16" t="s">
        <v>108</v>
      </c>
      <c r="B323" s="17" t="s">
        <v>109</v>
      </c>
      <c r="C323" s="18">
        <v>0</v>
      </c>
      <c r="D323" s="18">
        <v>0</v>
      </c>
      <c r="E323" s="18">
        <v>5440</v>
      </c>
      <c r="F323" s="19">
        <f t="shared" si="145"/>
        <v>5440</v>
      </c>
      <c r="G323" s="30">
        <f t="shared" si="141"/>
        <v>6.5253365925150523E-3</v>
      </c>
      <c r="H323" s="18">
        <v>0</v>
      </c>
      <c r="I323" s="18"/>
      <c r="J323" s="18">
        <v>0</v>
      </c>
      <c r="K323" s="18"/>
      <c r="L323" s="18">
        <v>5440</v>
      </c>
      <c r="M323" s="18"/>
      <c r="N323" s="19">
        <f t="shared" si="154"/>
        <v>5440</v>
      </c>
      <c r="O323" s="19">
        <f t="shared" si="126"/>
        <v>0</v>
      </c>
      <c r="P323" s="19">
        <f t="shared" si="127"/>
        <v>5440</v>
      </c>
      <c r="Q323" s="30">
        <f t="shared" si="140"/>
        <v>6.5778986498899296E-3</v>
      </c>
    </row>
    <row r="324" spans="1:17" ht="41.4" x14ac:dyDescent="0.25">
      <c r="A324" s="33" t="s">
        <v>169</v>
      </c>
      <c r="B324" s="34" t="s">
        <v>225</v>
      </c>
      <c r="C324" s="28">
        <f>SUM(C325:C335)</f>
        <v>6248442</v>
      </c>
      <c r="D324" s="28">
        <f t="shared" ref="D324:E324" si="155">SUM(D325:D335)</f>
        <v>0</v>
      </c>
      <c r="E324" s="28">
        <f t="shared" si="155"/>
        <v>0</v>
      </c>
      <c r="F324" s="28">
        <f t="shared" si="145"/>
        <v>6248442</v>
      </c>
      <c r="G324" s="29">
        <f t="shared" si="141"/>
        <v>7.4950711817661659</v>
      </c>
      <c r="H324" s="28">
        <f>SUM(H325:H335)</f>
        <v>6248442</v>
      </c>
      <c r="I324" s="28">
        <f>SUM(I325:I335)</f>
        <v>-211609</v>
      </c>
      <c r="J324" s="28">
        <f t="shared" ref="J324:M324" si="156">SUM(J325:J335)</f>
        <v>0</v>
      </c>
      <c r="K324" s="28">
        <f t="shared" si="156"/>
        <v>0</v>
      </c>
      <c r="L324" s="28">
        <f t="shared" si="156"/>
        <v>0</v>
      </c>
      <c r="M324" s="28">
        <f t="shared" si="156"/>
        <v>0</v>
      </c>
      <c r="N324" s="28">
        <f t="shared" si="154"/>
        <v>6248442</v>
      </c>
      <c r="O324" s="28">
        <f t="shared" si="126"/>
        <v>-211609</v>
      </c>
      <c r="P324" s="28">
        <f t="shared" si="127"/>
        <v>6036833</v>
      </c>
      <c r="Q324" s="29">
        <f t="shared" si="140"/>
        <v>7.2995727279983411</v>
      </c>
    </row>
    <row r="325" spans="1:17" x14ac:dyDescent="0.25">
      <c r="A325" s="16" t="s">
        <v>54</v>
      </c>
      <c r="B325" s="17" t="s">
        <v>55</v>
      </c>
      <c r="C325" s="18">
        <v>2455996</v>
      </c>
      <c r="D325" s="18">
        <v>0</v>
      </c>
      <c r="E325" s="18">
        <v>0</v>
      </c>
      <c r="F325" s="19">
        <f t="shared" si="145"/>
        <v>2455996</v>
      </c>
      <c r="G325" s="30">
        <f t="shared" si="141"/>
        <v>2.9459927518144484</v>
      </c>
      <c r="H325" s="18">
        <v>2455996</v>
      </c>
      <c r="I325" s="18">
        <v>-134980</v>
      </c>
      <c r="J325" s="18">
        <v>0</v>
      </c>
      <c r="K325" s="18"/>
      <c r="L325" s="18">
        <v>0</v>
      </c>
      <c r="M325" s="18"/>
      <c r="N325" s="19">
        <f t="shared" si="154"/>
        <v>2455996</v>
      </c>
      <c r="O325" s="19">
        <f t="shared" si="126"/>
        <v>-134980</v>
      </c>
      <c r="P325" s="19">
        <f t="shared" si="127"/>
        <v>2321016</v>
      </c>
      <c r="Q325" s="30">
        <f t="shared" si="140"/>
        <v>2.8065088258773758</v>
      </c>
    </row>
    <row r="326" spans="1:17" ht="26.4" x14ac:dyDescent="0.25">
      <c r="A326" s="16" t="s">
        <v>56</v>
      </c>
      <c r="B326" s="17" t="s">
        <v>57</v>
      </c>
      <c r="C326" s="18">
        <v>732111</v>
      </c>
      <c r="D326" s="18">
        <v>0</v>
      </c>
      <c r="E326" s="18">
        <v>0</v>
      </c>
      <c r="F326" s="19">
        <f t="shared" si="145"/>
        <v>732111</v>
      </c>
      <c r="G326" s="30">
        <f t="shared" si="141"/>
        <v>0.87817476067698308</v>
      </c>
      <c r="H326" s="18">
        <v>732111</v>
      </c>
      <c r="I326" s="18">
        <v>-31841</v>
      </c>
      <c r="J326" s="18">
        <v>0</v>
      </c>
      <c r="K326" s="18"/>
      <c r="L326" s="18">
        <v>0</v>
      </c>
      <c r="M326" s="18"/>
      <c r="N326" s="19">
        <f t="shared" si="154"/>
        <v>732111</v>
      </c>
      <c r="O326" s="19">
        <f t="shared" si="126"/>
        <v>-31841</v>
      </c>
      <c r="P326" s="19">
        <f t="shared" si="127"/>
        <v>700270</v>
      </c>
      <c r="Q326" s="30">
        <f t="shared" si="140"/>
        <v>0.84674725874235679</v>
      </c>
    </row>
    <row r="327" spans="1:17" x14ac:dyDescent="0.25">
      <c r="A327" s="16" t="s">
        <v>58</v>
      </c>
      <c r="B327" s="17" t="s">
        <v>59</v>
      </c>
      <c r="C327" s="18">
        <v>2119</v>
      </c>
      <c r="D327" s="18">
        <v>0</v>
      </c>
      <c r="E327" s="18">
        <v>0</v>
      </c>
      <c r="F327" s="19">
        <f t="shared" si="145"/>
        <v>2119</v>
      </c>
      <c r="G327" s="30">
        <f t="shared" si="141"/>
        <v>2.5417625440329774E-3</v>
      </c>
      <c r="H327" s="18">
        <v>2119</v>
      </c>
      <c r="I327" s="18"/>
      <c r="J327" s="18">
        <v>0</v>
      </c>
      <c r="K327" s="18"/>
      <c r="L327" s="18">
        <v>0</v>
      </c>
      <c r="M327" s="18"/>
      <c r="N327" s="19">
        <f t="shared" si="154"/>
        <v>2119</v>
      </c>
      <c r="O327" s="19">
        <f t="shared" si="126"/>
        <v>0</v>
      </c>
      <c r="P327" s="19">
        <f t="shared" si="127"/>
        <v>2119</v>
      </c>
      <c r="Q327" s="30">
        <f t="shared" si="140"/>
        <v>2.5622366248376398E-3</v>
      </c>
    </row>
    <row r="328" spans="1:17" x14ac:dyDescent="0.25">
      <c r="A328" s="16" t="s">
        <v>60</v>
      </c>
      <c r="B328" s="17" t="s">
        <v>61</v>
      </c>
      <c r="C328" s="18">
        <v>481603</v>
      </c>
      <c r="D328" s="18">
        <v>0</v>
      </c>
      <c r="E328" s="18">
        <v>0</v>
      </c>
      <c r="F328" s="19">
        <f t="shared" si="145"/>
        <v>481603</v>
      </c>
      <c r="G328" s="30">
        <f t="shared" si="141"/>
        <v>0.57768780863327696</v>
      </c>
      <c r="H328" s="18">
        <v>481603</v>
      </c>
      <c r="I328" s="18"/>
      <c r="J328" s="18">
        <v>0</v>
      </c>
      <c r="K328" s="18"/>
      <c r="L328" s="18">
        <v>0</v>
      </c>
      <c r="M328" s="18"/>
      <c r="N328" s="19">
        <f t="shared" si="154"/>
        <v>481603</v>
      </c>
      <c r="O328" s="19">
        <f t="shared" si="126"/>
        <v>0</v>
      </c>
      <c r="P328" s="19">
        <f t="shared" si="127"/>
        <v>481603</v>
      </c>
      <c r="Q328" s="30">
        <f t="shared" si="140"/>
        <v>0.58234112564024632</v>
      </c>
    </row>
    <row r="329" spans="1:17" ht="26.4" x14ac:dyDescent="0.25">
      <c r="A329" s="16" t="s">
        <v>62</v>
      </c>
      <c r="B329" s="17" t="s">
        <v>63</v>
      </c>
      <c r="C329" s="18">
        <v>1532431</v>
      </c>
      <c r="D329" s="18">
        <v>0</v>
      </c>
      <c r="E329" s="18">
        <v>0</v>
      </c>
      <c r="F329" s="19">
        <f t="shared" si="145"/>
        <v>1532431</v>
      </c>
      <c r="G329" s="30">
        <f t="shared" si="141"/>
        <v>1.8381669264346387</v>
      </c>
      <c r="H329" s="18">
        <v>1532431</v>
      </c>
      <c r="I329" s="18">
        <v>-26950</v>
      </c>
      <c r="J329" s="18">
        <v>0</v>
      </c>
      <c r="K329" s="18"/>
      <c r="L329" s="18">
        <v>0</v>
      </c>
      <c r="M329" s="18"/>
      <c r="N329" s="19">
        <f t="shared" si="154"/>
        <v>1532431</v>
      </c>
      <c r="O329" s="19">
        <f t="shared" si="126"/>
        <v>-26950</v>
      </c>
      <c r="P329" s="19">
        <f t="shared" si="127"/>
        <v>1505481</v>
      </c>
      <c r="Q329" s="30">
        <f t="shared" si="140"/>
        <v>1.8203862936277466</v>
      </c>
    </row>
    <row r="330" spans="1:17" x14ac:dyDescent="0.25">
      <c r="A330" s="16" t="s">
        <v>64</v>
      </c>
      <c r="B330" s="17" t="s">
        <v>65</v>
      </c>
      <c r="C330" s="18">
        <v>2673</v>
      </c>
      <c r="D330" s="18">
        <v>0</v>
      </c>
      <c r="E330" s="18">
        <v>0</v>
      </c>
      <c r="F330" s="19">
        <f t="shared" si="145"/>
        <v>2673</v>
      </c>
      <c r="G330" s="30">
        <f t="shared" si="141"/>
        <v>3.2062913073148411E-3</v>
      </c>
      <c r="H330" s="18">
        <v>2673</v>
      </c>
      <c r="I330" s="18"/>
      <c r="J330" s="18">
        <v>0</v>
      </c>
      <c r="K330" s="18"/>
      <c r="L330" s="18">
        <v>0</v>
      </c>
      <c r="M330" s="18"/>
      <c r="N330" s="19">
        <f t="shared" si="154"/>
        <v>2673</v>
      </c>
      <c r="O330" s="19">
        <f t="shared" ref="O330:O393" si="157">I330+K330+M330</f>
        <v>0</v>
      </c>
      <c r="P330" s="19">
        <f t="shared" ref="P330:P393" si="158">N330+O330</f>
        <v>2673</v>
      </c>
      <c r="Q330" s="30">
        <f t="shared" si="140"/>
        <v>3.2321182152859895E-3</v>
      </c>
    </row>
    <row r="331" spans="1:17" ht="26.4" x14ac:dyDescent="0.25">
      <c r="A331" s="16" t="s">
        <v>90</v>
      </c>
      <c r="B331" s="17" t="s">
        <v>91</v>
      </c>
      <c r="C331" s="18">
        <v>17688</v>
      </c>
      <c r="D331" s="18">
        <v>0</v>
      </c>
      <c r="E331" s="18">
        <v>0</v>
      </c>
      <c r="F331" s="19">
        <f t="shared" si="145"/>
        <v>17688</v>
      </c>
      <c r="G331" s="30">
        <f t="shared" si="141"/>
        <v>2.1216940008898209E-2</v>
      </c>
      <c r="H331" s="18">
        <v>17688</v>
      </c>
      <c r="I331" s="18"/>
      <c r="J331" s="18">
        <v>0</v>
      </c>
      <c r="K331" s="18"/>
      <c r="L331" s="18">
        <v>0</v>
      </c>
      <c r="M331" s="18"/>
      <c r="N331" s="19">
        <f t="shared" si="154"/>
        <v>17688</v>
      </c>
      <c r="O331" s="19">
        <f t="shared" si="157"/>
        <v>0</v>
      </c>
      <c r="P331" s="19">
        <f t="shared" si="158"/>
        <v>17688</v>
      </c>
      <c r="Q331" s="30">
        <f t="shared" si="140"/>
        <v>2.1387843992509755E-2</v>
      </c>
    </row>
    <row r="332" spans="1:17" x14ac:dyDescent="0.25">
      <c r="A332" s="16" t="s">
        <v>66</v>
      </c>
      <c r="B332" s="17" t="s">
        <v>67</v>
      </c>
      <c r="C332" s="18">
        <v>538516</v>
      </c>
      <c r="D332" s="18">
        <v>0</v>
      </c>
      <c r="E332" s="18">
        <v>0</v>
      </c>
      <c r="F332" s="19">
        <f t="shared" si="145"/>
        <v>538516</v>
      </c>
      <c r="G332" s="30">
        <f t="shared" si="141"/>
        <v>0.64595554420125667</v>
      </c>
      <c r="H332" s="18">
        <v>538516</v>
      </c>
      <c r="I332" s="18">
        <v>-17838</v>
      </c>
      <c r="J332" s="18">
        <v>0</v>
      </c>
      <c r="K332" s="18"/>
      <c r="L332" s="18">
        <v>0</v>
      </c>
      <c r="M332" s="18"/>
      <c r="N332" s="19">
        <f t="shared" si="154"/>
        <v>538516</v>
      </c>
      <c r="O332" s="19">
        <f t="shared" si="157"/>
        <v>-17838</v>
      </c>
      <c r="P332" s="19">
        <f t="shared" si="158"/>
        <v>520678</v>
      </c>
      <c r="Q332" s="30">
        <f t="shared" si="140"/>
        <v>0.62958954287268176</v>
      </c>
    </row>
    <row r="333" spans="1:17" x14ac:dyDescent="0.25">
      <c r="A333" s="16" t="s">
        <v>68</v>
      </c>
      <c r="B333" s="17" t="s">
        <v>69</v>
      </c>
      <c r="C333" s="18">
        <v>297496</v>
      </c>
      <c r="D333" s="18">
        <v>0</v>
      </c>
      <c r="E333" s="18">
        <v>0</v>
      </c>
      <c r="F333" s="19">
        <f t="shared" si="145"/>
        <v>297496</v>
      </c>
      <c r="G333" s="30">
        <f t="shared" si="141"/>
        <v>0.35684954686155479</v>
      </c>
      <c r="H333" s="18">
        <v>297496</v>
      </c>
      <c r="I333" s="18"/>
      <c r="J333" s="18">
        <v>0</v>
      </c>
      <c r="K333" s="18"/>
      <c r="L333" s="18">
        <v>0</v>
      </c>
      <c r="M333" s="18"/>
      <c r="N333" s="19">
        <f t="shared" si="154"/>
        <v>297496</v>
      </c>
      <c r="O333" s="19">
        <f t="shared" si="157"/>
        <v>0</v>
      </c>
      <c r="P333" s="19">
        <f t="shared" si="158"/>
        <v>297496</v>
      </c>
      <c r="Q333" s="30">
        <f t="shared" si="140"/>
        <v>0.35972399572567176</v>
      </c>
    </row>
    <row r="334" spans="1:17" x14ac:dyDescent="0.25">
      <c r="A334" s="16" t="s">
        <v>151</v>
      </c>
      <c r="B334" s="17" t="s">
        <v>152</v>
      </c>
      <c r="C334" s="18">
        <v>75277</v>
      </c>
      <c r="D334" s="18">
        <v>0</v>
      </c>
      <c r="E334" s="18">
        <v>0</v>
      </c>
      <c r="F334" s="19">
        <f t="shared" si="145"/>
        <v>75277</v>
      </c>
      <c r="G334" s="30">
        <f t="shared" si="141"/>
        <v>9.0295544609330078E-2</v>
      </c>
      <c r="H334" s="18">
        <v>75277</v>
      </c>
      <c r="I334" s="18"/>
      <c r="J334" s="18">
        <v>0</v>
      </c>
      <c r="K334" s="18"/>
      <c r="L334" s="18">
        <v>0</v>
      </c>
      <c r="M334" s="18"/>
      <c r="N334" s="19">
        <f t="shared" si="154"/>
        <v>75277</v>
      </c>
      <c r="O334" s="19">
        <f t="shared" si="157"/>
        <v>0</v>
      </c>
      <c r="P334" s="19">
        <f t="shared" si="158"/>
        <v>75277</v>
      </c>
      <c r="Q334" s="30">
        <f t="shared" si="140"/>
        <v>9.102288174039784E-2</v>
      </c>
    </row>
    <row r="335" spans="1:17" ht="26.4" x14ac:dyDescent="0.25">
      <c r="A335" s="16" t="s">
        <v>92</v>
      </c>
      <c r="B335" s="17" t="s">
        <v>93</v>
      </c>
      <c r="C335" s="18">
        <v>112532</v>
      </c>
      <c r="D335" s="18">
        <v>0</v>
      </c>
      <c r="E335" s="18">
        <v>0</v>
      </c>
      <c r="F335" s="19">
        <f t="shared" si="145"/>
        <v>112532</v>
      </c>
      <c r="G335" s="30">
        <f t="shared" si="141"/>
        <v>0.13498330467443087</v>
      </c>
      <c r="H335" s="18">
        <v>112532</v>
      </c>
      <c r="I335" s="18"/>
      <c r="J335" s="18">
        <v>0</v>
      </c>
      <c r="K335" s="18"/>
      <c r="L335" s="18">
        <v>0</v>
      </c>
      <c r="M335" s="18"/>
      <c r="N335" s="19">
        <f t="shared" si="154"/>
        <v>112532</v>
      </c>
      <c r="O335" s="19">
        <f t="shared" si="157"/>
        <v>0</v>
      </c>
      <c r="P335" s="19">
        <f t="shared" si="158"/>
        <v>112532</v>
      </c>
      <c r="Q335" s="30">
        <f t="shared" si="140"/>
        <v>0.13607060493923043</v>
      </c>
    </row>
    <row r="336" spans="1:17" ht="27.6" x14ac:dyDescent="0.25">
      <c r="A336" s="39" t="s">
        <v>170</v>
      </c>
      <c r="B336" s="34" t="s">
        <v>171</v>
      </c>
      <c r="C336" s="28">
        <f>C337</f>
        <v>32800</v>
      </c>
      <c r="D336" s="28">
        <f t="shared" ref="D336:E336" si="159">D337</f>
        <v>0</v>
      </c>
      <c r="E336" s="28">
        <f t="shared" si="159"/>
        <v>0</v>
      </c>
      <c r="F336" s="28">
        <f t="shared" si="145"/>
        <v>32800</v>
      </c>
      <c r="G336" s="29">
        <f t="shared" si="141"/>
        <v>3.9343941219576052E-2</v>
      </c>
      <c r="H336" s="28">
        <f>H337</f>
        <v>32800</v>
      </c>
      <c r="I336" s="28">
        <f>I337</f>
        <v>0</v>
      </c>
      <c r="J336" s="28">
        <f t="shared" ref="J336:M336" si="160">J337</f>
        <v>0</v>
      </c>
      <c r="K336" s="28">
        <f t="shared" si="160"/>
        <v>0</v>
      </c>
      <c r="L336" s="28">
        <f t="shared" si="160"/>
        <v>0</v>
      </c>
      <c r="M336" s="28">
        <f t="shared" si="160"/>
        <v>0</v>
      </c>
      <c r="N336" s="28">
        <f t="shared" si="154"/>
        <v>32800</v>
      </c>
      <c r="O336" s="28">
        <f t="shared" si="157"/>
        <v>0</v>
      </c>
      <c r="P336" s="28">
        <f t="shared" si="158"/>
        <v>32800</v>
      </c>
      <c r="Q336" s="29">
        <f t="shared" si="140"/>
        <v>3.9660859506689281E-2</v>
      </c>
    </row>
    <row r="337" spans="1:17" ht="26.4" x14ac:dyDescent="0.25">
      <c r="A337" s="16" t="s">
        <v>92</v>
      </c>
      <c r="B337" s="17" t="s">
        <v>93</v>
      </c>
      <c r="C337" s="18">
        <v>32800</v>
      </c>
      <c r="D337" s="18">
        <v>0</v>
      </c>
      <c r="E337" s="18">
        <v>0</v>
      </c>
      <c r="F337" s="19">
        <f t="shared" si="145"/>
        <v>32800</v>
      </c>
      <c r="G337" s="30">
        <f t="shared" si="141"/>
        <v>3.9343941219576052E-2</v>
      </c>
      <c r="H337" s="18">
        <v>32800</v>
      </c>
      <c r="I337" s="18"/>
      <c r="J337" s="18">
        <v>0</v>
      </c>
      <c r="K337" s="18"/>
      <c r="L337" s="18">
        <v>0</v>
      </c>
      <c r="M337" s="18"/>
      <c r="N337" s="19">
        <f t="shared" si="154"/>
        <v>32800</v>
      </c>
      <c r="O337" s="19">
        <f t="shared" si="157"/>
        <v>0</v>
      </c>
      <c r="P337" s="19">
        <f t="shared" si="158"/>
        <v>32800</v>
      </c>
      <c r="Q337" s="30">
        <f t="shared" si="140"/>
        <v>3.9660859506689281E-2</v>
      </c>
    </row>
    <row r="338" spans="1:17" ht="71.25" customHeight="1" x14ac:dyDescent="0.25">
      <c r="A338" s="39" t="s">
        <v>172</v>
      </c>
      <c r="B338" s="34" t="s">
        <v>224</v>
      </c>
      <c r="C338" s="28">
        <f>SUM(C339:C348)</f>
        <v>1438533</v>
      </c>
      <c r="D338" s="28">
        <f t="shared" ref="D338:E338" si="161">SUM(D339:D348)</f>
        <v>0</v>
      </c>
      <c r="E338" s="28">
        <f t="shared" si="161"/>
        <v>0</v>
      </c>
      <c r="F338" s="28">
        <f t="shared" si="145"/>
        <v>1438533</v>
      </c>
      <c r="G338" s="29">
        <f t="shared" si="141"/>
        <v>1.725535298610378</v>
      </c>
      <c r="H338" s="28">
        <f>SUM(H339:H348)</f>
        <v>1438533</v>
      </c>
      <c r="I338" s="28">
        <f>SUM(I339:I348)</f>
        <v>-3912</v>
      </c>
      <c r="J338" s="28">
        <f t="shared" ref="J338:M338" si="162">SUM(J339:J348)</f>
        <v>0</v>
      </c>
      <c r="K338" s="28">
        <f t="shared" si="162"/>
        <v>0</v>
      </c>
      <c r="L338" s="28">
        <f t="shared" si="162"/>
        <v>0</v>
      </c>
      <c r="M338" s="28">
        <f t="shared" si="162"/>
        <v>99128</v>
      </c>
      <c r="N338" s="28">
        <f t="shared" si="154"/>
        <v>1438533</v>
      </c>
      <c r="O338" s="28">
        <f t="shared" si="157"/>
        <v>95216</v>
      </c>
      <c r="P338" s="28">
        <f t="shared" si="158"/>
        <v>1533749</v>
      </c>
      <c r="Q338" s="29">
        <f t="shared" si="140"/>
        <v>1.8545671831562553</v>
      </c>
    </row>
    <row r="339" spans="1:17" x14ac:dyDescent="0.25">
      <c r="A339" s="16" t="s">
        <v>54</v>
      </c>
      <c r="B339" s="17" t="s">
        <v>55</v>
      </c>
      <c r="C339" s="18">
        <v>403751</v>
      </c>
      <c r="D339" s="18">
        <v>0</v>
      </c>
      <c r="E339" s="18">
        <v>0</v>
      </c>
      <c r="F339" s="19">
        <f t="shared" si="145"/>
        <v>403751</v>
      </c>
      <c r="G339" s="30">
        <f t="shared" si="141"/>
        <v>0.48430352473612959</v>
      </c>
      <c r="H339" s="18">
        <v>403751</v>
      </c>
      <c r="I339" s="18">
        <v>-828</v>
      </c>
      <c r="J339" s="18">
        <v>0</v>
      </c>
      <c r="K339" s="18"/>
      <c r="L339" s="18">
        <v>0</v>
      </c>
      <c r="M339" s="18">
        <v>9633</v>
      </c>
      <c r="N339" s="19">
        <f t="shared" si="154"/>
        <v>403751</v>
      </c>
      <c r="O339" s="19">
        <f t="shared" si="157"/>
        <v>8805</v>
      </c>
      <c r="P339" s="19">
        <f t="shared" si="158"/>
        <v>412556</v>
      </c>
      <c r="Q339" s="30">
        <f t="shared" si="140"/>
        <v>0.49885138886102753</v>
      </c>
    </row>
    <row r="340" spans="1:17" ht="26.4" x14ac:dyDescent="0.25">
      <c r="A340" s="16" t="s">
        <v>56</v>
      </c>
      <c r="B340" s="17" t="s">
        <v>57</v>
      </c>
      <c r="C340" s="18">
        <v>128193</v>
      </c>
      <c r="D340" s="18">
        <v>0</v>
      </c>
      <c r="E340" s="18">
        <v>0</v>
      </c>
      <c r="F340" s="19">
        <f t="shared" si="145"/>
        <v>128193</v>
      </c>
      <c r="G340" s="30">
        <f t="shared" si="141"/>
        <v>0.1537688370963754</v>
      </c>
      <c r="H340" s="18">
        <v>128193</v>
      </c>
      <c r="I340" s="18">
        <v>-196</v>
      </c>
      <c r="J340" s="18">
        <v>0</v>
      </c>
      <c r="K340" s="18"/>
      <c r="L340" s="18">
        <v>0</v>
      </c>
      <c r="M340" s="18">
        <v>2369</v>
      </c>
      <c r="N340" s="19">
        <f t="shared" si="154"/>
        <v>128193</v>
      </c>
      <c r="O340" s="19">
        <f t="shared" si="157"/>
        <v>2173</v>
      </c>
      <c r="P340" s="19">
        <f t="shared" si="158"/>
        <v>130366</v>
      </c>
      <c r="Q340" s="30">
        <f t="shared" si="140"/>
        <v>0.15763498812344678</v>
      </c>
    </row>
    <row r="341" spans="1:17" x14ac:dyDescent="0.25">
      <c r="A341" s="16" t="s">
        <v>58</v>
      </c>
      <c r="B341" s="17" t="s">
        <v>59</v>
      </c>
      <c r="C341" s="18">
        <v>3636</v>
      </c>
      <c r="D341" s="18">
        <v>0</v>
      </c>
      <c r="E341" s="18">
        <v>0</v>
      </c>
      <c r="F341" s="19">
        <f t="shared" si="145"/>
        <v>3636</v>
      </c>
      <c r="G341" s="30">
        <f t="shared" si="141"/>
        <v>4.3614198254383696E-3</v>
      </c>
      <c r="H341" s="18">
        <v>3636</v>
      </c>
      <c r="I341" s="18">
        <v>-1088</v>
      </c>
      <c r="J341" s="18">
        <v>0</v>
      </c>
      <c r="K341" s="18"/>
      <c r="L341" s="18">
        <v>0</v>
      </c>
      <c r="M341" s="18">
        <v>800</v>
      </c>
      <c r="N341" s="19">
        <f t="shared" si="154"/>
        <v>3636</v>
      </c>
      <c r="O341" s="19">
        <f t="shared" si="157"/>
        <v>-288</v>
      </c>
      <c r="P341" s="19">
        <f t="shared" si="158"/>
        <v>3348</v>
      </c>
      <c r="Q341" s="30">
        <f t="shared" si="140"/>
        <v>4.048309683792552E-3</v>
      </c>
    </row>
    <row r="342" spans="1:17" x14ac:dyDescent="0.25">
      <c r="A342" s="16" t="s">
        <v>60</v>
      </c>
      <c r="B342" s="17" t="s">
        <v>61</v>
      </c>
      <c r="C342" s="18">
        <v>51559</v>
      </c>
      <c r="D342" s="18">
        <v>0</v>
      </c>
      <c r="E342" s="18">
        <v>0</v>
      </c>
      <c r="F342" s="19">
        <f t="shared" si="145"/>
        <v>51559</v>
      </c>
      <c r="G342" s="30">
        <f t="shared" si="141"/>
        <v>6.1845556870125662E-2</v>
      </c>
      <c r="H342" s="18">
        <v>51559</v>
      </c>
      <c r="I342" s="18">
        <v>-1800</v>
      </c>
      <c r="J342" s="18">
        <v>0</v>
      </c>
      <c r="K342" s="18"/>
      <c r="L342" s="18">
        <v>0</v>
      </c>
      <c r="M342" s="18">
        <v>10426</v>
      </c>
      <c r="N342" s="19">
        <f t="shared" si="154"/>
        <v>51559</v>
      </c>
      <c r="O342" s="19">
        <f t="shared" si="157"/>
        <v>8626</v>
      </c>
      <c r="P342" s="19">
        <f t="shared" si="158"/>
        <v>60185</v>
      </c>
      <c r="Q342" s="30">
        <f t="shared" si="140"/>
        <v>7.277404967713702E-2</v>
      </c>
    </row>
    <row r="343" spans="1:17" ht="26.4" x14ac:dyDescent="0.25">
      <c r="A343" s="16" t="s">
        <v>62</v>
      </c>
      <c r="B343" s="17" t="s">
        <v>63</v>
      </c>
      <c r="C343" s="18">
        <v>45704</v>
      </c>
      <c r="D343" s="18">
        <v>0</v>
      </c>
      <c r="E343" s="18">
        <v>0</v>
      </c>
      <c r="F343" s="19">
        <f t="shared" si="145"/>
        <v>45704</v>
      </c>
      <c r="G343" s="30">
        <f t="shared" si="141"/>
        <v>5.4822423460350732E-2</v>
      </c>
      <c r="H343" s="18">
        <v>45704</v>
      </c>
      <c r="I343" s="18"/>
      <c r="J343" s="18">
        <v>0</v>
      </c>
      <c r="K343" s="18"/>
      <c r="L343" s="18">
        <v>0</v>
      </c>
      <c r="M343" s="18">
        <v>15900</v>
      </c>
      <c r="N343" s="19">
        <f t="shared" si="154"/>
        <v>45704</v>
      </c>
      <c r="O343" s="19">
        <f t="shared" si="157"/>
        <v>15900</v>
      </c>
      <c r="P343" s="19">
        <f t="shared" si="158"/>
        <v>61604</v>
      </c>
      <c r="Q343" s="30">
        <f t="shared" si="140"/>
        <v>7.4489865519819703E-2</v>
      </c>
    </row>
    <row r="344" spans="1:17" x14ac:dyDescent="0.25">
      <c r="A344" s="16" t="s">
        <v>64</v>
      </c>
      <c r="B344" s="17" t="s">
        <v>65</v>
      </c>
      <c r="C344" s="18">
        <v>784</v>
      </c>
      <c r="D344" s="18">
        <v>0</v>
      </c>
      <c r="E344" s="18">
        <v>0</v>
      </c>
      <c r="F344" s="19">
        <f t="shared" si="145"/>
        <v>784</v>
      </c>
      <c r="G344" s="30">
        <f t="shared" si="141"/>
        <v>9.4041615598011057E-4</v>
      </c>
      <c r="H344" s="18">
        <v>784</v>
      </c>
      <c r="I344" s="18"/>
      <c r="J344" s="18">
        <v>0</v>
      </c>
      <c r="K344" s="18"/>
      <c r="L344" s="18">
        <v>0</v>
      </c>
      <c r="M344" s="18"/>
      <c r="N344" s="19">
        <f t="shared" si="154"/>
        <v>784</v>
      </c>
      <c r="O344" s="19">
        <f t="shared" si="157"/>
        <v>0</v>
      </c>
      <c r="P344" s="19">
        <f t="shared" si="158"/>
        <v>784</v>
      </c>
      <c r="Q344" s="30">
        <f t="shared" si="140"/>
        <v>9.4799127601354863E-4</v>
      </c>
    </row>
    <row r="345" spans="1:17" x14ac:dyDescent="0.25">
      <c r="A345" s="16" t="s">
        <v>66</v>
      </c>
      <c r="B345" s="17" t="s">
        <v>67</v>
      </c>
      <c r="C345" s="18">
        <v>4904</v>
      </c>
      <c r="D345" s="18">
        <v>0</v>
      </c>
      <c r="E345" s="18">
        <v>0</v>
      </c>
      <c r="F345" s="19">
        <f t="shared" si="145"/>
        <v>4904</v>
      </c>
      <c r="G345" s="30">
        <f t="shared" si="141"/>
        <v>5.8823990164878345E-3</v>
      </c>
      <c r="H345" s="18">
        <v>4904</v>
      </c>
      <c r="I345" s="18"/>
      <c r="J345" s="18">
        <v>0</v>
      </c>
      <c r="K345" s="18"/>
      <c r="L345" s="18">
        <v>0</v>
      </c>
      <c r="M345" s="18">
        <v>60000</v>
      </c>
      <c r="N345" s="19">
        <f t="shared" si="154"/>
        <v>4904</v>
      </c>
      <c r="O345" s="19">
        <f t="shared" si="157"/>
        <v>60000</v>
      </c>
      <c r="P345" s="19">
        <f t="shared" si="158"/>
        <v>64904</v>
      </c>
      <c r="Q345" s="30">
        <f t="shared" si="140"/>
        <v>7.8480134921407346E-2</v>
      </c>
    </row>
    <row r="346" spans="1:17" x14ac:dyDescent="0.25">
      <c r="A346" s="16" t="s">
        <v>68</v>
      </c>
      <c r="B346" s="17" t="s">
        <v>69</v>
      </c>
      <c r="C346" s="18">
        <v>517147</v>
      </c>
      <c r="D346" s="18">
        <v>0</v>
      </c>
      <c r="E346" s="18">
        <v>0</v>
      </c>
      <c r="F346" s="19">
        <f t="shared" si="145"/>
        <v>517147</v>
      </c>
      <c r="G346" s="30">
        <f t="shared" si="141"/>
        <v>0.62032320639878347</v>
      </c>
      <c r="H346" s="18">
        <v>517147</v>
      </c>
      <c r="I346" s="18"/>
      <c r="J346" s="18">
        <v>0</v>
      </c>
      <c r="K346" s="18"/>
      <c r="L346" s="18">
        <v>0</v>
      </c>
      <c r="M346" s="18"/>
      <c r="N346" s="19">
        <f t="shared" si="154"/>
        <v>517147</v>
      </c>
      <c r="O346" s="19">
        <f t="shared" si="157"/>
        <v>0</v>
      </c>
      <c r="P346" s="19">
        <f t="shared" si="158"/>
        <v>517147</v>
      </c>
      <c r="Q346" s="30">
        <f t="shared" si="140"/>
        <v>0.62531995461298295</v>
      </c>
    </row>
    <row r="347" spans="1:17" x14ac:dyDescent="0.25">
      <c r="A347" s="16" t="s">
        <v>151</v>
      </c>
      <c r="B347" s="17" t="s">
        <v>152</v>
      </c>
      <c r="C347" s="18">
        <v>20032</v>
      </c>
      <c r="D347" s="18">
        <v>0</v>
      </c>
      <c r="E347" s="18">
        <v>0</v>
      </c>
      <c r="F347" s="19">
        <f t="shared" si="145"/>
        <v>20032</v>
      </c>
      <c r="G347" s="30">
        <f t="shared" si="141"/>
        <v>2.4028592393614254E-2</v>
      </c>
      <c r="H347" s="18">
        <v>20032</v>
      </c>
      <c r="I347" s="18"/>
      <c r="J347" s="18">
        <v>0</v>
      </c>
      <c r="K347" s="18"/>
      <c r="L347" s="18">
        <v>0</v>
      </c>
      <c r="M347" s="18"/>
      <c r="N347" s="19">
        <f t="shared" si="154"/>
        <v>20032</v>
      </c>
      <c r="O347" s="19">
        <f t="shared" si="157"/>
        <v>0</v>
      </c>
      <c r="P347" s="19">
        <f t="shared" si="158"/>
        <v>20032</v>
      </c>
      <c r="Q347" s="30">
        <f t="shared" si="140"/>
        <v>2.4222144440182919E-2</v>
      </c>
    </row>
    <row r="348" spans="1:17" ht="26.4" x14ac:dyDescent="0.25">
      <c r="A348" s="16" t="s">
        <v>92</v>
      </c>
      <c r="B348" s="17" t="s">
        <v>93</v>
      </c>
      <c r="C348" s="18">
        <v>262823</v>
      </c>
      <c r="D348" s="18">
        <v>0</v>
      </c>
      <c r="E348" s="18">
        <v>0</v>
      </c>
      <c r="F348" s="19">
        <f t="shared" si="145"/>
        <v>262823</v>
      </c>
      <c r="G348" s="30">
        <f t="shared" si="141"/>
        <v>0.3152589226570926</v>
      </c>
      <c r="H348" s="18">
        <v>262823</v>
      </c>
      <c r="I348" s="18"/>
      <c r="J348" s="18">
        <v>0</v>
      </c>
      <c r="K348" s="18"/>
      <c r="L348" s="18">
        <v>0</v>
      </c>
      <c r="M348" s="18"/>
      <c r="N348" s="19">
        <f t="shared" si="154"/>
        <v>262823</v>
      </c>
      <c r="O348" s="19">
        <f t="shared" si="157"/>
        <v>0</v>
      </c>
      <c r="P348" s="19">
        <f t="shared" si="158"/>
        <v>262823</v>
      </c>
      <c r="Q348" s="30">
        <f t="shared" si="140"/>
        <v>0.31779835604044504</v>
      </c>
    </row>
    <row r="349" spans="1:17" ht="42" customHeight="1" x14ac:dyDescent="0.25">
      <c r="A349" s="39" t="s">
        <v>173</v>
      </c>
      <c r="B349" s="34" t="s">
        <v>223</v>
      </c>
      <c r="C349" s="28">
        <f>C350+C351</f>
        <v>106370</v>
      </c>
      <c r="D349" s="28">
        <f t="shared" ref="D349:E349" si="163">D350+D351</f>
        <v>0</v>
      </c>
      <c r="E349" s="28">
        <f t="shared" si="163"/>
        <v>0</v>
      </c>
      <c r="F349" s="28">
        <f t="shared" si="145"/>
        <v>106370</v>
      </c>
      <c r="G349" s="29">
        <f t="shared" si="141"/>
        <v>0.12759192157092392</v>
      </c>
      <c r="H349" s="28">
        <f>H350+H351</f>
        <v>106370</v>
      </c>
      <c r="I349" s="28">
        <f>I350+I351</f>
        <v>0</v>
      </c>
      <c r="J349" s="28">
        <f t="shared" ref="J349:M349" si="164">J350+J351</f>
        <v>0</v>
      </c>
      <c r="K349" s="28">
        <f t="shared" si="164"/>
        <v>0</v>
      </c>
      <c r="L349" s="28">
        <f t="shared" si="164"/>
        <v>0</v>
      </c>
      <c r="M349" s="28">
        <f t="shared" si="164"/>
        <v>0</v>
      </c>
      <c r="N349" s="28">
        <f t="shared" si="154"/>
        <v>106370</v>
      </c>
      <c r="O349" s="28">
        <f t="shared" si="157"/>
        <v>0</v>
      </c>
      <c r="P349" s="28">
        <f t="shared" si="158"/>
        <v>106370</v>
      </c>
      <c r="Q349" s="29">
        <f t="shared" si="140"/>
        <v>0.12861968371117496</v>
      </c>
    </row>
    <row r="350" spans="1:17" x14ac:dyDescent="0.25">
      <c r="A350" s="16" t="s">
        <v>68</v>
      </c>
      <c r="B350" s="17" t="s">
        <v>69</v>
      </c>
      <c r="C350" s="18">
        <v>92486</v>
      </c>
      <c r="D350" s="18">
        <v>0</v>
      </c>
      <c r="E350" s="18">
        <v>0</v>
      </c>
      <c r="F350" s="19">
        <f t="shared" si="145"/>
        <v>92486</v>
      </c>
      <c r="G350" s="30">
        <f t="shared" si="141"/>
        <v>0.1109379191351741</v>
      </c>
      <c r="H350" s="18">
        <v>92486</v>
      </c>
      <c r="I350" s="18"/>
      <c r="J350" s="18">
        <v>0</v>
      </c>
      <c r="K350" s="18"/>
      <c r="L350" s="18">
        <v>0</v>
      </c>
      <c r="M350" s="18"/>
      <c r="N350" s="19">
        <f t="shared" si="154"/>
        <v>92486</v>
      </c>
      <c r="O350" s="19">
        <f t="shared" si="157"/>
        <v>0</v>
      </c>
      <c r="P350" s="19">
        <f t="shared" si="158"/>
        <v>92486</v>
      </c>
      <c r="Q350" s="30">
        <f t="shared" ref="Q350:Q376" si="165">P350*100/$P$27</f>
        <v>0.11183153208340442</v>
      </c>
    </row>
    <row r="351" spans="1:17" x14ac:dyDescent="0.25">
      <c r="A351" s="16" t="s">
        <v>151</v>
      </c>
      <c r="B351" s="17" t="s">
        <v>152</v>
      </c>
      <c r="C351" s="18">
        <v>13884</v>
      </c>
      <c r="D351" s="18">
        <v>0</v>
      </c>
      <c r="E351" s="18">
        <v>0</v>
      </c>
      <c r="F351" s="19">
        <f t="shared" si="145"/>
        <v>13884</v>
      </c>
      <c r="G351" s="30">
        <f t="shared" ref="G351:G376" si="166">F351*100/$F$27</f>
        <v>1.6654002435749816E-2</v>
      </c>
      <c r="H351" s="18">
        <v>13884</v>
      </c>
      <c r="I351" s="18"/>
      <c r="J351" s="18">
        <v>0</v>
      </c>
      <c r="K351" s="18"/>
      <c r="L351" s="18">
        <v>0</v>
      </c>
      <c r="M351" s="18"/>
      <c r="N351" s="19">
        <f t="shared" si="154"/>
        <v>13884</v>
      </c>
      <c r="O351" s="19">
        <f t="shared" si="157"/>
        <v>0</v>
      </c>
      <c r="P351" s="19">
        <f t="shared" si="158"/>
        <v>13884</v>
      </c>
      <c r="Q351" s="30">
        <f t="shared" si="165"/>
        <v>1.6788151627770549E-2</v>
      </c>
    </row>
    <row r="352" spans="1:17" ht="69" x14ac:dyDescent="0.25">
      <c r="A352" s="39" t="s">
        <v>174</v>
      </c>
      <c r="B352" s="34" t="s">
        <v>175</v>
      </c>
      <c r="C352" s="28">
        <f>SUM(C353:C363)</f>
        <v>645856</v>
      </c>
      <c r="D352" s="28">
        <f t="shared" ref="D352:E352" si="167">SUM(D353:D363)</f>
        <v>154</v>
      </c>
      <c r="E352" s="28">
        <f t="shared" si="167"/>
        <v>0</v>
      </c>
      <c r="F352" s="28">
        <f t="shared" si="145"/>
        <v>646010</v>
      </c>
      <c r="G352" s="29">
        <f t="shared" si="166"/>
        <v>0.77489571546519287</v>
      </c>
      <c r="H352" s="28">
        <f>SUM(H353:H363)</f>
        <v>645856</v>
      </c>
      <c r="I352" s="28">
        <f>SUM(I353:I363)</f>
        <v>-84668</v>
      </c>
      <c r="J352" s="28">
        <f t="shared" ref="J352:M352" si="168">SUM(J353:J363)</f>
        <v>154</v>
      </c>
      <c r="K352" s="28">
        <f t="shared" si="168"/>
        <v>0</v>
      </c>
      <c r="L352" s="28">
        <f t="shared" si="168"/>
        <v>0</v>
      </c>
      <c r="M352" s="28">
        <f t="shared" si="168"/>
        <v>0</v>
      </c>
      <c r="N352" s="28">
        <f t="shared" ref="N352:N383" si="169">H352+J352+L352</f>
        <v>646010</v>
      </c>
      <c r="O352" s="28">
        <f t="shared" si="157"/>
        <v>-84668</v>
      </c>
      <c r="P352" s="28">
        <f t="shared" si="158"/>
        <v>561342</v>
      </c>
      <c r="Q352" s="29">
        <f t="shared" si="165"/>
        <v>0.67875933528060894</v>
      </c>
    </row>
    <row r="353" spans="1:17" x14ac:dyDescent="0.25">
      <c r="A353" s="16" t="s">
        <v>54</v>
      </c>
      <c r="B353" s="17" t="s">
        <v>55</v>
      </c>
      <c r="C353" s="18">
        <v>325696</v>
      </c>
      <c r="D353" s="18">
        <v>0</v>
      </c>
      <c r="E353" s="18">
        <v>0</v>
      </c>
      <c r="F353" s="19">
        <f t="shared" si="145"/>
        <v>325696</v>
      </c>
      <c r="G353" s="30">
        <f t="shared" si="166"/>
        <v>0.39067574022716595</v>
      </c>
      <c r="H353" s="18">
        <v>325696</v>
      </c>
      <c r="I353" s="18">
        <v>-68507</v>
      </c>
      <c r="J353" s="18">
        <v>0</v>
      </c>
      <c r="K353" s="18"/>
      <c r="L353" s="18">
        <v>0</v>
      </c>
      <c r="M353" s="18"/>
      <c r="N353" s="19">
        <f t="shared" si="169"/>
        <v>325696</v>
      </c>
      <c r="O353" s="19">
        <f t="shared" si="157"/>
        <v>-68507</v>
      </c>
      <c r="P353" s="19">
        <f t="shared" si="158"/>
        <v>257189</v>
      </c>
      <c r="Q353" s="30">
        <f t="shared" si="165"/>
        <v>0.31098587791664356</v>
      </c>
    </row>
    <row r="354" spans="1:17" ht="26.4" x14ac:dyDescent="0.25">
      <c r="A354" s="16" t="s">
        <v>56</v>
      </c>
      <c r="B354" s="17" t="s">
        <v>57</v>
      </c>
      <c r="C354" s="18">
        <v>95475</v>
      </c>
      <c r="D354" s="18">
        <v>0</v>
      </c>
      <c r="E354" s="18">
        <v>0</v>
      </c>
      <c r="F354" s="19">
        <f t="shared" si="145"/>
        <v>95475</v>
      </c>
      <c r="G354" s="30">
        <f t="shared" si="166"/>
        <v>0.11452325572984828</v>
      </c>
      <c r="H354" s="18">
        <v>95475</v>
      </c>
      <c r="I354" s="18">
        <v>-16161</v>
      </c>
      <c r="J354" s="18">
        <v>0</v>
      </c>
      <c r="K354" s="18"/>
      <c r="L354" s="18">
        <v>0</v>
      </c>
      <c r="M354" s="18"/>
      <c r="N354" s="19">
        <f t="shared" si="169"/>
        <v>95475</v>
      </c>
      <c r="O354" s="19">
        <f t="shared" si="157"/>
        <v>-16161</v>
      </c>
      <c r="P354" s="19">
        <f t="shared" si="158"/>
        <v>79314</v>
      </c>
      <c r="Q354" s="30">
        <f t="shared" si="165"/>
        <v>9.5904311308340054E-2</v>
      </c>
    </row>
    <row r="355" spans="1:17" x14ac:dyDescent="0.25">
      <c r="A355" s="16" t="s">
        <v>58</v>
      </c>
      <c r="B355" s="17" t="s">
        <v>59</v>
      </c>
      <c r="C355" s="18">
        <v>270</v>
      </c>
      <c r="D355" s="18">
        <v>0</v>
      </c>
      <c r="E355" s="18">
        <v>0</v>
      </c>
      <c r="F355" s="19">
        <f t="shared" si="145"/>
        <v>270</v>
      </c>
      <c r="G355" s="30">
        <f t="shared" si="166"/>
        <v>3.2386780881968092E-4</v>
      </c>
      <c r="H355" s="18">
        <v>270</v>
      </c>
      <c r="I355" s="18"/>
      <c r="J355" s="18">
        <v>0</v>
      </c>
      <c r="K355" s="18"/>
      <c r="L355" s="18">
        <v>0</v>
      </c>
      <c r="M355" s="18"/>
      <c r="N355" s="19">
        <f t="shared" si="169"/>
        <v>270</v>
      </c>
      <c r="O355" s="19">
        <f t="shared" si="157"/>
        <v>0</v>
      </c>
      <c r="P355" s="19">
        <f t="shared" si="158"/>
        <v>270</v>
      </c>
      <c r="Q355" s="30">
        <f t="shared" si="165"/>
        <v>3.2647658740262521E-4</v>
      </c>
    </row>
    <row r="356" spans="1:17" x14ac:dyDescent="0.25">
      <c r="A356" s="16" t="s">
        <v>60</v>
      </c>
      <c r="B356" s="17" t="s">
        <v>61</v>
      </c>
      <c r="C356" s="18">
        <v>41825</v>
      </c>
      <c r="D356" s="18">
        <v>0</v>
      </c>
      <c r="E356" s="18">
        <v>0</v>
      </c>
      <c r="F356" s="19">
        <f t="shared" si="145"/>
        <v>41825</v>
      </c>
      <c r="G356" s="30">
        <f t="shared" si="166"/>
        <v>5.0169522606974645E-2</v>
      </c>
      <c r="H356" s="18">
        <v>41825</v>
      </c>
      <c r="I356" s="18">
        <v>200</v>
      </c>
      <c r="J356" s="18">
        <v>0</v>
      </c>
      <c r="K356" s="18"/>
      <c r="L356" s="18">
        <v>0</v>
      </c>
      <c r="M356" s="18"/>
      <c r="N356" s="19">
        <f t="shared" si="169"/>
        <v>41825</v>
      </c>
      <c r="O356" s="19">
        <f t="shared" si="157"/>
        <v>200</v>
      </c>
      <c r="P356" s="19">
        <f t="shared" si="158"/>
        <v>42025</v>
      </c>
      <c r="Q356" s="30">
        <f t="shared" si="165"/>
        <v>5.0815476242945641E-2</v>
      </c>
    </row>
    <row r="357" spans="1:17" ht="26.4" x14ac:dyDescent="0.25">
      <c r="A357" s="16" t="s">
        <v>62</v>
      </c>
      <c r="B357" s="17" t="s">
        <v>63</v>
      </c>
      <c r="C357" s="18">
        <v>76262</v>
      </c>
      <c r="D357" s="18">
        <v>154</v>
      </c>
      <c r="E357" s="18">
        <v>0</v>
      </c>
      <c r="F357" s="19">
        <f t="shared" si="145"/>
        <v>76416</v>
      </c>
      <c r="G357" s="30">
        <f t="shared" si="166"/>
        <v>9.166178695838792E-2</v>
      </c>
      <c r="H357" s="18">
        <v>76262</v>
      </c>
      <c r="I357" s="18"/>
      <c r="J357" s="18">
        <v>154</v>
      </c>
      <c r="K357" s="18"/>
      <c r="L357" s="18">
        <v>0</v>
      </c>
      <c r="M357" s="18"/>
      <c r="N357" s="19">
        <f t="shared" si="169"/>
        <v>76416</v>
      </c>
      <c r="O357" s="19">
        <f t="shared" si="157"/>
        <v>0</v>
      </c>
      <c r="P357" s="19">
        <f t="shared" si="158"/>
        <v>76416</v>
      </c>
      <c r="Q357" s="30">
        <f t="shared" si="165"/>
        <v>9.240012927021854E-2</v>
      </c>
    </row>
    <row r="358" spans="1:17" x14ac:dyDescent="0.25">
      <c r="A358" s="16" t="s">
        <v>64</v>
      </c>
      <c r="B358" s="17" t="s">
        <v>65</v>
      </c>
      <c r="C358" s="18">
        <v>0</v>
      </c>
      <c r="D358" s="18">
        <v>0</v>
      </c>
      <c r="E358" s="18">
        <v>0</v>
      </c>
      <c r="F358" s="19">
        <f t="shared" si="145"/>
        <v>0</v>
      </c>
      <c r="G358" s="30">
        <f t="shared" si="166"/>
        <v>0</v>
      </c>
      <c r="H358" s="18">
        <v>0</v>
      </c>
      <c r="I358" s="18">
        <v>300</v>
      </c>
      <c r="J358" s="18">
        <v>0</v>
      </c>
      <c r="K358" s="18"/>
      <c r="L358" s="18">
        <v>0</v>
      </c>
      <c r="M358" s="18"/>
      <c r="N358" s="19">
        <f t="shared" si="169"/>
        <v>0</v>
      </c>
      <c r="O358" s="19">
        <f t="shared" si="157"/>
        <v>300</v>
      </c>
      <c r="P358" s="19">
        <f t="shared" si="158"/>
        <v>300</v>
      </c>
      <c r="Q358" s="30">
        <f t="shared" si="165"/>
        <v>3.6275176378069464E-4</v>
      </c>
    </row>
    <row r="359" spans="1:17" ht="26.4" x14ac:dyDescent="0.25">
      <c r="A359" s="16" t="s">
        <v>90</v>
      </c>
      <c r="B359" s="17" t="s">
        <v>91</v>
      </c>
      <c r="C359" s="18">
        <v>2020</v>
      </c>
      <c r="D359" s="18">
        <v>0</v>
      </c>
      <c r="E359" s="18">
        <v>0</v>
      </c>
      <c r="F359" s="19">
        <f t="shared" si="145"/>
        <v>2020</v>
      </c>
      <c r="G359" s="30">
        <f t="shared" si="166"/>
        <v>2.4230110141324275E-3</v>
      </c>
      <c r="H359" s="18">
        <v>2020</v>
      </c>
      <c r="I359" s="18"/>
      <c r="J359" s="18">
        <v>0</v>
      </c>
      <c r="K359" s="18"/>
      <c r="L359" s="18">
        <v>0</v>
      </c>
      <c r="M359" s="18"/>
      <c r="N359" s="19">
        <f t="shared" si="169"/>
        <v>2020</v>
      </c>
      <c r="O359" s="19">
        <f t="shared" si="157"/>
        <v>0</v>
      </c>
      <c r="P359" s="19">
        <f t="shared" si="158"/>
        <v>2020</v>
      </c>
      <c r="Q359" s="30">
        <f t="shared" si="165"/>
        <v>2.4425285427900107E-3</v>
      </c>
    </row>
    <row r="360" spans="1:17" x14ac:dyDescent="0.25">
      <c r="A360" s="16" t="s">
        <v>66</v>
      </c>
      <c r="B360" s="17" t="s">
        <v>67</v>
      </c>
      <c r="C360" s="18">
        <v>2950</v>
      </c>
      <c r="D360" s="18">
        <v>0</v>
      </c>
      <c r="E360" s="18">
        <v>0</v>
      </c>
      <c r="F360" s="19">
        <f t="shared" si="145"/>
        <v>2950</v>
      </c>
      <c r="G360" s="30">
        <f t="shared" si="166"/>
        <v>3.5385556889557732E-3</v>
      </c>
      <c r="H360" s="18">
        <v>2950</v>
      </c>
      <c r="I360" s="18"/>
      <c r="J360" s="18">
        <v>0</v>
      </c>
      <c r="K360" s="18"/>
      <c r="L360" s="18">
        <v>0</v>
      </c>
      <c r="M360" s="18"/>
      <c r="N360" s="19">
        <f t="shared" si="169"/>
        <v>2950</v>
      </c>
      <c r="O360" s="19">
        <f t="shared" si="157"/>
        <v>0</v>
      </c>
      <c r="P360" s="19">
        <f t="shared" si="158"/>
        <v>2950</v>
      </c>
      <c r="Q360" s="30">
        <f t="shared" si="165"/>
        <v>3.5670590105101639E-3</v>
      </c>
    </row>
    <row r="361" spans="1:17" x14ac:dyDescent="0.25">
      <c r="A361" s="16" t="s">
        <v>68</v>
      </c>
      <c r="B361" s="17" t="s">
        <v>69</v>
      </c>
      <c r="C361" s="18">
        <v>3300</v>
      </c>
      <c r="D361" s="18">
        <v>0</v>
      </c>
      <c r="E361" s="18">
        <v>0</v>
      </c>
      <c r="F361" s="19">
        <f t="shared" si="145"/>
        <v>3300</v>
      </c>
      <c r="G361" s="30">
        <f t="shared" si="166"/>
        <v>3.9583843300183223E-3</v>
      </c>
      <c r="H361" s="18">
        <v>3300</v>
      </c>
      <c r="I361" s="18"/>
      <c r="J361" s="18">
        <v>0</v>
      </c>
      <c r="K361" s="18"/>
      <c r="L361" s="18">
        <v>0</v>
      </c>
      <c r="M361" s="18"/>
      <c r="N361" s="19">
        <f t="shared" si="169"/>
        <v>3300</v>
      </c>
      <c r="O361" s="19">
        <f t="shared" si="157"/>
        <v>0</v>
      </c>
      <c r="P361" s="19">
        <f t="shared" si="158"/>
        <v>3300</v>
      </c>
      <c r="Q361" s="30">
        <f t="shared" si="165"/>
        <v>3.990269401587641E-3</v>
      </c>
    </row>
    <row r="362" spans="1:17" x14ac:dyDescent="0.25">
      <c r="A362" s="16" t="s">
        <v>151</v>
      </c>
      <c r="B362" s="17" t="s">
        <v>152</v>
      </c>
      <c r="C362" s="18">
        <v>0</v>
      </c>
      <c r="D362" s="18">
        <v>0</v>
      </c>
      <c r="E362" s="18">
        <v>0</v>
      </c>
      <c r="F362" s="19">
        <f t="shared" si="145"/>
        <v>0</v>
      </c>
      <c r="G362" s="30">
        <f t="shared" si="166"/>
        <v>0</v>
      </c>
      <c r="H362" s="18">
        <v>0</v>
      </c>
      <c r="I362" s="18"/>
      <c r="J362" s="18">
        <v>0</v>
      </c>
      <c r="K362" s="18"/>
      <c r="L362" s="18">
        <v>0</v>
      </c>
      <c r="M362" s="18"/>
      <c r="N362" s="19">
        <f t="shared" si="169"/>
        <v>0</v>
      </c>
      <c r="O362" s="19">
        <f t="shared" si="157"/>
        <v>0</v>
      </c>
      <c r="P362" s="19">
        <f t="shared" si="158"/>
        <v>0</v>
      </c>
      <c r="Q362" s="30">
        <f t="shared" si="165"/>
        <v>0</v>
      </c>
    </row>
    <row r="363" spans="1:17" ht="26.4" x14ac:dyDescent="0.25">
      <c r="A363" s="16" t="s">
        <v>92</v>
      </c>
      <c r="B363" s="17" t="s">
        <v>93</v>
      </c>
      <c r="C363" s="18">
        <v>98058</v>
      </c>
      <c r="D363" s="18">
        <v>0</v>
      </c>
      <c r="E363" s="18">
        <v>0</v>
      </c>
      <c r="F363" s="19">
        <f t="shared" si="145"/>
        <v>98058</v>
      </c>
      <c r="G363" s="30">
        <f t="shared" si="166"/>
        <v>0.11762159110088989</v>
      </c>
      <c r="H363" s="18">
        <v>98058</v>
      </c>
      <c r="I363" s="18">
        <v>-500</v>
      </c>
      <c r="J363" s="18">
        <v>0</v>
      </c>
      <c r="K363" s="18"/>
      <c r="L363" s="18">
        <v>0</v>
      </c>
      <c r="M363" s="18"/>
      <c r="N363" s="19">
        <f t="shared" si="169"/>
        <v>98058</v>
      </c>
      <c r="O363" s="19">
        <f t="shared" si="157"/>
        <v>-500</v>
      </c>
      <c r="P363" s="19">
        <f t="shared" si="158"/>
        <v>97558</v>
      </c>
      <c r="Q363" s="30">
        <f t="shared" si="165"/>
        <v>0.11796445523639003</v>
      </c>
    </row>
    <row r="364" spans="1:17" ht="82.8" x14ac:dyDescent="0.25">
      <c r="A364" s="39" t="s">
        <v>176</v>
      </c>
      <c r="B364" s="34" t="s">
        <v>222</v>
      </c>
      <c r="C364" s="28">
        <f>SUM(C365:C376)</f>
        <v>1221472</v>
      </c>
      <c r="D364" s="28">
        <f t="shared" ref="D364:E364" si="170">SUM(D365:D376)</f>
        <v>35476</v>
      </c>
      <c r="E364" s="28">
        <f t="shared" si="170"/>
        <v>131828</v>
      </c>
      <c r="F364" s="28">
        <f t="shared" si="145"/>
        <v>1388776</v>
      </c>
      <c r="G364" s="29">
        <f t="shared" si="166"/>
        <v>1.6658512594865229</v>
      </c>
      <c r="H364" s="28">
        <f>SUM(H365:H376)</f>
        <v>1221472</v>
      </c>
      <c r="I364" s="28">
        <f>SUM(I365:I376)</f>
        <v>23386</v>
      </c>
      <c r="J364" s="28">
        <f t="shared" ref="J364:M364" si="171">SUM(J365:J376)</f>
        <v>35476</v>
      </c>
      <c r="K364" s="28">
        <f t="shared" si="171"/>
        <v>21262</v>
      </c>
      <c r="L364" s="28">
        <f t="shared" si="171"/>
        <v>131828</v>
      </c>
      <c r="M364" s="28">
        <f t="shared" si="171"/>
        <v>-99128</v>
      </c>
      <c r="N364" s="28">
        <f t="shared" si="169"/>
        <v>1388776</v>
      </c>
      <c r="O364" s="28">
        <f t="shared" si="157"/>
        <v>-54480</v>
      </c>
      <c r="P364" s="28">
        <f t="shared" si="158"/>
        <v>1334296</v>
      </c>
      <c r="Q364" s="29">
        <f t="shared" si="165"/>
        <v>1.6133940913517524</v>
      </c>
    </row>
    <row r="365" spans="1:17" x14ac:dyDescent="0.25">
      <c r="A365" s="16" t="s">
        <v>54</v>
      </c>
      <c r="B365" s="17" t="s">
        <v>55</v>
      </c>
      <c r="C365" s="18">
        <v>797647</v>
      </c>
      <c r="D365" s="18">
        <v>405</v>
      </c>
      <c r="E365" s="18">
        <v>12481</v>
      </c>
      <c r="F365" s="19">
        <f t="shared" si="145"/>
        <v>810533</v>
      </c>
      <c r="G365" s="30">
        <f t="shared" si="166"/>
        <v>0.97224276550386091</v>
      </c>
      <c r="H365" s="18">
        <v>797647</v>
      </c>
      <c r="I365" s="18">
        <f>26000-8552</f>
        <v>17448</v>
      </c>
      <c r="J365" s="18">
        <v>405</v>
      </c>
      <c r="K365" s="18">
        <f>5622</f>
        <v>5622</v>
      </c>
      <c r="L365" s="18">
        <v>12481</v>
      </c>
      <c r="M365" s="18">
        <v>-9633</v>
      </c>
      <c r="N365" s="19">
        <f t="shared" si="169"/>
        <v>810533</v>
      </c>
      <c r="O365" s="19">
        <f t="shared" si="157"/>
        <v>13437</v>
      </c>
      <c r="P365" s="19">
        <f t="shared" si="158"/>
        <v>823970</v>
      </c>
      <c r="Q365" s="30">
        <f t="shared" si="165"/>
        <v>0.99632190267459653</v>
      </c>
    </row>
    <row r="366" spans="1:17" ht="26.4" x14ac:dyDescent="0.25">
      <c r="A366" s="16" t="s">
        <v>56</v>
      </c>
      <c r="B366" s="17" t="s">
        <v>57</v>
      </c>
      <c r="C366" s="18">
        <v>242967</v>
      </c>
      <c r="D366" s="18">
        <v>95</v>
      </c>
      <c r="E366" s="18">
        <v>3041</v>
      </c>
      <c r="F366" s="19">
        <f t="shared" si="145"/>
        <v>246103</v>
      </c>
      <c r="G366" s="30">
        <f t="shared" si="166"/>
        <v>0.29520310871833311</v>
      </c>
      <c r="H366" s="18">
        <v>242967</v>
      </c>
      <c r="I366" s="18">
        <f>6133-2017</f>
        <v>4116</v>
      </c>
      <c r="J366" s="18">
        <v>95</v>
      </c>
      <c r="K366" s="18">
        <v>1326</v>
      </c>
      <c r="L366" s="18">
        <v>3041</v>
      </c>
      <c r="M366" s="18">
        <v>-2369</v>
      </c>
      <c r="N366" s="19">
        <f t="shared" si="169"/>
        <v>246103</v>
      </c>
      <c r="O366" s="19">
        <f t="shared" si="157"/>
        <v>3073</v>
      </c>
      <c r="P366" s="19">
        <f t="shared" si="158"/>
        <v>249176</v>
      </c>
      <c r="Q366" s="30">
        <f t="shared" si="165"/>
        <v>0.30129677830606122</v>
      </c>
    </row>
    <row r="367" spans="1:17" x14ac:dyDescent="0.25">
      <c r="A367" s="16" t="s">
        <v>58</v>
      </c>
      <c r="B367" s="17" t="s">
        <v>59</v>
      </c>
      <c r="C367" s="18">
        <v>6930</v>
      </c>
      <c r="D367" s="18">
        <v>13000</v>
      </c>
      <c r="E367" s="18">
        <v>800</v>
      </c>
      <c r="F367" s="19">
        <f t="shared" si="145"/>
        <v>20730</v>
      </c>
      <c r="G367" s="30">
        <f t="shared" si="166"/>
        <v>2.486585065493328E-2</v>
      </c>
      <c r="H367" s="18">
        <v>6930</v>
      </c>
      <c r="I367" s="18">
        <v>-4530</v>
      </c>
      <c r="J367" s="18">
        <v>13000</v>
      </c>
      <c r="K367" s="18"/>
      <c r="L367" s="18">
        <v>800</v>
      </c>
      <c r="M367" s="18">
        <v>-800</v>
      </c>
      <c r="N367" s="19">
        <f t="shared" si="169"/>
        <v>20730</v>
      </c>
      <c r="O367" s="19">
        <f t="shared" si="157"/>
        <v>-5330</v>
      </c>
      <c r="P367" s="19">
        <f t="shared" si="158"/>
        <v>15400</v>
      </c>
      <c r="Q367" s="30">
        <f t="shared" si="165"/>
        <v>1.8621257207408991E-2</v>
      </c>
    </row>
    <row r="368" spans="1:17" x14ac:dyDescent="0.25">
      <c r="A368" s="16" t="s">
        <v>60</v>
      </c>
      <c r="B368" s="17" t="s">
        <v>61</v>
      </c>
      <c r="C368" s="18">
        <v>61113</v>
      </c>
      <c r="D368" s="18">
        <v>19650</v>
      </c>
      <c r="E368" s="18">
        <v>39606</v>
      </c>
      <c r="F368" s="19">
        <f t="shared" ref="F368:F412" si="172">C368+D368+E368</f>
        <v>120369</v>
      </c>
      <c r="G368" s="30">
        <f t="shared" si="166"/>
        <v>0.14438386770302286</v>
      </c>
      <c r="H368" s="18">
        <v>61113</v>
      </c>
      <c r="I368" s="18">
        <v>-15130</v>
      </c>
      <c r="J368" s="18">
        <v>19650</v>
      </c>
      <c r="K368" s="18">
        <v>7138</v>
      </c>
      <c r="L368" s="18">
        <v>39606</v>
      </c>
      <c r="M368" s="18">
        <v>-10426</v>
      </c>
      <c r="N368" s="19">
        <f t="shared" si="169"/>
        <v>120369</v>
      </c>
      <c r="O368" s="19">
        <f t="shared" si="157"/>
        <v>-18418</v>
      </c>
      <c r="P368" s="19">
        <f t="shared" si="158"/>
        <v>101951</v>
      </c>
      <c r="Q368" s="30">
        <f t="shared" si="165"/>
        <v>0.12327635023068534</v>
      </c>
    </row>
    <row r="369" spans="1:21" ht="26.4" x14ac:dyDescent="0.25">
      <c r="A369" s="16" t="s">
        <v>62</v>
      </c>
      <c r="B369" s="17" t="s">
        <v>63</v>
      </c>
      <c r="C369" s="18">
        <v>23970</v>
      </c>
      <c r="D369" s="18">
        <v>2326</v>
      </c>
      <c r="E369" s="18">
        <v>15900</v>
      </c>
      <c r="F369" s="19">
        <f t="shared" si="172"/>
        <v>42196</v>
      </c>
      <c r="G369" s="30">
        <f t="shared" si="166"/>
        <v>5.0614540966500948E-2</v>
      </c>
      <c r="H369" s="18">
        <v>23970</v>
      </c>
      <c r="I369" s="18">
        <v>-12150</v>
      </c>
      <c r="J369" s="18">
        <v>2326</v>
      </c>
      <c r="K369" s="18">
        <f>2316+2569</f>
        <v>4885</v>
      </c>
      <c r="L369" s="18">
        <v>15900</v>
      </c>
      <c r="M369" s="18">
        <v>-15900</v>
      </c>
      <c r="N369" s="19">
        <f t="shared" si="169"/>
        <v>42196</v>
      </c>
      <c r="O369" s="19">
        <f t="shared" si="157"/>
        <v>-23165</v>
      </c>
      <c r="P369" s="19">
        <f t="shared" si="158"/>
        <v>19031</v>
      </c>
      <c r="Q369" s="30">
        <f t="shared" si="165"/>
        <v>2.3011762721701332E-2</v>
      </c>
    </row>
    <row r="370" spans="1:21" x14ac:dyDescent="0.25">
      <c r="A370" s="16" t="s">
        <v>64</v>
      </c>
      <c r="B370" s="17" t="s">
        <v>65</v>
      </c>
      <c r="C370" s="18">
        <v>550</v>
      </c>
      <c r="D370" s="18">
        <v>0</v>
      </c>
      <c r="E370" s="18">
        <v>0</v>
      </c>
      <c r="F370" s="19">
        <f t="shared" si="172"/>
        <v>550</v>
      </c>
      <c r="G370" s="30">
        <f t="shared" si="166"/>
        <v>6.5973072166972038E-4</v>
      </c>
      <c r="H370" s="18">
        <v>550</v>
      </c>
      <c r="I370" s="18"/>
      <c r="J370" s="18">
        <v>0</v>
      </c>
      <c r="K370" s="18"/>
      <c r="L370" s="18">
        <v>0</v>
      </c>
      <c r="M370" s="18"/>
      <c r="N370" s="19">
        <f t="shared" si="169"/>
        <v>550</v>
      </c>
      <c r="O370" s="19">
        <f t="shared" si="157"/>
        <v>0</v>
      </c>
      <c r="P370" s="19">
        <f t="shared" si="158"/>
        <v>550</v>
      </c>
      <c r="Q370" s="30">
        <f t="shared" si="165"/>
        <v>6.6504490026460684E-4</v>
      </c>
    </row>
    <row r="371" spans="1:21" ht="26.4" x14ac:dyDescent="0.25">
      <c r="A371" s="16" t="s">
        <v>90</v>
      </c>
      <c r="B371" s="17" t="s">
        <v>91</v>
      </c>
      <c r="C371" s="18">
        <v>8000</v>
      </c>
      <c r="D371" s="18">
        <v>0</v>
      </c>
      <c r="E371" s="18">
        <v>0</v>
      </c>
      <c r="F371" s="19">
        <f t="shared" si="172"/>
        <v>8000</v>
      </c>
      <c r="G371" s="30">
        <f t="shared" si="166"/>
        <v>9.5960832242868426E-3</v>
      </c>
      <c r="H371" s="18">
        <v>8000</v>
      </c>
      <c r="I371" s="18"/>
      <c r="J371" s="18">
        <v>0</v>
      </c>
      <c r="K371" s="18"/>
      <c r="L371" s="18">
        <v>0</v>
      </c>
      <c r="M371" s="18"/>
      <c r="N371" s="19">
        <f t="shared" si="169"/>
        <v>8000</v>
      </c>
      <c r="O371" s="19">
        <f t="shared" si="157"/>
        <v>0</v>
      </c>
      <c r="P371" s="19">
        <f t="shared" si="158"/>
        <v>8000</v>
      </c>
      <c r="Q371" s="30">
        <f t="shared" si="165"/>
        <v>9.6733803674851904E-3</v>
      </c>
    </row>
    <row r="372" spans="1:21" x14ac:dyDescent="0.25">
      <c r="A372" s="16" t="s">
        <v>66</v>
      </c>
      <c r="B372" s="17" t="s">
        <v>67</v>
      </c>
      <c r="C372" s="18">
        <v>8095</v>
      </c>
      <c r="D372" s="18">
        <v>0</v>
      </c>
      <c r="E372" s="18">
        <v>60000</v>
      </c>
      <c r="F372" s="19">
        <f t="shared" si="172"/>
        <v>68095</v>
      </c>
      <c r="G372" s="30">
        <f t="shared" si="166"/>
        <v>8.1680660894726559E-2</v>
      </c>
      <c r="H372" s="18">
        <v>8095</v>
      </c>
      <c r="I372" s="18">
        <v>-2460</v>
      </c>
      <c r="J372" s="18">
        <v>0</v>
      </c>
      <c r="K372" s="18"/>
      <c r="L372" s="18">
        <v>60000</v>
      </c>
      <c r="M372" s="18">
        <v>-60000</v>
      </c>
      <c r="N372" s="19">
        <f t="shared" si="169"/>
        <v>68095</v>
      </c>
      <c r="O372" s="19">
        <f t="shared" si="157"/>
        <v>-62460</v>
      </c>
      <c r="P372" s="19">
        <f t="shared" si="158"/>
        <v>5635</v>
      </c>
      <c r="Q372" s="30">
        <f t="shared" si="165"/>
        <v>6.8136872963473812E-3</v>
      </c>
    </row>
    <row r="373" spans="1:21" x14ac:dyDescent="0.25">
      <c r="A373" s="16" t="s">
        <v>68</v>
      </c>
      <c r="B373" s="17" t="s">
        <v>69</v>
      </c>
      <c r="C373" s="18">
        <v>12000</v>
      </c>
      <c r="D373" s="18">
        <v>0</v>
      </c>
      <c r="E373" s="18">
        <v>0</v>
      </c>
      <c r="F373" s="19">
        <f t="shared" si="172"/>
        <v>12000</v>
      </c>
      <c r="G373" s="30">
        <f t="shared" si="166"/>
        <v>1.4394124836430263E-2</v>
      </c>
      <c r="H373" s="18">
        <v>12000</v>
      </c>
      <c r="I373" s="18">
        <v>35250</v>
      </c>
      <c r="J373" s="18">
        <v>0</v>
      </c>
      <c r="K373" s="18"/>
      <c r="L373" s="18">
        <v>0</v>
      </c>
      <c r="M373" s="18"/>
      <c r="N373" s="19">
        <f t="shared" si="169"/>
        <v>12000</v>
      </c>
      <c r="O373" s="19">
        <f t="shared" si="157"/>
        <v>35250</v>
      </c>
      <c r="P373" s="19">
        <f t="shared" si="158"/>
        <v>47250</v>
      </c>
      <c r="Q373" s="30">
        <f t="shared" si="165"/>
        <v>5.7133402795459406E-2</v>
      </c>
    </row>
    <row r="374" spans="1:21" x14ac:dyDescent="0.25">
      <c r="A374" s="16" t="s">
        <v>151</v>
      </c>
      <c r="B374" s="17" t="s">
        <v>152</v>
      </c>
      <c r="C374" s="18">
        <v>0</v>
      </c>
      <c r="D374" s="18">
        <v>0</v>
      </c>
      <c r="E374" s="18">
        <v>0</v>
      </c>
      <c r="F374" s="19">
        <f t="shared" si="172"/>
        <v>0</v>
      </c>
      <c r="G374" s="30">
        <f t="shared" si="166"/>
        <v>0</v>
      </c>
      <c r="H374" s="18">
        <v>0</v>
      </c>
      <c r="I374" s="18">
        <v>250</v>
      </c>
      <c r="J374" s="18">
        <v>0</v>
      </c>
      <c r="K374" s="18"/>
      <c r="L374" s="18">
        <v>0</v>
      </c>
      <c r="M374" s="18"/>
      <c r="N374" s="19">
        <f t="shared" si="169"/>
        <v>0</v>
      </c>
      <c r="O374" s="19">
        <f t="shared" si="157"/>
        <v>250</v>
      </c>
      <c r="P374" s="19">
        <f t="shared" si="158"/>
        <v>250</v>
      </c>
      <c r="Q374" s="30">
        <f t="shared" si="165"/>
        <v>3.022931364839122E-4</v>
      </c>
    </row>
    <row r="375" spans="1:21" ht="26.4" x14ac:dyDescent="0.25">
      <c r="A375" s="16" t="s">
        <v>92</v>
      </c>
      <c r="B375" s="17" t="s">
        <v>93</v>
      </c>
      <c r="C375" s="18">
        <v>60200</v>
      </c>
      <c r="D375" s="18">
        <v>0</v>
      </c>
      <c r="E375" s="18">
        <v>0</v>
      </c>
      <c r="F375" s="19">
        <f t="shared" si="172"/>
        <v>60200</v>
      </c>
      <c r="G375" s="30">
        <f t="shared" si="166"/>
        <v>7.2210526262758493E-2</v>
      </c>
      <c r="H375" s="18">
        <v>60200</v>
      </c>
      <c r="I375" s="18">
        <v>592</v>
      </c>
      <c r="J375" s="18">
        <v>0</v>
      </c>
      <c r="K375" s="18"/>
      <c r="L375" s="18">
        <v>0</v>
      </c>
      <c r="M375" s="18"/>
      <c r="N375" s="19">
        <f t="shared" si="169"/>
        <v>60200</v>
      </c>
      <c r="O375" s="19">
        <f t="shared" si="157"/>
        <v>592</v>
      </c>
      <c r="P375" s="19">
        <f t="shared" si="158"/>
        <v>60792</v>
      </c>
      <c r="Q375" s="30">
        <f t="shared" si="165"/>
        <v>7.3508017412519958E-2</v>
      </c>
      <c r="T375" s="62"/>
    </row>
    <row r="376" spans="1:21" x14ac:dyDescent="0.25">
      <c r="A376" s="16" t="s">
        <v>70</v>
      </c>
      <c r="B376" s="17" t="s">
        <v>71</v>
      </c>
      <c r="C376" s="18">
        <v>0</v>
      </c>
      <c r="D376" s="18">
        <v>0</v>
      </c>
      <c r="E376" s="18">
        <v>0</v>
      </c>
      <c r="F376" s="19">
        <f t="shared" si="172"/>
        <v>0</v>
      </c>
      <c r="G376" s="30">
        <f t="shared" si="166"/>
        <v>0</v>
      </c>
      <c r="H376" s="18">
        <v>0</v>
      </c>
      <c r="I376" s="18"/>
      <c r="J376" s="18">
        <v>0</v>
      </c>
      <c r="K376" s="18">
        <v>2291</v>
      </c>
      <c r="L376" s="18">
        <v>0</v>
      </c>
      <c r="M376" s="18"/>
      <c r="N376" s="19">
        <f t="shared" si="169"/>
        <v>0</v>
      </c>
      <c r="O376" s="19">
        <f t="shared" si="157"/>
        <v>2291</v>
      </c>
      <c r="P376" s="19">
        <f t="shared" si="158"/>
        <v>2291</v>
      </c>
      <c r="Q376" s="30">
        <f t="shared" si="165"/>
        <v>2.7702143027385716E-3</v>
      </c>
      <c r="S376" s="62"/>
      <c r="T376" s="62"/>
      <c r="U376" s="62"/>
    </row>
    <row r="377" spans="1:21" ht="13.8" x14ac:dyDescent="0.25">
      <c r="A377" s="9" t="s">
        <v>177</v>
      </c>
      <c r="B377" s="10" t="s">
        <v>178</v>
      </c>
      <c r="C377" s="11">
        <f>C378+C379+C380+C381+C382+C384+C385+C386+C383</f>
        <v>55842310</v>
      </c>
      <c r="D377" s="11">
        <f>D378+D379+D380+D381+D382+D384+D385+D386</f>
        <v>16049709</v>
      </c>
      <c r="E377" s="11">
        <f>E378+E379+E380+E381+E382+E384+E385+E386</f>
        <v>11475328</v>
      </c>
      <c r="F377" s="11">
        <f t="shared" si="172"/>
        <v>83367347</v>
      </c>
      <c r="G377" s="11">
        <f>F377*100/$F$377</f>
        <v>100</v>
      </c>
      <c r="H377" s="11">
        <f>H378+H379+H380+H381+H382+H384+H385+H386+H383</f>
        <v>55842310</v>
      </c>
      <c r="I377" s="11">
        <f>I378+I379+I380+I381+I382+I384+I385+I386+I383</f>
        <v>-1166980</v>
      </c>
      <c r="J377" s="11">
        <f>J378+J379+J380+J381+J382+J384+J385+J386</f>
        <v>16049709</v>
      </c>
      <c r="K377" s="11">
        <f>K378+K379+K380+K381+K382+K384+K385+K386</f>
        <v>349566</v>
      </c>
      <c r="L377" s="11">
        <f>L378+L379+L380+L381+L382+L384+L385+L386</f>
        <v>11475328</v>
      </c>
      <c r="M377" s="11">
        <f>M378+M379+M380+M381+M382+M384+M385+M386</f>
        <v>151250</v>
      </c>
      <c r="N377" s="11">
        <f t="shared" si="169"/>
        <v>83367347</v>
      </c>
      <c r="O377" s="11">
        <f t="shared" si="157"/>
        <v>-666164</v>
      </c>
      <c r="P377" s="11">
        <f t="shared" si="158"/>
        <v>82701183</v>
      </c>
      <c r="Q377" s="11">
        <f>P377*100/$P$377</f>
        <v>100</v>
      </c>
    </row>
    <row r="378" spans="1:21" x14ac:dyDescent="0.25">
      <c r="A378" s="16" t="s">
        <v>50</v>
      </c>
      <c r="B378" s="40" t="str">
        <f>B28</f>
        <v>Vispārējie valdības dienesti</v>
      </c>
      <c r="C378" s="18">
        <f>C28</f>
        <v>4321932</v>
      </c>
      <c r="D378" s="18">
        <f>D28</f>
        <v>34321</v>
      </c>
      <c r="E378" s="18">
        <f>E28</f>
        <v>0</v>
      </c>
      <c r="F378" s="19">
        <f t="shared" si="172"/>
        <v>4356253</v>
      </c>
      <c r="G378" s="20">
        <f t="shared" ref="G378:G386" si="173">F378*100/$F$377</f>
        <v>5.2253707917561538</v>
      </c>
      <c r="H378" s="18">
        <f t="shared" ref="H378:M378" si="174">H28</f>
        <v>4321932</v>
      </c>
      <c r="I378" s="18">
        <f t="shared" si="174"/>
        <v>-106858</v>
      </c>
      <c r="J378" s="18">
        <f t="shared" si="174"/>
        <v>34321</v>
      </c>
      <c r="K378" s="18">
        <f t="shared" si="174"/>
        <v>112873</v>
      </c>
      <c r="L378" s="18">
        <f t="shared" si="174"/>
        <v>0</v>
      </c>
      <c r="M378" s="18">
        <f t="shared" si="174"/>
        <v>0</v>
      </c>
      <c r="N378" s="19">
        <f t="shared" si="169"/>
        <v>4356253</v>
      </c>
      <c r="O378" s="19">
        <f t="shared" si="157"/>
        <v>6015</v>
      </c>
      <c r="P378" s="19">
        <f t="shared" si="158"/>
        <v>4362268</v>
      </c>
      <c r="Q378" s="20">
        <f t="shared" ref="Q378:Q386" si="175">P378*100/$P$377</f>
        <v>5.2747347036136105</v>
      </c>
    </row>
    <row r="379" spans="1:21" x14ac:dyDescent="0.25">
      <c r="A379" s="16" t="s">
        <v>80</v>
      </c>
      <c r="B379" s="40" t="str">
        <f>B54</f>
        <v>Sabiedriskā kārtība un drošība</v>
      </c>
      <c r="C379" s="18">
        <f>C54</f>
        <v>714525</v>
      </c>
      <c r="D379" s="18">
        <f>D54</f>
        <v>0</v>
      </c>
      <c r="E379" s="18">
        <f>E54</f>
        <v>15000</v>
      </c>
      <c r="F379" s="19">
        <f t="shared" si="172"/>
        <v>729525</v>
      </c>
      <c r="G379" s="20">
        <f t="shared" si="173"/>
        <v>0.8750728267747323</v>
      </c>
      <c r="H379" s="18">
        <f>H54</f>
        <v>714525</v>
      </c>
      <c r="I379" s="18">
        <f>I54</f>
        <v>-15574</v>
      </c>
      <c r="J379" s="18">
        <f>J54</f>
        <v>0</v>
      </c>
      <c r="K379" s="18">
        <f t="shared" ref="K379:K383" si="176">K29</f>
        <v>0</v>
      </c>
      <c r="L379" s="18">
        <f>L54</f>
        <v>15000</v>
      </c>
      <c r="M379" s="18">
        <f>M54</f>
        <v>-10000</v>
      </c>
      <c r="N379" s="19">
        <f t="shared" si="169"/>
        <v>729525</v>
      </c>
      <c r="O379" s="19">
        <f t="shared" si="157"/>
        <v>-25574</v>
      </c>
      <c r="P379" s="19">
        <f t="shared" si="158"/>
        <v>703951</v>
      </c>
      <c r="Q379" s="20">
        <f t="shared" si="175"/>
        <v>0.85119822288394598</v>
      </c>
    </row>
    <row r="380" spans="1:21" x14ac:dyDescent="0.25">
      <c r="A380" s="16" t="s">
        <v>86</v>
      </c>
      <c r="B380" s="40" t="str">
        <f>B68</f>
        <v>Ekonomiskā darbība</v>
      </c>
      <c r="C380" s="18">
        <f>C68</f>
        <v>4934045</v>
      </c>
      <c r="D380" s="18">
        <f>D68</f>
        <v>1393940</v>
      </c>
      <c r="E380" s="18">
        <f>E68</f>
        <v>8703827</v>
      </c>
      <c r="F380" s="19">
        <f t="shared" si="172"/>
        <v>15031812</v>
      </c>
      <c r="G380" s="20">
        <f t="shared" si="173"/>
        <v>18.030814870479205</v>
      </c>
      <c r="H380" s="18">
        <f>H68</f>
        <v>4934045</v>
      </c>
      <c r="I380" s="18">
        <f>I68</f>
        <v>188510</v>
      </c>
      <c r="J380" s="18">
        <f>J68</f>
        <v>1393940</v>
      </c>
      <c r="K380" s="18">
        <f t="shared" si="176"/>
        <v>0</v>
      </c>
      <c r="L380" s="18">
        <f>L68</f>
        <v>8703827</v>
      </c>
      <c r="M380" s="18">
        <f>M68</f>
        <v>10000</v>
      </c>
      <c r="N380" s="19">
        <f t="shared" si="169"/>
        <v>15031812</v>
      </c>
      <c r="O380" s="19">
        <f t="shared" si="157"/>
        <v>198510</v>
      </c>
      <c r="P380" s="19">
        <f t="shared" si="158"/>
        <v>15230322</v>
      </c>
      <c r="Q380" s="20">
        <f t="shared" si="175"/>
        <v>18.416087228159721</v>
      </c>
    </row>
    <row r="381" spans="1:21" x14ac:dyDescent="0.25">
      <c r="A381" s="16" t="s">
        <v>110</v>
      </c>
      <c r="B381" s="40" t="str">
        <f>B122</f>
        <v>Vides aizsardzība</v>
      </c>
      <c r="C381" s="18">
        <f>C122</f>
        <v>707206</v>
      </c>
      <c r="D381" s="18">
        <f>D122</f>
        <v>0</v>
      </c>
      <c r="E381" s="18">
        <f>E122</f>
        <v>507085</v>
      </c>
      <c r="F381" s="19">
        <f t="shared" si="172"/>
        <v>1214291</v>
      </c>
      <c r="G381" s="20">
        <f t="shared" si="173"/>
        <v>1.4565546868128116</v>
      </c>
      <c r="H381" s="18">
        <f>H122</f>
        <v>707206</v>
      </c>
      <c r="I381" s="18">
        <f>I122</f>
        <v>-5663</v>
      </c>
      <c r="J381" s="18">
        <f>J122</f>
        <v>0</v>
      </c>
      <c r="K381" s="18">
        <f t="shared" si="176"/>
        <v>0</v>
      </c>
      <c r="L381" s="18">
        <f>L122</f>
        <v>507085</v>
      </c>
      <c r="M381" s="18">
        <f>M122</f>
        <v>0</v>
      </c>
      <c r="N381" s="19">
        <f t="shared" si="169"/>
        <v>1214291</v>
      </c>
      <c r="O381" s="19">
        <f t="shared" si="157"/>
        <v>-5663</v>
      </c>
      <c r="P381" s="19">
        <f t="shared" si="158"/>
        <v>1208628</v>
      </c>
      <c r="Q381" s="20">
        <f t="shared" si="175"/>
        <v>1.4614397958491114</v>
      </c>
    </row>
    <row r="382" spans="1:21" x14ac:dyDescent="0.25">
      <c r="A382" s="16" t="s">
        <v>119</v>
      </c>
      <c r="B382" s="40" t="str">
        <f>B148</f>
        <v>Pašvaldības teritoriju un mājokļa apsaimniekošana</v>
      </c>
      <c r="C382" s="18">
        <f>C148</f>
        <v>8746166</v>
      </c>
      <c r="D382" s="18">
        <f>D148</f>
        <v>0</v>
      </c>
      <c r="E382" s="18">
        <f>E148</f>
        <v>948500</v>
      </c>
      <c r="F382" s="19">
        <f t="shared" si="172"/>
        <v>9694666</v>
      </c>
      <c r="G382" s="20">
        <f t="shared" si="173"/>
        <v>11.628852720958003</v>
      </c>
      <c r="H382" s="18">
        <f>H148</f>
        <v>8746166</v>
      </c>
      <c r="I382" s="18">
        <f>I148</f>
        <v>-1373781</v>
      </c>
      <c r="J382" s="18">
        <f>J148</f>
        <v>0</v>
      </c>
      <c r="K382" s="18">
        <f t="shared" si="176"/>
        <v>0</v>
      </c>
      <c r="L382" s="18">
        <f>L148</f>
        <v>948500</v>
      </c>
      <c r="M382" s="18">
        <f>M148</f>
        <v>0</v>
      </c>
      <c r="N382" s="19">
        <f t="shared" si="169"/>
        <v>9694666</v>
      </c>
      <c r="O382" s="19">
        <f t="shared" si="157"/>
        <v>-1373781</v>
      </c>
      <c r="P382" s="19">
        <f t="shared" si="158"/>
        <v>8320885</v>
      </c>
      <c r="Q382" s="20">
        <f t="shared" si="175"/>
        <v>10.061385699887751</v>
      </c>
    </row>
    <row r="383" spans="1:21" x14ac:dyDescent="0.25">
      <c r="A383" s="16" t="s">
        <v>129</v>
      </c>
      <c r="B383" s="40" t="str">
        <f>B176</f>
        <v>Veselība</v>
      </c>
      <c r="C383" s="18">
        <f>C176</f>
        <v>59400</v>
      </c>
      <c r="D383" s="18"/>
      <c r="E383" s="18"/>
      <c r="F383" s="19">
        <f t="shared" si="172"/>
        <v>59400</v>
      </c>
      <c r="G383" s="20">
        <f t="shared" si="173"/>
        <v>7.1250917940329797E-2</v>
      </c>
      <c r="H383" s="18">
        <f>H176</f>
        <v>59400</v>
      </c>
      <c r="I383" s="18">
        <f>I176</f>
        <v>0</v>
      </c>
      <c r="J383" s="18"/>
      <c r="K383" s="18">
        <f t="shared" si="176"/>
        <v>0</v>
      </c>
      <c r="L383" s="18"/>
      <c r="M383" s="18">
        <f>M176</f>
        <v>0</v>
      </c>
      <c r="N383" s="19">
        <f t="shared" si="169"/>
        <v>59400</v>
      </c>
      <c r="O383" s="19">
        <f t="shared" si="157"/>
        <v>0</v>
      </c>
      <c r="P383" s="19">
        <f t="shared" si="158"/>
        <v>59400</v>
      </c>
      <c r="Q383" s="20">
        <f t="shared" si="175"/>
        <v>7.1824849228577542E-2</v>
      </c>
    </row>
    <row r="384" spans="1:21" x14ac:dyDescent="0.25">
      <c r="A384" s="16" t="s">
        <v>133</v>
      </c>
      <c r="B384" s="40" t="str">
        <f>B179</f>
        <v>Atpūta, kultūra un sports</v>
      </c>
      <c r="C384" s="18">
        <f>C179</f>
        <v>5491807</v>
      </c>
      <c r="D384" s="18">
        <f>D179</f>
        <v>29109</v>
      </c>
      <c r="E384" s="18">
        <f>E179</f>
        <v>454865</v>
      </c>
      <c r="F384" s="19">
        <f t="shared" si="172"/>
        <v>5975781</v>
      </c>
      <c r="G384" s="20">
        <f t="shared" si="173"/>
        <v>7.1680114757640059</v>
      </c>
      <c r="H384" s="18">
        <f t="shared" ref="H384:M384" si="177">H179</f>
        <v>5491807</v>
      </c>
      <c r="I384" s="18">
        <f t="shared" si="177"/>
        <v>707817</v>
      </c>
      <c r="J384" s="18">
        <f t="shared" si="177"/>
        <v>29109</v>
      </c>
      <c r="K384" s="18">
        <f t="shared" si="177"/>
        <v>0</v>
      </c>
      <c r="L384" s="18">
        <f t="shared" si="177"/>
        <v>454865</v>
      </c>
      <c r="M384" s="18">
        <f t="shared" si="177"/>
        <v>0</v>
      </c>
      <c r="N384" s="19">
        <f t="shared" ref="N384:N412" si="178">H384+J384+L384</f>
        <v>5975781</v>
      </c>
      <c r="O384" s="19">
        <f t="shared" si="157"/>
        <v>707817</v>
      </c>
      <c r="P384" s="19">
        <f t="shared" si="158"/>
        <v>6683598</v>
      </c>
      <c r="Q384" s="20">
        <f t="shared" si="175"/>
        <v>8.0816232096704113</v>
      </c>
    </row>
    <row r="385" spans="1:21" x14ac:dyDescent="0.25">
      <c r="A385" s="16" t="s">
        <v>143</v>
      </c>
      <c r="B385" s="40" t="str">
        <f>B213</f>
        <v>Izglītība</v>
      </c>
      <c r="C385" s="18">
        <f>C213</f>
        <v>20207602</v>
      </c>
      <c r="D385" s="18">
        <f>D213</f>
        <v>13817939</v>
      </c>
      <c r="E385" s="18">
        <f>E213</f>
        <v>568425</v>
      </c>
      <c r="F385" s="19">
        <f t="shared" si="172"/>
        <v>34593966</v>
      </c>
      <c r="G385" s="20">
        <f t="shared" si="173"/>
        <v>41.495822099268672</v>
      </c>
      <c r="H385" s="18">
        <f t="shared" ref="H385:M385" si="179">H213</f>
        <v>20207602</v>
      </c>
      <c r="I385" s="18">
        <f t="shared" si="179"/>
        <v>-229345</v>
      </c>
      <c r="J385" s="18">
        <f t="shared" si="179"/>
        <v>13817939</v>
      </c>
      <c r="K385" s="18">
        <f t="shared" si="179"/>
        <v>215431</v>
      </c>
      <c r="L385" s="18">
        <f t="shared" si="179"/>
        <v>568425</v>
      </c>
      <c r="M385" s="18">
        <f t="shared" si="179"/>
        <v>151250</v>
      </c>
      <c r="N385" s="19">
        <f t="shared" si="178"/>
        <v>34593966</v>
      </c>
      <c r="O385" s="19">
        <f t="shared" si="157"/>
        <v>137336</v>
      </c>
      <c r="P385" s="19">
        <f t="shared" si="158"/>
        <v>34731302</v>
      </c>
      <c r="Q385" s="20">
        <f t="shared" si="175"/>
        <v>41.99613686299989</v>
      </c>
    </row>
    <row r="386" spans="1:21" x14ac:dyDescent="0.25">
      <c r="A386" s="16" t="s">
        <v>165</v>
      </c>
      <c r="B386" s="40" t="str">
        <f>B311</f>
        <v>Sociālā aizsardzība</v>
      </c>
      <c r="C386" s="18">
        <f>C311</f>
        <v>10659627</v>
      </c>
      <c r="D386" s="18">
        <f>D311</f>
        <v>774400</v>
      </c>
      <c r="E386" s="18">
        <f>E311</f>
        <v>277626</v>
      </c>
      <c r="F386" s="19">
        <f t="shared" si="172"/>
        <v>11711653</v>
      </c>
      <c r="G386" s="20">
        <f t="shared" si="173"/>
        <v>14.048249610246083</v>
      </c>
      <c r="H386" s="18">
        <f t="shared" ref="H386:M386" si="180">H311</f>
        <v>10659627</v>
      </c>
      <c r="I386" s="18">
        <f t="shared" si="180"/>
        <v>-332086</v>
      </c>
      <c r="J386" s="18">
        <f t="shared" si="180"/>
        <v>774400</v>
      </c>
      <c r="K386" s="18">
        <f t="shared" si="180"/>
        <v>21262</v>
      </c>
      <c r="L386" s="18">
        <f t="shared" si="180"/>
        <v>277626</v>
      </c>
      <c r="M386" s="18">
        <f t="shared" si="180"/>
        <v>0</v>
      </c>
      <c r="N386" s="19">
        <f t="shared" si="178"/>
        <v>11711653</v>
      </c>
      <c r="O386" s="19">
        <f t="shared" si="157"/>
        <v>-310824</v>
      </c>
      <c r="P386" s="19">
        <f t="shared" si="158"/>
        <v>11400829</v>
      </c>
      <c r="Q386" s="20">
        <f t="shared" si="175"/>
        <v>13.785569427706978</v>
      </c>
    </row>
    <row r="387" spans="1:21" ht="13.8" x14ac:dyDescent="0.25">
      <c r="A387" s="9" t="s">
        <v>179</v>
      </c>
      <c r="B387" s="41" t="s">
        <v>180</v>
      </c>
      <c r="C387" s="11">
        <f>C388+C391+C397+C401+C404+C408+C411+C399</f>
        <v>55842310</v>
      </c>
      <c r="D387" s="11">
        <f>D388+D391+D397+D401+D404+D408+D411</f>
        <v>16049709</v>
      </c>
      <c r="E387" s="11">
        <f>E388+E391+E397+E401+E404+E408+E411</f>
        <v>11475328</v>
      </c>
      <c r="F387" s="11">
        <f t="shared" si="172"/>
        <v>83367347</v>
      </c>
      <c r="G387" s="11">
        <f>F387*100/$F$387</f>
        <v>100</v>
      </c>
      <c r="H387" s="11">
        <f>H388+H391+H397+H401+H404+H408+H411+H399</f>
        <v>55842310</v>
      </c>
      <c r="I387" s="11">
        <f>I388+I391+I397+I401+I404+I408+I411+I399</f>
        <v>-1166980</v>
      </c>
      <c r="J387" s="11">
        <f>J388+J391+J397+J401+J404+J408+J411</f>
        <v>16049709</v>
      </c>
      <c r="K387" s="11">
        <f>K388+K391+K397+K401+K404+K408+K411</f>
        <v>349566</v>
      </c>
      <c r="L387" s="11">
        <f>L388+L391+L397+L401+L404+L408+L411</f>
        <v>11475328</v>
      </c>
      <c r="M387" s="11">
        <f>M388+M391+M397+M401+M404+M408+M411</f>
        <v>151250</v>
      </c>
      <c r="N387" s="11">
        <f t="shared" si="178"/>
        <v>83367347</v>
      </c>
      <c r="O387" s="11">
        <f t="shared" si="157"/>
        <v>-666164</v>
      </c>
      <c r="P387" s="11">
        <f t="shared" si="158"/>
        <v>82701183</v>
      </c>
      <c r="Q387" s="11">
        <f>P387*100/$P$387</f>
        <v>100</v>
      </c>
      <c r="S387" s="45"/>
      <c r="U387" s="62"/>
    </row>
    <row r="388" spans="1:21" s="45" customFormat="1" x14ac:dyDescent="0.25">
      <c r="A388" s="42" t="s">
        <v>181</v>
      </c>
      <c r="B388" s="43" t="s">
        <v>182</v>
      </c>
      <c r="C388" s="44">
        <f>C389+C390</f>
        <v>28739424</v>
      </c>
      <c r="D388" s="44">
        <f t="shared" ref="D388:E388" si="181">D389+D390</f>
        <v>13926660</v>
      </c>
      <c r="E388" s="44">
        <f t="shared" si="181"/>
        <v>343714</v>
      </c>
      <c r="F388" s="19">
        <f t="shared" si="172"/>
        <v>43009798</v>
      </c>
      <c r="G388" s="20">
        <f t="shared" ref="G388:G412" si="182">F388*100/$F$387</f>
        <v>51.590700133470719</v>
      </c>
      <c r="H388" s="44">
        <f>H389+H390</f>
        <v>28739424</v>
      </c>
      <c r="I388" s="44">
        <f>I389+I390</f>
        <v>-576553</v>
      </c>
      <c r="J388" s="44">
        <f t="shared" ref="J388:L388" si="183">J389+J390</f>
        <v>13926660</v>
      </c>
      <c r="K388" s="44">
        <f>K389+K390</f>
        <v>259982</v>
      </c>
      <c r="L388" s="44">
        <f t="shared" si="183"/>
        <v>343714</v>
      </c>
      <c r="M388" s="44">
        <f>M389+M390</f>
        <v>8674</v>
      </c>
      <c r="N388" s="19">
        <f t="shared" si="178"/>
        <v>43009798</v>
      </c>
      <c r="O388" s="19">
        <f t="shared" si="157"/>
        <v>-307897</v>
      </c>
      <c r="P388" s="19">
        <f t="shared" si="158"/>
        <v>42701901</v>
      </c>
      <c r="Q388" s="20">
        <f t="shared" ref="Q388:Q412" si="184">P388*100/$P$387</f>
        <v>51.633966348462032</v>
      </c>
    </row>
    <row r="389" spans="1:21" ht="13.8" x14ac:dyDescent="0.3">
      <c r="A389" s="46" t="s">
        <v>54</v>
      </c>
      <c r="B389" s="47" t="s">
        <v>55</v>
      </c>
      <c r="C389" s="48">
        <f>SUMIF($A$30:$A$376,A389,$C$30:$C$376)</f>
        <v>22093607</v>
      </c>
      <c r="D389" s="48">
        <f>SUMIF($A$30:$A$376,A389,$D$30:$D$376)</f>
        <v>11262302</v>
      </c>
      <c r="E389" s="48">
        <f>SUMIF($A$30:$A$376,A389,$E$30:$E$376)</f>
        <v>277863</v>
      </c>
      <c r="F389" s="49">
        <f t="shared" si="172"/>
        <v>33633772</v>
      </c>
      <c r="G389" s="50">
        <f t="shared" si="182"/>
        <v>40.344059407336061</v>
      </c>
      <c r="H389" s="48">
        <f>SUMIF($A$30:$A$376,A389,$H$30:$H$376)</f>
        <v>22093607</v>
      </c>
      <c r="I389" s="48">
        <f>SUMIF($A$30:$A$376,A389,$I$30:$I$376)</f>
        <v>-467658</v>
      </c>
      <c r="J389" s="48">
        <f>SUMIF($A$30:$A$376,A389,$J$30:$J$376)</f>
        <v>11262302</v>
      </c>
      <c r="K389" s="48">
        <f>SUMIF($A$30:$A$376,A389,$K$30:$K$376)</f>
        <v>210371</v>
      </c>
      <c r="L389" s="48">
        <f>SUMIF($A$30:$A$376,A389,$L$30:$L$376)</f>
        <v>277863</v>
      </c>
      <c r="M389" s="48">
        <f>SUMIF($A$30:$A$376,A389,$M$30:$M$376)</f>
        <v>6457</v>
      </c>
      <c r="N389" s="49">
        <f t="shared" si="178"/>
        <v>33633772</v>
      </c>
      <c r="O389" s="49">
        <f t="shared" si="157"/>
        <v>-250830</v>
      </c>
      <c r="P389" s="49">
        <f t="shared" si="158"/>
        <v>33382942</v>
      </c>
      <c r="Q389" s="50">
        <f t="shared" si="184"/>
        <v>40.365736968962104</v>
      </c>
    </row>
    <row r="390" spans="1:21" ht="26.4" x14ac:dyDescent="0.3">
      <c r="A390" s="46" t="s">
        <v>56</v>
      </c>
      <c r="B390" s="47" t="s">
        <v>57</v>
      </c>
      <c r="C390" s="48">
        <f>SUMIF($A$30:$A$376,A390,$C$30:$C$376)</f>
        <v>6645817</v>
      </c>
      <c r="D390" s="48">
        <f>SUMIF($A$30:$A$376,A390,$D$30:$D$376)</f>
        <v>2664358</v>
      </c>
      <c r="E390" s="48">
        <f>SUMIF($A$30:$A$376,A390,$E$30:$E$376)</f>
        <v>65851</v>
      </c>
      <c r="F390" s="49">
        <f t="shared" si="172"/>
        <v>9376026</v>
      </c>
      <c r="G390" s="50">
        <f t="shared" si="182"/>
        <v>11.246640726134657</v>
      </c>
      <c r="H390" s="48">
        <f>SUMIF($A$30:$A$376,A390,$H$30:$H$376)</f>
        <v>6645817</v>
      </c>
      <c r="I390" s="48">
        <f>SUMIF($A$30:$A$376,A390,$I$30:$I$376)</f>
        <v>-108895</v>
      </c>
      <c r="J390" s="48">
        <f>SUMIF($A$30:$A$376,A390,$J$30:$J$376)</f>
        <v>2664358</v>
      </c>
      <c r="K390" s="48">
        <f>SUMIF($A$30:$A$376,A390,$K$30:$K$376)</f>
        <v>49611</v>
      </c>
      <c r="L390" s="48">
        <f>SUMIF($A$30:$A$376,A390,$L$30:$L$376)</f>
        <v>65851</v>
      </c>
      <c r="M390" s="48">
        <f>SUMIF($A$30:$A$376,A390,$M$30:$M$376)</f>
        <v>2217</v>
      </c>
      <c r="N390" s="49">
        <f t="shared" si="178"/>
        <v>9376026</v>
      </c>
      <c r="O390" s="49">
        <f t="shared" si="157"/>
        <v>-57067</v>
      </c>
      <c r="P390" s="49">
        <f t="shared" si="158"/>
        <v>9318959</v>
      </c>
      <c r="Q390" s="50">
        <f t="shared" si="184"/>
        <v>11.268229379499928</v>
      </c>
    </row>
    <row r="391" spans="1:21" s="45" customFormat="1" x14ac:dyDescent="0.25">
      <c r="A391" s="42" t="s">
        <v>183</v>
      </c>
      <c r="B391" s="43" t="s">
        <v>184</v>
      </c>
      <c r="C391" s="44">
        <f>C392+C393+C394+C395+C396</f>
        <v>14871612</v>
      </c>
      <c r="D391" s="44">
        <f t="shared" ref="D391:E391" si="185">D392+D393+D394+D395+D396</f>
        <v>1727550</v>
      </c>
      <c r="E391" s="44">
        <f t="shared" si="185"/>
        <v>723932</v>
      </c>
      <c r="F391" s="19">
        <f t="shared" si="172"/>
        <v>17323094</v>
      </c>
      <c r="G391" s="20">
        <f t="shared" si="182"/>
        <v>20.779231465768007</v>
      </c>
      <c r="H391" s="44">
        <f>H392+H393+H394+H395+H396</f>
        <v>14871612</v>
      </c>
      <c r="I391" s="44">
        <f>I392+I393+I394+I395+I396</f>
        <v>-1139558</v>
      </c>
      <c r="J391" s="44">
        <f t="shared" ref="J391:L391" si="186">J392+J393+J394+J395+J396</f>
        <v>1727550</v>
      </c>
      <c r="K391" s="44">
        <f>K392+K393+K394+K395+K396</f>
        <v>2770</v>
      </c>
      <c r="L391" s="44">
        <f t="shared" si="186"/>
        <v>723932</v>
      </c>
      <c r="M391" s="44">
        <f>M392+M393+M394+M395+M396</f>
        <v>-1078</v>
      </c>
      <c r="N391" s="19">
        <f t="shared" si="178"/>
        <v>17323094</v>
      </c>
      <c r="O391" s="19">
        <f t="shared" si="157"/>
        <v>-1137866</v>
      </c>
      <c r="P391" s="19">
        <f t="shared" si="158"/>
        <v>16185228</v>
      </c>
      <c r="Q391" s="20">
        <f t="shared" si="184"/>
        <v>19.570733347308948</v>
      </c>
    </row>
    <row r="392" spans="1:21" s="51" customFormat="1" ht="13.8" x14ac:dyDescent="0.3">
      <c r="A392" s="46" t="s">
        <v>58</v>
      </c>
      <c r="B392" s="47" t="s">
        <v>59</v>
      </c>
      <c r="C392" s="48">
        <f>SUMIF($A$30:$A$376,A392,$C$30:$C$376)</f>
        <v>180979</v>
      </c>
      <c r="D392" s="48">
        <f>SUMIF($A$30:$A$376,A392,$D$30:$D$376)</f>
        <v>13800</v>
      </c>
      <c r="E392" s="48">
        <f>SUMIF($A$30:$A$376,A392,$E$30:$E$376)</f>
        <v>311218</v>
      </c>
      <c r="F392" s="49">
        <f t="shared" si="172"/>
        <v>505997</v>
      </c>
      <c r="G392" s="50">
        <f t="shared" si="182"/>
        <v>0.60694866540493364</v>
      </c>
      <c r="H392" s="48">
        <f>SUMIF($A$30:$A$376,A392,$H$30:$H$376)</f>
        <v>180979</v>
      </c>
      <c r="I392" s="48">
        <f>SUMIF($A$30:$A$376,A392,$I$30:$I$376)</f>
        <v>-49082</v>
      </c>
      <c r="J392" s="48">
        <f>SUMIF($A$30:$A$376,A392,$J$30:$J$376)</f>
        <v>13800</v>
      </c>
      <c r="K392" s="48">
        <f>SUMIF($A$30:$A$376,A392,$K$30:$K$376)</f>
        <v>0</v>
      </c>
      <c r="L392" s="48">
        <f>SUMIF($A$30:$A$376,A392,$L$30:$L$376)</f>
        <v>311218</v>
      </c>
      <c r="M392" s="48">
        <f>SUMIF($A$30:$A$376,A392,$M$30:$M$376)</f>
        <v>9508</v>
      </c>
      <c r="N392" s="49">
        <f t="shared" si="178"/>
        <v>505997</v>
      </c>
      <c r="O392" s="49">
        <f t="shared" si="157"/>
        <v>-39574</v>
      </c>
      <c r="P392" s="49">
        <f t="shared" si="158"/>
        <v>466423</v>
      </c>
      <c r="Q392" s="50">
        <f t="shared" si="184"/>
        <v>0.56398588639294311</v>
      </c>
    </row>
    <row r="393" spans="1:21" s="51" customFormat="1" ht="13.8" x14ac:dyDescent="0.3">
      <c r="A393" s="46" t="s">
        <v>60</v>
      </c>
      <c r="B393" s="47" t="s">
        <v>61</v>
      </c>
      <c r="C393" s="48">
        <f>SUMIF($A$30:$A$376,A393,$C$30:$C$376)</f>
        <v>9006130</v>
      </c>
      <c r="D393" s="48">
        <f>SUMIF($A$30:$A$376,A393,$D$30:$D$376)</f>
        <v>1176479</v>
      </c>
      <c r="E393" s="48">
        <f>SUMIF($A$30:$A$376,A393,$E$30:$E$376)</f>
        <v>308901</v>
      </c>
      <c r="F393" s="49">
        <f t="shared" si="172"/>
        <v>10491510</v>
      </c>
      <c r="G393" s="50">
        <f t="shared" si="182"/>
        <v>12.584675388554706</v>
      </c>
      <c r="H393" s="48">
        <f>SUMIF($A$30:$A$376,A393,$H$30:$H$376)</f>
        <v>9006130</v>
      </c>
      <c r="I393" s="48">
        <f>SUMIF($A$30:$A$376,A393,$I$30:$I$376)</f>
        <v>-618279</v>
      </c>
      <c r="J393" s="48">
        <f>SUMIF($A$30:$A$376,A393,$J$30:$J$376)</f>
        <v>1176479</v>
      </c>
      <c r="K393" s="48">
        <f>SUMIF($A$30:$A$376,A393,$K$30:$K$376)</f>
        <v>8531</v>
      </c>
      <c r="L393" s="48">
        <f>SUMIF($A$30:$A$376,A393,$L$30:$L$376)</f>
        <v>308901</v>
      </c>
      <c r="M393" s="48">
        <f>SUMIF($A$30:$A$376,A393,$M$30:$M$376)</f>
        <v>-24852</v>
      </c>
      <c r="N393" s="49">
        <f t="shared" si="178"/>
        <v>10491510</v>
      </c>
      <c r="O393" s="49">
        <f t="shared" si="157"/>
        <v>-634600</v>
      </c>
      <c r="P393" s="49">
        <f t="shared" si="158"/>
        <v>9856910</v>
      </c>
      <c r="Q393" s="50">
        <f t="shared" si="184"/>
        <v>11.918704959758557</v>
      </c>
    </row>
    <row r="394" spans="1:21" s="51" customFormat="1" ht="26.4" x14ac:dyDescent="0.3">
      <c r="A394" s="46" t="s">
        <v>62</v>
      </c>
      <c r="B394" s="47" t="s">
        <v>63</v>
      </c>
      <c r="C394" s="48">
        <f>SUMIF($A$30:$A$376,A394,$C$30:$C$376)</f>
        <v>5459578</v>
      </c>
      <c r="D394" s="48">
        <f>SUMIF($A$30:$A$376,A394,$D$30:$D$376)</f>
        <v>536462</v>
      </c>
      <c r="E394" s="48">
        <f>SUMIF($A$30:$A$376,A394,$E$30:$E$376)</f>
        <v>103813</v>
      </c>
      <c r="F394" s="49">
        <f t="shared" si="172"/>
        <v>6099853</v>
      </c>
      <c r="G394" s="50">
        <f t="shared" si="182"/>
        <v>7.3168371304894713</v>
      </c>
      <c r="H394" s="48">
        <f>SUMIF($A$30:$A$376,A394,$H$30:$H$376)</f>
        <v>5459578</v>
      </c>
      <c r="I394" s="48">
        <f>SUMIF($A$30:$A$376,A394,$I$30:$I$376)</f>
        <v>-471800</v>
      </c>
      <c r="J394" s="48">
        <f>SUMIF($A$30:$A$376,A394,$J$30:$J$376)</f>
        <v>536462</v>
      </c>
      <c r="K394" s="48">
        <f>SUMIF($A$30:$A$376,A394,$K$30:$K$376)</f>
        <v>-5761</v>
      </c>
      <c r="L394" s="48">
        <f>SUMIF($A$30:$A$376,A394,$L$30:$L$376)</f>
        <v>103813</v>
      </c>
      <c r="M394" s="48">
        <f>SUMIF($A$30:$A$376,A394,$M$30:$M$376)</f>
        <v>14266</v>
      </c>
      <c r="N394" s="49">
        <f t="shared" si="178"/>
        <v>6099853</v>
      </c>
      <c r="O394" s="49">
        <f t="shared" ref="O394:O414" si="187">I394+K394+M394</f>
        <v>-463295</v>
      </c>
      <c r="P394" s="49">
        <f t="shared" ref="P394:P419" si="188">N394+O394</f>
        <v>5636558</v>
      </c>
      <c r="Q394" s="50">
        <f t="shared" si="184"/>
        <v>6.8155711871739486</v>
      </c>
    </row>
    <row r="395" spans="1:21" s="51" customFormat="1" ht="13.8" x14ac:dyDescent="0.3">
      <c r="A395" s="46" t="s">
        <v>139</v>
      </c>
      <c r="B395" s="47" t="s">
        <v>140</v>
      </c>
      <c r="C395" s="48">
        <f>SUMIF($A$30:$A$376,A395,$C$30:$C$376)</f>
        <v>26809</v>
      </c>
      <c r="D395" s="48">
        <f>SUMIF($A$30:$A$376,A395,$D$30:$D$376)</f>
        <v>60</v>
      </c>
      <c r="E395" s="48">
        <f>SUMIF($A$30:$A$376,A395,$E$30:$E$376)</f>
        <v>0</v>
      </c>
      <c r="F395" s="49">
        <f t="shared" si="172"/>
        <v>26869</v>
      </c>
      <c r="G395" s="50">
        <f t="shared" si="182"/>
        <v>3.2229645019170396E-2</v>
      </c>
      <c r="H395" s="48">
        <f>SUMIF($A$30:$A$376,A395,$H$30:$H$376)</f>
        <v>26809</v>
      </c>
      <c r="I395" s="48">
        <f>SUMIF($A$30:$A$376,A395,$I$30:$I$376)</f>
        <v>-218</v>
      </c>
      <c r="J395" s="48">
        <f>SUMIF($A$30:$A$376,A395,$J$30:$J$376)</f>
        <v>60</v>
      </c>
      <c r="K395" s="48">
        <f>SUMIF($A$30:$A$376,A395,$K$30:$K$376)</f>
        <v>0</v>
      </c>
      <c r="L395" s="48">
        <f>SUMIF($A$30:$A$376,A395,$L$30:$L$376)</f>
        <v>0</v>
      </c>
      <c r="M395" s="48">
        <f>SUMIF($A$30:$A$376,A395,$M$30:$M$376)</f>
        <v>0</v>
      </c>
      <c r="N395" s="49">
        <f t="shared" si="178"/>
        <v>26869</v>
      </c>
      <c r="O395" s="49">
        <f t="shared" si="187"/>
        <v>-218</v>
      </c>
      <c r="P395" s="49">
        <f t="shared" si="188"/>
        <v>26651</v>
      </c>
      <c r="Q395" s="50">
        <f t="shared" si="184"/>
        <v>3.2225657521730976E-2</v>
      </c>
    </row>
    <row r="396" spans="1:21" s="51" customFormat="1" ht="13.8" x14ac:dyDescent="0.3">
      <c r="A396" s="46" t="s">
        <v>64</v>
      </c>
      <c r="B396" s="47" t="s">
        <v>65</v>
      </c>
      <c r="C396" s="48">
        <f>SUMIF($A$30:$A$376,A396,$C$30:$C$376)</f>
        <v>198116</v>
      </c>
      <c r="D396" s="48">
        <f>SUMIF($A$30:$A$376,A396,$D$30:$D$376)</f>
        <v>749</v>
      </c>
      <c r="E396" s="48">
        <f>SUMIF($A$30:$A$376,A396,$E$30:$E$376)</f>
        <v>0</v>
      </c>
      <c r="F396" s="49">
        <f t="shared" si="172"/>
        <v>198865</v>
      </c>
      <c r="G396" s="50">
        <f t="shared" si="182"/>
        <v>0.23854063629972536</v>
      </c>
      <c r="H396" s="48">
        <f>SUMIF($A$30:$A$376,A396,$H$30:$H$376)</f>
        <v>198116</v>
      </c>
      <c r="I396" s="48">
        <f>SUMIF($A$30:$A$376,A396,$I$30:$I$376)</f>
        <v>-179</v>
      </c>
      <c r="J396" s="48">
        <f>SUMIF($A$30:$A$376,A396,$J$30:$J$376)</f>
        <v>749</v>
      </c>
      <c r="K396" s="48">
        <f>SUMIF($A$30:$A$376,A396,$K$30:$K$376)</f>
        <v>0</v>
      </c>
      <c r="L396" s="48">
        <f>SUMIF($A$30:$A$376,A396,$L$30:$L$376)</f>
        <v>0</v>
      </c>
      <c r="M396" s="48">
        <f>SUMIF($A$30:$A$376,A396,$M$30:$M$376)</f>
        <v>0</v>
      </c>
      <c r="N396" s="49">
        <f t="shared" si="178"/>
        <v>198865</v>
      </c>
      <c r="O396" s="49">
        <f t="shared" si="187"/>
        <v>-179</v>
      </c>
      <c r="P396" s="49">
        <f t="shared" si="188"/>
        <v>198686</v>
      </c>
      <c r="Q396" s="50">
        <f t="shared" si="184"/>
        <v>0.24024565646177032</v>
      </c>
    </row>
    <row r="397" spans="1:21" s="45" customFormat="1" x14ac:dyDescent="0.25">
      <c r="A397" s="42" t="s">
        <v>185</v>
      </c>
      <c r="B397" s="43" t="s">
        <v>186</v>
      </c>
      <c r="C397" s="44">
        <f>C398</f>
        <v>1409129</v>
      </c>
      <c r="D397" s="44">
        <f t="shared" ref="D397:E397" si="189">D398</f>
        <v>0</v>
      </c>
      <c r="E397" s="44">
        <f t="shared" si="189"/>
        <v>110000</v>
      </c>
      <c r="F397" s="19">
        <f t="shared" si="172"/>
        <v>1519129</v>
      </c>
      <c r="G397" s="20">
        <f t="shared" si="182"/>
        <v>1.8222110390534558</v>
      </c>
      <c r="H397" s="44">
        <f>H398</f>
        <v>1409129</v>
      </c>
      <c r="I397" s="44">
        <f>I398</f>
        <v>-20000</v>
      </c>
      <c r="J397" s="44">
        <f t="shared" ref="J397:L397" si="190">J398</f>
        <v>0</v>
      </c>
      <c r="K397" s="44">
        <f>K398</f>
        <v>0</v>
      </c>
      <c r="L397" s="44">
        <f t="shared" si="190"/>
        <v>110000</v>
      </c>
      <c r="M397" s="44">
        <f>M398</f>
        <v>0</v>
      </c>
      <c r="N397" s="19">
        <f t="shared" si="178"/>
        <v>1519129</v>
      </c>
      <c r="O397" s="19">
        <f t="shared" si="187"/>
        <v>-20000</v>
      </c>
      <c r="P397" s="19">
        <f t="shared" si="188"/>
        <v>1499129</v>
      </c>
      <c r="Q397" s="20">
        <f t="shared" si="184"/>
        <v>1.8127056296159634</v>
      </c>
    </row>
    <row r="398" spans="1:21" s="51" customFormat="1" ht="26.4" x14ac:dyDescent="0.3">
      <c r="A398" s="46" t="s">
        <v>90</v>
      </c>
      <c r="B398" s="47" t="s">
        <v>91</v>
      </c>
      <c r="C398" s="48">
        <f>SUMIF($A$30:$A$376,A398,$C$30:$C$376)</f>
        <v>1409129</v>
      </c>
      <c r="D398" s="48">
        <f>SUMIF($A$30:$A$376,A398,$D$30:$D$376)</f>
        <v>0</v>
      </c>
      <c r="E398" s="48">
        <f>SUMIF($A$30:$A$376,A398,$E$30:$E$376)</f>
        <v>110000</v>
      </c>
      <c r="F398" s="49">
        <f t="shared" si="172"/>
        <v>1519129</v>
      </c>
      <c r="G398" s="50">
        <f t="shared" si="182"/>
        <v>1.8222110390534558</v>
      </c>
      <c r="H398" s="48">
        <f>SUMIF($A$30:$A$376,A398,$H$30:$H$376)</f>
        <v>1409129</v>
      </c>
      <c r="I398" s="48">
        <f>SUMIF($A$30:$A$376,A398,$I$30:$I$376)</f>
        <v>-20000</v>
      </c>
      <c r="J398" s="48">
        <f>SUMIF($A$30:$A$376,A398,$J$30:$J$376)</f>
        <v>0</v>
      </c>
      <c r="K398" s="48">
        <f>SUMIF($A$30:$A$376,A398,$K$30:$K$376)</f>
        <v>0</v>
      </c>
      <c r="L398" s="48">
        <f>SUMIF($A$30:$A$376,A398,$L$30:$L$376)</f>
        <v>110000</v>
      </c>
      <c r="M398" s="48">
        <f>SUMIF($A$30:$A$376,A398,$M$30:$M$376)</f>
        <v>0</v>
      </c>
      <c r="N398" s="49">
        <f t="shared" si="178"/>
        <v>1519129</v>
      </c>
      <c r="O398" s="49">
        <f t="shared" si="187"/>
        <v>-20000</v>
      </c>
      <c r="P398" s="49">
        <f t="shared" si="188"/>
        <v>1499129</v>
      </c>
      <c r="Q398" s="50">
        <f t="shared" si="184"/>
        <v>1.8127056296159634</v>
      </c>
    </row>
    <row r="399" spans="1:21" s="45" customFormat="1" x14ac:dyDescent="0.25">
      <c r="A399" s="42" t="s">
        <v>187</v>
      </c>
      <c r="B399" s="43" t="s">
        <v>188</v>
      </c>
      <c r="C399" s="44">
        <f>C400</f>
        <v>1138120</v>
      </c>
      <c r="D399" s="44">
        <f t="shared" ref="D399:E399" si="191">D400</f>
        <v>0</v>
      </c>
      <c r="E399" s="44">
        <f t="shared" si="191"/>
        <v>0</v>
      </c>
      <c r="F399" s="19">
        <f t="shared" si="172"/>
        <v>1138120</v>
      </c>
      <c r="G399" s="20">
        <f t="shared" si="182"/>
        <v>1.3651867799031676</v>
      </c>
      <c r="H399" s="44">
        <f>H400</f>
        <v>1138120</v>
      </c>
      <c r="I399" s="44">
        <f>I400</f>
        <v>0</v>
      </c>
      <c r="J399" s="44">
        <f t="shared" ref="J399:L399" si="192">J400</f>
        <v>0</v>
      </c>
      <c r="K399" s="44">
        <f>K400</f>
        <v>0</v>
      </c>
      <c r="L399" s="44">
        <f t="shared" si="192"/>
        <v>0</v>
      </c>
      <c r="M399" s="44">
        <f>M400</f>
        <v>0</v>
      </c>
      <c r="N399" s="19">
        <f t="shared" si="178"/>
        <v>1138120</v>
      </c>
      <c r="O399" s="19">
        <f t="shared" si="187"/>
        <v>0</v>
      </c>
      <c r="P399" s="19">
        <f t="shared" si="188"/>
        <v>1138120</v>
      </c>
      <c r="Q399" s="20">
        <f t="shared" si="184"/>
        <v>1.3761834579802807</v>
      </c>
    </row>
    <row r="400" spans="1:21" s="51" customFormat="1" ht="13.8" x14ac:dyDescent="0.3">
      <c r="A400" s="46" t="s">
        <v>78</v>
      </c>
      <c r="B400" s="47" t="s">
        <v>79</v>
      </c>
      <c r="C400" s="48">
        <f>SUMIF($A$30:$A$376,A400,$C$30:$C$376)</f>
        <v>1138120</v>
      </c>
      <c r="D400" s="48">
        <f>SUMIF($A$30:$A$376,A400,$D$30:$D$376)</f>
        <v>0</v>
      </c>
      <c r="E400" s="48">
        <f>SUMIF($A$30:$A$376,A400,$E$30:$E$376)</f>
        <v>0</v>
      </c>
      <c r="F400" s="49">
        <f t="shared" si="172"/>
        <v>1138120</v>
      </c>
      <c r="G400" s="50">
        <f t="shared" si="182"/>
        <v>1.3651867799031676</v>
      </c>
      <c r="H400" s="48">
        <f>SUMIF($A$30:$A$376,A400,$H$30:$H$376)</f>
        <v>1138120</v>
      </c>
      <c r="I400" s="48">
        <f>SUMIF($A$30:$A$376,A400,$I$30:$I$376)</f>
        <v>0</v>
      </c>
      <c r="J400" s="48">
        <f>SUMIF($A$30:$A$376,A400,$J$30:$J$376)</f>
        <v>0</v>
      </c>
      <c r="K400" s="48">
        <f>SUMIF($A$30:$A$376,A400,$K$30:$K$376)</f>
        <v>0</v>
      </c>
      <c r="L400" s="48">
        <f>SUMIF($A$30:$A$376,A400,$L$30:$L$376)</f>
        <v>0</v>
      </c>
      <c r="M400" s="48">
        <f>SUMIF($A$30:$A$376,A400,$M$30:$M$376)</f>
        <v>0</v>
      </c>
      <c r="N400" s="49">
        <f t="shared" si="178"/>
        <v>1138120</v>
      </c>
      <c r="O400" s="49">
        <f t="shared" si="187"/>
        <v>0</v>
      </c>
      <c r="P400" s="49">
        <f t="shared" si="188"/>
        <v>1138120</v>
      </c>
      <c r="Q400" s="50">
        <f t="shared" si="184"/>
        <v>1.3761834579802807</v>
      </c>
    </row>
    <row r="401" spans="1:19" s="45" customFormat="1" x14ac:dyDescent="0.25">
      <c r="A401" s="42" t="s">
        <v>189</v>
      </c>
      <c r="B401" s="43" t="s">
        <v>190</v>
      </c>
      <c r="C401" s="44">
        <f>C402+C403</f>
        <v>6403834</v>
      </c>
      <c r="D401" s="44">
        <f t="shared" ref="D401:E401" si="193">D402+D403</f>
        <v>389676</v>
      </c>
      <c r="E401" s="44">
        <f t="shared" si="193"/>
        <v>10254796</v>
      </c>
      <c r="F401" s="19">
        <f t="shared" si="172"/>
        <v>17048306</v>
      </c>
      <c r="G401" s="20">
        <f t="shared" si="182"/>
        <v>20.449620401138588</v>
      </c>
      <c r="H401" s="44">
        <f>H402+H403</f>
        <v>6403834</v>
      </c>
      <c r="I401" s="44">
        <f>I402+I403</f>
        <v>536089</v>
      </c>
      <c r="J401" s="44">
        <f t="shared" ref="J401:L401" si="194">J402+J403</f>
        <v>389676</v>
      </c>
      <c r="K401" s="44">
        <f>K402+K403</f>
        <v>50693</v>
      </c>
      <c r="L401" s="44">
        <f t="shared" si="194"/>
        <v>10254796</v>
      </c>
      <c r="M401" s="44">
        <f>M402+M403</f>
        <v>10754</v>
      </c>
      <c r="N401" s="19">
        <f t="shared" si="178"/>
        <v>17048306</v>
      </c>
      <c r="O401" s="19">
        <f t="shared" si="187"/>
        <v>597536</v>
      </c>
      <c r="P401" s="19">
        <f t="shared" si="188"/>
        <v>17645842</v>
      </c>
      <c r="Q401" s="20">
        <f t="shared" si="184"/>
        <v>21.336867696318201</v>
      </c>
    </row>
    <row r="402" spans="1:19" s="51" customFormat="1" ht="13.8" x14ac:dyDescent="0.3">
      <c r="A402" s="46" t="s">
        <v>104</v>
      </c>
      <c r="B402" s="47" t="s">
        <v>105</v>
      </c>
      <c r="C402" s="48">
        <f>SUMIF($A$30:$A$376,A402,$C$30:$C$376)</f>
        <v>211182</v>
      </c>
      <c r="D402" s="48">
        <f>SUMIF($A$30:$A$376,A402,$D$30:$D$376)</f>
        <v>307</v>
      </c>
      <c r="E402" s="48">
        <f>SUMIF($A$30:$A$376,A402,$E$30:$E$376)</f>
        <v>20000</v>
      </c>
      <c r="F402" s="49">
        <f t="shared" si="172"/>
        <v>231489</v>
      </c>
      <c r="G402" s="50">
        <f t="shared" si="182"/>
        <v>0.27767346368836709</v>
      </c>
      <c r="H402" s="48">
        <f>SUMIF($A$30:$A$376,A402,$H$30:$H$376)</f>
        <v>211182</v>
      </c>
      <c r="I402" s="48">
        <f>SUMIF($A$30:$A$376,A402,$I$30:$I$376)</f>
        <v>-7181</v>
      </c>
      <c r="J402" s="48">
        <f>SUMIF($A$30:$A$376,A402,$J$30:$J$376)</f>
        <v>307</v>
      </c>
      <c r="K402" s="48">
        <f>SUMIF($A$30:$A$376,A402,$K$30:$K$376)</f>
        <v>5993</v>
      </c>
      <c r="L402" s="48">
        <f>SUMIF($A$30:$A$376,A402,$L$30:$L$376)</f>
        <v>20000</v>
      </c>
      <c r="M402" s="48">
        <f>SUMIF($A$30:$A$376,A402,$M$30:$M$376)</f>
        <v>2404</v>
      </c>
      <c r="N402" s="49">
        <f t="shared" si="178"/>
        <v>231489</v>
      </c>
      <c r="O402" s="49">
        <f t="shared" si="187"/>
        <v>1216</v>
      </c>
      <c r="P402" s="49">
        <f t="shared" si="188"/>
        <v>232705</v>
      </c>
      <c r="Q402" s="50">
        <f t="shared" si="184"/>
        <v>0.28138049730195513</v>
      </c>
    </row>
    <row r="403" spans="1:19" s="51" customFormat="1" ht="13.8" x14ac:dyDescent="0.3">
      <c r="A403" s="46" t="s">
        <v>66</v>
      </c>
      <c r="B403" s="47" t="s">
        <v>67</v>
      </c>
      <c r="C403" s="48">
        <f>SUMIF($A$30:$A$376,A403,$C$30:$C$376)</f>
        <v>6192652</v>
      </c>
      <c r="D403" s="48">
        <f>SUMIF($A$30:$A$376,A403,$D$30:$D$376)</f>
        <v>389369</v>
      </c>
      <c r="E403" s="48">
        <f>SUMIF($A$30:$A$376,A403,$E$30:$E$376)</f>
        <v>10234796</v>
      </c>
      <c r="F403" s="49">
        <f t="shared" si="172"/>
        <v>16816817</v>
      </c>
      <c r="G403" s="50">
        <f t="shared" si="182"/>
        <v>20.171946937450222</v>
      </c>
      <c r="H403" s="48">
        <f>SUMIF($A$30:$A$376,A403,$H$30:$H$376)</f>
        <v>6192652</v>
      </c>
      <c r="I403" s="48">
        <f>SUMIF($A$30:$A$376,A403,$I$30:$I$376)</f>
        <v>543270</v>
      </c>
      <c r="J403" s="48">
        <f>SUMIF($A$30:$A$376,A403,$J$30:$J$376)</f>
        <v>389369</v>
      </c>
      <c r="K403" s="48">
        <f>SUMIF($A$30:$A$376,A403,$K$30:$K$376)</f>
        <v>44700</v>
      </c>
      <c r="L403" s="48">
        <f>SUMIF($A$30:$A$376,A403,$L$30:$L$376)</f>
        <v>10234796</v>
      </c>
      <c r="M403" s="48">
        <f>SUMIF($A$30:$A$376,A403,$M$30:$M$376)</f>
        <v>8350</v>
      </c>
      <c r="N403" s="49">
        <f t="shared" si="178"/>
        <v>16816817</v>
      </c>
      <c r="O403" s="49">
        <f t="shared" si="187"/>
        <v>596320</v>
      </c>
      <c r="P403" s="49">
        <f t="shared" si="188"/>
        <v>17413137</v>
      </c>
      <c r="Q403" s="50">
        <f t="shared" si="184"/>
        <v>21.055487199016245</v>
      </c>
    </row>
    <row r="404" spans="1:19" s="45" customFormat="1" ht="26.4" x14ac:dyDescent="0.25">
      <c r="A404" s="42" t="s">
        <v>191</v>
      </c>
      <c r="B404" s="43" t="s">
        <v>192</v>
      </c>
      <c r="C404" s="44">
        <f>C405+C406+C407</f>
        <v>2013805</v>
      </c>
      <c r="D404" s="44">
        <f t="shared" ref="D404:E404" si="195">D405+D406+D407</f>
        <v>1700</v>
      </c>
      <c r="E404" s="44">
        <f t="shared" si="195"/>
        <v>1500</v>
      </c>
      <c r="F404" s="19">
        <f t="shared" si="172"/>
        <v>2017005</v>
      </c>
      <c r="G404" s="20">
        <f t="shared" si="182"/>
        <v>2.4194184804753354</v>
      </c>
      <c r="H404" s="44">
        <f>H405+H406+H407</f>
        <v>2013805</v>
      </c>
      <c r="I404" s="44">
        <f>I405+I406+I407</f>
        <v>31292</v>
      </c>
      <c r="J404" s="44">
        <f t="shared" ref="J404:L404" si="196">J405+J406+J407</f>
        <v>1700</v>
      </c>
      <c r="K404" s="44">
        <f>K405+K406+K407</f>
        <v>33000</v>
      </c>
      <c r="L404" s="44">
        <f t="shared" si="196"/>
        <v>1500</v>
      </c>
      <c r="M404" s="44">
        <f>M405+M406+M407</f>
        <v>132900</v>
      </c>
      <c r="N404" s="19">
        <f t="shared" si="178"/>
        <v>2017005</v>
      </c>
      <c r="O404" s="19">
        <f t="shared" si="187"/>
        <v>197192</v>
      </c>
      <c r="P404" s="19">
        <f t="shared" si="188"/>
        <v>2214197</v>
      </c>
      <c r="Q404" s="20">
        <f t="shared" si="184"/>
        <v>2.6773462236930756</v>
      </c>
    </row>
    <row r="405" spans="1:19" s="51" customFormat="1" ht="13.8" x14ac:dyDescent="0.3">
      <c r="A405" s="46" t="s">
        <v>68</v>
      </c>
      <c r="B405" s="47" t="s">
        <v>69</v>
      </c>
      <c r="C405" s="48">
        <f>SUMIF($A$30:$A$376,A405,$C$30:$C$376)</f>
        <v>1184613</v>
      </c>
      <c r="D405" s="48">
        <f>SUMIF($A$30:$A$376,A405,$D$30:$D$376)</f>
        <v>1700</v>
      </c>
      <c r="E405" s="48">
        <f>SUMIF($A$30:$A$376,A405,$E$30:$E$376)</f>
        <v>1500</v>
      </c>
      <c r="F405" s="49">
        <f t="shared" si="172"/>
        <v>1187813</v>
      </c>
      <c r="G405" s="50">
        <f t="shared" si="182"/>
        <v>1.4247940503612284</v>
      </c>
      <c r="H405" s="48">
        <f>SUMIF($A$30:$A$376,A405,$H$30:$H$376)</f>
        <v>1184613</v>
      </c>
      <c r="I405" s="48">
        <f>SUMIF($A$30:$A$376,A405,$I$30:$I$376)</f>
        <v>35250</v>
      </c>
      <c r="J405" s="48">
        <f>SUMIF($A$30:$A$376,A405,$J$30:$J$376)</f>
        <v>1700</v>
      </c>
      <c r="K405" s="48">
        <f>SUMIF($A$30:$A$376,A405,$K$30:$K$376)</f>
        <v>33000</v>
      </c>
      <c r="L405" s="48">
        <f>SUMIF($A$30:$A$376,A405,$L$30:$L$376)</f>
        <v>1500</v>
      </c>
      <c r="M405" s="48">
        <f>SUMIF($A$30:$A$376,A405,$M$30:$M$376)</f>
        <v>0</v>
      </c>
      <c r="N405" s="49">
        <f t="shared" si="178"/>
        <v>1187813</v>
      </c>
      <c r="O405" s="49">
        <f t="shared" si="187"/>
        <v>68250</v>
      </c>
      <c r="P405" s="49">
        <f t="shared" si="188"/>
        <v>1256063</v>
      </c>
      <c r="Q405" s="50">
        <f t="shared" si="184"/>
        <v>1.5187968955655688</v>
      </c>
    </row>
    <row r="406" spans="1:19" s="51" customFormat="1" ht="13.8" x14ac:dyDescent="0.3">
      <c r="A406" s="46" t="s">
        <v>151</v>
      </c>
      <c r="B406" s="47" t="s">
        <v>152</v>
      </c>
      <c r="C406" s="48">
        <f>SUMIF($A$30:$A$376,A406,$C$30:$C$376)</f>
        <v>147306</v>
      </c>
      <c r="D406" s="48">
        <f>SUMIF($A$30:$A$376,A406,$D$30:$D$376)</f>
        <v>0</v>
      </c>
      <c r="E406" s="48">
        <f>SUMIF($A$30:$A$376,A406,$E$30:$E$376)</f>
        <v>0</v>
      </c>
      <c r="F406" s="49">
        <f t="shared" si="172"/>
        <v>147306</v>
      </c>
      <c r="G406" s="50">
        <f t="shared" si="182"/>
        <v>0.17669507942959969</v>
      </c>
      <c r="H406" s="48">
        <f>SUMIF($A$30:$A$376,A406,$H$30:$H$376)</f>
        <v>147306</v>
      </c>
      <c r="I406" s="48">
        <f>SUMIF($A$30:$A$376,A406,$I$30:$I$376)</f>
        <v>250</v>
      </c>
      <c r="J406" s="48">
        <f>SUMIF($A$30:$A$376,A406,$J$30:$J$376)</f>
        <v>0</v>
      </c>
      <c r="K406" s="48">
        <f>SUMIF($A$30:$A$376,A406,$K$30:$K$376)</f>
        <v>0</v>
      </c>
      <c r="L406" s="48">
        <f>SUMIF($A$30:$A$376,A406,$L$30:$L$376)</f>
        <v>0</v>
      </c>
      <c r="M406" s="48">
        <f>SUMIF($A$30:$A$376,A406,$M$30:$M$376)</f>
        <v>132900</v>
      </c>
      <c r="N406" s="49">
        <f t="shared" si="178"/>
        <v>147306</v>
      </c>
      <c r="O406" s="49">
        <f t="shared" si="187"/>
        <v>133150</v>
      </c>
      <c r="P406" s="49">
        <f t="shared" si="188"/>
        <v>280456</v>
      </c>
      <c r="Q406" s="50">
        <f t="shared" si="184"/>
        <v>0.33911969554292831</v>
      </c>
    </row>
    <row r="407" spans="1:19" s="51" customFormat="1" ht="26.4" x14ac:dyDescent="0.3">
      <c r="A407" s="46" t="s">
        <v>92</v>
      </c>
      <c r="B407" s="47" t="s">
        <v>93</v>
      </c>
      <c r="C407" s="48">
        <f>SUMIF($A$30:$A$376,A407,$C$30:$C$376)</f>
        <v>681886</v>
      </c>
      <c r="D407" s="48">
        <f>SUMIF($A$30:$A$376,A407,$D$30:$D$376)</f>
        <v>0</v>
      </c>
      <c r="E407" s="48">
        <f>SUMIF($A$30:$A$376,A407,$E$30:$E$376)</f>
        <v>0</v>
      </c>
      <c r="F407" s="49">
        <f t="shared" si="172"/>
        <v>681886</v>
      </c>
      <c r="G407" s="50">
        <f t="shared" si="182"/>
        <v>0.81792935068450723</v>
      </c>
      <c r="H407" s="48">
        <f>SUMIF($A$30:$A$376,A407,$H$30:$H$376)</f>
        <v>681886</v>
      </c>
      <c r="I407" s="48">
        <f>SUMIF($A$30:$A$376,A407,$I$30:$I$376)</f>
        <v>-4208</v>
      </c>
      <c r="J407" s="48">
        <f>SUMIF($A$30:$A$376,A407,$J$30:$J$376)</f>
        <v>0</v>
      </c>
      <c r="K407" s="48">
        <f>SUMIF($A$30:$A$376,A407,$K$30:$K$376)</f>
        <v>0</v>
      </c>
      <c r="L407" s="48">
        <f>SUMIF($A$30:$A$376,F407,$E$30:$E$376)</f>
        <v>0</v>
      </c>
      <c r="M407" s="48">
        <f>SUMIF($A$30:$A$376,A407,$M$30:$M$376)</f>
        <v>0</v>
      </c>
      <c r="N407" s="49">
        <f t="shared" si="178"/>
        <v>681886</v>
      </c>
      <c r="O407" s="49">
        <f t="shared" si="187"/>
        <v>-4208</v>
      </c>
      <c r="P407" s="49">
        <f t="shared" si="188"/>
        <v>677678</v>
      </c>
      <c r="Q407" s="50">
        <f t="shared" si="184"/>
        <v>0.81942963258457868</v>
      </c>
    </row>
    <row r="408" spans="1:19" s="45" customFormat="1" ht="26.4" x14ac:dyDescent="0.25">
      <c r="A408" s="42" t="s">
        <v>193</v>
      </c>
      <c r="B408" s="43" t="s">
        <v>194</v>
      </c>
      <c r="C408" s="44">
        <f>C409+C410</f>
        <v>1266386</v>
      </c>
      <c r="D408" s="44">
        <f t="shared" ref="D408:E408" si="197">D409+D410</f>
        <v>4123</v>
      </c>
      <c r="E408" s="44">
        <f t="shared" si="197"/>
        <v>41386</v>
      </c>
      <c r="F408" s="19">
        <f t="shared" si="172"/>
        <v>1311895</v>
      </c>
      <c r="G408" s="20">
        <f t="shared" si="182"/>
        <v>1.5736317001907234</v>
      </c>
      <c r="H408" s="44">
        <f>H409+H410</f>
        <v>1266386</v>
      </c>
      <c r="I408" s="44">
        <f>I409+I410</f>
        <v>1750</v>
      </c>
      <c r="J408" s="44">
        <f t="shared" ref="J408:L408" si="198">J409+J410</f>
        <v>4123</v>
      </c>
      <c r="K408" s="44">
        <f>K409+K410</f>
        <v>3121</v>
      </c>
      <c r="L408" s="44">
        <f t="shared" si="198"/>
        <v>41386</v>
      </c>
      <c r="M408" s="44">
        <f>M409+M410</f>
        <v>0</v>
      </c>
      <c r="N408" s="19">
        <f t="shared" si="178"/>
        <v>1311895</v>
      </c>
      <c r="O408" s="19">
        <f t="shared" si="187"/>
        <v>4871</v>
      </c>
      <c r="P408" s="19">
        <f t="shared" si="188"/>
        <v>1316766</v>
      </c>
      <c r="Q408" s="20">
        <f t="shared" si="184"/>
        <v>1.5921972966215006</v>
      </c>
    </row>
    <row r="409" spans="1:19" s="51" customFormat="1" ht="13.8" x14ac:dyDescent="0.3">
      <c r="A409" s="46" t="s">
        <v>70</v>
      </c>
      <c r="B409" s="47" t="s">
        <v>71</v>
      </c>
      <c r="C409" s="48">
        <f>SUMIF($A$30:$A$376,A409,$C$30:$C$376)</f>
        <v>1266386</v>
      </c>
      <c r="D409" s="48">
        <f>SUMIF($A$30:$A$376,A409,$D$30:$D$376)</f>
        <v>4123</v>
      </c>
      <c r="E409" s="48">
        <f>SUMIF($A$30:$A$376,A409,$E$30:$E$376)</f>
        <v>0</v>
      </c>
      <c r="F409" s="49">
        <f t="shared" si="172"/>
        <v>1270509</v>
      </c>
      <c r="G409" s="50">
        <f t="shared" si="182"/>
        <v>1.5239887626506814</v>
      </c>
      <c r="H409" s="48">
        <f>SUMIF($A$30:$A$376,A409,$H$30:$H$376)</f>
        <v>1266386</v>
      </c>
      <c r="I409" s="48">
        <f>SUMIF($A$30:$A$376,A409,$I$30:$I$376)</f>
        <v>1750</v>
      </c>
      <c r="J409" s="48">
        <f>SUMIF($A$30:$A$376,A409,$J$30:$J$376)</f>
        <v>4123</v>
      </c>
      <c r="K409" s="48">
        <f>SUMIF($A$30:$A$376,A409,$K$30:$K$376)</f>
        <v>3121</v>
      </c>
      <c r="L409" s="48">
        <f>SUMIF($A$30:$A$376,A409,$L$30:$L$376)</f>
        <v>0</v>
      </c>
      <c r="M409" s="48">
        <f>SUMIF($A$30:$A$376,A409,$M$30:$M$376)</f>
        <v>0</v>
      </c>
      <c r="N409" s="49">
        <f t="shared" si="178"/>
        <v>1270509</v>
      </c>
      <c r="O409" s="49">
        <f t="shared" si="187"/>
        <v>4871</v>
      </c>
      <c r="P409" s="49">
        <f t="shared" si="188"/>
        <v>1275380</v>
      </c>
      <c r="Q409" s="50">
        <f t="shared" si="184"/>
        <v>1.5421544816354078</v>
      </c>
    </row>
    <row r="410" spans="1:19" s="51" customFormat="1" ht="13.8" x14ac:dyDescent="0.3">
      <c r="A410" s="46" t="s">
        <v>108</v>
      </c>
      <c r="B410" s="47" t="s">
        <v>109</v>
      </c>
      <c r="C410" s="48">
        <f>SUMIF($A$30:$A$376,A410,$C$30:$C$376)</f>
        <v>0</v>
      </c>
      <c r="D410" s="48"/>
      <c r="E410" s="48">
        <f>SUMIF($A$30:$A$376,A410,$E$30:$E$376)</f>
        <v>41386</v>
      </c>
      <c r="F410" s="49">
        <f t="shared" si="172"/>
        <v>41386</v>
      </c>
      <c r="G410" s="50">
        <f t="shared" si="182"/>
        <v>4.9642937540041905E-2</v>
      </c>
      <c r="H410" s="48">
        <f>SUMIF($A$30:$A$376,A410,$H$30:$H$376)</f>
        <v>0</v>
      </c>
      <c r="I410" s="48">
        <f>SUMIF($A$30:$A$376,A410,$I$30:$I$376)</f>
        <v>0</v>
      </c>
      <c r="J410" s="48">
        <f>SUMIF($A$30:$A$376,A410,$J$30:$J$376)</f>
        <v>0</v>
      </c>
      <c r="K410" s="48">
        <f>SUMIF($A$30:$A$376,A410,$K$30:$K$376)</f>
        <v>0</v>
      </c>
      <c r="L410" s="48">
        <f>SUMIF($A$30:$A$376,A410,$L$30:$L$376)</f>
        <v>41386</v>
      </c>
      <c r="M410" s="48">
        <f>SUMIF($A$30:$A$376,A410,$M$30:$M$376)</f>
        <v>0</v>
      </c>
      <c r="N410" s="49">
        <f t="shared" si="178"/>
        <v>41386</v>
      </c>
      <c r="O410" s="49">
        <f t="shared" si="187"/>
        <v>0</v>
      </c>
      <c r="P410" s="49">
        <f t="shared" si="188"/>
        <v>41386</v>
      </c>
      <c r="Q410" s="50">
        <f t="shared" si="184"/>
        <v>5.0042814986092761E-2</v>
      </c>
    </row>
    <row r="411" spans="1:19" s="45" customFormat="1" x14ac:dyDescent="0.25">
      <c r="A411" s="42" t="s">
        <v>195</v>
      </c>
      <c r="B411" s="43" t="s">
        <v>196</v>
      </c>
      <c r="C411" s="44">
        <f>C412</f>
        <v>0</v>
      </c>
      <c r="D411" s="44">
        <f t="shared" ref="D411:E411" si="199">D412</f>
        <v>0</v>
      </c>
      <c r="E411" s="44">
        <f t="shared" si="199"/>
        <v>0</v>
      </c>
      <c r="F411" s="19">
        <f t="shared" si="172"/>
        <v>0</v>
      </c>
      <c r="G411" s="30">
        <f t="shared" si="182"/>
        <v>0</v>
      </c>
      <c r="H411" s="44">
        <f>H412</f>
        <v>0</v>
      </c>
      <c r="I411" s="44">
        <f>I412</f>
        <v>0</v>
      </c>
      <c r="J411" s="44">
        <f t="shared" ref="J411:L411" si="200">J412</f>
        <v>0</v>
      </c>
      <c r="K411" s="44">
        <f>K412</f>
        <v>0</v>
      </c>
      <c r="L411" s="44">
        <f t="shared" si="200"/>
        <v>0</v>
      </c>
      <c r="M411" s="44">
        <f>M412</f>
        <v>0</v>
      </c>
      <c r="N411" s="19">
        <f t="shared" si="178"/>
        <v>0</v>
      </c>
      <c r="O411" s="19">
        <f t="shared" si="187"/>
        <v>0</v>
      </c>
      <c r="P411" s="19">
        <f t="shared" si="188"/>
        <v>0</v>
      </c>
      <c r="Q411" s="30">
        <f t="shared" si="184"/>
        <v>0</v>
      </c>
    </row>
    <row r="412" spans="1:19" s="51" customFormat="1" ht="13.8" x14ac:dyDescent="0.3">
      <c r="A412" s="46" t="s">
        <v>100</v>
      </c>
      <c r="B412" s="47" t="s">
        <v>101</v>
      </c>
      <c r="C412" s="48">
        <f>SUMIF($A$30:$A$376,A412,$C$30:$C$376)</f>
        <v>0</v>
      </c>
      <c r="D412" s="48">
        <f>SUMIF($A$30:$A$376,A412,$D$30:$D$376)</f>
        <v>0</v>
      </c>
      <c r="E412" s="48">
        <f>SUMIF($A$30:$A$376,A412,$E$30:$E$376)</f>
        <v>0</v>
      </c>
      <c r="F412" s="49">
        <f t="shared" si="172"/>
        <v>0</v>
      </c>
      <c r="G412" s="52">
        <f t="shared" si="182"/>
        <v>0</v>
      </c>
      <c r="H412" s="48">
        <f>SUMIF($A$30:$A$376,A412,$H$30:$H$376)</f>
        <v>0</v>
      </c>
      <c r="I412" s="48">
        <f>SUMIF($A$30:$A$376,A412,$I$30:$I$376)</f>
        <v>0</v>
      </c>
      <c r="J412" s="48">
        <f>SUMIF($A$30:$A$376,A412,$J$30:$J$376)</f>
        <v>0</v>
      </c>
      <c r="K412" s="48">
        <f>SUMIF($A$30:$A$376,A412,$K$30:$K$376)</f>
        <v>0</v>
      </c>
      <c r="L412" s="48">
        <f>SUMIF($A$30:$A$376,A412,$L$30:$L$376)</f>
        <v>0</v>
      </c>
      <c r="M412" s="48">
        <f>SUMIF($A$30:$A$376,A412,$M$30:$M$376)</f>
        <v>0</v>
      </c>
      <c r="N412" s="49">
        <f t="shared" si="178"/>
        <v>0</v>
      </c>
      <c r="O412" s="49">
        <f t="shared" si="187"/>
        <v>0</v>
      </c>
      <c r="P412" s="49">
        <f t="shared" si="188"/>
        <v>0</v>
      </c>
      <c r="Q412" s="52">
        <f t="shared" si="184"/>
        <v>0</v>
      </c>
    </row>
    <row r="413" spans="1:19" ht="15.75" customHeight="1" x14ac:dyDescent="0.25">
      <c r="A413" s="9" t="s">
        <v>197</v>
      </c>
      <c r="B413" s="53" t="s">
        <v>198</v>
      </c>
      <c r="C413" s="11">
        <f>C7-C27</f>
        <v>-7029292</v>
      </c>
      <c r="D413" s="11">
        <f>D7-D27</f>
        <v>-1282050</v>
      </c>
      <c r="E413" s="11">
        <f>E7-E27</f>
        <v>-7979001</v>
      </c>
      <c r="F413" s="11">
        <f>F7-F27</f>
        <v>-16290343</v>
      </c>
      <c r="G413" s="54"/>
      <c r="H413" s="11">
        <f t="shared" ref="H413:N413" si="201">H7-H27</f>
        <v>-7029292</v>
      </c>
      <c r="I413" s="11">
        <f>I7-I27</f>
        <v>-1252710</v>
      </c>
      <c r="J413" s="11">
        <f t="shared" si="201"/>
        <v>-1282050</v>
      </c>
      <c r="K413" s="11">
        <f t="shared" si="201"/>
        <v>0</v>
      </c>
      <c r="L413" s="11">
        <f t="shared" si="201"/>
        <v>-7979001</v>
      </c>
      <c r="M413" s="11">
        <f t="shared" si="201"/>
        <v>0</v>
      </c>
      <c r="N413" s="11">
        <f t="shared" si="201"/>
        <v>-16290343</v>
      </c>
      <c r="O413" s="11">
        <f t="shared" si="187"/>
        <v>-1252710</v>
      </c>
      <c r="P413" s="11">
        <f t="shared" si="188"/>
        <v>-17543053</v>
      </c>
      <c r="Q413" s="54"/>
      <c r="S413" s="62"/>
    </row>
    <row r="414" spans="1:19" ht="13.8" x14ac:dyDescent="0.25">
      <c r="A414" s="9" t="s">
        <v>199</v>
      </c>
      <c r="B414" s="10" t="s">
        <v>200</v>
      </c>
      <c r="C414" s="11">
        <f>C417-C418+C415+C416</f>
        <v>7804953</v>
      </c>
      <c r="D414" s="11">
        <f>D417-D418+D415+D416</f>
        <v>1282050</v>
      </c>
      <c r="E414" s="11">
        <f>E417-E418+E415+E416</f>
        <v>7203340</v>
      </c>
      <c r="F414" s="11">
        <f>F417-F418+F415+F416</f>
        <v>16290343</v>
      </c>
      <c r="G414" s="54"/>
      <c r="H414" s="11">
        <f t="shared" ref="H414:N414" si="202">H417-H418+H415+H416</f>
        <v>7804953</v>
      </c>
      <c r="I414" s="11">
        <f>I417-I418+I415+I416</f>
        <v>1252710</v>
      </c>
      <c r="J414" s="11">
        <f t="shared" si="202"/>
        <v>1282050</v>
      </c>
      <c r="K414" s="11">
        <f t="shared" si="202"/>
        <v>0</v>
      </c>
      <c r="L414" s="11">
        <f t="shared" si="202"/>
        <v>7203340</v>
      </c>
      <c r="M414" s="11">
        <f t="shared" si="202"/>
        <v>0</v>
      </c>
      <c r="N414" s="11">
        <f t="shared" si="202"/>
        <v>16290343</v>
      </c>
      <c r="O414" s="11">
        <f t="shared" si="187"/>
        <v>1252710</v>
      </c>
      <c r="P414" s="11">
        <f>N414+O414</f>
        <v>17543053</v>
      </c>
      <c r="Q414" s="54"/>
      <c r="R414" s="62"/>
      <c r="S414" s="62"/>
    </row>
    <row r="415" spans="1:19" x14ac:dyDescent="0.25">
      <c r="A415" s="55" t="s">
        <v>201</v>
      </c>
      <c r="B415" s="56" t="s">
        <v>202</v>
      </c>
      <c r="C415" s="44">
        <v>3426290</v>
      </c>
      <c r="D415" s="44"/>
      <c r="E415" s="44">
        <v>6929982</v>
      </c>
      <c r="F415" s="19">
        <f>SUM(C415:E415)</f>
        <v>10356272</v>
      </c>
      <c r="G415" s="57"/>
      <c r="H415" s="44">
        <v>3426290</v>
      </c>
      <c r="I415" s="44">
        <v>672710</v>
      </c>
      <c r="J415" s="44"/>
      <c r="K415" s="44"/>
      <c r="L415" s="44">
        <v>6929982</v>
      </c>
      <c r="M415" s="44"/>
      <c r="N415" s="19">
        <f>H415+J415+L415</f>
        <v>10356272</v>
      </c>
      <c r="O415" s="19">
        <f>I415+K415+M415</f>
        <v>672710</v>
      </c>
      <c r="P415" s="19">
        <f t="shared" si="188"/>
        <v>11028982</v>
      </c>
      <c r="Q415" s="57"/>
    </row>
    <row r="416" spans="1:19" ht="17.25" customHeight="1" x14ac:dyDescent="0.25">
      <c r="A416" s="55" t="s">
        <v>201</v>
      </c>
      <c r="B416" s="56" t="s">
        <v>203</v>
      </c>
      <c r="C416" s="44">
        <v>-2226100</v>
      </c>
      <c r="D416" s="44"/>
      <c r="E416" s="44">
        <v>0</v>
      </c>
      <c r="F416" s="19">
        <f>SUM(C416:E416)</f>
        <v>-2226100</v>
      </c>
      <c r="G416" s="57"/>
      <c r="H416" s="44">
        <v>-2226100</v>
      </c>
      <c r="I416" s="44"/>
      <c r="J416" s="44"/>
      <c r="K416" s="44"/>
      <c r="L416" s="44">
        <v>0</v>
      </c>
      <c r="M416" s="44"/>
      <c r="N416" s="19">
        <f t="shared" ref="N416:N419" si="203">H416+J416+L416</f>
        <v>-2226100</v>
      </c>
      <c r="O416" s="19">
        <f t="shared" ref="O416:O419" si="204">I416+K416+M416</f>
        <v>0</v>
      </c>
      <c r="P416" s="19">
        <f t="shared" si="188"/>
        <v>-2226100</v>
      </c>
      <c r="Q416" s="57"/>
      <c r="S416" s="62"/>
    </row>
    <row r="417" spans="1:18" ht="18" customHeight="1" x14ac:dyDescent="0.25">
      <c r="A417" s="55" t="s">
        <v>204</v>
      </c>
      <c r="B417" s="56" t="s">
        <v>205</v>
      </c>
      <c r="C417" s="18">
        <f>7323928+689984</f>
        <v>8013912</v>
      </c>
      <c r="D417" s="18">
        <v>1282050</v>
      </c>
      <c r="E417" s="18">
        <v>452543</v>
      </c>
      <c r="F417" s="19">
        <f>SUM(C417:E417)</f>
        <v>9748505</v>
      </c>
      <c r="G417" s="57"/>
      <c r="H417" s="18">
        <f>7323928+689984</f>
        <v>8013912</v>
      </c>
      <c r="I417" s="18"/>
      <c r="J417" s="18">
        <v>1282050</v>
      </c>
      <c r="K417" s="18"/>
      <c r="L417" s="18">
        <v>452543</v>
      </c>
      <c r="M417" s="18"/>
      <c r="N417" s="19">
        <f t="shared" si="203"/>
        <v>9748505</v>
      </c>
      <c r="O417" s="19">
        <f t="shared" si="204"/>
        <v>0</v>
      </c>
      <c r="P417" s="19">
        <f t="shared" si="188"/>
        <v>9748505</v>
      </c>
      <c r="Q417" s="57"/>
      <c r="R417" s="62"/>
    </row>
    <row r="418" spans="1:18" ht="19.5" customHeight="1" x14ac:dyDescent="0.25">
      <c r="A418" s="55" t="s">
        <v>206</v>
      </c>
      <c r="B418" s="56" t="s">
        <v>207</v>
      </c>
      <c r="C418" s="18">
        <f>700000+709149</f>
        <v>1409149</v>
      </c>
      <c r="D418" s="18"/>
      <c r="E418" s="18">
        <v>179185</v>
      </c>
      <c r="F418" s="19">
        <f>SUM(C418:E418)</f>
        <v>1588334</v>
      </c>
      <c r="G418" s="57"/>
      <c r="H418" s="18">
        <f>700000+709149</f>
        <v>1409149</v>
      </c>
      <c r="I418" s="18">
        <v>-580000</v>
      </c>
      <c r="J418" s="18"/>
      <c r="K418" s="18"/>
      <c r="L418" s="18">
        <v>179185</v>
      </c>
      <c r="M418" s="18"/>
      <c r="N418" s="19">
        <f t="shared" si="203"/>
        <v>1588334</v>
      </c>
      <c r="O418" s="19">
        <f t="shared" si="204"/>
        <v>-580000</v>
      </c>
      <c r="P418" s="19">
        <f t="shared" si="188"/>
        <v>1008334</v>
      </c>
      <c r="Q418" s="57"/>
    </row>
    <row r="419" spans="1:18" s="51" customFormat="1" ht="37.5" customHeight="1" x14ac:dyDescent="0.3">
      <c r="A419" s="58" t="s">
        <v>208</v>
      </c>
      <c r="B419" s="59" t="s">
        <v>221</v>
      </c>
      <c r="C419" s="60">
        <f>C414+C413</f>
        <v>775661</v>
      </c>
      <c r="D419" s="60"/>
      <c r="E419" s="60">
        <f>E413+E414</f>
        <v>-775661</v>
      </c>
      <c r="F419" s="49">
        <f>SUM(C419:E419)</f>
        <v>0</v>
      </c>
      <c r="G419" s="61"/>
      <c r="H419" s="60">
        <f>H414+H413</f>
        <v>775661</v>
      </c>
      <c r="I419" s="60"/>
      <c r="J419" s="60"/>
      <c r="K419" s="60"/>
      <c r="L419" s="60">
        <f>L413+L414</f>
        <v>-775661</v>
      </c>
      <c r="M419" s="60"/>
      <c r="N419" s="19">
        <f t="shared" si="203"/>
        <v>0</v>
      </c>
      <c r="O419" s="19">
        <f t="shared" si="204"/>
        <v>0</v>
      </c>
      <c r="P419" s="49">
        <f t="shared" si="188"/>
        <v>0</v>
      </c>
      <c r="Q419" s="61"/>
    </row>
  </sheetData>
  <mergeCells count="1">
    <mergeCell ref="A6:B6"/>
  </mergeCells>
  <printOptions horizontalCentered="1"/>
  <pageMargins left="0.35433070866141736" right="0.35433070866141736" top="0.39370078740157483" bottom="0.39370078740157483" header="0.31496062992125984" footer="0.11811023622047245"/>
  <pageSetup paperSize="9" fitToHeight="0" orientation="landscape" r:id="rId1"/>
  <headerFooter alignWithMargins="0">
    <oddFooter>&amp;R&amp;"Times New Roman,Regular"&amp;P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1_pielikums_2024</vt:lpstr>
      <vt:lpstr>'1_pielikums_2024'!Print_Area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Dagnija Spele</dc:creator>
  <cp:lastModifiedBy>Sanita Djadela</cp:lastModifiedBy>
  <cp:lastPrinted>2024-04-11T05:33:23Z</cp:lastPrinted>
  <dcterms:created xsi:type="dcterms:W3CDTF">2024-01-09T11:30:56Z</dcterms:created>
  <dcterms:modified xsi:type="dcterms:W3CDTF">2024-06-21T06:29:15Z</dcterms:modified>
</cp:coreProperties>
</file>