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B18834B-7159-42C7-AAD6-1B63BC776FAD}" xr6:coauthVersionLast="47" xr6:coauthVersionMax="47" xr10:uidLastSave="{00000000-0000-0000-0000-000000000000}"/>
  <bookViews>
    <workbookView xWindow="-108" yWindow="-108" windowWidth="23256" windowHeight="12456" tabRatio="637" xr2:uid="{00000000-000D-0000-FFFF-FFFF00000000}"/>
  </bookViews>
  <sheets>
    <sheet name="05.2024_dome" sheetId="79" r:id="rId1"/>
  </sheets>
  <definedNames>
    <definedName name="_xlnm.Print_Titles" localSheetId="0">'05.2024_dome'!$7:$7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24" i="79" l="1"/>
  <c r="O484" i="79" l="1"/>
  <c r="O483" i="79"/>
  <c r="O487" i="79" l="1"/>
  <c r="H469" i="79"/>
  <c r="O486" i="79"/>
  <c r="O478" i="79"/>
  <c r="O477" i="79"/>
  <c r="O475" i="79"/>
  <c r="O474" i="79"/>
  <c r="H475" i="79"/>
  <c r="O472" i="79"/>
  <c r="O471" i="79"/>
  <c r="H472" i="79"/>
  <c r="O482" i="79" l="1"/>
  <c r="N482" i="79"/>
  <c r="M482" i="79"/>
  <c r="L482" i="79"/>
  <c r="K482" i="79"/>
  <c r="J482" i="79"/>
  <c r="I482" i="79"/>
  <c r="H482" i="79"/>
  <c r="P481" i="79"/>
  <c r="P480" i="79"/>
  <c r="O479" i="79"/>
  <c r="N479" i="79"/>
  <c r="M479" i="79"/>
  <c r="L479" i="79"/>
  <c r="K479" i="79"/>
  <c r="J479" i="79"/>
  <c r="I479" i="79"/>
  <c r="H479" i="79"/>
  <c r="P478" i="79"/>
  <c r="P477" i="79"/>
  <c r="P479" i="79" l="1"/>
  <c r="P482" i="79"/>
  <c r="O485" i="79"/>
  <c r="N485" i="79"/>
  <c r="M485" i="79"/>
  <c r="L485" i="79"/>
  <c r="K485" i="79"/>
  <c r="J485" i="79"/>
  <c r="I485" i="79"/>
  <c r="H485" i="79"/>
  <c r="P484" i="79"/>
  <c r="P483" i="79"/>
  <c r="O476" i="79"/>
  <c r="N476" i="79"/>
  <c r="M476" i="79"/>
  <c r="L476" i="79"/>
  <c r="K476" i="79"/>
  <c r="J476" i="79"/>
  <c r="I476" i="79"/>
  <c r="H476" i="79"/>
  <c r="P475" i="79"/>
  <c r="P474" i="79"/>
  <c r="N473" i="79"/>
  <c r="M473" i="79"/>
  <c r="L473" i="79"/>
  <c r="K473" i="79"/>
  <c r="J473" i="79"/>
  <c r="I473" i="79"/>
  <c r="H473" i="79"/>
  <c r="P472" i="79"/>
  <c r="O473" i="79"/>
  <c r="O463" i="79"/>
  <c r="H460" i="79"/>
  <c r="H457" i="79"/>
  <c r="H454" i="79"/>
  <c r="H451" i="79"/>
  <c r="H427" i="79"/>
  <c r="O426" i="79"/>
  <c r="H439" i="79"/>
  <c r="H433" i="79"/>
  <c r="O432" i="79"/>
  <c r="H424" i="79"/>
  <c r="H421" i="79"/>
  <c r="H418" i="79"/>
  <c r="H406" i="79"/>
  <c r="H403" i="79"/>
  <c r="O402" i="79"/>
  <c r="H400" i="79"/>
  <c r="O399" i="79"/>
  <c r="H397" i="79"/>
  <c r="O396" i="79"/>
  <c r="H394" i="79"/>
  <c r="O393" i="79"/>
  <c r="H391" i="79"/>
  <c r="O390" i="79"/>
  <c r="P476" i="79" l="1"/>
  <c r="P485" i="79"/>
  <c r="P471" i="79"/>
  <c r="P473" i="79" s="1"/>
  <c r="H388" i="79"/>
  <c r="O387" i="79"/>
  <c r="H385" i="79"/>
  <c r="O384" i="79"/>
  <c r="H382" i="79"/>
  <c r="O381" i="79"/>
  <c r="O379" i="79" l="1"/>
  <c r="H379" i="79"/>
  <c r="O378" i="79"/>
  <c r="H376" i="79"/>
  <c r="O375" i="79"/>
  <c r="O373" i="79"/>
  <c r="H373" i="79"/>
  <c r="O372" i="79"/>
  <c r="O370" i="79"/>
  <c r="N370" i="79"/>
  <c r="M370" i="79"/>
  <c r="L370" i="79"/>
  <c r="K370" i="79"/>
  <c r="J370" i="79"/>
  <c r="I370" i="79"/>
  <c r="H370" i="79"/>
  <c r="O369" i="79"/>
  <c r="O367" i="79"/>
  <c r="H367" i="79"/>
  <c r="O366" i="79"/>
  <c r="H361" i="79"/>
  <c r="H358" i="79"/>
  <c r="H355" i="79"/>
  <c r="H352" i="79"/>
  <c r="O351" i="79"/>
  <c r="H349" i="79"/>
  <c r="O348" i="79"/>
  <c r="H346" i="79"/>
  <c r="O345" i="79"/>
  <c r="H343" i="79"/>
  <c r="O342" i="79"/>
  <c r="H340" i="79"/>
  <c r="O339" i="79"/>
  <c r="K337" i="79"/>
  <c r="J337" i="79"/>
  <c r="I337" i="79"/>
  <c r="H337" i="79"/>
  <c r="K336" i="79"/>
  <c r="H334" i="79"/>
  <c r="O333" i="79"/>
  <c r="H331" i="79"/>
  <c r="O330" i="79"/>
  <c r="H328" i="79"/>
  <c r="O327" i="79"/>
  <c r="H325" i="79"/>
  <c r="H322" i="79"/>
  <c r="H313" i="79"/>
  <c r="O312" i="79"/>
  <c r="H310" i="79"/>
  <c r="O309" i="79"/>
  <c r="H307" i="79"/>
  <c r="O306" i="79"/>
  <c r="H304" i="79"/>
  <c r="N303" i="79"/>
  <c r="H301" i="79"/>
  <c r="O300" i="79"/>
  <c r="H298" i="79"/>
  <c r="O297" i="79"/>
  <c r="H295" i="79"/>
  <c r="O294" i="79"/>
  <c r="H292" i="79"/>
  <c r="O291" i="79"/>
  <c r="O286" i="79"/>
  <c r="H286" i="79"/>
  <c r="O285" i="79"/>
  <c r="O283" i="79"/>
  <c r="H283" i="79"/>
  <c r="O282" i="79"/>
  <c r="M280" i="79"/>
  <c r="L280" i="79"/>
  <c r="K280" i="79"/>
  <c r="J280" i="79"/>
  <c r="I280" i="79"/>
  <c r="H280" i="79"/>
  <c r="M279" i="79"/>
  <c r="N277" i="79"/>
  <c r="M277" i="79"/>
  <c r="L277" i="79"/>
  <c r="K277" i="79"/>
  <c r="J277" i="79"/>
  <c r="I277" i="79"/>
  <c r="H277" i="79"/>
  <c r="O276" i="79"/>
  <c r="J274" i="79"/>
  <c r="I274" i="79"/>
  <c r="H274" i="79"/>
  <c r="M273" i="79"/>
  <c r="N265" i="79"/>
  <c r="M265" i="79"/>
  <c r="L265" i="79"/>
  <c r="K265" i="79"/>
  <c r="J265" i="79"/>
  <c r="I265" i="79"/>
  <c r="H265" i="79"/>
  <c r="O264" i="79"/>
  <c r="N262" i="79"/>
  <c r="M262" i="79"/>
  <c r="L262" i="79"/>
  <c r="K262" i="79"/>
  <c r="J262" i="79"/>
  <c r="I262" i="79"/>
  <c r="H262" i="79"/>
  <c r="O261" i="79"/>
  <c r="O256" i="79"/>
  <c r="N256" i="79"/>
  <c r="M256" i="79"/>
  <c r="L256" i="79"/>
  <c r="K256" i="79"/>
  <c r="J256" i="79"/>
  <c r="I256" i="79"/>
  <c r="H256" i="79"/>
  <c r="M253" i="79"/>
  <c r="L253" i="79"/>
  <c r="K253" i="79"/>
  <c r="J253" i="79"/>
  <c r="I253" i="79"/>
  <c r="H253" i="79"/>
  <c r="M252" i="79"/>
  <c r="O250" i="79"/>
  <c r="H250" i="79"/>
  <c r="L244" i="79"/>
  <c r="K244" i="79"/>
  <c r="J244" i="79"/>
  <c r="I244" i="79"/>
  <c r="H244" i="79"/>
  <c r="M243" i="79"/>
  <c r="L241" i="79"/>
  <c r="K241" i="79"/>
  <c r="J241" i="79"/>
  <c r="I241" i="79"/>
  <c r="H241" i="79"/>
  <c r="K238" i="79"/>
  <c r="J238" i="79"/>
  <c r="I238" i="79"/>
  <c r="H238" i="79"/>
  <c r="N235" i="79"/>
  <c r="M235" i="79"/>
  <c r="L235" i="79"/>
  <c r="K235" i="79"/>
  <c r="J235" i="79"/>
  <c r="I235" i="79"/>
  <c r="H235" i="79"/>
  <c r="O234" i="79"/>
  <c r="L232" i="79"/>
  <c r="K232" i="79"/>
  <c r="J232" i="79"/>
  <c r="I232" i="79"/>
  <c r="H232" i="79"/>
  <c r="L231" i="79"/>
  <c r="L229" i="79"/>
  <c r="K229" i="79"/>
  <c r="J229" i="79"/>
  <c r="I229" i="79"/>
  <c r="H229" i="79"/>
  <c r="L228" i="79"/>
  <c r="O226" i="79"/>
  <c r="N226" i="79"/>
  <c r="M226" i="79"/>
  <c r="L226" i="79"/>
  <c r="K226" i="79"/>
  <c r="J226" i="79"/>
  <c r="I226" i="79"/>
  <c r="H226" i="79"/>
  <c r="O225" i="79"/>
  <c r="O223" i="79"/>
  <c r="N223" i="79"/>
  <c r="M223" i="79"/>
  <c r="L223" i="79"/>
  <c r="K223" i="79"/>
  <c r="J223" i="79"/>
  <c r="I223" i="79"/>
  <c r="H223" i="79"/>
  <c r="O222" i="79"/>
  <c r="N220" i="79"/>
  <c r="M220" i="79"/>
  <c r="L220" i="79"/>
  <c r="K220" i="79"/>
  <c r="J220" i="79"/>
  <c r="I220" i="79"/>
  <c r="H220" i="79"/>
  <c r="O219" i="79"/>
  <c r="N217" i="79"/>
  <c r="M217" i="79"/>
  <c r="L217" i="79"/>
  <c r="K217" i="79"/>
  <c r="J217" i="79"/>
  <c r="I217" i="79"/>
  <c r="H217" i="79"/>
  <c r="O216" i="79"/>
  <c r="N214" i="79"/>
  <c r="M214" i="79"/>
  <c r="L214" i="79"/>
  <c r="K214" i="79"/>
  <c r="J214" i="79"/>
  <c r="I214" i="79"/>
  <c r="H214" i="79"/>
  <c r="O213" i="79"/>
  <c r="N211" i="79"/>
  <c r="M211" i="79"/>
  <c r="L211" i="79"/>
  <c r="K211" i="79"/>
  <c r="J211" i="79"/>
  <c r="I211" i="79"/>
  <c r="H211" i="79"/>
  <c r="O210" i="79"/>
  <c r="N208" i="79"/>
  <c r="M208" i="79"/>
  <c r="L208" i="79"/>
  <c r="K208" i="79"/>
  <c r="J208" i="79"/>
  <c r="I208" i="79"/>
  <c r="H208" i="79"/>
  <c r="O207" i="79"/>
  <c r="N205" i="79"/>
  <c r="M205" i="79"/>
  <c r="L205" i="79"/>
  <c r="J205" i="79"/>
  <c r="I205" i="79"/>
  <c r="H205" i="79"/>
  <c r="O204" i="79"/>
  <c r="N202" i="79"/>
  <c r="M202" i="79"/>
  <c r="L202" i="79"/>
  <c r="J202" i="79"/>
  <c r="I202" i="79"/>
  <c r="H202" i="79"/>
  <c r="O201" i="79"/>
  <c r="J199" i="79"/>
  <c r="I199" i="79"/>
  <c r="H199" i="79"/>
  <c r="K198" i="79"/>
  <c r="I196" i="79"/>
  <c r="K195" i="79"/>
  <c r="J193" i="79"/>
  <c r="I193" i="79"/>
  <c r="H193" i="79"/>
  <c r="N190" i="79"/>
  <c r="M190" i="79"/>
  <c r="L190" i="79"/>
  <c r="K190" i="79"/>
  <c r="J190" i="79"/>
  <c r="I190" i="79"/>
  <c r="H190" i="79"/>
  <c r="O187" i="79"/>
  <c r="N187" i="79"/>
  <c r="M187" i="79"/>
  <c r="L187" i="79"/>
  <c r="K187" i="79"/>
  <c r="J187" i="79"/>
  <c r="I187" i="79"/>
  <c r="H187" i="79"/>
  <c r="O184" i="79"/>
  <c r="N184" i="79"/>
  <c r="M184" i="79"/>
  <c r="L184" i="79"/>
  <c r="K184" i="79"/>
  <c r="J184" i="79"/>
  <c r="I184" i="79"/>
  <c r="H184" i="79"/>
  <c r="O183" i="79"/>
  <c r="O181" i="79"/>
  <c r="N181" i="79"/>
  <c r="M181" i="79"/>
  <c r="L181" i="79"/>
  <c r="K181" i="79"/>
  <c r="J181" i="79"/>
  <c r="I181" i="79"/>
  <c r="H181" i="79"/>
  <c r="O180" i="79"/>
  <c r="O178" i="79"/>
  <c r="N178" i="79"/>
  <c r="M178" i="79"/>
  <c r="L178" i="79"/>
  <c r="K178" i="79"/>
  <c r="J178" i="79"/>
  <c r="I178" i="79"/>
  <c r="H178" i="79"/>
  <c r="O177" i="79"/>
  <c r="K172" i="79"/>
  <c r="J172" i="79"/>
  <c r="I172" i="79"/>
  <c r="H172" i="79"/>
  <c r="O169" i="79"/>
  <c r="N169" i="79"/>
  <c r="M169" i="79"/>
  <c r="L169" i="79"/>
  <c r="K169" i="79"/>
  <c r="J169" i="79"/>
  <c r="I169" i="79"/>
  <c r="H169" i="79"/>
  <c r="O168" i="79"/>
  <c r="N166" i="79"/>
  <c r="M166" i="79"/>
  <c r="L166" i="79"/>
  <c r="K166" i="79"/>
  <c r="J166" i="79"/>
  <c r="I166" i="79"/>
  <c r="H166" i="79"/>
  <c r="N165" i="79"/>
  <c r="O163" i="79"/>
  <c r="N163" i="79"/>
  <c r="M163" i="79"/>
  <c r="L163" i="79"/>
  <c r="K163" i="79"/>
  <c r="J163" i="79"/>
  <c r="I163" i="79"/>
  <c r="H163" i="79"/>
  <c r="M160" i="79"/>
  <c r="L160" i="79"/>
  <c r="K160" i="79"/>
  <c r="J160" i="79"/>
  <c r="I160" i="79"/>
  <c r="H160" i="79"/>
  <c r="O157" i="79"/>
  <c r="N157" i="79"/>
  <c r="M157" i="79"/>
  <c r="L157" i="79"/>
  <c r="K157" i="79"/>
  <c r="J157" i="79"/>
  <c r="I157" i="79"/>
  <c r="H157" i="79"/>
  <c r="L154" i="79"/>
  <c r="K154" i="79"/>
  <c r="J154" i="79"/>
  <c r="I154" i="79"/>
  <c r="H154" i="79"/>
  <c r="O151" i="79"/>
  <c r="N151" i="79"/>
  <c r="M151" i="79"/>
  <c r="L151" i="79"/>
  <c r="K151" i="79"/>
  <c r="J151" i="79"/>
  <c r="I151" i="79"/>
  <c r="H151" i="79"/>
  <c r="O150" i="79"/>
  <c r="L148" i="79"/>
  <c r="K148" i="79"/>
  <c r="J148" i="79"/>
  <c r="I148" i="79"/>
  <c r="H148" i="79"/>
  <c r="O142" i="79"/>
  <c r="N142" i="79"/>
  <c r="M142" i="79"/>
  <c r="L142" i="79"/>
  <c r="K142" i="79"/>
  <c r="J142" i="79"/>
  <c r="I142" i="79"/>
  <c r="H142" i="79"/>
  <c r="O141" i="79"/>
  <c r="H141" i="79"/>
  <c r="N139" i="79"/>
  <c r="M139" i="79"/>
  <c r="L139" i="79"/>
  <c r="K139" i="79"/>
  <c r="J139" i="79"/>
  <c r="I139" i="79"/>
  <c r="H139" i="79"/>
  <c r="O138" i="79"/>
  <c r="N136" i="79"/>
  <c r="M136" i="79"/>
  <c r="L136" i="79"/>
  <c r="K136" i="79"/>
  <c r="J136" i="79"/>
  <c r="I136" i="79"/>
  <c r="H136" i="79"/>
  <c r="O135" i="79"/>
  <c r="L133" i="79"/>
  <c r="K133" i="79"/>
  <c r="J133" i="79"/>
  <c r="I133" i="79"/>
  <c r="H133" i="79"/>
  <c r="L130" i="79"/>
  <c r="K130" i="79"/>
  <c r="J130" i="79"/>
  <c r="I130" i="79"/>
  <c r="H130" i="79"/>
  <c r="O124" i="79"/>
  <c r="N124" i="79"/>
  <c r="M124" i="79"/>
  <c r="L124" i="79"/>
  <c r="K124" i="79"/>
  <c r="J124" i="79"/>
  <c r="I124" i="79"/>
  <c r="H124" i="79"/>
  <c r="O123" i="79"/>
  <c r="K121" i="79"/>
  <c r="J121" i="79"/>
  <c r="I121" i="79"/>
  <c r="H121" i="79"/>
  <c r="L120" i="79"/>
  <c r="J118" i="79"/>
  <c r="I118" i="79"/>
  <c r="H118" i="79"/>
  <c r="J115" i="79"/>
  <c r="I115" i="79"/>
  <c r="H115" i="79"/>
  <c r="J112" i="79"/>
  <c r="I112" i="79"/>
  <c r="H112" i="79"/>
  <c r="H111" i="79"/>
  <c r="O109" i="79"/>
  <c r="N109" i="79"/>
  <c r="M109" i="79"/>
  <c r="L109" i="79"/>
  <c r="K109" i="79"/>
  <c r="J109" i="79"/>
  <c r="I109" i="79"/>
  <c r="H109" i="79"/>
  <c r="O108" i="79"/>
  <c r="N106" i="79"/>
  <c r="M106" i="79"/>
  <c r="L106" i="79"/>
  <c r="K106" i="79"/>
  <c r="J106" i="79"/>
  <c r="I106" i="79"/>
  <c r="H106" i="79"/>
  <c r="O105" i="79"/>
  <c r="H105" i="79"/>
  <c r="O103" i="79"/>
  <c r="N103" i="79"/>
  <c r="M103" i="79"/>
  <c r="L103" i="79"/>
  <c r="K103" i="79"/>
  <c r="J103" i="79"/>
  <c r="I103" i="79"/>
  <c r="H103" i="79"/>
  <c r="O102" i="79"/>
  <c r="O100" i="79"/>
  <c r="N100" i="79"/>
  <c r="M100" i="79"/>
  <c r="L100" i="79"/>
  <c r="K100" i="79"/>
  <c r="J100" i="79"/>
  <c r="I100" i="79"/>
  <c r="H100" i="79"/>
  <c r="O99" i="79"/>
  <c r="K97" i="79"/>
  <c r="J97" i="79"/>
  <c r="I97" i="79"/>
  <c r="H97" i="79"/>
  <c r="O94" i="79"/>
  <c r="N94" i="79"/>
  <c r="M94" i="79"/>
  <c r="L94" i="79"/>
  <c r="K94" i="79"/>
  <c r="J94" i="79"/>
  <c r="I94" i="79"/>
  <c r="H94" i="79"/>
  <c r="O93" i="79"/>
  <c r="H91" i="79"/>
  <c r="H85" i="79"/>
  <c r="O82" i="79"/>
  <c r="N82" i="79"/>
  <c r="M82" i="79"/>
  <c r="L82" i="79"/>
  <c r="K82" i="79"/>
  <c r="I82" i="79"/>
  <c r="H82" i="79"/>
  <c r="O81" i="79"/>
  <c r="N79" i="79"/>
  <c r="M79" i="79"/>
  <c r="L79" i="79"/>
  <c r="K79" i="79"/>
  <c r="J79" i="79"/>
  <c r="I79" i="79"/>
  <c r="H79" i="79"/>
  <c r="H76" i="79"/>
  <c r="O73" i="79"/>
  <c r="N73" i="79"/>
  <c r="M73" i="79"/>
  <c r="L73" i="79"/>
  <c r="K73" i="79"/>
  <c r="J73" i="79"/>
  <c r="I73" i="79"/>
  <c r="H73" i="79"/>
  <c r="O72" i="79"/>
  <c r="K67" i="79"/>
  <c r="J67" i="79"/>
  <c r="I67" i="79"/>
  <c r="H67" i="79"/>
  <c r="L64" i="79" l="1"/>
  <c r="K64" i="79"/>
  <c r="J64" i="79"/>
  <c r="J65" i="79" s="1"/>
  <c r="I64" i="79"/>
  <c r="I65" i="79" s="1"/>
  <c r="H64" i="79"/>
  <c r="N55" i="79"/>
  <c r="N56" i="79" s="1"/>
  <c r="M55" i="79"/>
  <c r="M56" i="79" s="1"/>
  <c r="L55" i="79"/>
  <c r="L56" i="79" s="1"/>
  <c r="J55" i="79"/>
  <c r="L52" i="79"/>
  <c r="K52" i="79"/>
  <c r="K53" i="79" s="1"/>
  <c r="J52" i="79"/>
  <c r="J53" i="79" s="1"/>
  <c r="I52" i="79"/>
  <c r="H52" i="79"/>
  <c r="O49" i="79"/>
  <c r="N49" i="79"/>
  <c r="N50" i="79" s="1"/>
  <c r="M49" i="79"/>
  <c r="L49" i="79"/>
  <c r="K49" i="79"/>
  <c r="K50" i="79" s="1"/>
  <c r="J49" i="79"/>
  <c r="J50" i="79" s="1"/>
  <c r="I49" i="79"/>
  <c r="I50" i="79" s="1"/>
  <c r="H49" i="79"/>
  <c r="O48" i="79"/>
  <c r="O50" i="79" s="1"/>
  <c r="L46" i="79"/>
  <c r="K46" i="79"/>
  <c r="J46" i="79"/>
  <c r="I46" i="79"/>
  <c r="H46" i="79"/>
  <c r="O43" i="79"/>
  <c r="N43" i="79"/>
  <c r="N44" i="79" s="1"/>
  <c r="M43" i="79"/>
  <c r="M44" i="79" s="1"/>
  <c r="L43" i="79"/>
  <c r="L44" i="79" s="1"/>
  <c r="K43" i="79"/>
  <c r="J43" i="79"/>
  <c r="H43" i="79"/>
  <c r="O42" i="79"/>
  <c r="N40" i="79"/>
  <c r="M40" i="79"/>
  <c r="M41" i="79" s="1"/>
  <c r="L40" i="79"/>
  <c r="L41" i="79" s="1"/>
  <c r="K40" i="79"/>
  <c r="K41" i="79" s="1"/>
  <c r="J40" i="79"/>
  <c r="J41" i="79" s="1"/>
  <c r="L37" i="79"/>
  <c r="K37" i="79"/>
  <c r="J37" i="79"/>
  <c r="I37" i="79"/>
  <c r="H37" i="79"/>
  <c r="L36" i="79"/>
  <c r="H34" i="79"/>
  <c r="H33" i="79"/>
  <c r="H31" i="79"/>
  <c r="H28" i="79"/>
  <c r="I19" i="79"/>
  <c r="H19" i="79"/>
  <c r="H16" i="79"/>
  <c r="N517" i="79"/>
  <c r="N516" i="79"/>
  <c r="M516" i="79"/>
  <c r="L516" i="79"/>
  <c r="K516" i="79"/>
  <c r="J516" i="79"/>
  <c r="I516" i="79"/>
  <c r="H516" i="79"/>
  <c r="N515" i="79"/>
  <c r="O514" i="79"/>
  <c r="M514" i="79"/>
  <c r="M515" i="79" s="1"/>
  <c r="L514" i="79"/>
  <c r="L515" i="79" s="1"/>
  <c r="K514" i="79"/>
  <c r="K515" i="79" s="1"/>
  <c r="J514" i="79"/>
  <c r="J515" i="79" s="1"/>
  <c r="I514" i="79"/>
  <c r="I515" i="79" s="1"/>
  <c r="H514" i="79"/>
  <c r="H515" i="79" s="1"/>
  <c r="O513" i="79"/>
  <c r="N512" i="79"/>
  <c r="O511" i="79"/>
  <c r="M511" i="79"/>
  <c r="M512" i="79" s="1"/>
  <c r="L511" i="79"/>
  <c r="L512" i="79" s="1"/>
  <c r="K511" i="79"/>
  <c r="K512" i="79" s="1"/>
  <c r="J511" i="79"/>
  <c r="J512" i="79" s="1"/>
  <c r="I511" i="79"/>
  <c r="I512" i="79" s="1"/>
  <c r="H511" i="79"/>
  <c r="H512" i="79" s="1"/>
  <c r="O510" i="79"/>
  <c r="O509" i="79"/>
  <c r="N509" i="79"/>
  <c r="M509" i="79"/>
  <c r="L509" i="79"/>
  <c r="K509" i="79"/>
  <c r="J509" i="79"/>
  <c r="H509" i="79"/>
  <c r="I508" i="79"/>
  <c r="I509" i="79" s="1"/>
  <c r="P507" i="79"/>
  <c r="N506" i="79"/>
  <c r="O505" i="79"/>
  <c r="M505" i="79"/>
  <c r="M506" i="79" s="1"/>
  <c r="L505" i="79"/>
  <c r="K505" i="79"/>
  <c r="J505" i="79"/>
  <c r="J506" i="79" s="1"/>
  <c r="I505" i="79"/>
  <c r="I506" i="79" s="1"/>
  <c r="H505" i="79"/>
  <c r="H506" i="79" s="1"/>
  <c r="O504" i="79"/>
  <c r="N503" i="79"/>
  <c r="M502" i="79"/>
  <c r="M503" i="79" s="1"/>
  <c r="L502" i="79"/>
  <c r="L503" i="79" s="1"/>
  <c r="K502" i="79"/>
  <c r="K503" i="79" s="1"/>
  <c r="J502" i="79"/>
  <c r="J503" i="79" s="1"/>
  <c r="I502" i="79"/>
  <c r="I503" i="79" s="1"/>
  <c r="H502" i="79"/>
  <c r="H503" i="79" s="1"/>
  <c r="O501" i="79"/>
  <c r="P501" i="79" s="1"/>
  <c r="N500" i="79"/>
  <c r="O499" i="79"/>
  <c r="M499" i="79"/>
  <c r="M500" i="79" s="1"/>
  <c r="L499" i="79"/>
  <c r="L500" i="79" s="1"/>
  <c r="K499" i="79"/>
  <c r="K500" i="79" s="1"/>
  <c r="J499" i="79"/>
  <c r="J500" i="79" s="1"/>
  <c r="I499" i="79"/>
  <c r="I500" i="79" s="1"/>
  <c r="H499" i="79"/>
  <c r="H500" i="79" s="1"/>
  <c r="O498" i="79"/>
  <c r="O497" i="79"/>
  <c r="N497" i="79"/>
  <c r="M497" i="79"/>
  <c r="L497" i="79"/>
  <c r="K496" i="79"/>
  <c r="K497" i="79" s="1"/>
  <c r="J496" i="79"/>
  <c r="J497" i="79" s="1"/>
  <c r="I496" i="79"/>
  <c r="H496" i="79"/>
  <c r="P495" i="79"/>
  <c r="N488" i="79"/>
  <c r="M488" i="79"/>
  <c r="L488" i="79"/>
  <c r="K488" i="79"/>
  <c r="J488" i="79"/>
  <c r="I488" i="79"/>
  <c r="H488" i="79"/>
  <c r="P487" i="79"/>
  <c r="O488" i="79"/>
  <c r="N470" i="79"/>
  <c r="M470" i="79"/>
  <c r="L470" i="79"/>
  <c r="K470" i="79"/>
  <c r="J470" i="79"/>
  <c r="I470" i="79"/>
  <c r="H470" i="79"/>
  <c r="O469" i="79"/>
  <c r="O470" i="79" s="1"/>
  <c r="P468" i="79"/>
  <c r="N467" i="79"/>
  <c r="M467" i="79"/>
  <c r="L467" i="79"/>
  <c r="K467" i="79"/>
  <c r="J467" i="79"/>
  <c r="I467" i="79"/>
  <c r="H467" i="79"/>
  <c r="O466" i="79"/>
  <c r="P466" i="79" s="1"/>
  <c r="O465" i="79"/>
  <c r="P465" i="79" s="1"/>
  <c r="N464" i="79"/>
  <c r="M464" i="79"/>
  <c r="L464" i="79"/>
  <c r="K464" i="79"/>
  <c r="J464" i="79"/>
  <c r="I464" i="79"/>
  <c r="P463" i="79"/>
  <c r="O462" i="79"/>
  <c r="O464" i="79" s="1"/>
  <c r="H462" i="79"/>
  <c r="N461" i="79"/>
  <c r="M461" i="79"/>
  <c r="L461" i="79"/>
  <c r="K461" i="79"/>
  <c r="J461" i="79"/>
  <c r="I461" i="79"/>
  <c r="O460" i="79"/>
  <c r="H461" i="79"/>
  <c r="O459" i="79"/>
  <c r="N458" i="79"/>
  <c r="H458" i="79"/>
  <c r="P457" i="79"/>
  <c r="O456" i="79"/>
  <c r="O458" i="79" s="1"/>
  <c r="M456" i="79"/>
  <c r="M458" i="79" s="1"/>
  <c r="L456" i="79"/>
  <c r="L458" i="79" s="1"/>
  <c r="K456" i="79"/>
  <c r="K458" i="79" s="1"/>
  <c r="J456" i="79"/>
  <c r="J458" i="79" s="1"/>
  <c r="I456" i="79"/>
  <c r="I458" i="79" s="1"/>
  <c r="P454" i="79"/>
  <c r="O453" i="79"/>
  <c r="O455" i="79" s="1"/>
  <c r="N453" i="79"/>
  <c r="N455" i="79" s="1"/>
  <c r="M453" i="79"/>
  <c r="M455" i="79" s="1"/>
  <c r="L453" i="79"/>
  <c r="L455" i="79" s="1"/>
  <c r="K453" i="79"/>
  <c r="K455" i="79" s="1"/>
  <c r="J453" i="79"/>
  <c r="J455" i="79" s="1"/>
  <c r="I453" i="79"/>
  <c r="I455" i="79" s="1"/>
  <c r="O451" i="79"/>
  <c r="H452" i="79"/>
  <c r="O450" i="79"/>
  <c r="N450" i="79"/>
  <c r="N452" i="79" s="1"/>
  <c r="M450" i="79"/>
  <c r="M452" i="79" s="1"/>
  <c r="L450" i="79"/>
  <c r="L452" i="79" s="1"/>
  <c r="K450" i="79"/>
  <c r="J450" i="79"/>
  <c r="J452" i="79" s="1"/>
  <c r="I450" i="79"/>
  <c r="I452" i="79" s="1"/>
  <c r="O448" i="79"/>
  <c r="P448" i="79" s="1"/>
  <c r="O447" i="79"/>
  <c r="N447" i="79"/>
  <c r="N449" i="79" s="1"/>
  <c r="M447" i="79"/>
  <c r="M449" i="79" s="1"/>
  <c r="L447" i="79"/>
  <c r="L449" i="79" s="1"/>
  <c r="K447" i="79"/>
  <c r="K449" i="79" s="1"/>
  <c r="J447" i="79"/>
  <c r="J449" i="79" s="1"/>
  <c r="I447" i="79"/>
  <c r="I449" i="79" s="1"/>
  <c r="H447" i="79"/>
  <c r="H449" i="79" s="1"/>
  <c r="N446" i="79"/>
  <c r="M446" i="79"/>
  <c r="L446" i="79"/>
  <c r="K446" i="79"/>
  <c r="J446" i="79"/>
  <c r="I446" i="79"/>
  <c r="H446" i="79"/>
  <c r="O445" i="79"/>
  <c r="O444" i="79"/>
  <c r="P444" i="79" s="1"/>
  <c r="N443" i="79"/>
  <c r="M443" i="79"/>
  <c r="L443" i="79"/>
  <c r="K443" i="79"/>
  <c r="J443" i="79"/>
  <c r="I443" i="79"/>
  <c r="H443" i="79"/>
  <c r="P442" i="79"/>
  <c r="O441" i="79"/>
  <c r="O443" i="79" s="1"/>
  <c r="N440" i="79"/>
  <c r="M440" i="79"/>
  <c r="L440" i="79"/>
  <c r="K440" i="79"/>
  <c r="J440" i="79"/>
  <c r="I440" i="79"/>
  <c r="P439" i="79"/>
  <c r="O438" i="79"/>
  <c r="O440" i="79" s="1"/>
  <c r="H438" i="79"/>
  <c r="P436" i="79"/>
  <c r="O435" i="79"/>
  <c r="O437" i="79" s="1"/>
  <c r="N435" i="79"/>
  <c r="N437" i="79" s="1"/>
  <c r="M435" i="79"/>
  <c r="M437" i="79" s="1"/>
  <c r="L435" i="79"/>
  <c r="L437" i="79" s="1"/>
  <c r="K435" i="79"/>
  <c r="K437" i="79" s="1"/>
  <c r="J435" i="79"/>
  <c r="J437" i="79" s="1"/>
  <c r="I435" i="79"/>
  <c r="I437" i="79" s="1"/>
  <c r="H435" i="79"/>
  <c r="H437" i="79" s="1"/>
  <c r="N434" i="79"/>
  <c r="M434" i="79"/>
  <c r="L434" i="79"/>
  <c r="K434" i="79"/>
  <c r="J434" i="79"/>
  <c r="I434" i="79"/>
  <c r="P433" i="79"/>
  <c r="H432" i="79"/>
  <c r="N431" i="79"/>
  <c r="M431" i="79"/>
  <c r="L431" i="79"/>
  <c r="K431" i="79"/>
  <c r="J431" i="79"/>
  <c r="I431" i="79"/>
  <c r="H431" i="79"/>
  <c r="O430" i="79"/>
  <c r="P430" i="79" s="1"/>
  <c r="O429" i="79"/>
  <c r="N428" i="79"/>
  <c r="M428" i="79"/>
  <c r="L428" i="79"/>
  <c r="K428" i="79"/>
  <c r="J428" i="79"/>
  <c r="I428" i="79"/>
  <c r="O427" i="79"/>
  <c r="P426" i="79"/>
  <c r="N425" i="79"/>
  <c r="M425" i="79"/>
  <c r="L425" i="79"/>
  <c r="K425" i="79"/>
  <c r="J425" i="79"/>
  <c r="I425" i="79"/>
  <c r="P424" i="79"/>
  <c r="O423" i="79"/>
  <c r="O425" i="79" s="1"/>
  <c r="H423" i="79"/>
  <c r="N422" i="79"/>
  <c r="M422" i="79"/>
  <c r="L422" i="79"/>
  <c r="K422" i="79"/>
  <c r="J422" i="79"/>
  <c r="I422" i="79"/>
  <c r="H422" i="79"/>
  <c r="P421" i="79"/>
  <c r="O420" i="79"/>
  <c r="O422" i="79" s="1"/>
  <c r="N419" i="79"/>
  <c r="M419" i="79"/>
  <c r="L419" i="79"/>
  <c r="K419" i="79"/>
  <c r="J419" i="79"/>
  <c r="I419" i="79"/>
  <c r="P418" i="79"/>
  <c r="O417" i="79"/>
  <c r="O419" i="79" s="1"/>
  <c r="H417" i="79"/>
  <c r="N416" i="79"/>
  <c r="M416" i="79"/>
  <c r="L416" i="79"/>
  <c r="K416" i="79"/>
  <c r="J416" i="79"/>
  <c r="I416" i="79"/>
  <c r="H416" i="79"/>
  <c r="P415" i="79"/>
  <c r="O414" i="79"/>
  <c r="O416" i="79" s="1"/>
  <c r="N413" i="79"/>
  <c r="M413" i="79"/>
  <c r="L413" i="79"/>
  <c r="K413" i="79"/>
  <c r="J413" i="79"/>
  <c r="I413" i="79"/>
  <c r="P412" i="79"/>
  <c r="O411" i="79"/>
  <c r="O413" i="79" s="1"/>
  <c r="H411" i="79"/>
  <c r="N410" i="79"/>
  <c r="M410" i="79"/>
  <c r="L410" i="79"/>
  <c r="K410" i="79"/>
  <c r="J410" i="79"/>
  <c r="I410" i="79"/>
  <c r="P409" i="79"/>
  <c r="O408" i="79"/>
  <c r="H408" i="79"/>
  <c r="H410" i="79" s="1"/>
  <c r="N407" i="79"/>
  <c r="M407" i="79"/>
  <c r="L407" i="79"/>
  <c r="K407" i="79"/>
  <c r="J407" i="79"/>
  <c r="I407" i="79"/>
  <c r="P406" i="79"/>
  <c r="O405" i="79"/>
  <c r="O407" i="79" s="1"/>
  <c r="H405" i="79"/>
  <c r="N404" i="79"/>
  <c r="M404" i="79"/>
  <c r="L404" i="79"/>
  <c r="K404" i="79"/>
  <c r="J404" i="79"/>
  <c r="I404" i="79"/>
  <c r="P403" i="79"/>
  <c r="O404" i="79"/>
  <c r="H402" i="79"/>
  <c r="N401" i="79"/>
  <c r="M401" i="79"/>
  <c r="L401" i="79"/>
  <c r="K401" i="79"/>
  <c r="J401" i="79"/>
  <c r="I401" i="79"/>
  <c r="P400" i="79"/>
  <c r="O401" i="79"/>
  <c r="H399" i="79"/>
  <c r="N398" i="79"/>
  <c r="M398" i="79"/>
  <c r="L398" i="79"/>
  <c r="K398" i="79"/>
  <c r="J398" i="79"/>
  <c r="I398" i="79"/>
  <c r="P397" i="79"/>
  <c r="H396" i="79"/>
  <c r="H398" i="79" s="1"/>
  <c r="N395" i="79"/>
  <c r="M395" i="79"/>
  <c r="L395" i="79"/>
  <c r="K395" i="79"/>
  <c r="J395" i="79"/>
  <c r="I395" i="79"/>
  <c r="P394" i="79"/>
  <c r="O395" i="79"/>
  <c r="H393" i="79"/>
  <c r="N392" i="79"/>
  <c r="M392" i="79"/>
  <c r="L392" i="79"/>
  <c r="K392" i="79"/>
  <c r="J392" i="79"/>
  <c r="I392" i="79"/>
  <c r="P391" i="79"/>
  <c r="O392" i="79"/>
  <c r="H390" i="79"/>
  <c r="N389" i="79"/>
  <c r="M389" i="79"/>
  <c r="L389" i="79"/>
  <c r="K389" i="79"/>
  <c r="J389" i="79"/>
  <c r="I389" i="79"/>
  <c r="P388" i="79"/>
  <c r="H387" i="79"/>
  <c r="H389" i="79" s="1"/>
  <c r="N386" i="79"/>
  <c r="M386" i="79"/>
  <c r="L386" i="79"/>
  <c r="K386" i="79"/>
  <c r="J386" i="79"/>
  <c r="I386" i="79"/>
  <c r="P385" i="79"/>
  <c r="O386" i="79"/>
  <c r="H384" i="79"/>
  <c r="H386" i="79" s="1"/>
  <c r="N383" i="79"/>
  <c r="M383" i="79"/>
  <c r="L383" i="79"/>
  <c r="K383" i="79"/>
  <c r="J383" i="79"/>
  <c r="I383" i="79"/>
  <c r="P382" i="79"/>
  <c r="O383" i="79"/>
  <c r="H381" i="79"/>
  <c r="N380" i="79"/>
  <c r="M380" i="79"/>
  <c r="L380" i="79"/>
  <c r="K380" i="79"/>
  <c r="J380" i="79"/>
  <c r="I380" i="79"/>
  <c r="P379" i="79"/>
  <c r="O380" i="79"/>
  <c r="H378" i="79"/>
  <c r="N377" i="79"/>
  <c r="M377" i="79"/>
  <c r="L377" i="79"/>
  <c r="K377" i="79"/>
  <c r="J377" i="79"/>
  <c r="I377" i="79"/>
  <c r="P376" i="79"/>
  <c r="O377" i="79"/>
  <c r="H375" i="79"/>
  <c r="H377" i="79" s="1"/>
  <c r="N374" i="79"/>
  <c r="M374" i="79"/>
  <c r="L374" i="79"/>
  <c r="K374" i="79"/>
  <c r="J374" i="79"/>
  <c r="I374" i="79"/>
  <c r="P373" i="79"/>
  <c r="H372" i="79"/>
  <c r="H374" i="79" s="1"/>
  <c r="I371" i="79"/>
  <c r="N371" i="79"/>
  <c r="M371" i="79"/>
  <c r="L371" i="79"/>
  <c r="K371" i="79"/>
  <c r="J371" i="79"/>
  <c r="O371" i="79"/>
  <c r="H369" i="79"/>
  <c r="N368" i="79"/>
  <c r="M368" i="79"/>
  <c r="L368" i="79"/>
  <c r="K368" i="79"/>
  <c r="J368" i="79"/>
  <c r="I368" i="79"/>
  <c r="P367" i="79"/>
  <c r="O368" i="79"/>
  <c r="H366" i="79"/>
  <c r="H368" i="79" s="1"/>
  <c r="O365" i="79"/>
  <c r="N365" i="79"/>
  <c r="M365" i="79"/>
  <c r="L365" i="79"/>
  <c r="K365" i="79"/>
  <c r="J365" i="79"/>
  <c r="I365" i="79"/>
  <c r="H365" i="79"/>
  <c r="P364" i="79"/>
  <c r="P363" i="79"/>
  <c r="N362" i="79"/>
  <c r="M362" i="79"/>
  <c r="L362" i="79"/>
  <c r="K362" i="79"/>
  <c r="J362" i="79"/>
  <c r="I362" i="79"/>
  <c r="P361" i="79"/>
  <c r="H360" i="79"/>
  <c r="H362" i="79" s="1"/>
  <c r="O359" i="79"/>
  <c r="N359" i="79"/>
  <c r="M359" i="79"/>
  <c r="L359" i="79"/>
  <c r="K359" i="79"/>
  <c r="J359" i="79"/>
  <c r="I359" i="79"/>
  <c r="P358" i="79"/>
  <c r="H357" i="79"/>
  <c r="O356" i="79"/>
  <c r="N356" i="79"/>
  <c r="M356" i="79"/>
  <c r="L356" i="79"/>
  <c r="K356" i="79"/>
  <c r="J356" i="79"/>
  <c r="I356" i="79"/>
  <c r="P355" i="79"/>
  <c r="H354" i="79"/>
  <c r="H356" i="79" s="1"/>
  <c r="N353" i="79"/>
  <c r="M353" i="79"/>
  <c r="L353" i="79"/>
  <c r="K353" i="79"/>
  <c r="J353" i="79"/>
  <c r="I353" i="79"/>
  <c r="P352" i="79"/>
  <c r="O353" i="79"/>
  <c r="H351" i="79"/>
  <c r="N350" i="79"/>
  <c r="M350" i="79"/>
  <c r="L350" i="79"/>
  <c r="K350" i="79"/>
  <c r="J350" i="79"/>
  <c r="I350" i="79"/>
  <c r="P349" i="79"/>
  <c r="O350" i="79"/>
  <c r="H348" i="79"/>
  <c r="N347" i="79"/>
  <c r="M347" i="79"/>
  <c r="L347" i="79"/>
  <c r="K347" i="79"/>
  <c r="J347" i="79"/>
  <c r="I347" i="79"/>
  <c r="P346" i="79"/>
  <c r="H345" i="79"/>
  <c r="H347" i="79" s="1"/>
  <c r="N344" i="79"/>
  <c r="M344" i="79"/>
  <c r="L344" i="79"/>
  <c r="K344" i="79"/>
  <c r="J344" i="79"/>
  <c r="I344" i="79"/>
  <c r="P343" i="79"/>
  <c r="O344" i="79"/>
  <c r="H342" i="79"/>
  <c r="H344" i="79" s="1"/>
  <c r="N341" i="79"/>
  <c r="M341" i="79"/>
  <c r="L341" i="79"/>
  <c r="K341" i="79"/>
  <c r="J341" i="79"/>
  <c r="I341" i="79"/>
  <c r="P340" i="79"/>
  <c r="O341" i="79"/>
  <c r="H339" i="79"/>
  <c r="O338" i="79"/>
  <c r="N338" i="79"/>
  <c r="M338" i="79"/>
  <c r="L338" i="79"/>
  <c r="K338" i="79"/>
  <c r="J338" i="79"/>
  <c r="I338" i="79"/>
  <c r="H336" i="79"/>
  <c r="P336" i="79" s="1"/>
  <c r="N335" i="79"/>
  <c r="M335" i="79"/>
  <c r="L335" i="79"/>
  <c r="K335" i="79"/>
  <c r="J335" i="79"/>
  <c r="I335" i="79"/>
  <c r="P334" i="79"/>
  <c r="O335" i="79"/>
  <c r="H333" i="79"/>
  <c r="N332" i="79"/>
  <c r="P331" i="79"/>
  <c r="O332" i="79"/>
  <c r="M332" i="79"/>
  <c r="L332" i="79"/>
  <c r="K332" i="79"/>
  <c r="J332" i="79"/>
  <c r="I332" i="79"/>
  <c r="H330" i="79"/>
  <c r="N329" i="79"/>
  <c r="M329" i="79"/>
  <c r="L329" i="79"/>
  <c r="K329" i="79"/>
  <c r="J329" i="79"/>
  <c r="I329" i="79"/>
  <c r="P328" i="79"/>
  <c r="O329" i="79"/>
  <c r="H327" i="79"/>
  <c r="P325" i="79"/>
  <c r="O324" i="79"/>
  <c r="O326" i="79" s="1"/>
  <c r="N324" i="79"/>
  <c r="M324" i="79"/>
  <c r="L324" i="79"/>
  <c r="K324" i="79"/>
  <c r="J324" i="79"/>
  <c r="I324" i="79"/>
  <c r="H324" i="79"/>
  <c r="H326" i="79" s="1"/>
  <c r="P322" i="79"/>
  <c r="O321" i="79"/>
  <c r="O323" i="79" s="1"/>
  <c r="N321" i="79"/>
  <c r="N323" i="79" s="1"/>
  <c r="M321" i="79"/>
  <c r="M323" i="79" s="1"/>
  <c r="L321" i="79"/>
  <c r="L323" i="79" s="1"/>
  <c r="K321" i="79"/>
  <c r="K323" i="79" s="1"/>
  <c r="J321" i="79"/>
  <c r="J323" i="79" s="1"/>
  <c r="I321" i="79"/>
  <c r="I323" i="79" s="1"/>
  <c r="H321" i="79"/>
  <c r="H323" i="79" s="1"/>
  <c r="O320" i="79"/>
  <c r="N320" i="79"/>
  <c r="M320" i="79"/>
  <c r="L320" i="79"/>
  <c r="K320" i="79"/>
  <c r="J320" i="79"/>
  <c r="I320" i="79"/>
  <c r="H320" i="79"/>
  <c r="P319" i="79"/>
  <c r="P318" i="79"/>
  <c r="O317" i="79"/>
  <c r="N317" i="79"/>
  <c r="M317" i="79"/>
  <c r="L317" i="79"/>
  <c r="K317" i="79"/>
  <c r="J317" i="79"/>
  <c r="I317" i="79"/>
  <c r="H317" i="79"/>
  <c r="P316" i="79"/>
  <c r="P315" i="79"/>
  <c r="N314" i="79"/>
  <c r="M314" i="79"/>
  <c r="L314" i="79"/>
  <c r="K314" i="79"/>
  <c r="J314" i="79"/>
  <c r="I314" i="79"/>
  <c r="P313" i="79"/>
  <c r="O314" i="79"/>
  <c r="H312" i="79"/>
  <c r="H314" i="79" s="1"/>
  <c r="N311" i="79"/>
  <c r="M311" i="79"/>
  <c r="L311" i="79"/>
  <c r="K311" i="79"/>
  <c r="J311" i="79"/>
  <c r="I311" i="79"/>
  <c r="P310" i="79"/>
  <c r="H309" i="79"/>
  <c r="H311" i="79" s="1"/>
  <c r="N308" i="79"/>
  <c r="M308" i="79"/>
  <c r="L308" i="79"/>
  <c r="K308" i="79"/>
  <c r="J308" i="79"/>
  <c r="I308" i="79"/>
  <c r="P307" i="79"/>
  <c r="O308" i="79"/>
  <c r="H306" i="79"/>
  <c r="O305" i="79"/>
  <c r="N305" i="79"/>
  <c r="M305" i="79"/>
  <c r="L305" i="79"/>
  <c r="K305" i="79"/>
  <c r="J305" i="79"/>
  <c r="I305" i="79"/>
  <c r="P304" i="79"/>
  <c r="H303" i="79"/>
  <c r="P303" i="79" s="1"/>
  <c r="N302" i="79"/>
  <c r="M302" i="79"/>
  <c r="L302" i="79"/>
  <c r="K302" i="79"/>
  <c r="J302" i="79"/>
  <c r="I302" i="79"/>
  <c r="P301" i="79"/>
  <c r="H300" i="79"/>
  <c r="H302" i="79" s="1"/>
  <c r="N299" i="79"/>
  <c r="M299" i="79"/>
  <c r="L299" i="79"/>
  <c r="K299" i="79"/>
  <c r="J299" i="79"/>
  <c r="I299" i="79"/>
  <c r="P298" i="79"/>
  <c r="O299" i="79"/>
  <c r="H297" i="79"/>
  <c r="N296" i="79"/>
  <c r="M296" i="79"/>
  <c r="L296" i="79"/>
  <c r="K296" i="79"/>
  <c r="J296" i="79"/>
  <c r="I296" i="79"/>
  <c r="P295" i="79"/>
  <c r="O296" i="79"/>
  <c r="H294" i="79"/>
  <c r="N293" i="79"/>
  <c r="M293" i="79"/>
  <c r="L293" i="79"/>
  <c r="K293" i="79"/>
  <c r="J293" i="79"/>
  <c r="I293" i="79"/>
  <c r="P292" i="79"/>
  <c r="O293" i="79"/>
  <c r="H291" i="79"/>
  <c r="H293" i="79" s="1"/>
  <c r="O290" i="79"/>
  <c r="N290" i="79"/>
  <c r="M290" i="79"/>
  <c r="L290" i="79"/>
  <c r="K290" i="79"/>
  <c r="J290" i="79"/>
  <c r="P289" i="79"/>
  <c r="I288" i="79"/>
  <c r="I290" i="79" s="1"/>
  <c r="H288" i="79"/>
  <c r="N287" i="79"/>
  <c r="M287" i="79"/>
  <c r="L287" i="79"/>
  <c r="K287" i="79"/>
  <c r="J287" i="79"/>
  <c r="I287" i="79"/>
  <c r="P286" i="79"/>
  <c r="O287" i="79"/>
  <c r="H285" i="79"/>
  <c r="N284" i="79"/>
  <c r="M284" i="79"/>
  <c r="L284" i="79"/>
  <c r="K284" i="79"/>
  <c r="J284" i="79"/>
  <c r="I284" i="79"/>
  <c r="H282" i="79"/>
  <c r="O281" i="79"/>
  <c r="N281" i="79"/>
  <c r="M281" i="79"/>
  <c r="L281" i="79"/>
  <c r="K281" i="79"/>
  <c r="I281" i="79"/>
  <c r="H279" i="79"/>
  <c r="P279" i="79" s="1"/>
  <c r="N278" i="79"/>
  <c r="M278" i="79"/>
  <c r="L278" i="79"/>
  <c r="K278" i="79"/>
  <c r="I278" i="79"/>
  <c r="O278" i="79"/>
  <c r="H276" i="79"/>
  <c r="O275" i="79"/>
  <c r="N275" i="79"/>
  <c r="M275" i="79"/>
  <c r="I275" i="79"/>
  <c r="L275" i="79"/>
  <c r="K275" i="79"/>
  <c r="J275" i="79"/>
  <c r="H273" i="79"/>
  <c r="P273" i="79" s="1"/>
  <c r="O272" i="79"/>
  <c r="N272" i="79"/>
  <c r="M272" i="79"/>
  <c r="L272" i="79"/>
  <c r="K272" i="79"/>
  <c r="J272" i="79"/>
  <c r="I272" i="79"/>
  <c r="H272" i="79"/>
  <c r="P271" i="79"/>
  <c r="P270" i="79"/>
  <c r="O269" i="79"/>
  <c r="N269" i="79"/>
  <c r="M269" i="79"/>
  <c r="L269" i="79"/>
  <c r="K269" i="79"/>
  <c r="J269" i="79"/>
  <c r="I269" i="79"/>
  <c r="H269" i="79"/>
  <c r="P268" i="79"/>
  <c r="P267" i="79"/>
  <c r="N266" i="79"/>
  <c r="M266" i="79"/>
  <c r="L266" i="79"/>
  <c r="K266" i="79"/>
  <c r="J266" i="79"/>
  <c r="O266" i="79"/>
  <c r="H264" i="79"/>
  <c r="N263" i="79"/>
  <c r="M263" i="79"/>
  <c r="L263" i="79"/>
  <c r="K263" i="79"/>
  <c r="J263" i="79"/>
  <c r="I263" i="79"/>
  <c r="O263" i="79"/>
  <c r="H261" i="79"/>
  <c r="O260" i="79"/>
  <c r="N260" i="79"/>
  <c r="M260" i="79"/>
  <c r="L260" i="79"/>
  <c r="K260" i="79"/>
  <c r="J260" i="79"/>
  <c r="I260" i="79"/>
  <c r="H260" i="79"/>
  <c r="P259" i="79"/>
  <c r="P258" i="79"/>
  <c r="H255" i="79"/>
  <c r="O254" i="79"/>
  <c r="N254" i="79"/>
  <c r="M254" i="79"/>
  <c r="L254" i="79"/>
  <c r="K254" i="79"/>
  <c r="J254" i="79"/>
  <c r="I254" i="79"/>
  <c r="H252" i="79"/>
  <c r="P252" i="79" s="1"/>
  <c r="N251" i="79"/>
  <c r="M251" i="79"/>
  <c r="L251" i="79"/>
  <c r="K251" i="79"/>
  <c r="J251" i="79"/>
  <c r="I251" i="79"/>
  <c r="H251" i="79"/>
  <c r="P250" i="79"/>
  <c r="O249" i="79"/>
  <c r="O251" i="79" s="1"/>
  <c r="O248" i="79"/>
  <c r="N248" i="79"/>
  <c r="M248" i="79"/>
  <c r="L248" i="79"/>
  <c r="K248" i="79"/>
  <c r="J248" i="79"/>
  <c r="I248" i="79"/>
  <c r="H248" i="79"/>
  <c r="P247" i="79"/>
  <c r="P246" i="79"/>
  <c r="O245" i="79"/>
  <c r="N245" i="79"/>
  <c r="M245" i="79"/>
  <c r="L245" i="79"/>
  <c r="K245" i="79"/>
  <c r="J245" i="79"/>
  <c r="I245" i="79"/>
  <c r="H243" i="79"/>
  <c r="O242" i="79"/>
  <c r="N242" i="79"/>
  <c r="M242" i="79"/>
  <c r="L242" i="79"/>
  <c r="K242" i="79"/>
  <c r="J242" i="79"/>
  <c r="I242" i="79"/>
  <c r="H240" i="79"/>
  <c r="H242" i="79" s="1"/>
  <c r="O239" i="79"/>
  <c r="N239" i="79"/>
  <c r="M239" i="79"/>
  <c r="L239" i="79"/>
  <c r="K239" i="79"/>
  <c r="J239" i="79"/>
  <c r="I239" i="79"/>
  <c r="H237" i="79"/>
  <c r="N236" i="79"/>
  <c r="M236" i="79"/>
  <c r="L236" i="79"/>
  <c r="K236" i="79"/>
  <c r="J236" i="79"/>
  <c r="I236" i="79"/>
  <c r="O236" i="79"/>
  <c r="H234" i="79"/>
  <c r="H236" i="79" s="1"/>
  <c r="O233" i="79"/>
  <c r="N233" i="79"/>
  <c r="M233" i="79"/>
  <c r="L233" i="79"/>
  <c r="K233" i="79"/>
  <c r="J233" i="79"/>
  <c r="I233" i="79"/>
  <c r="H231" i="79"/>
  <c r="P231" i="79" s="1"/>
  <c r="O230" i="79"/>
  <c r="N230" i="79"/>
  <c r="M230" i="79"/>
  <c r="L230" i="79"/>
  <c r="K230" i="79"/>
  <c r="J230" i="79"/>
  <c r="I230" i="79"/>
  <c r="H228" i="79"/>
  <c r="N227" i="79"/>
  <c r="M227" i="79"/>
  <c r="L227" i="79"/>
  <c r="K227" i="79"/>
  <c r="J227" i="79"/>
  <c r="I227" i="79"/>
  <c r="O227" i="79"/>
  <c r="H225" i="79"/>
  <c r="N224" i="79"/>
  <c r="M224" i="79"/>
  <c r="L224" i="79"/>
  <c r="K224" i="79"/>
  <c r="J224" i="79"/>
  <c r="I224" i="79"/>
  <c r="O224" i="79"/>
  <c r="H222" i="79"/>
  <c r="N221" i="79"/>
  <c r="M221" i="79"/>
  <c r="L221" i="79"/>
  <c r="K221" i="79"/>
  <c r="J221" i="79"/>
  <c r="I221" i="79"/>
  <c r="O221" i="79"/>
  <c r="H219" i="79"/>
  <c r="N218" i="79"/>
  <c r="M218" i="79"/>
  <c r="L218" i="79"/>
  <c r="K218" i="79"/>
  <c r="J218" i="79"/>
  <c r="I218" i="79"/>
  <c r="O218" i="79"/>
  <c r="H216" i="79"/>
  <c r="N215" i="79"/>
  <c r="M215" i="79"/>
  <c r="L215" i="79"/>
  <c r="K215" i="79"/>
  <c r="J215" i="79"/>
  <c r="I215" i="79"/>
  <c r="O215" i="79"/>
  <c r="H213" i="79"/>
  <c r="N212" i="79"/>
  <c r="M212" i="79"/>
  <c r="L212" i="79"/>
  <c r="K212" i="79"/>
  <c r="J212" i="79"/>
  <c r="O212" i="79"/>
  <c r="H210" i="79"/>
  <c r="N209" i="79"/>
  <c r="M209" i="79"/>
  <c r="L209" i="79"/>
  <c r="K209" i="79"/>
  <c r="J209" i="79"/>
  <c r="I209" i="79"/>
  <c r="O209" i="79"/>
  <c r="H207" i="79"/>
  <c r="N206" i="79"/>
  <c r="M206" i="79"/>
  <c r="L206" i="79"/>
  <c r="K206" i="79"/>
  <c r="J206" i="79"/>
  <c r="O206" i="79"/>
  <c r="H204" i="79"/>
  <c r="N203" i="79"/>
  <c r="M203" i="79"/>
  <c r="L203" i="79"/>
  <c r="K203" i="79"/>
  <c r="J203" i="79"/>
  <c r="I203" i="79"/>
  <c r="H201" i="79"/>
  <c r="H203" i="79" s="1"/>
  <c r="O200" i="79"/>
  <c r="N200" i="79"/>
  <c r="M200" i="79"/>
  <c r="L200" i="79"/>
  <c r="K200" i="79"/>
  <c r="J200" i="79"/>
  <c r="H198" i="79"/>
  <c r="P198" i="79" s="1"/>
  <c r="O197" i="79"/>
  <c r="N197" i="79"/>
  <c r="M197" i="79"/>
  <c r="L197" i="79"/>
  <c r="K197" i="79"/>
  <c r="I197" i="79"/>
  <c r="H195" i="79"/>
  <c r="H197" i="79" s="1"/>
  <c r="O194" i="79"/>
  <c r="N194" i="79"/>
  <c r="M194" i="79"/>
  <c r="L194" i="79"/>
  <c r="K192" i="79"/>
  <c r="K194" i="79" s="1"/>
  <c r="J192" i="79"/>
  <c r="I192" i="79"/>
  <c r="H192" i="79"/>
  <c r="H194" i="79" s="1"/>
  <c r="O189" i="79"/>
  <c r="O191" i="79" s="1"/>
  <c r="N189" i="79"/>
  <c r="N191" i="79" s="1"/>
  <c r="M189" i="79"/>
  <c r="L189" i="79"/>
  <c r="L191" i="79" s="1"/>
  <c r="K189" i="79"/>
  <c r="K191" i="79" s="1"/>
  <c r="J189" i="79"/>
  <c r="J191" i="79" s="1"/>
  <c r="I189" i="79"/>
  <c r="H189" i="79"/>
  <c r="H191" i="79" s="1"/>
  <c r="O186" i="79"/>
  <c r="O188" i="79" s="1"/>
  <c r="N186" i="79"/>
  <c r="N188" i="79" s="1"/>
  <c r="M186" i="79"/>
  <c r="L186" i="79"/>
  <c r="L188" i="79" s="1"/>
  <c r="K186" i="79"/>
  <c r="K188" i="79" s="1"/>
  <c r="J186" i="79"/>
  <c r="J188" i="79" s="1"/>
  <c r="I186" i="79"/>
  <c r="H186" i="79"/>
  <c r="H188" i="79" s="1"/>
  <c r="N185" i="79"/>
  <c r="M185" i="79"/>
  <c r="L185" i="79"/>
  <c r="K185" i="79"/>
  <c r="J185" i="79"/>
  <c r="O185" i="79"/>
  <c r="H183" i="79"/>
  <c r="H185" i="79" s="1"/>
  <c r="N182" i="79"/>
  <c r="M182" i="79"/>
  <c r="L182" i="79"/>
  <c r="K182" i="79"/>
  <c r="J182" i="79"/>
  <c r="I182" i="79"/>
  <c r="O182" i="79"/>
  <c r="H180" i="79"/>
  <c r="N179" i="79"/>
  <c r="M179" i="79"/>
  <c r="L179" i="79"/>
  <c r="K179" i="79"/>
  <c r="J179" i="79"/>
  <c r="O179" i="79"/>
  <c r="H177" i="79"/>
  <c r="O176" i="79"/>
  <c r="N176" i="79"/>
  <c r="M176" i="79"/>
  <c r="L176" i="79"/>
  <c r="K176" i="79"/>
  <c r="J176" i="79"/>
  <c r="I176" i="79"/>
  <c r="H175" i="79"/>
  <c r="P174" i="79"/>
  <c r="O173" i="79"/>
  <c r="K173" i="79"/>
  <c r="I173" i="79"/>
  <c r="N173" i="79"/>
  <c r="M173" i="79"/>
  <c r="L173" i="79"/>
  <c r="J173" i="79"/>
  <c r="H171" i="79"/>
  <c r="H173" i="79" s="1"/>
  <c r="N170" i="79"/>
  <c r="M170" i="79"/>
  <c r="L170" i="79"/>
  <c r="K170" i="79"/>
  <c r="J170" i="79"/>
  <c r="I170" i="79"/>
  <c r="H168" i="79"/>
  <c r="O167" i="79"/>
  <c r="N167" i="79"/>
  <c r="M167" i="79"/>
  <c r="L167" i="79"/>
  <c r="K167" i="79"/>
  <c r="J167" i="79"/>
  <c r="I167" i="79"/>
  <c r="H165" i="79"/>
  <c r="P165" i="79" s="1"/>
  <c r="O162" i="79"/>
  <c r="O164" i="79" s="1"/>
  <c r="N162" i="79"/>
  <c r="N164" i="79" s="1"/>
  <c r="M162" i="79"/>
  <c r="L162" i="79"/>
  <c r="L164" i="79" s="1"/>
  <c r="K162" i="79"/>
  <c r="K164" i="79" s="1"/>
  <c r="J162" i="79"/>
  <c r="J164" i="79" s="1"/>
  <c r="I162" i="79"/>
  <c r="H162" i="79"/>
  <c r="O161" i="79"/>
  <c r="N159" i="79"/>
  <c r="M159" i="79"/>
  <c r="L159" i="79"/>
  <c r="K159" i="79"/>
  <c r="J159" i="79"/>
  <c r="I159" i="79"/>
  <c r="H159" i="79"/>
  <c r="O156" i="79"/>
  <c r="O158" i="79" s="1"/>
  <c r="N156" i="79"/>
  <c r="M156" i="79"/>
  <c r="L156" i="79"/>
  <c r="K156" i="79"/>
  <c r="K158" i="79" s="1"/>
  <c r="J156" i="79"/>
  <c r="J158" i="79" s="1"/>
  <c r="I156" i="79"/>
  <c r="I158" i="79" s="1"/>
  <c r="H156" i="79"/>
  <c r="O155" i="79"/>
  <c r="N155" i="79"/>
  <c r="M155" i="79"/>
  <c r="L155" i="79"/>
  <c r="K155" i="79"/>
  <c r="J155" i="79"/>
  <c r="I155" i="79"/>
  <c r="H153" i="79"/>
  <c r="P153" i="79" s="1"/>
  <c r="N152" i="79"/>
  <c r="M152" i="79"/>
  <c r="L152" i="79"/>
  <c r="K152" i="79"/>
  <c r="J152" i="79"/>
  <c r="I152" i="79"/>
  <c r="O152" i="79"/>
  <c r="H150" i="79"/>
  <c r="P150" i="79" s="1"/>
  <c r="O149" i="79"/>
  <c r="N149" i="79"/>
  <c r="M149" i="79"/>
  <c r="L149" i="79"/>
  <c r="K149" i="79"/>
  <c r="J149" i="79"/>
  <c r="I149" i="79"/>
  <c r="H147" i="79"/>
  <c r="H149" i="79" s="1"/>
  <c r="O146" i="79"/>
  <c r="N146" i="79"/>
  <c r="M146" i="79"/>
  <c r="L146" i="79"/>
  <c r="K146" i="79"/>
  <c r="J146" i="79"/>
  <c r="I146" i="79"/>
  <c r="H146" i="79"/>
  <c r="P145" i="79"/>
  <c r="P144" i="79"/>
  <c r="N143" i="79"/>
  <c r="M143" i="79"/>
  <c r="L143" i="79"/>
  <c r="K143" i="79"/>
  <c r="J143" i="79"/>
  <c r="I143" i="79"/>
  <c r="O143" i="79"/>
  <c r="I140" i="79"/>
  <c r="N140" i="79"/>
  <c r="M140" i="79"/>
  <c r="L140" i="79"/>
  <c r="K140" i="79"/>
  <c r="J140" i="79"/>
  <c r="H138" i="79"/>
  <c r="H140" i="79" s="1"/>
  <c r="N137" i="79"/>
  <c r="M137" i="79"/>
  <c r="L137" i="79"/>
  <c r="K137" i="79"/>
  <c r="J137" i="79"/>
  <c r="I137" i="79"/>
  <c r="O137" i="79"/>
  <c r="H135" i="79"/>
  <c r="O134" i="79"/>
  <c r="N134" i="79"/>
  <c r="M134" i="79"/>
  <c r="L134" i="79"/>
  <c r="K134" i="79"/>
  <c r="J134" i="79"/>
  <c r="H132" i="79"/>
  <c r="O131" i="79"/>
  <c r="N131" i="79"/>
  <c r="M131" i="79"/>
  <c r="L131" i="79"/>
  <c r="K131" i="79"/>
  <c r="J131" i="79"/>
  <c r="I131" i="79"/>
  <c r="H129" i="79"/>
  <c r="O128" i="79"/>
  <c r="N128" i="79"/>
  <c r="M128" i="79"/>
  <c r="L128" i="79"/>
  <c r="K128" i="79"/>
  <c r="J128" i="79"/>
  <c r="I128" i="79"/>
  <c r="H128" i="79"/>
  <c r="P127" i="79"/>
  <c r="P126" i="79"/>
  <c r="N125" i="79"/>
  <c r="M125" i="79"/>
  <c r="L125" i="79"/>
  <c r="K125" i="79"/>
  <c r="J125" i="79"/>
  <c r="I125" i="79"/>
  <c r="O125" i="79"/>
  <c r="H123" i="79"/>
  <c r="O122" i="79"/>
  <c r="N122" i="79"/>
  <c r="M122" i="79"/>
  <c r="L122" i="79"/>
  <c r="K122" i="79"/>
  <c r="J122" i="79"/>
  <c r="H120" i="79"/>
  <c r="P120" i="79" s="1"/>
  <c r="O119" i="79"/>
  <c r="N119" i="79"/>
  <c r="M119" i="79"/>
  <c r="K119" i="79"/>
  <c r="L119" i="79"/>
  <c r="J119" i="79"/>
  <c r="I119" i="79"/>
  <c r="H117" i="79"/>
  <c r="O116" i="79"/>
  <c r="N116" i="79"/>
  <c r="M116" i="79"/>
  <c r="L116" i="79"/>
  <c r="K116" i="79"/>
  <c r="J116" i="79"/>
  <c r="I116" i="79"/>
  <c r="H114" i="79"/>
  <c r="O113" i="79"/>
  <c r="N113" i="79"/>
  <c r="M113" i="79"/>
  <c r="L113" i="79"/>
  <c r="K113" i="79"/>
  <c r="I113" i="79"/>
  <c r="H113" i="79"/>
  <c r="N110" i="79"/>
  <c r="M110" i="79"/>
  <c r="L110" i="79"/>
  <c r="K110" i="79"/>
  <c r="J110" i="79"/>
  <c r="I110" i="79"/>
  <c r="H108" i="79"/>
  <c r="N107" i="79"/>
  <c r="M107" i="79"/>
  <c r="L107" i="79"/>
  <c r="K107" i="79"/>
  <c r="J107" i="79"/>
  <c r="I107" i="79"/>
  <c r="O107" i="79"/>
  <c r="N104" i="79"/>
  <c r="M104" i="79"/>
  <c r="L104" i="79"/>
  <c r="K104" i="79"/>
  <c r="J104" i="79"/>
  <c r="I104" i="79"/>
  <c r="H102" i="79"/>
  <c r="H104" i="79" s="1"/>
  <c r="N101" i="79"/>
  <c r="M101" i="79"/>
  <c r="L101" i="79"/>
  <c r="K101" i="79"/>
  <c r="J101" i="79"/>
  <c r="I101" i="79"/>
  <c r="O101" i="79"/>
  <c r="H99" i="79"/>
  <c r="O98" i="79"/>
  <c r="N98" i="79"/>
  <c r="M98" i="79"/>
  <c r="L98" i="79"/>
  <c r="K98" i="79"/>
  <c r="J98" i="79"/>
  <c r="I98" i="79"/>
  <c r="H96" i="79"/>
  <c r="N95" i="79"/>
  <c r="M95" i="79"/>
  <c r="L95" i="79"/>
  <c r="K95" i="79"/>
  <c r="J95" i="79"/>
  <c r="I95" i="79"/>
  <c r="O95" i="79"/>
  <c r="H93" i="79"/>
  <c r="H95" i="79" s="1"/>
  <c r="O92" i="79"/>
  <c r="N92" i="79"/>
  <c r="M92" i="79"/>
  <c r="L92" i="79"/>
  <c r="K92" i="79"/>
  <c r="J92" i="79"/>
  <c r="H90" i="79"/>
  <c r="P90" i="79" s="1"/>
  <c r="O89" i="79"/>
  <c r="N89" i="79"/>
  <c r="M89" i="79"/>
  <c r="L89" i="79"/>
  <c r="K89" i="79"/>
  <c r="J89" i="79"/>
  <c r="I89" i="79"/>
  <c r="H89" i="79"/>
  <c r="P88" i="79"/>
  <c r="P87" i="79"/>
  <c r="O86" i="79"/>
  <c r="N86" i="79"/>
  <c r="M86" i="79"/>
  <c r="L86" i="79"/>
  <c r="K86" i="79"/>
  <c r="J86" i="79"/>
  <c r="I86" i="79"/>
  <c r="H84" i="79"/>
  <c r="H86" i="79" s="1"/>
  <c r="N83" i="79"/>
  <c r="M83" i="79"/>
  <c r="L83" i="79"/>
  <c r="K83" i="79"/>
  <c r="I83" i="79"/>
  <c r="O83" i="79"/>
  <c r="H81" i="79"/>
  <c r="H83" i="79" s="1"/>
  <c r="O80" i="79"/>
  <c r="N80" i="79"/>
  <c r="M80" i="79"/>
  <c r="L80" i="79"/>
  <c r="K80" i="79"/>
  <c r="J80" i="79"/>
  <c r="I80" i="79"/>
  <c r="H78" i="79"/>
  <c r="O77" i="79"/>
  <c r="N77" i="79"/>
  <c r="M77" i="79"/>
  <c r="L77" i="79"/>
  <c r="K77" i="79"/>
  <c r="J77" i="79"/>
  <c r="I77" i="79"/>
  <c r="H77" i="79"/>
  <c r="P76" i="79"/>
  <c r="P75" i="79"/>
  <c r="N74" i="79"/>
  <c r="M74" i="79"/>
  <c r="L74" i="79"/>
  <c r="K74" i="79"/>
  <c r="J74" i="79"/>
  <c r="I74" i="79"/>
  <c r="O74" i="79"/>
  <c r="H72" i="79"/>
  <c r="O71" i="79"/>
  <c r="N71" i="79"/>
  <c r="M71" i="79"/>
  <c r="L71" i="79"/>
  <c r="K71" i="79"/>
  <c r="J71" i="79"/>
  <c r="I71" i="79"/>
  <c r="H71" i="79"/>
  <c r="P70" i="79"/>
  <c r="P69" i="79"/>
  <c r="O68" i="79"/>
  <c r="N68" i="79"/>
  <c r="M68" i="79"/>
  <c r="L68" i="79"/>
  <c r="K68" i="79"/>
  <c r="J68" i="79"/>
  <c r="I68" i="79"/>
  <c r="P67" i="79"/>
  <c r="H66" i="79"/>
  <c r="H68" i="79" s="1"/>
  <c r="O65" i="79"/>
  <c r="N65" i="79"/>
  <c r="K65" i="79"/>
  <c r="M64" i="79"/>
  <c r="M65" i="79" s="1"/>
  <c r="L65" i="79"/>
  <c r="H63" i="79"/>
  <c r="O62" i="79"/>
  <c r="N62" i="79"/>
  <c r="M62" i="79"/>
  <c r="L62" i="79"/>
  <c r="K62" i="79"/>
  <c r="J62" i="79"/>
  <c r="I62" i="79"/>
  <c r="H62" i="79"/>
  <c r="P61" i="79"/>
  <c r="P60" i="79"/>
  <c r="O59" i="79"/>
  <c r="N59" i="79"/>
  <c r="M59" i="79"/>
  <c r="L59" i="79"/>
  <c r="K59" i="79"/>
  <c r="J59" i="79"/>
  <c r="I59" i="79"/>
  <c r="H59" i="79"/>
  <c r="P58" i="79"/>
  <c r="P57" i="79"/>
  <c r="K55" i="79"/>
  <c r="K56" i="79" s="1"/>
  <c r="J56" i="79"/>
  <c r="I55" i="79"/>
  <c r="I56" i="79" s="1"/>
  <c r="H55" i="79"/>
  <c r="O54" i="79"/>
  <c r="P54" i="79" s="1"/>
  <c r="O53" i="79"/>
  <c r="N53" i="79"/>
  <c r="M53" i="79"/>
  <c r="I53" i="79"/>
  <c r="H51" i="79"/>
  <c r="M50" i="79"/>
  <c r="L50" i="79"/>
  <c r="H48" i="79"/>
  <c r="O47" i="79"/>
  <c r="N47" i="79"/>
  <c r="M46" i="79"/>
  <c r="M47" i="79" s="1"/>
  <c r="L45" i="79"/>
  <c r="K45" i="79"/>
  <c r="J45" i="79"/>
  <c r="I45" i="79"/>
  <c r="H45" i="79"/>
  <c r="K44" i="79"/>
  <c r="J44" i="79"/>
  <c r="I44" i="79"/>
  <c r="H42" i="79"/>
  <c r="I41" i="79"/>
  <c r="H40" i="79"/>
  <c r="H41" i="79" s="1"/>
  <c r="O39" i="79"/>
  <c r="P39" i="79" s="1"/>
  <c r="O38" i="79"/>
  <c r="M38" i="79"/>
  <c r="H36" i="79"/>
  <c r="O35" i="79"/>
  <c r="N35" i="79"/>
  <c r="M35" i="79"/>
  <c r="L35" i="79"/>
  <c r="J35" i="79"/>
  <c r="I35" i="79"/>
  <c r="O32" i="79"/>
  <c r="M32" i="79"/>
  <c r="L32" i="79"/>
  <c r="J32" i="79"/>
  <c r="I32" i="79"/>
  <c r="H30" i="79"/>
  <c r="P30" i="79" s="1"/>
  <c r="O29" i="79"/>
  <c r="N29" i="79"/>
  <c r="M29" i="79"/>
  <c r="L29" i="79"/>
  <c r="K29" i="79"/>
  <c r="J29" i="79"/>
  <c r="H27" i="79"/>
  <c r="O26" i="79"/>
  <c r="N26" i="79"/>
  <c r="M26" i="79"/>
  <c r="L26" i="79"/>
  <c r="K26" i="79"/>
  <c r="J26" i="79"/>
  <c r="I26" i="79"/>
  <c r="H25" i="79"/>
  <c r="P25" i="79" s="1"/>
  <c r="P24" i="79"/>
  <c r="O23" i="79"/>
  <c r="N23" i="79"/>
  <c r="M23" i="79"/>
  <c r="L23" i="79"/>
  <c r="K23" i="79"/>
  <c r="J23" i="79"/>
  <c r="I23" i="79"/>
  <c r="P22" i="79"/>
  <c r="H21" i="79"/>
  <c r="H23" i="79" s="1"/>
  <c r="O20" i="79"/>
  <c r="N20" i="79"/>
  <c r="M20" i="79"/>
  <c r="L20" i="79"/>
  <c r="K20" i="79"/>
  <c r="H18" i="79"/>
  <c r="O17" i="79"/>
  <c r="N17" i="79"/>
  <c r="M17" i="79"/>
  <c r="L17" i="79"/>
  <c r="K17" i="79"/>
  <c r="J17" i="79"/>
  <c r="I17" i="79"/>
  <c r="H15" i="79"/>
  <c r="O14" i="79"/>
  <c r="N14" i="79"/>
  <c r="M14" i="79"/>
  <c r="L14" i="79"/>
  <c r="K14" i="79"/>
  <c r="J14" i="79"/>
  <c r="I14" i="79"/>
  <c r="H13" i="79"/>
  <c r="P12" i="79"/>
  <c r="A12" i="79"/>
  <c r="A15" i="79" s="1"/>
  <c r="A18" i="79" s="1"/>
  <c r="A21" i="79" s="1"/>
  <c r="A24" i="79" s="1"/>
  <c r="A27" i="79" s="1"/>
  <c r="A30" i="79" s="1"/>
  <c r="A33" i="79" s="1"/>
  <c r="A36" i="79" s="1"/>
  <c r="A39" i="79" s="1"/>
  <c r="A42" i="79" s="1"/>
  <c r="A45" i="79" s="1"/>
  <c r="A48" i="79" s="1"/>
  <c r="A51" i="79" s="1"/>
  <c r="A54" i="79" s="1"/>
  <c r="A57" i="79" s="1"/>
  <c r="A60" i="79" s="1"/>
  <c r="A63" i="79" s="1"/>
  <c r="A66" i="79" s="1"/>
  <c r="A69" i="79" s="1"/>
  <c r="A72" i="79" s="1"/>
  <c r="A75" i="79" s="1"/>
  <c r="A78" i="79" s="1"/>
  <c r="A81" i="79" s="1"/>
  <c r="A84" i="79" s="1"/>
  <c r="A87" i="79" s="1"/>
  <c r="A90" i="79" s="1"/>
  <c r="A93" i="79" s="1"/>
  <c r="A96" i="79" s="1"/>
  <c r="A99" i="79" s="1"/>
  <c r="A102" i="79" s="1"/>
  <c r="A105" i="79" s="1"/>
  <c r="A108" i="79" s="1"/>
  <c r="A111" i="79" s="1"/>
  <c r="A114" i="79" s="1"/>
  <c r="A117" i="79" s="1"/>
  <c r="A120" i="79" s="1"/>
  <c r="A123" i="79" s="1"/>
  <c r="A126" i="79" s="1"/>
  <c r="A129" i="79" s="1"/>
  <c r="A132" i="79" s="1"/>
  <c r="A135" i="79" s="1"/>
  <c r="A138" i="79" s="1"/>
  <c r="A141" i="79" s="1"/>
  <c r="A144" i="79" s="1"/>
  <c r="A147" i="79" s="1"/>
  <c r="A150" i="79" s="1"/>
  <c r="A153" i="79" s="1"/>
  <c r="A156" i="79" s="1"/>
  <c r="A159" i="79" s="1"/>
  <c r="A162" i="79" s="1"/>
  <c r="A165" i="79" s="1"/>
  <c r="A168" i="79" s="1"/>
  <c r="A171" i="79" s="1"/>
  <c r="A174" i="79" s="1"/>
  <c r="A177" i="79" s="1"/>
  <c r="A180" i="79" s="1"/>
  <c r="A183" i="79" s="1"/>
  <c r="A186" i="79" s="1"/>
  <c r="A189" i="79" s="1"/>
  <c r="A192" i="79" s="1"/>
  <c r="A195" i="79" s="1"/>
  <c r="A198" i="79" s="1"/>
  <c r="A201" i="79" s="1"/>
  <c r="A204" i="79" s="1"/>
  <c r="A207" i="79" s="1"/>
  <c r="A210" i="79" s="1"/>
  <c r="A213" i="79" s="1"/>
  <c r="A216" i="79" s="1"/>
  <c r="A219" i="79" s="1"/>
  <c r="A222" i="79" s="1"/>
  <c r="A225" i="79" s="1"/>
  <c r="A228" i="79" s="1"/>
  <c r="A231" i="79" s="1"/>
  <c r="A234" i="79" s="1"/>
  <c r="A237" i="79" s="1"/>
  <c r="A240" i="79" s="1"/>
  <c r="A243" i="79" s="1"/>
  <c r="A246" i="79" s="1"/>
  <c r="A249" i="79" s="1"/>
  <c r="A252" i="79" s="1"/>
  <c r="A255" i="79" s="1"/>
  <c r="A258" i="79" s="1"/>
  <c r="A261" i="79" s="1"/>
  <c r="A264" i="79" s="1"/>
  <c r="A267" i="79" s="1"/>
  <c r="A270" i="79" s="1"/>
  <c r="A273" i="79" s="1"/>
  <c r="A276" i="79" s="1"/>
  <c r="A279" i="79" s="1"/>
  <c r="A282" i="79" s="1"/>
  <c r="A285" i="79" s="1"/>
  <c r="A288" i="79" s="1"/>
  <c r="A291" i="79" s="1"/>
  <c r="A294" i="79" s="1"/>
  <c r="A297" i="79" s="1"/>
  <c r="A300" i="79" s="1"/>
  <c r="A303" i="79" s="1"/>
  <c r="A306" i="79" s="1"/>
  <c r="A309" i="79" s="1"/>
  <c r="A312" i="79" s="1"/>
  <c r="A315" i="79" s="1"/>
  <c r="A318" i="79" s="1"/>
  <c r="A321" i="79" s="1"/>
  <c r="A324" i="79" s="1"/>
  <c r="A327" i="79" s="1"/>
  <c r="A330" i="79" s="1"/>
  <c r="A333" i="79" s="1"/>
  <c r="A336" i="79" s="1"/>
  <c r="A339" i="79" s="1"/>
  <c r="A342" i="79" s="1"/>
  <c r="A345" i="79" s="1"/>
  <c r="A348" i="79" s="1"/>
  <c r="A351" i="79" s="1"/>
  <c r="A354" i="79" s="1"/>
  <c r="A357" i="79" s="1"/>
  <c r="A360" i="79" s="1"/>
  <c r="A363" i="79" s="1"/>
  <c r="A366" i="79" s="1"/>
  <c r="A369" i="79" s="1"/>
  <c r="A372" i="79" s="1"/>
  <c r="A375" i="79" s="1"/>
  <c r="A378" i="79" s="1"/>
  <c r="A381" i="79" s="1"/>
  <c r="A384" i="79" s="1"/>
  <c r="A387" i="79" s="1"/>
  <c r="A390" i="79" s="1"/>
  <c r="A393" i="79" s="1"/>
  <c r="A396" i="79" s="1"/>
  <c r="A399" i="79" s="1"/>
  <c r="A402" i="79" s="1"/>
  <c r="A405" i="79" s="1"/>
  <c r="A408" i="79" s="1"/>
  <c r="A411" i="79" s="1"/>
  <c r="A414" i="79" s="1"/>
  <c r="A417" i="79" s="1"/>
  <c r="A420" i="79" s="1"/>
  <c r="A423" i="79" s="1"/>
  <c r="A426" i="79" s="1"/>
  <c r="A429" i="79" s="1"/>
  <c r="A432" i="79" s="1"/>
  <c r="A435" i="79" s="1"/>
  <c r="A438" i="79" s="1"/>
  <c r="A441" i="79" s="1"/>
  <c r="A444" i="79" s="1"/>
  <c r="A447" i="79" s="1"/>
  <c r="A450" i="79" s="1"/>
  <c r="A453" i="79" s="1"/>
  <c r="A456" i="79" s="1"/>
  <c r="A459" i="79" s="1"/>
  <c r="A462" i="79" s="1"/>
  <c r="A465" i="79" s="1"/>
  <c r="A468" i="79" s="1"/>
  <c r="A471" i="79" s="1"/>
  <c r="N11" i="79"/>
  <c r="M11" i="79"/>
  <c r="L11" i="79"/>
  <c r="K11" i="79"/>
  <c r="J11" i="79"/>
  <c r="I11" i="79"/>
  <c r="H11" i="79"/>
  <c r="P10" i="79"/>
  <c r="O9" i="79"/>
  <c r="O44" i="79" l="1"/>
  <c r="O489" i="79"/>
  <c r="J490" i="79"/>
  <c r="L489" i="79"/>
  <c r="M489" i="79"/>
  <c r="L490" i="79"/>
  <c r="M490" i="79"/>
  <c r="J489" i="79"/>
  <c r="I490" i="79"/>
  <c r="K489" i="79"/>
  <c r="K490" i="79"/>
  <c r="H490" i="79"/>
  <c r="H489" i="79"/>
  <c r="I489" i="79"/>
  <c r="N489" i="79"/>
  <c r="N490" i="79"/>
  <c r="O490" i="79"/>
  <c r="H20" i="79"/>
  <c r="L47" i="79"/>
  <c r="I20" i="79"/>
  <c r="K38" i="79"/>
  <c r="P269" i="79"/>
  <c r="O11" i="79"/>
  <c r="O512" i="79"/>
  <c r="P512" i="79" s="1"/>
  <c r="I47" i="79"/>
  <c r="H14" i="79"/>
  <c r="P510" i="79"/>
  <c r="P15" i="79"/>
  <c r="P59" i="79"/>
  <c r="P21" i="79"/>
  <c r="P23" i="79" s="1"/>
  <c r="H245" i="79"/>
  <c r="P62" i="79"/>
  <c r="P128" i="79"/>
  <c r="H209" i="79"/>
  <c r="H257" i="79"/>
  <c r="P180" i="79"/>
  <c r="P260" i="79"/>
  <c r="P43" i="79"/>
  <c r="P390" i="79"/>
  <c r="P392" i="79" s="1"/>
  <c r="P26" i="79"/>
  <c r="H80" i="79"/>
  <c r="P105" i="79"/>
  <c r="P111" i="79"/>
  <c r="P123" i="79"/>
  <c r="J161" i="79"/>
  <c r="N161" i="79"/>
  <c r="L257" i="79"/>
  <c r="P272" i="79"/>
  <c r="P317" i="79"/>
  <c r="P365" i="79"/>
  <c r="O506" i="79"/>
  <c r="P13" i="79"/>
  <c r="H281" i="79"/>
  <c r="P84" i="79"/>
  <c r="P99" i="79"/>
  <c r="P248" i="79"/>
  <c r="P285" i="79"/>
  <c r="P287" i="79" s="1"/>
  <c r="P369" i="79"/>
  <c r="P384" i="79"/>
  <c r="P386" i="79" s="1"/>
  <c r="I38" i="79"/>
  <c r="P72" i="79"/>
  <c r="P78" i="79"/>
  <c r="H122" i="79"/>
  <c r="P141" i="79"/>
  <c r="P146" i="79"/>
  <c r="P177" i="79"/>
  <c r="P213" i="79"/>
  <c r="P216" i="79"/>
  <c r="P249" i="79"/>
  <c r="P251" i="79" s="1"/>
  <c r="O446" i="79"/>
  <c r="P9" i="79"/>
  <c r="P42" i="79"/>
  <c r="H221" i="79"/>
  <c r="P291" i="79"/>
  <c r="P293" i="79" s="1"/>
  <c r="P342" i="79"/>
  <c r="P344" i="79" s="1"/>
  <c r="P375" i="79"/>
  <c r="P377" i="79" s="1"/>
  <c r="O452" i="79"/>
  <c r="H455" i="79"/>
  <c r="P469" i="79"/>
  <c r="P470" i="79" s="1"/>
  <c r="H29" i="79"/>
  <c r="H38" i="79"/>
  <c r="K47" i="79"/>
  <c r="P147" i="79"/>
  <c r="K161" i="79"/>
  <c r="L161" i="79"/>
  <c r="I194" i="79"/>
  <c r="P193" i="79"/>
  <c r="M257" i="79"/>
  <c r="P294" i="79"/>
  <c r="P296" i="79" s="1"/>
  <c r="N326" i="79"/>
  <c r="P366" i="79"/>
  <c r="P368" i="79" s="1"/>
  <c r="P402" i="79"/>
  <c r="P404" i="79" s="1"/>
  <c r="P451" i="79"/>
  <c r="P508" i="79"/>
  <c r="P133" i="79"/>
  <c r="I134" i="79"/>
  <c r="P162" i="79"/>
  <c r="H164" i="79"/>
  <c r="P210" i="79"/>
  <c r="H212" i="79"/>
  <c r="H227" i="79"/>
  <c r="P225" i="79"/>
  <c r="H350" i="79"/>
  <c r="P348" i="79"/>
  <c r="P350" i="79" s="1"/>
  <c r="P16" i="79"/>
  <c r="P27" i="79"/>
  <c r="P31" i="79"/>
  <c r="P37" i="79"/>
  <c r="O41" i="79"/>
  <c r="H50" i="79"/>
  <c r="P66" i="79"/>
  <c r="P68" i="79" s="1"/>
  <c r="P93" i="79"/>
  <c r="P94" i="79"/>
  <c r="M164" i="79"/>
  <c r="P219" i="79"/>
  <c r="H233" i="79"/>
  <c r="P280" i="79"/>
  <c r="P281" i="79" s="1"/>
  <c r="J281" i="79"/>
  <c r="H392" i="79"/>
  <c r="H401" i="79"/>
  <c r="P399" i="79"/>
  <c r="P401" i="79" s="1"/>
  <c r="H413" i="79"/>
  <c r="P411" i="79"/>
  <c r="P413" i="79" s="1"/>
  <c r="H359" i="79"/>
  <c r="P357" i="79"/>
  <c r="P359" i="79" s="1"/>
  <c r="H404" i="79"/>
  <c r="H17" i="79"/>
  <c r="P17" i="79" s="1"/>
  <c r="H35" i="79"/>
  <c r="J38" i="79"/>
  <c r="P45" i="79"/>
  <c r="P46" i="79"/>
  <c r="P77" i="79"/>
  <c r="P136" i="79"/>
  <c r="P207" i="79"/>
  <c r="H224" i="79"/>
  <c r="P222" i="79"/>
  <c r="P243" i="79"/>
  <c r="H263" i="79"/>
  <c r="P261" i="79"/>
  <c r="P370" i="79"/>
  <c r="P450" i="79"/>
  <c r="K452" i="79"/>
  <c r="H32" i="79"/>
  <c r="J47" i="79"/>
  <c r="P48" i="79"/>
  <c r="L53" i="79"/>
  <c r="P81" i="79"/>
  <c r="P156" i="79"/>
  <c r="L158" i="79"/>
  <c r="H161" i="79"/>
  <c r="P160" i="79"/>
  <c r="P183" i="79"/>
  <c r="P195" i="79"/>
  <c r="P234" i="79"/>
  <c r="P240" i="79"/>
  <c r="P312" i="79"/>
  <c r="P314" i="79" s="1"/>
  <c r="I326" i="79"/>
  <c r="P351" i="79"/>
  <c r="P353" i="79" s="1"/>
  <c r="H353" i="79"/>
  <c r="H419" i="79"/>
  <c r="P417" i="79"/>
  <c r="P419" i="79" s="1"/>
  <c r="P441" i="79"/>
  <c r="P443" i="79" s="1"/>
  <c r="P445" i="79"/>
  <c r="P446" i="79" s="1"/>
  <c r="P100" i="79"/>
  <c r="H119" i="79"/>
  <c r="H125" i="79"/>
  <c r="H134" i="79"/>
  <c r="P142" i="79"/>
  <c r="P151" i="79"/>
  <c r="P152" i="79" s="1"/>
  <c r="P166" i="79"/>
  <c r="P167" i="79" s="1"/>
  <c r="H170" i="79"/>
  <c r="H182" i="79"/>
  <c r="M188" i="79"/>
  <c r="P189" i="79"/>
  <c r="H215" i="79"/>
  <c r="H218" i="79"/>
  <c r="H287" i="79"/>
  <c r="H296" i="79"/>
  <c r="P460" i="79"/>
  <c r="P89" i="79"/>
  <c r="P106" i="79"/>
  <c r="H110" i="79"/>
  <c r="P117" i="79"/>
  <c r="P132" i="79"/>
  <c r="P135" i="79"/>
  <c r="P154" i="79"/>
  <c r="P155" i="79" s="1"/>
  <c r="P171" i="79"/>
  <c r="M191" i="79"/>
  <c r="P204" i="79"/>
  <c r="P244" i="79"/>
  <c r="P305" i="79"/>
  <c r="P320" i="79"/>
  <c r="K326" i="79"/>
  <c r="H338" i="79"/>
  <c r="P339" i="79"/>
  <c r="P341" i="79" s="1"/>
  <c r="H341" i="79"/>
  <c r="P354" i="79"/>
  <c r="P356" i="79" s="1"/>
  <c r="P378" i="79"/>
  <c r="P380" i="79" s="1"/>
  <c r="H380" i="79"/>
  <c r="O389" i="79"/>
  <c r="O434" i="79"/>
  <c r="P447" i="79"/>
  <c r="P449" i="79" s="1"/>
  <c r="P486" i="79"/>
  <c r="P504" i="79"/>
  <c r="K517" i="79"/>
  <c r="O467" i="79"/>
  <c r="O516" i="79"/>
  <c r="O500" i="79"/>
  <c r="P500" i="79" s="1"/>
  <c r="P505" i="79"/>
  <c r="L517" i="79"/>
  <c r="P509" i="79"/>
  <c r="P467" i="79"/>
  <c r="P496" i="79"/>
  <c r="H497" i="79"/>
  <c r="H518" i="79" s="1"/>
  <c r="P498" i="79"/>
  <c r="N518" i="79"/>
  <c r="O517" i="79"/>
  <c r="H65" i="79"/>
  <c r="P63" i="79"/>
  <c r="P184" i="79"/>
  <c r="I185" i="79"/>
  <c r="P202" i="79"/>
  <c r="P217" i="79"/>
  <c r="P223" i="79"/>
  <c r="P288" i="79"/>
  <c r="P290" i="79" s="1"/>
  <c r="H290" i="79"/>
  <c r="P306" i="79"/>
  <c r="P308" i="79" s="1"/>
  <c r="H308" i="79"/>
  <c r="O311" i="79"/>
  <c r="P309" i="79"/>
  <c r="P311" i="79" s="1"/>
  <c r="P18" i="79"/>
  <c r="H26" i="79"/>
  <c r="K35" i="79"/>
  <c r="P36" i="79"/>
  <c r="H47" i="79"/>
  <c r="P51" i="79"/>
  <c r="P52" i="79"/>
  <c r="P64" i="79"/>
  <c r="P71" i="79"/>
  <c r="H98" i="79"/>
  <c r="P96" i="79"/>
  <c r="J113" i="79"/>
  <c r="P112" i="79"/>
  <c r="P118" i="79"/>
  <c r="P121" i="79"/>
  <c r="P122" i="79" s="1"/>
  <c r="H131" i="79"/>
  <c r="P129" i="79"/>
  <c r="P148" i="79"/>
  <c r="P159" i="79"/>
  <c r="I161" i="79"/>
  <c r="M161" i="79"/>
  <c r="P163" i="79"/>
  <c r="I164" i="79"/>
  <c r="H179" i="79"/>
  <c r="J194" i="79"/>
  <c r="O203" i="79"/>
  <c r="P201" i="79"/>
  <c r="P205" i="79"/>
  <c r="I206" i="79"/>
  <c r="P235" i="79"/>
  <c r="P264" i="79"/>
  <c r="H266" i="79"/>
  <c r="P34" i="79"/>
  <c r="P49" i="79"/>
  <c r="H176" i="79"/>
  <c r="P175" i="79"/>
  <c r="P176" i="79" s="1"/>
  <c r="P181" i="79"/>
  <c r="P187" i="79"/>
  <c r="I188" i="79"/>
  <c r="I29" i="79"/>
  <c r="K32" i="79"/>
  <c r="P33" i="79"/>
  <c r="H53" i="79"/>
  <c r="P73" i="79"/>
  <c r="J83" i="79"/>
  <c r="P82" i="79"/>
  <c r="P85" i="79"/>
  <c r="H92" i="79"/>
  <c r="O110" i="79"/>
  <c r="P108" i="79"/>
  <c r="P124" i="79"/>
  <c r="P157" i="79"/>
  <c r="H158" i="79"/>
  <c r="P190" i="79"/>
  <c r="I191" i="79"/>
  <c r="P208" i="79"/>
  <c r="P211" i="79"/>
  <c r="I212" i="79"/>
  <c r="P220" i="79"/>
  <c r="P226" i="79"/>
  <c r="H278" i="79"/>
  <c r="P276" i="79"/>
  <c r="H44" i="79"/>
  <c r="P55" i="79"/>
  <c r="P56" i="79" s="1"/>
  <c r="H56" i="79"/>
  <c r="P115" i="79"/>
  <c r="O170" i="79"/>
  <c r="P168" i="79"/>
  <c r="J197" i="79"/>
  <c r="P196" i="79"/>
  <c r="L38" i="79"/>
  <c r="P19" i="79"/>
  <c r="J20" i="79"/>
  <c r="P28" i="79"/>
  <c r="P40" i="79"/>
  <c r="P41" i="79" s="1"/>
  <c r="N41" i="79"/>
  <c r="O56" i="79"/>
  <c r="P79" i="79"/>
  <c r="P91" i="79"/>
  <c r="P92" i="79" s="1"/>
  <c r="I92" i="79"/>
  <c r="O104" i="79"/>
  <c r="P102" i="79"/>
  <c r="H116" i="79"/>
  <c r="O140" i="79"/>
  <c r="P138" i="79"/>
  <c r="M158" i="79"/>
  <c r="P178" i="79"/>
  <c r="I179" i="79"/>
  <c r="P186" i="79"/>
  <c r="P199" i="79"/>
  <c r="P200" i="79" s="1"/>
  <c r="I200" i="79"/>
  <c r="H206" i="79"/>
  <c r="P214" i="79"/>
  <c r="P215" i="79" s="1"/>
  <c r="H74" i="79"/>
  <c r="P97" i="79"/>
  <c r="H101" i="79"/>
  <c r="P103" i="79"/>
  <c r="H107" i="79"/>
  <c r="P109" i="79"/>
  <c r="I122" i="79"/>
  <c r="P130" i="79"/>
  <c r="H137" i="79"/>
  <c r="P139" i="79"/>
  <c r="H143" i="79"/>
  <c r="H152" i="79"/>
  <c r="H155" i="79"/>
  <c r="H167" i="79"/>
  <c r="P169" i="79"/>
  <c r="H200" i="79"/>
  <c r="P241" i="79"/>
  <c r="J257" i="79"/>
  <c r="N257" i="79"/>
  <c r="P274" i="79"/>
  <c r="P275" i="79" s="1"/>
  <c r="O284" i="79"/>
  <c r="L326" i="79"/>
  <c r="P324" i="79"/>
  <c r="P326" i="79" s="1"/>
  <c r="M518" i="79"/>
  <c r="P192" i="79"/>
  <c r="H230" i="79"/>
  <c r="P228" i="79"/>
  <c r="P232" i="79"/>
  <c r="P233" i="79" s="1"/>
  <c r="H239" i="79"/>
  <c r="P237" i="79"/>
  <c r="O257" i="79"/>
  <c r="P255" i="79"/>
  <c r="P283" i="79"/>
  <c r="P330" i="79"/>
  <c r="P332" i="79" s="1"/>
  <c r="H332" i="79"/>
  <c r="P333" i="79"/>
  <c r="P335" i="79" s="1"/>
  <c r="H335" i="79"/>
  <c r="O347" i="79"/>
  <c r="P345" i="79"/>
  <c r="P347" i="79" s="1"/>
  <c r="O374" i="79"/>
  <c r="P372" i="79"/>
  <c r="P374" i="79" s="1"/>
  <c r="P114" i="79"/>
  <c r="N158" i="79"/>
  <c r="P172" i="79"/>
  <c r="P229" i="79"/>
  <c r="P238" i="79"/>
  <c r="P253" i="79"/>
  <c r="P254" i="79" s="1"/>
  <c r="P262" i="79"/>
  <c r="P265" i="79"/>
  <c r="I266" i="79"/>
  <c r="J278" i="79"/>
  <c r="P277" i="79"/>
  <c r="H284" i="79"/>
  <c r="P282" i="79"/>
  <c r="P297" i="79"/>
  <c r="P299" i="79" s="1"/>
  <c r="H299" i="79"/>
  <c r="O302" i="79"/>
  <c r="P300" i="79"/>
  <c r="P302" i="79" s="1"/>
  <c r="P321" i="79"/>
  <c r="P323" i="79" s="1"/>
  <c r="H254" i="79"/>
  <c r="P256" i="79"/>
  <c r="I257" i="79"/>
  <c r="J326" i="79"/>
  <c r="P337" i="79"/>
  <c r="P338" i="79" s="1"/>
  <c r="H425" i="79"/>
  <c r="P423" i="79"/>
  <c r="P425" i="79" s="1"/>
  <c r="P435" i="79"/>
  <c r="P437" i="79" s="1"/>
  <c r="H275" i="79"/>
  <c r="H305" i="79"/>
  <c r="O362" i="79"/>
  <c r="P360" i="79"/>
  <c r="P362" i="79" s="1"/>
  <c r="P405" i="79"/>
  <c r="P407" i="79" s="1"/>
  <c r="H407" i="79"/>
  <c r="O410" i="79"/>
  <c r="P408" i="79"/>
  <c r="P410" i="79" s="1"/>
  <c r="H434" i="79"/>
  <c r="P432" i="79"/>
  <c r="P434" i="79" s="1"/>
  <c r="P438" i="79"/>
  <c r="P440" i="79" s="1"/>
  <c r="H440" i="79"/>
  <c r="P459" i="79"/>
  <c r="O461" i="79"/>
  <c r="K257" i="79"/>
  <c r="M326" i="79"/>
  <c r="P327" i="79"/>
  <c r="P329" i="79" s="1"/>
  <c r="H329" i="79"/>
  <c r="H383" i="79"/>
  <c r="P381" i="79"/>
  <c r="P383" i="79" s="1"/>
  <c r="P393" i="79"/>
  <c r="P395" i="79" s="1"/>
  <c r="H395" i="79"/>
  <c r="O398" i="79"/>
  <c r="P396" i="79"/>
  <c r="P398" i="79" s="1"/>
  <c r="P429" i="79"/>
  <c r="P431" i="79" s="1"/>
  <c r="O431" i="79"/>
  <c r="P456" i="79"/>
  <c r="P458" i="79" s="1"/>
  <c r="J518" i="79"/>
  <c r="P502" i="79"/>
  <c r="H371" i="79"/>
  <c r="O428" i="79"/>
  <c r="I517" i="79"/>
  <c r="I497" i="79"/>
  <c r="I518" i="79" s="1"/>
  <c r="O515" i="79"/>
  <c r="P515" i="79" s="1"/>
  <c r="P513" i="79"/>
  <c r="O449" i="79"/>
  <c r="J517" i="79"/>
  <c r="L506" i="79"/>
  <c r="L518" i="79" s="1"/>
  <c r="H517" i="79"/>
  <c r="P387" i="79"/>
  <c r="P389" i="79" s="1"/>
  <c r="P414" i="79"/>
  <c r="P416" i="79" s="1"/>
  <c r="P420" i="79"/>
  <c r="P422" i="79" s="1"/>
  <c r="H428" i="79"/>
  <c r="P427" i="79"/>
  <c r="P428" i="79" s="1"/>
  <c r="H464" i="79"/>
  <c r="P462" i="79"/>
  <c r="P464" i="79" s="1"/>
  <c r="M517" i="79"/>
  <c r="O503" i="79"/>
  <c r="P453" i="79"/>
  <c r="P455" i="79" s="1"/>
  <c r="P514" i="79"/>
  <c r="P499" i="79"/>
  <c r="P511" i="79"/>
  <c r="K506" i="79"/>
  <c r="K518" i="79" s="1"/>
  <c r="J491" i="79" l="1"/>
  <c r="J521" i="79" s="1"/>
  <c r="K491" i="79"/>
  <c r="N491" i="79"/>
  <c r="I491" i="79"/>
  <c r="I521" i="79" s="1"/>
  <c r="H491" i="79"/>
  <c r="M491" i="79"/>
  <c r="M521" i="79" s="1"/>
  <c r="L491" i="79"/>
  <c r="P490" i="79"/>
  <c r="O491" i="79"/>
  <c r="P489" i="79"/>
  <c r="P14" i="79"/>
  <c r="P158" i="79"/>
  <c r="P11" i="79"/>
  <c r="P86" i="79"/>
  <c r="P461" i="79"/>
  <c r="P212" i="79"/>
  <c r="P182" i="79"/>
  <c r="P107" i="79"/>
  <c r="P488" i="79"/>
  <c r="P224" i="79"/>
  <c r="P191" i="79"/>
  <c r="P452" i="79"/>
  <c r="P371" i="79"/>
  <c r="P239" i="79"/>
  <c r="P227" i="79"/>
  <c r="P209" i="79"/>
  <c r="P197" i="79"/>
  <c r="P194" i="79"/>
  <c r="P179" i="79"/>
  <c r="P173" i="79"/>
  <c r="P149" i="79"/>
  <c r="P134" i="79"/>
  <c r="P125" i="79"/>
  <c r="P119" i="79"/>
  <c r="P80" i="79"/>
  <c r="P74" i="79"/>
  <c r="P50" i="79"/>
  <c r="P44" i="79"/>
  <c r="P188" i="79"/>
  <c r="P38" i="79"/>
  <c r="P35" i="79"/>
  <c r="P101" i="79"/>
  <c r="P113" i="79"/>
  <c r="P218" i="79"/>
  <c r="P236" i="79"/>
  <c r="P516" i="79"/>
  <c r="P206" i="79"/>
  <c r="P137" i="79"/>
  <c r="P143" i="79"/>
  <c r="P116" i="79"/>
  <c r="P203" i="79"/>
  <c r="O518" i="79"/>
  <c r="P242" i="79"/>
  <c r="P29" i="79"/>
  <c r="P83" i="79"/>
  <c r="P161" i="79"/>
  <c r="P185" i="79"/>
  <c r="P245" i="79"/>
  <c r="P284" i="79"/>
  <c r="P221" i="79"/>
  <c r="P95" i="79"/>
  <c r="P517" i="79"/>
  <c r="P263" i="79"/>
  <c r="P497" i="79"/>
  <c r="P164" i="79"/>
  <c r="P47" i="79"/>
  <c r="P257" i="79"/>
  <c r="P98" i="79"/>
  <c r="P503" i="79"/>
  <c r="P170" i="79"/>
  <c r="P278" i="79"/>
  <c r="P131" i="79"/>
  <c r="P53" i="79"/>
  <c r="P32" i="79"/>
  <c r="P20" i="79"/>
  <c r="P506" i="79"/>
  <c r="P104" i="79"/>
  <c r="P110" i="79"/>
  <c r="P230" i="79"/>
  <c r="P140" i="79"/>
  <c r="P266" i="79"/>
  <c r="P65" i="79"/>
  <c r="P491" i="79" l="1"/>
  <c r="K521" i="79"/>
  <c r="O521" i="79"/>
  <c r="L521" i="79"/>
  <c r="N521" i="79"/>
  <c r="P518" i="79"/>
  <c r="H521" i="79"/>
  <c r="H523" i="79" s="1"/>
  <c r="J523" i="79"/>
  <c r="I523" i="79"/>
  <c r="M523" i="79"/>
  <c r="K523" i="79" l="1"/>
  <c r="N523" i="79"/>
  <c r="L523" i="79"/>
  <c r="P521" i="79"/>
</calcChain>
</file>

<file path=xl/sharedStrings.xml><?xml version="1.0" encoding="utf-8"?>
<sst xmlns="http://schemas.openxmlformats.org/spreadsheetml/2006/main" count="1398" uniqueCount="639">
  <si>
    <t>Mērķis</t>
  </si>
  <si>
    <t>Aizdevējs</t>
  </si>
  <si>
    <t>turpmākajos gados</t>
  </si>
  <si>
    <t>x</t>
  </si>
  <si>
    <t>II. Galvojumi</t>
  </si>
  <si>
    <t>pamatsumma</t>
  </si>
  <si>
    <t xml:space="preserve"> Saistību apjoms % </t>
  </si>
  <si>
    <t>no pamatbudžeta ieņēmumiem (bez mērķdotācijām un iemaksām PFIF) **</t>
  </si>
  <si>
    <t>%; apkalpošana</t>
  </si>
  <si>
    <t xml:space="preserve">Dienesta viesnīcas Ausekļa ielā energoefektivitātes paaugstināšana un pārbūve- 2.kārta, SAM 4.2.2.  </t>
  </si>
  <si>
    <t>Valmieras pirmsskolas izglītības iestādes "Varavīksne" telpu Raiņa ielā 11, Valmiera pārbūve</t>
  </si>
  <si>
    <t>Valsts kase</t>
  </si>
  <si>
    <t>J.Endzelīna Kauguru pamatskolas ēku renovācijai</t>
  </si>
  <si>
    <t>ELFLA projekts Vanagu ielas rekonstrukcija</t>
  </si>
  <si>
    <t>ELFLA projekts Matīšu pamatskolas āra sporta laukuma vienkāršotā rekonstrukcija</t>
  </si>
  <si>
    <t>ERAF Burtnieku novada Rencēnu sociālās dzīvojamās mājas vienkāršotā renovācija</t>
  </si>
  <si>
    <t>KPFI Matīšu bērnudārza vienkāršotā rekonstrukcija</t>
  </si>
  <si>
    <t>Burtnieku novada Burtnieku PII rekonstrukcija</t>
  </si>
  <si>
    <t>Matīšu pagasts pirmsskolas izglītības iestādes vienkāršotā rekonstrukcija</t>
  </si>
  <si>
    <t>Dzirnavu un Ozolu ielu posmu rekonstrukcija Valmiermuižā</t>
  </si>
  <si>
    <t>Pirmsskolas izglītības iestādes būvniecība ar ārējām komunikācijām Ozolu iela 2A, Valmiermuižā</t>
  </si>
  <si>
    <t>KPFI projekts Burtnieku Ausekļa vidusskolā</t>
  </si>
  <si>
    <t>KPFI projekts Rencēnu pagasta 2.bibliotēkas ēka</t>
  </si>
  <si>
    <t>Burtnieku novada pašvaldības PII "Burtiņš" III kārtas būvniecība</t>
  </si>
  <si>
    <t>Rencēnu internāta ēkas atjaunošana Valmieras ielā 23, Rencēnos</t>
  </si>
  <si>
    <t>Lauku ielas seguma pārbūves I kārta Valmieras pagastā</t>
  </si>
  <si>
    <t>Nekustamā īpašuma "Ēveles klubs" rekonstrukcija</t>
  </si>
  <si>
    <t>Prioritārā investīciju projekta "Nekustamā īpašuma "Matīšu kultūras nams" rekonstrukcija" īstenošanai</t>
  </si>
  <si>
    <t>Projekta "Burtnieku novada pašvaldības pirmsskolas izglītības iestādes "Sienāzītis" pārbūve" īstenošanai</t>
  </si>
  <si>
    <t>Projekta "Dzirnavu ielas pārbūve un gājēju ietves izbūve (Alejas iela) Valmieras pagastā, Burtnieku novadā, īstenošanai</t>
  </si>
  <si>
    <t>Projekta "Nekustamā īpašuma "Matīšu kultūras nams" rekonstrukcija" īstenošanai</t>
  </si>
  <si>
    <t>Projekta "Rencēnu pamatskolas stadiona pārbūve Rencēnos, Rencēnu pagastā Burtnieku novadā" īstenošanai</t>
  </si>
  <si>
    <t>Projekta "Lauku ielas seguma pārbūves 2.kārta Valmiermuižā, Valmieras pagastā, Burtnieku novadā" īstenošanai</t>
  </si>
  <si>
    <t>Projekta "Dzirnavu ielas seguma pārbūve Valmieras pagastā, Burtnieku novadā" īstenošanai</t>
  </si>
  <si>
    <t>Projekta "Burtnieku novada pašvaldības autoceļu remontdarbi 2018.gada vasaras periodā" īstenošanai</t>
  </si>
  <si>
    <t>ELFLA projekta "Pašvaldības nozīmes koplietošanas meliorācijas sistēmas atjaunošana Burtnieku novadā</t>
  </si>
  <si>
    <t>ELFLA projekta (Nr.18-09-A00702-000108) "Grants ceļa Graudiņi - Pučurga - Matīši pārbūve 3.078 km garumā" īstenošanai</t>
  </si>
  <si>
    <t>ELFLA projekta (Nr.18-09-A00702-000085) "Grants ceļa Sauļi - Melluplūķi pārbūve 3.51 km garumā" īstenošanai</t>
  </si>
  <si>
    <t>12.07.2019</t>
  </si>
  <si>
    <t>Prioritārais investīciju projekts "Stāvlaukuma pārbūve Alejas ielā 8, Kocēnos,Kocēnu pagastā, Kocēnu novadā" īstenošanai</t>
  </si>
  <si>
    <t>ELFLA projekta (Nr.17-09-AL20-A019.2202-000012) " Tūrisma, izziņas, novadpētniecības veicināšana Kocēnu novada Zilākalna ciemā" īstenošanai"</t>
  </si>
  <si>
    <t>projekta "Vidus ielas pārbūve Kocēnos, 2.kārta" īstenošanai</t>
  </si>
  <si>
    <t>projekta "Liepu ielas pārbūve Kocēnos" īstenošanai</t>
  </si>
  <si>
    <t>ERAF projekta Nr.9.3.1.1/18/I007 "Pakalpojumu infrastruktūras attīstība deinstitucionalizācijas plāna īstenošanai Kocēnu novadā" īstenošanai</t>
  </si>
  <si>
    <t>ERAF projekta Nr.3.3.1.0/16/I/024 "Uzņemējdarbības attīstībai nepieciešamās infrastruktūras attīstība Kocēnu novada Kocēnu pagasta Kocēnos", īstenošanai</t>
  </si>
  <si>
    <t>17.11.2015</t>
  </si>
  <si>
    <t>09.11.2018</t>
  </si>
  <si>
    <t>Ēkas Pasta ielā 3 piemērošana Mazsalacas mūzikas un mākslas skolas vajadzībām</t>
  </si>
  <si>
    <t>Mazsalacas pilsētas kultūras centra skatuves un aktieru telpas renovācija P-178/2017</t>
  </si>
  <si>
    <t>SIA Banga KPU pamatkapitāla pelielināšanai P-162/2008</t>
  </si>
  <si>
    <t>SIA Banga KPU pamatkapitāla palielināšanai Kohēzijas fonda projekta īstenošanai (trančes Nr.P-392/2010)</t>
  </si>
  <si>
    <t>Projekta "Mazsalacā Parka ielas pārbūve posmā no Lazdu ielas līdz Muižas ielai (pārvads)" īstenošanai (tranče Nr.P-587/2017)</t>
  </si>
  <si>
    <t>Ieguldījums SIA Rūjienas Siltums pamatkapitālā</t>
  </si>
  <si>
    <t>Ūdenssaimniecības attīstība Ipiķu ciemā</t>
  </si>
  <si>
    <t>ELFLA projekts "Autoceļa "Pagasts-Birzītes" rekonstrukcija Vilpulkas pagastā, Valmieras rajonā"</t>
  </si>
  <si>
    <t>Rūjienas vidusskolas sporta zāles projektēšana un būvniecība</t>
  </si>
  <si>
    <t>Kompleksi risinājumi siltumnīcefekta gāzu emisiju samazināšanai Rūjienas kultūras nama ēkā</t>
  </si>
  <si>
    <t>Prioritārais investīciju projekts "Rūjienas vidusskolas sporta laukuma rekonstrukcijas un teritorijas labiekārtošanas 1. kārta"</t>
  </si>
  <si>
    <t>Prioritārais investīciju projekts "Rūjienas estrādes rekonstrukcija"</t>
  </si>
  <si>
    <t>Projekta "Valdemāra ielas pārbūve posmā no Rīgas iela līdz Aldara ielai Rūjienā, Rūjienas novadā" īstenošanai</t>
  </si>
  <si>
    <t>Katlu mājas Rūjienā, Rīgas ielā 67a tehnoloģisko iekārtu un konstrukciju piegāde un montāža</t>
  </si>
  <si>
    <t>Siltumavota efektivitātes uzlabošana katlu mājā Ausekļa ielā 5, Rūjienā</t>
  </si>
  <si>
    <t>30.08.2016</t>
  </si>
  <si>
    <t>02.07.2019</t>
  </si>
  <si>
    <t>Naukšēnu novada vidusskolas nepabeigtās piebūves renovācija</t>
  </si>
  <si>
    <t>ERAF projekts Uzņēmējdarbības attīstībai nepieciešamās infrastruktūras attīstība Naukšēnu pagastā</t>
  </si>
  <si>
    <t>ERAF projekts Naukšēnu novada pašvaldības administratīvās ēkas energoefektivitātes paaugstināšana</t>
  </si>
  <si>
    <t>ELFLA projekts Autoceļa Mūļas-Ķipi-Naukšēni pārbūve</t>
  </si>
  <si>
    <t>Dānijas Unibankas bezprocentu kredīta atmaksa</t>
  </si>
  <si>
    <t>Ūdenssaimniecības attīstība Strenču pilsētā</t>
  </si>
  <si>
    <t>Energoefektivitātes paaugstināšana pašv. ēkās</t>
  </si>
  <si>
    <t>Ūdenssaimniecības attīstība Strenču pilsētā 2 . etaps</t>
  </si>
  <si>
    <t>Sedas kultūras nama rekonstrukcija I kārta</t>
  </si>
  <si>
    <t>Ūdenssaimniecības infrastruktūras attīstība Jērcēnu pagastā</t>
  </si>
  <si>
    <t>Ūdenssaimniecības attīstība Strenču novada Plāņu pagasta Plāņu ciemā</t>
  </si>
  <si>
    <t>Ūdenssaimniecības attīstība Strenču pilsētā, 3.etaps</t>
  </si>
  <si>
    <t>Tranzītielas posma Valkas ielā rekonstrukcija Strenču pilsētā</t>
  </si>
  <si>
    <t>Ūdenssaimnicības attīstība Strenču pilsētā 4.etaps</t>
  </si>
  <si>
    <t>Strenču novada vidusskolas ēkas logu,ārdurvju un pādējā stāva pārseguma siltināšana</t>
  </si>
  <si>
    <t>"Trīsstūris", Hallartes ielas 1.kārtas izbūve Valmieras pagastā, Burtnieku novadā</t>
  </si>
  <si>
    <t>Ieguldījums pašvaldības SIA "Rūjienas siltums" pamatkapitālā KF projekta (Nr.5.3.1.0/17/I/026) "Ūdenssaimniecības pakalpojumu attīstība Rūjienā, 2.kārta" īstenošanai</t>
  </si>
  <si>
    <t>SIA "Rūjienas siltums" aizņēmumam KF projekta Nr.5.3.1.0/17/I/026 īstenošanai</t>
  </si>
  <si>
    <t>Līguma noslēgšanas datums</t>
  </si>
  <si>
    <t>Strenču kultūras nama rekonstrukcija</t>
  </si>
  <si>
    <t>Strenču kultūras nama rekonstrukcija II kārta</t>
  </si>
  <si>
    <t>Ūdenssaimniecības attīstība-rekonstrukcija Sedas pilsētā</t>
  </si>
  <si>
    <t>Zilākalna pagasta kultūras ielas un gājēju ietves rekonstrukcija</t>
  </si>
  <si>
    <t>ERAF projekta (Nr.9.3.1.1/19/I/043) "Sabiedrībā balstītu sociālo pakalpojumu centra izveide Rūjienā" īstenošanai</t>
  </si>
  <si>
    <t>Prioritārā investīciju projekta "Rūjienas pirmsskolas izglītības iestādes "Vārpiņa" teritroijas labiekārtošanas darbu 4,kārtas un 5.kārtas realizēšanas" īstenošanai</t>
  </si>
  <si>
    <t>07.12.2021.</t>
  </si>
  <si>
    <t>Daudzfunkcionālā sociālo pakalpojumu centra un grupu dzīvokļu izveide Valmieras pilsētā - SAM 9.3.1.1.</t>
  </si>
  <si>
    <t>A2/1/21/612</t>
  </si>
  <si>
    <t>A2/1/21/458</t>
  </si>
  <si>
    <t>A2/1/21/610</t>
  </si>
  <si>
    <t>A2/1/21/611</t>
  </si>
  <si>
    <t>Finanšu stabilizācija Strenči</t>
  </si>
  <si>
    <t>Kultūras centra rekonstrukcija, Burtnieku nov.</t>
  </si>
  <si>
    <t>PII būvniecībai Burtnieku nov.</t>
  </si>
  <si>
    <t>06.10.2021.</t>
  </si>
  <si>
    <t>15.10.2021.</t>
  </si>
  <si>
    <t>23.12.2021.</t>
  </si>
  <si>
    <t>03.08.2020.</t>
  </si>
  <si>
    <t>Aizņēmuma beigu termiņš</t>
  </si>
  <si>
    <t>20.12.2035.</t>
  </si>
  <si>
    <t>0001/A666</t>
  </si>
  <si>
    <t xml:space="preserve">Kopā </t>
  </si>
  <si>
    <t>A2/1/05/382</t>
  </si>
  <si>
    <t>P-144/2005</t>
  </si>
  <si>
    <t>A2/1/07/130</t>
  </si>
  <si>
    <t>FS-1/2007</t>
  </si>
  <si>
    <t>22.03.2027.</t>
  </si>
  <si>
    <t>20.04.2025.</t>
  </si>
  <si>
    <t>20.04.2027.</t>
  </si>
  <si>
    <t>A2/1/07/275</t>
  </si>
  <si>
    <t>P-177/2007</t>
  </si>
  <si>
    <t>A2/1/07/276</t>
  </si>
  <si>
    <t>P-178/2007</t>
  </si>
  <si>
    <t>A2/1/07/431</t>
  </si>
  <si>
    <t>P-280/2007</t>
  </si>
  <si>
    <t>21.06.2027.</t>
  </si>
  <si>
    <t>A2/1/07/430</t>
  </si>
  <si>
    <t>P-278/2007</t>
  </si>
  <si>
    <t>20.05.2027.</t>
  </si>
  <si>
    <t>A2/1/07/490</t>
  </si>
  <si>
    <t>FS-11/2007</t>
  </si>
  <si>
    <t>20.09.2027.</t>
  </si>
  <si>
    <t>20.12.2027.</t>
  </si>
  <si>
    <t>A2/1/07/662</t>
  </si>
  <si>
    <t>FS-15/2007</t>
  </si>
  <si>
    <t>A2/1/08/385</t>
  </si>
  <si>
    <t>P-90/2008</t>
  </si>
  <si>
    <t>20.04.2028.</t>
  </si>
  <si>
    <t>A2/1/08/462</t>
  </si>
  <si>
    <t>P-137/2008</t>
  </si>
  <si>
    <t>20.04.2033.</t>
  </si>
  <si>
    <t>A2/1/08/520</t>
  </si>
  <si>
    <t>P-162/2008</t>
  </si>
  <si>
    <t>A2/1/08/530</t>
  </si>
  <si>
    <t>FS-3/2008</t>
  </si>
  <si>
    <t>20.11.2028.</t>
  </si>
  <si>
    <t>20.06.2033.</t>
  </si>
  <si>
    <t>A2/1/08/623</t>
  </si>
  <si>
    <t>P-223/2008</t>
  </si>
  <si>
    <t>A2/1/08/876</t>
  </si>
  <si>
    <t>P-379/2008</t>
  </si>
  <si>
    <t>20.12.2028.</t>
  </si>
  <si>
    <t>A2/1/08/967</t>
  </si>
  <si>
    <t>P-418/2008</t>
  </si>
  <si>
    <t>20.12.2038.</t>
  </si>
  <si>
    <t>A2/1/09/94</t>
  </si>
  <si>
    <t>P-21/2009</t>
  </si>
  <si>
    <t>20.03.2029.</t>
  </si>
  <si>
    <t>A2/1/09/179</t>
  </si>
  <si>
    <t>P-71/2009</t>
  </si>
  <si>
    <t>20.05.2024.</t>
  </si>
  <si>
    <t>A2/1/09/250</t>
  </si>
  <si>
    <t>P-126./2009</t>
  </si>
  <si>
    <t>20.05.2029.</t>
  </si>
  <si>
    <t>20.12.2030.</t>
  </si>
  <si>
    <t>A2/1/10/223</t>
  </si>
  <si>
    <t>P-41/2010</t>
  </si>
  <si>
    <t>A2/1/10/329</t>
  </si>
  <si>
    <t>P-111/2010</t>
  </si>
  <si>
    <t>20.03.2040.</t>
  </si>
  <si>
    <t>A2/1/10/507</t>
  </si>
  <si>
    <t>P-197/2010</t>
  </si>
  <si>
    <t>A2/1/10/595</t>
  </si>
  <si>
    <t>P-246/2010</t>
  </si>
  <si>
    <t>20.07.2025.</t>
  </si>
  <si>
    <t>A2/1/10/791</t>
  </si>
  <si>
    <t>P-392/2010</t>
  </si>
  <si>
    <t>20.09.2030.</t>
  </si>
  <si>
    <t>22.10.2040.</t>
  </si>
  <si>
    <t>A2/1/10/947</t>
  </si>
  <si>
    <t>P-495/2010</t>
  </si>
  <si>
    <t>20.04.2026.</t>
  </si>
  <si>
    <t>A2/1/11/128</t>
  </si>
  <si>
    <t>P-52/2011</t>
  </si>
  <si>
    <t>A2/1/11/127</t>
  </si>
  <si>
    <t>P-53/2011</t>
  </si>
  <si>
    <t>A2/1/11/722</t>
  </si>
  <si>
    <t>P-437/2011</t>
  </si>
  <si>
    <t>20.11.2026.</t>
  </si>
  <si>
    <t>20.01.2032.</t>
  </si>
  <si>
    <t>A2/1/12/21</t>
  </si>
  <si>
    <t>P-5/2012</t>
  </si>
  <si>
    <t>A2/1/12/100</t>
  </si>
  <si>
    <t>P-64/2012</t>
  </si>
  <si>
    <t>20.04.2042.</t>
  </si>
  <si>
    <t>A2/1/12/101</t>
  </si>
  <si>
    <t>P-65/2012</t>
  </si>
  <si>
    <t>A2/1/12/102</t>
  </si>
  <si>
    <t>P-66/2012</t>
  </si>
  <si>
    <t>20.07.2042.</t>
  </si>
  <si>
    <t>A2/1/12/99</t>
  </si>
  <si>
    <t>P-221/2012</t>
  </si>
  <si>
    <t>A2/1/12/413</t>
  </si>
  <si>
    <t>P-287/2012</t>
  </si>
  <si>
    <t>20.08.2042.</t>
  </si>
  <si>
    <t>A2/1/12/475</t>
  </si>
  <si>
    <t>P-318/2012</t>
  </si>
  <si>
    <t>20.08.2027.</t>
  </si>
  <si>
    <t>20.10.2027.</t>
  </si>
  <si>
    <t>A2/1/12/652</t>
  </si>
  <si>
    <t>P-419/2012.</t>
  </si>
  <si>
    <t>22.11.2027.</t>
  </si>
  <si>
    <t>A2/1/12/691</t>
  </si>
  <si>
    <t>P-430/2012</t>
  </si>
  <si>
    <t>A2/1/13/29</t>
  </si>
  <si>
    <t>P-13/2013</t>
  </si>
  <si>
    <t>20.01.2028.</t>
  </si>
  <si>
    <t>20.07.2043.</t>
  </si>
  <si>
    <t>A2/1/13/365</t>
  </si>
  <si>
    <t>P248/2013</t>
  </si>
  <si>
    <t>KPFI projekts (Nr.KPFI-15.2/131) oglekļa dioksīda emisiju samazināšana,uzlabojot Naukšēnu novada Naukšēnu vidusskolas ēkas enorgoefektivitāti"  īstenošanai</t>
  </si>
  <si>
    <t>20.12.2023.</t>
  </si>
  <si>
    <t>A2/1/13/1204</t>
  </si>
  <si>
    <t>P-477/2013</t>
  </si>
  <si>
    <t>A2/1/14/659</t>
  </si>
  <si>
    <t>P-423/2014</t>
  </si>
  <si>
    <t>A2/1/14/97</t>
  </si>
  <si>
    <t>P-54/2014</t>
  </si>
  <si>
    <t>20.02.2029.</t>
  </si>
  <si>
    <t>20.04.2034.</t>
  </si>
  <si>
    <t>A2/1/14/252</t>
  </si>
  <si>
    <t>P-154/2014</t>
  </si>
  <si>
    <t>A2/1/14/491</t>
  </si>
  <si>
    <t>P-327/2014</t>
  </si>
  <si>
    <t>P-328/2014</t>
  </si>
  <si>
    <t>A2/1/14/492</t>
  </si>
  <si>
    <t>20.07.2044.</t>
  </si>
  <si>
    <t>A2/1/14/835</t>
  </si>
  <si>
    <t>P-545/2014</t>
  </si>
  <si>
    <t>20.12.2024.</t>
  </si>
  <si>
    <t>A2/1/14/871</t>
  </si>
  <si>
    <t>P-562/2014</t>
  </si>
  <si>
    <t>20.11.2034.</t>
  </si>
  <si>
    <t>A2/1/14/870</t>
  </si>
  <si>
    <t>P-561/2014</t>
  </si>
  <si>
    <t>20.11.2029.</t>
  </si>
  <si>
    <t>A2/1/14/964</t>
  </si>
  <si>
    <t>P-612/2014</t>
  </si>
  <si>
    <t>A2/1/15/137</t>
  </si>
  <si>
    <t>P-85/2015</t>
  </si>
  <si>
    <t>20.03.2045.</t>
  </si>
  <si>
    <t>A2/1/15/412</t>
  </si>
  <si>
    <t>P-276/2015</t>
  </si>
  <si>
    <t>22.07.2030.</t>
  </si>
  <si>
    <t>20.07.2035.</t>
  </si>
  <si>
    <t>A2/1/15/413</t>
  </si>
  <si>
    <t>P-277/2015</t>
  </si>
  <si>
    <t>A2/1/15/376</t>
  </si>
  <si>
    <t>P-251/2015</t>
  </si>
  <si>
    <t>A2/1/15/434</t>
  </si>
  <si>
    <t>P-295/2015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</si>
  <si>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</si>
  <si>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</si>
  <si>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</si>
  <si>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</si>
  <si>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</si>
  <si>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</si>
  <si>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A2/1/16/345</t>
  </si>
  <si>
    <t>P-241/2016</t>
  </si>
  <si>
    <t>20.08.2036.</t>
  </si>
  <si>
    <t>20.05.2042.</t>
  </si>
  <si>
    <t>A2/1/17/333</t>
  </si>
  <si>
    <t>P-228/2017</t>
  </si>
  <si>
    <t>A2/1/17/498</t>
  </si>
  <si>
    <t>P-365/2017</t>
  </si>
  <si>
    <t>20.07.2032.</t>
  </si>
  <si>
    <t>A2/1/17/587</t>
  </si>
  <si>
    <t>P442/2017</t>
  </si>
  <si>
    <t>20.08.2037.</t>
  </si>
  <si>
    <t>A2/1/17/661</t>
  </si>
  <si>
    <t>P-506/2017</t>
  </si>
  <si>
    <t>EFLA projekts Autoceļa Ķire-Jaunlambikas un tilta pār Rūju pārbūve / Naukšēni</t>
  </si>
  <si>
    <t>A2/1/17/672</t>
  </si>
  <si>
    <t>P-520/2017</t>
  </si>
  <si>
    <t>A2/1/17/715</t>
  </si>
  <si>
    <t>P-554/2017</t>
  </si>
  <si>
    <t>A2/1/17/758</t>
  </si>
  <si>
    <t>P-587/2017</t>
  </si>
  <si>
    <t>20.10.2032.</t>
  </si>
  <si>
    <t>A2/1/17/765</t>
  </si>
  <si>
    <t>P-595/2017</t>
  </si>
  <si>
    <t>A2/1/17/805</t>
  </si>
  <si>
    <t>P-625/2017</t>
  </si>
  <si>
    <t>A2/1/17/917</t>
  </si>
  <si>
    <t>P-687/2017</t>
  </si>
  <si>
    <t>22.12.2042.</t>
  </si>
  <si>
    <t>A2/1/18/94</t>
  </si>
  <si>
    <t>P-76/2018</t>
  </si>
  <si>
    <t>20.02.2043.</t>
  </si>
  <si>
    <t>20.05.2043.</t>
  </si>
  <si>
    <t>A2/1/18/311</t>
  </si>
  <si>
    <t>P-253/2018</t>
  </si>
  <si>
    <t>A2/1/18/402</t>
  </si>
  <si>
    <t>P-336/2018</t>
  </si>
  <si>
    <t>22.06.2043.</t>
  </si>
  <si>
    <t>20.06.2038.</t>
  </si>
  <si>
    <t>A2/1/18/404</t>
  </si>
  <si>
    <t>P-334/2018</t>
  </si>
  <si>
    <t>A2/1/18/470</t>
  </si>
  <si>
    <t>P-389/2018</t>
  </si>
  <si>
    <t>20.07.2033.</t>
  </si>
  <si>
    <t>A2/1/18/525</t>
  </si>
  <si>
    <t>P-442/2018</t>
  </si>
  <si>
    <t>A2/1/18/584</t>
  </si>
  <si>
    <t>P-496/2018</t>
  </si>
  <si>
    <t>20.08.2028.</t>
  </si>
  <si>
    <t>20.09.2028.</t>
  </si>
  <si>
    <t>A2/1/18/686</t>
  </si>
  <si>
    <t>P-592/2018</t>
  </si>
  <si>
    <t>A2/1/18/733</t>
  </si>
  <si>
    <t>P-615/2018</t>
  </si>
  <si>
    <t>20.10.2033.</t>
  </si>
  <si>
    <t>A2/1/18/766</t>
  </si>
  <si>
    <t>P-631/2018</t>
  </si>
  <si>
    <t>20.10.2028.</t>
  </si>
  <si>
    <t>A2/1/18/837</t>
  </si>
  <si>
    <t>P-684/2018</t>
  </si>
  <si>
    <t>20.04.2029.</t>
  </si>
  <si>
    <t>A2/1/18/836</t>
  </si>
  <si>
    <t>P-685/2018</t>
  </si>
  <si>
    <t>A2/1/18/857</t>
  </si>
  <si>
    <t>P-711/2018</t>
  </si>
  <si>
    <t>22.12.2025.</t>
  </si>
  <si>
    <t>A2/1/19/53</t>
  </si>
  <si>
    <t>P-22/2019</t>
  </si>
  <si>
    <t>21.03.2044.</t>
  </si>
  <si>
    <t>A2/1/19/119</t>
  </si>
  <si>
    <t>P-60/2019</t>
  </si>
  <si>
    <t>A2/1/19/155</t>
  </si>
  <si>
    <t>P-109/2019</t>
  </si>
  <si>
    <t>20.04.2049.</t>
  </si>
  <si>
    <t>A2/1/19/217</t>
  </si>
  <si>
    <t>P-129/2019</t>
  </si>
  <si>
    <t>A2/1/19/218</t>
  </si>
  <si>
    <t>P-128/2019</t>
  </si>
  <si>
    <t>20.05.2039.</t>
  </si>
  <si>
    <t>A2/1/19/240</t>
  </si>
  <si>
    <t>P-163/2019</t>
  </si>
  <si>
    <t>20.06.2034.</t>
  </si>
  <si>
    <t>A2/1/19/242</t>
  </si>
  <si>
    <t>P-152/2019</t>
  </si>
  <si>
    <t>A2/1/19/260</t>
  </si>
  <si>
    <t>P-172/2019</t>
  </si>
  <si>
    <t>A2/1/19/350</t>
  </si>
  <si>
    <t>P-230/2019</t>
  </si>
  <si>
    <t>20.09.2029.</t>
  </si>
  <si>
    <t>20.10.2034.</t>
  </si>
  <si>
    <t>A2/1/19/382</t>
  </si>
  <si>
    <t>P-250/2019</t>
  </si>
  <si>
    <t>A2/1/19/464</t>
  </si>
  <si>
    <t>P-294/2019</t>
  </si>
  <si>
    <t>20.04.2045.</t>
  </si>
  <si>
    <t>A2/1/20/362</t>
  </si>
  <si>
    <t>P-149/2020</t>
  </si>
  <si>
    <t>A2/1/20/439</t>
  </si>
  <si>
    <t>P-184/2020</t>
  </si>
  <si>
    <t>20.07.2045.</t>
  </si>
  <si>
    <t>A2/1/20/484</t>
  </si>
  <si>
    <t>P-220/2020</t>
  </si>
  <si>
    <t>A2/1/20/535</t>
  </si>
  <si>
    <t>P-233/2020</t>
  </si>
  <si>
    <t>A2/1/20/534</t>
  </si>
  <si>
    <t>P-234/2020</t>
  </si>
  <si>
    <t>20.08.2035.</t>
  </si>
  <si>
    <t>A2/1/20/619</t>
  </si>
  <si>
    <t>P-288/2020</t>
  </si>
  <si>
    <t>A2/1/20/728</t>
  </si>
  <si>
    <t>P-379/2020</t>
  </si>
  <si>
    <t>20.09.2045.</t>
  </si>
  <si>
    <t>A2/1/20/749</t>
  </si>
  <si>
    <t>P-388/2020</t>
  </si>
  <si>
    <t>A2/1/20/855</t>
  </si>
  <si>
    <t>P-475/2020</t>
  </si>
  <si>
    <t>20.11.2035.</t>
  </si>
  <si>
    <t>20.11.2040.</t>
  </si>
  <si>
    <t>A2/1/20/856</t>
  </si>
  <si>
    <t>P-474/2020</t>
  </si>
  <si>
    <t>A2/1/20/884</t>
  </si>
  <si>
    <t>P-486/2020</t>
  </si>
  <si>
    <t>20.11.2030.</t>
  </si>
  <si>
    <t>A2/1/20/893</t>
  </si>
  <si>
    <t>P-496/2020</t>
  </si>
  <si>
    <t>A2/1/20/892</t>
  </si>
  <si>
    <t>P-497/2020</t>
  </si>
  <si>
    <t>A2/1/21/15</t>
  </si>
  <si>
    <t>P-6/2021</t>
  </si>
  <si>
    <t>21.01.2041.</t>
  </si>
  <si>
    <t>A2/1/21/25</t>
  </si>
  <si>
    <t>PP-2/2021</t>
  </si>
  <si>
    <t>20.11.2043.</t>
  </si>
  <si>
    <t>A2/1/21/40</t>
  </si>
  <si>
    <t>P-13/2021</t>
  </si>
  <si>
    <t>20.02.2041.</t>
  </si>
  <si>
    <t>A2/1/21/93</t>
  </si>
  <si>
    <t>P-47/2021</t>
  </si>
  <si>
    <t>20.03.2036.</t>
  </si>
  <si>
    <t>A2/1/21/151</t>
  </si>
  <si>
    <t>P-101/2021</t>
  </si>
  <si>
    <t>23.04.2041.</t>
  </si>
  <si>
    <t>A2/1/21/200</t>
  </si>
  <si>
    <t>PP-15/2021</t>
  </si>
  <si>
    <t>A2/1/21/293</t>
  </si>
  <si>
    <t>P-199/2021</t>
  </si>
  <si>
    <t>20.05.2041.</t>
  </si>
  <si>
    <t>20.05.2031.</t>
  </si>
  <si>
    <t>P-197/2021</t>
  </si>
  <si>
    <t>A2/1/21/292</t>
  </si>
  <si>
    <t>A2/1/21/341</t>
  </si>
  <si>
    <t>P-229/2021</t>
  </si>
  <si>
    <t>20.06.2036</t>
  </si>
  <si>
    <t>20.06.2036.</t>
  </si>
  <si>
    <t>A2/1/21/356</t>
  </si>
  <si>
    <t>P-251/2021</t>
  </si>
  <si>
    <t>20.07.2051.</t>
  </si>
  <si>
    <t>P-332/2021</t>
  </si>
  <si>
    <t>P-449/2021</t>
  </si>
  <si>
    <t>22.09.2031.</t>
  </si>
  <si>
    <t>P-448/2021</t>
  </si>
  <si>
    <t>20.09.2041.</t>
  </si>
  <si>
    <t>P-428/2021</t>
  </si>
  <si>
    <t>A2/1/21/633</t>
  </si>
  <si>
    <t>20.09.2024.</t>
  </si>
  <si>
    <t>P-479/2021</t>
  </si>
  <si>
    <t>A2/1/21/743</t>
  </si>
  <si>
    <t>P-565/2021</t>
  </si>
  <si>
    <t>20.11.2046.</t>
  </si>
  <si>
    <t>A2/1/21/777</t>
  </si>
  <si>
    <t>P-582/2021</t>
  </si>
  <si>
    <t>20.12.2041.</t>
  </si>
  <si>
    <t>A2/1/21/778</t>
  </si>
  <si>
    <t>P-581/2021</t>
  </si>
  <si>
    <t>Valmieras valsts ģimnāzijas mācību vides uzlabošana un dienesta viesnīcas Ausekļa ielā pārbūve 2.kārta , SAM 8.1.2.</t>
  </si>
  <si>
    <t>28.02.2022.</t>
  </si>
  <si>
    <t>20.02.2047.</t>
  </si>
  <si>
    <t>20.02.2042.</t>
  </si>
  <si>
    <t>A2/1/22/32</t>
  </si>
  <si>
    <t>P -10/ 2022</t>
  </si>
  <si>
    <t>A2/1/22/33</t>
  </si>
  <si>
    <t>P - 9 /2022</t>
  </si>
  <si>
    <t>Latvijas - Krievijas pārrobežu sadarbības programmas projekta (Nr.LV-RU-016) "Ilgtspējīgas zaļās infrastruktūras un pievilcīgu atpūtas zonu attīstība dabā" (Zaļie torņi)" investīciju daļas īstenošanai</t>
  </si>
  <si>
    <t>Ūdens ielas (posmā no Smiltenes līdz Pleskavas ielai) Valmierā pārbūve</t>
  </si>
  <si>
    <t>Ielu divkārtu virsmu apstrāde Valmierā 1.kārta</t>
  </si>
  <si>
    <t>Ielu divkārtu virsmu apstrāde Valmierā 2.kārta</t>
  </si>
  <si>
    <t>Gājēju ietvju atjaunošana Ādama Alkšņa ielā un Raiņa ielā Rūjienā, Valmieras novadā</t>
  </si>
  <si>
    <t>Raiņa ielas divkārtu asfalta seguma atjaunošana Rūjienā, Valmieras novadā</t>
  </si>
  <si>
    <t>Projekta "Valmieras pilsētas pašvaldības transporta infrastruktūras attīstība - kopējo gājēju un velosipēdistu ceļu izbūve Valkas ielā un Rubenes ielā, Valmierā" īstenošanai</t>
  </si>
  <si>
    <t>Pašvaldības ēkas Palejas ielā 5, Valmierā energoefektivitātes paaugstināšana - SAM 4.2.2.</t>
  </si>
  <si>
    <t>Projekta "Cietā kurināmā apkures katla ar granulu degli piegāde un uzstādīšana Burtnieku ciema un Burtnieku skolas katlu mājās / SIA Kocēnu komunālā saimniecība"(no 28.12.2022.)</t>
  </si>
  <si>
    <t>A2/1/22/167</t>
  </si>
  <si>
    <t>P -111/2022</t>
  </si>
  <si>
    <t>04.07.2022.</t>
  </si>
  <si>
    <t>20.06.2042.</t>
  </si>
  <si>
    <t>Līguma Nr.; Trančes Nr.</t>
  </si>
  <si>
    <t xml:space="preserve">Valmieras novada pašvaldības aizņēmumi </t>
  </si>
  <si>
    <t>Kopā</t>
  </si>
  <si>
    <t>ERAF projekta (Nr.8.1.2.0/18/I/004) "Valmieras Pārgaujas ģimnāzijas un Valmieras Viestura vidusskolas mācību vides uzlabošana un Dienesta viesīcas Ausekļa ielā pārbūve" īstenošanai</t>
  </si>
  <si>
    <t xml:space="preserve">20.11.2018. </t>
  </si>
  <si>
    <t>Ēkas iegāde, Burtnieku novads</t>
  </si>
  <si>
    <t>5</t>
  </si>
  <si>
    <t xml:space="preserve">Pavisam </t>
  </si>
  <si>
    <t>ERAF projektu Nr.8.1.2.0/18/I/004; Nr.4.2.2.0/18/I/ 002 Dienesta viesnīcas Ausekļa ielā 25 C, Valmierā pārbūves uzsākšanai</t>
  </si>
  <si>
    <t>ERAF projekta Nr.8.1.2.0/18/I/004 daļas Valmieras Pārgaujas ģimnāzija Zvaigžņu ielā 4, Valmierā pārbūve, mācību vides uzlabošana</t>
  </si>
  <si>
    <t>Valsts nozīmes sporta infrasruktūras attīstības projekta Vidzemes Olimpiskā centra Valmierā attīstības projekta daļas BMX trases būvniecības daļēja finansēšana</t>
  </si>
  <si>
    <t>Valsts nozīmes sporta infrastruktūras attīstības projekta "J.Daliņa stadiona rekonstrukcija un vieglatlētikas manēžas būvniecība" īstenošanai"</t>
  </si>
  <si>
    <t>ERAF projekta (Nr.3.3.1.0/19/I/001) "Atbalsts komercdarbībai - Kauguru ielas pārbūve" īstenošanai</t>
  </si>
  <si>
    <t>ERAF projekta (Nr.4.2.2.0/18/I/002) "Dienesta viesnīcas Ausekļa ielā energoefektivitātes paaugstināšana un pārbūve  īstenošanai</t>
  </si>
  <si>
    <t>EKII projekta (Nr.EKII-3/30) "Viedo tehnoloģiju ieviešana Valmieras pilsētas apgaismojuma sistēmā" īstenošanai</t>
  </si>
  <si>
    <t>ERAF projekta (Nr.5.5.1.0/17/I/004) "Kultūra,vēsture,arhitektūra Gaujas un laika lokos" īstenošanai</t>
  </si>
  <si>
    <t>Investīciju projektu īstenošanai (saistību pārjaunojums)</t>
  </si>
  <si>
    <t>Prioritārā investīciju projekta "Aktīvās atpūtas un sporta parka izbūve Rīgas ielā 43A, Valmierā" īstenošanai</t>
  </si>
  <si>
    <t>Projekta "Arāju ielas pārbūve Kocēnos" īstenošanai</t>
  </si>
  <si>
    <t>Projekta "Bērzu  ielas pārbūve Kocēnos" īstenošanai</t>
  </si>
  <si>
    <t>Investīciju projektu īstenošanai (saistību pārjaunojums- Kocēnu novada aizņēmumiem)</t>
  </si>
  <si>
    <t>ERAF projekta " Industriālo teritoriju attīstība Valmierā - 1.kārta " SAM 5.6.2. ar komercdarbības atbalstu</t>
  </si>
  <si>
    <t>17.08.2022.</t>
  </si>
  <si>
    <t>20.07.2037.</t>
  </si>
  <si>
    <t>A2/1/22/315</t>
  </si>
  <si>
    <t>P -227/2022</t>
  </si>
  <si>
    <t>A2/1/22/316</t>
  </si>
  <si>
    <t>P -228/2022</t>
  </si>
  <si>
    <t>A2/1/22/317</t>
  </si>
  <si>
    <t>P -229/2022</t>
  </si>
  <si>
    <t>A2/1/22/318</t>
  </si>
  <si>
    <t>P -230/2022</t>
  </si>
  <si>
    <t>A2/1/22/319</t>
  </si>
  <si>
    <t>P -231/2022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</si>
  <si>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</si>
  <si>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</si>
  <si>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</si>
  <si>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</si>
  <si>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</si>
  <si>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</si>
  <si>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</si>
  <si>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(Nr.4.2.2.0/19/I/002) "Ēkas Stacijas ielā 26, Valmierā energoefektivitātes paaugstināšana" īstenošanai</t>
  </si>
  <si>
    <t>ERAF projekta (Nr.5.5.1.0/20/I/001) "Valmieras Vēsturiskā centra attīstība" īstenošanai</t>
  </si>
  <si>
    <t>ERAF projekta (Nr.5.5.1.0/20/I/001) "Valmieras Vēsturiskā centra attīstība" papildus finansēšanai</t>
  </si>
  <si>
    <t>Projekts</t>
  </si>
  <si>
    <t>ERAF projekta" Industriālo teritoriju attīstība Valmierā - 1.kārta" - SAM 5.6.2.</t>
  </si>
  <si>
    <t>EKII projekta (Nr.EKII-7/26) "Publisko teritoriju ielu apgaismojuma inženiertīklu pārbūve Valmierā, Valmieras novadā" īstenošanai</t>
  </si>
  <si>
    <t>Valmieras 2.vidusskolas investīciju projekts "Mazās sporta zāles pārbūve"</t>
  </si>
  <si>
    <t>Ceļa darbu un apgaismojuma pārbūve Ozolu ielā un Iršuparka alejā, Valmiermuiža, Valmieras pag., valmieras novadā</t>
  </si>
  <si>
    <t>Dārza ielas pārbūve, Kocēnu pagastā, Valmieras novadā</t>
  </si>
  <si>
    <t>Grantēto ielu divkārtu virsmas pastrāde Kalna iela un Jāņa Lielā iela, Mazsalacā</t>
  </si>
  <si>
    <t xml:space="preserve">Tērbatas iela posmā no apaļā veikala līdz Viestura alejai, ieskaitot krustojumus, Valmierā asfalta virskārtas nomaiņa </t>
  </si>
  <si>
    <t>Ķieģeļu ielas , Valmierā, izbūvei posmā no Dzegu ielas līdz Parka ielai,</t>
  </si>
  <si>
    <t xml:space="preserve">Lietus ūdens atvades izbūve Uzvaras un Dārza ielās, Sedas pilsētā </t>
  </si>
  <si>
    <t>Rubenes, Raiņa, Valkas ielu rotācijas aplis, Valmierā pārbūve</t>
  </si>
  <si>
    <t>1.06.2023.</t>
  </si>
  <si>
    <t>20.05.2033.</t>
  </si>
  <si>
    <t>A2/1/23/127</t>
  </si>
  <si>
    <t>A2/1/23/128</t>
  </si>
  <si>
    <t xml:space="preserve">Gājēju ietves un lietus ūdens atvades risinājuma būvniecība Trikātas ielā un Pulkveža Brieža ielā, Strenčos </t>
  </si>
  <si>
    <t xml:space="preserve">Gājēju ietves pārbūve Rubenes ciemā, Kocēnu pagastā </t>
  </si>
  <si>
    <t xml:space="preserve">Vanšu tilta atjaunošana Valmierā </t>
  </si>
  <si>
    <t>19.06.2023.</t>
  </si>
  <si>
    <t>A2/1/23/144</t>
  </si>
  <si>
    <t>P -94/2023</t>
  </si>
  <si>
    <t xml:space="preserve">Ielas un ietves atjaunošana Rīgas iela, Rūjienā (posmā no Blaumaņa līdz Pērnavas ielai) </t>
  </si>
  <si>
    <t xml:space="preserve">Ielu un ietvju atjaunošana Skolas iela (posmā no Dārza līdz Viestura ielai, Viestura iela (posmā no Skolas līdz Lāčplēša ielai), Stacijas iela (posmā no Skolas līdz Viestura ielai) , Rūjienā </t>
  </si>
  <si>
    <t>Georga Apiņa ielas, Valmierā (posmā no Rīgas ielas līdz Beātes ielai)  remontam</t>
  </si>
  <si>
    <t>A2/1/23/222</t>
  </si>
  <si>
    <t>P -160/2023</t>
  </si>
  <si>
    <t>31.07.2023.</t>
  </si>
  <si>
    <t>20.07.2038.</t>
  </si>
  <si>
    <t>P -81/2023</t>
  </si>
  <si>
    <t>P -82/2023</t>
  </si>
  <si>
    <t>13.07.2023.</t>
  </si>
  <si>
    <t>A2/1/23/206</t>
  </si>
  <si>
    <t>P-146/2023</t>
  </si>
  <si>
    <t>12.07.2023.</t>
  </si>
  <si>
    <t>A2/1/23/197</t>
  </si>
  <si>
    <t>P-141/2023</t>
  </si>
  <si>
    <t>21.06.2038.</t>
  </si>
  <si>
    <t>A2/1/23/198</t>
  </si>
  <si>
    <t>P-142/2023</t>
  </si>
  <si>
    <t>A2/1/23/196</t>
  </si>
  <si>
    <t>P-140/2023</t>
  </si>
  <si>
    <t>A2/1/23/194</t>
  </si>
  <si>
    <t>P-138/2023</t>
  </si>
  <si>
    <t>A2/1/23/195</t>
  </si>
  <si>
    <t>P-139/2023</t>
  </si>
  <si>
    <t>A2/1/23/192</t>
  </si>
  <si>
    <t>P-137/2023</t>
  </si>
  <si>
    <t xml:space="preserve">Valmieras novada pašvaldības saistības  kopā </t>
  </si>
  <si>
    <t>Eiropas Savienības Kohēzijas fonda projektu īstenošanai / SIA Kocēnu komunālā saimniecība</t>
  </si>
  <si>
    <t>A1/1/18/812</t>
  </si>
  <si>
    <t>Valmieras novada pašvaldības galvojumi</t>
  </si>
  <si>
    <t>A1/1/19/262; A1/1/19/263; A1/1/19/265</t>
  </si>
  <si>
    <t>A1/1/15/613</t>
  </si>
  <si>
    <t>A1/1/18/760</t>
  </si>
  <si>
    <t>A1/1/16/317</t>
  </si>
  <si>
    <t>A1/1/19/246</t>
  </si>
  <si>
    <t>A2/1/21/749;   K-20/2021</t>
  </si>
  <si>
    <t>20.06.2039.</t>
  </si>
  <si>
    <t>20.10.2035.</t>
  </si>
  <si>
    <t>20.10.2038.</t>
  </si>
  <si>
    <t>20.08.2026.</t>
  </si>
  <si>
    <t>A2/1/23/352</t>
  </si>
  <si>
    <t>P-274/2023</t>
  </si>
  <si>
    <t>11.09.2023.</t>
  </si>
  <si>
    <t>20.08.2038.</t>
  </si>
  <si>
    <t>A2/1/23/356</t>
  </si>
  <si>
    <t>P-278/2023</t>
  </si>
  <si>
    <t>20.08.2033.</t>
  </si>
  <si>
    <t>A2/1/23/355</t>
  </si>
  <si>
    <t>P-277/2023</t>
  </si>
  <si>
    <t>A2/1/23/354</t>
  </si>
  <si>
    <t>P-276/2023</t>
  </si>
  <si>
    <t>A2/1/23/353</t>
  </si>
  <si>
    <t>P-275/2023</t>
  </si>
  <si>
    <t>A2/1/23/350</t>
  </si>
  <si>
    <t>P-273/2023</t>
  </si>
  <si>
    <t>26.09.2023.</t>
  </si>
  <si>
    <t>20.09.2043.</t>
  </si>
  <si>
    <t>A2/1/23/402</t>
  </si>
  <si>
    <t>P - 327/2023</t>
  </si>
  <si>
    <t>07.2039.</t>
  </si>
  <si>
    <t>04.12.2023.</t>
  </si>
  <si>
    <t>22.11.2038.</t>
  </si>
  <si>
    <t>A2/1/23/479</t>
  </si>
  <si>
    <t>P -390/2023</t>
  </si>
  <si>
    <t>A2/1/23/436</t>
  </si>
  <si>
    <t>P-349/2023</t>
  </si>
  <si>
    <t>01.11.2023.</t>
  </si>
  <si>
    <t>08.2024.</t>
  </si>
  <si>
    <t>09.2054.</t>
  </si>
  <si>
    <t>Valmieras novada pašvaldības ielu infrastruktūras investīciju projekti</t>
  </si>
  <si>
    <t>apkalpošana</t>
  </si>
  <si>
    <t>Projekti</t>
  </si>
  <si>
    <t>07.2024.</t>
  </si>
  <si>
    <t>08.2039.</t>
  </si>
  <si>
    <t>06.2024.</t>
  </si>
  <si>
    <t>ANMP projekts Industriālās teritorijas attīstība Valmierā</t>
  </si>
  <si>
    <t>Autoceļa Breidas - Zemgaļi, Naukšēnu ter. pārbūves 2.kārta</t>
  </si>
  <si>
    <t>Pansionāta "Valmiera" investīciju projektu īstenošanai</t>
  </si>
  <si>
    <t>Tranzītielas posma Rīgas-Valkas ielā rekonstrukcija Strenču pilsētā</t>
  </si>
  <si>
    <t>Ozolu ielas, Valmiermuižā rekonstrukcija</t>
  </si>
  <si>
    <t>Gājēju ietves un apgaismojuma izbūve Zilākalnā, Zilākalna pagastā, Valmieras novadā</t>
  </si>
  <si>
    <t>Rietekļa ielas un siltumtrases Rietekļa ielā, Valmierā būvniecība</t>
  </si>
  <si>
    <t>08.2034.</t>
  </si>
  <si>
    <t>08.2054.</t>
  </si>
  <si>
    <t>09.2024.</t>
  </si>
  <si>
    <t>10.2039.</t>
  </si>
  <si>
    <t>4. pielikums</t>
  </si>
  <si>
    <t>Valmieras novada pašvaldības saistošajiem noteikumiem Nr. 130</t>
  </si>
  <si>
    <t>"Grozījumi Valmieras novada pašvaldības saistošajos noteikumos Nr. 120</t>
  </si>
  <si>
    <t>"Par Valmieras novada pašvaldības 2024. gada budžetu""</t>
  </si>
  <si>
    <t>Valmieras novada pašvaldības aizņēmumu, galvojumu un ilgtermiņa saistību apmērs 2024. gadā  un turpmākajos gados</t>
  </si>
  <si>
    <t>Informācijas, izglītības,sporta un sociālās aprūpes dienas centra "Kaimiņi" būvniecībai</t>
  </si>
  <si>
    <t>Informācijas, izglītības,sporta un sociālās aprūpes dienas centra "Kaimiņi" būvniecības pabeigšanai</t>
  </si>
  <si>
    <t>Latvijas-Šveices projekts Multifunkcionālā jaunatnes iniciatīvu centra izveide Burtniekos</t>
  </si>
  <si>
    <t>Ūdenssaimniecības attīstība Strenču novada Plāņu pagasta Jaunklidža ciemā</t>
  </si>
  <si>
    <t>Ūdenssaimniecības attīstība-rekonstrukcija Sedas pilsētā, 2.etaps</t>
  </si>
  <si>
    <t>Projekta "Viestura ciema ielu seguma pārbūve Valmieras pagastā, Burtnieku novadā" īstenošanai</t>
  </si>
  <si>
    <t>ERAF projekta Nr.8.1.2.0/18/I/004 daļas - Valmieras Viestura vidusskolas pārbūve, mācību vides uzlabošana īstenošanai</t>
  </si>
  <si>
    <t>Igaunijas-Latvijas pārrobežu sadarbības programmas projekta "Zaļais dzelzceļš - bijušo dzelzceļa līniju pielāgošana videi draudzīgā tūrisma maršrutā (investīciju daļas) īstenošanai"</t>
  </si>
  <si>
    <t>Prioritārā investīciju projekta "Valtenberģu muižas jumta seguma maiņa Mazsalacā" īstenošanai P-631/2018</t>
  </si>
  <si>
    <t>ERAF projekta (Nr.4.2.2.0/17/I/096) "Energoefektivitātes paaugstināšana izglītības iestādē, Nākotnes ielā 1, Vaidava" īstenošanai</t>
  </si>
  <si>
    <t>KF projekta (Nr.6.1.4.2/17/I/007) "Valmieras pilsētas Rietumu industriālās maģistrāles attīstība - L.Paegles ielas savienojums ar TNT-T tīklu" īstenošanai</t>
  </si>
  <si>
    <t>ELFLA projekta (Nr.18-09-A00702-000106) "Pašvaldības grantētā ceļa "Jaunmakuļi - Zilaiskalns" pārbūve" īstenošanai</t>
  </si>
  <si>
    <t>ERAF projekta (Nr.4.2.2.0/17/I/095) "Energoefektivitātes paaugstināšana Kocēnu inovada domes ēkā Alejas iela 8, Kocēni" īstenošanai</t>
  </si>
  <si>
    <t>Projekta "Mālu ielas Valmierā (posmā no Beātes ielas līdz Matīšu šosejai) pārbūve" īstenošanai</t>
  </si>
  <si>
    <t>Projekta "Teodora Ūdera un Tālavas ielas Valmierā pārbūve" īstenošanai</t>
  </si>
  <si>
    <t>Projekta "Vaidavas ciema centra laukuma un tam piegulošās teritorijas labiekārtošanas 1.kārta - Skolas iela Vaidavā, Vaidavas pagastā" īstenošanai</t>
  </si>
  <si>
    <t xml:space="preserve">ERAF projekta (Nr.9.3.1.1/18/I/027) "Sabiedrības balstītu sociālo pakalpojumu infrastruktūras izveide Mazsalacas novadā" īstenošanai </t>
  </si>
  <si>
    <t xml:space="preserve">Pašvaldības autoceļa "Rūjienas šoseja - Slaunes - Valkas šoseja" posma pārbūve (0.00 līdz 0.680 km </t>
  </si>
  <si>
    <t>"Divkārtu virsmas apstrāde autoceļu posmos "Mūrmuižas-Bāle-Brieži ceļš" un "Bāles stacija-Cēsu ceļš", Kauguru pagastā, Valmieras novadā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</si>
  <si>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</si>
  <si>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</si>
  <si>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</si>
  <si>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</si>
  <si>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ERAF SAM 5.4.3. projekta "Antropogēnās slodzes samazināšana un kompleksu apsaimniekošanas pasākumu īstenošana dabas liegumā "Zilaiskalns""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</si>
  <si>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</si>
  <si>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SAM 5.6.2. projekta "Industriālo teritoriju attīstība Valmierā – 2.kārta" pabeigšanai</t>
  </si>
  <si>
    <t>Satiksmes drošības uzlabošana Pulkveža Zemitāna ielā Strenčos (posmā no 0,005 km līdz krustojumam ar Miera ielu)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</si>
</sst>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7" x14ac:knownFonts="1">
    <font>
      <sz val="10"/>
      <name val="Arial"/>
    </font>
    <font>
      <sz val="10"/>
      <name val="Arial"/>
      <family val="2"/>
      <charset val="186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name val="Arial"/>
      <family val="2"/>
      <charset val="186"/>
    </font>
    <font>
      <b/>
      <sz val="10"/>
      <color indexed="8"/>
      <name val="Arial"/>
      <family val="2"/>
      <charset val="186"/>
    </font>
    <font>
      <sz val="9.5"/>
      <name val="Arial"/>
      <family val="2"/>
      <charset val="186"/>
    </font>
    <font>
      <sz val="8"/>
      <color indexed="8"/>
      <name val="Arial"/>
      <family val="2"/>
      <charset val="186"/>
    </font>
    <font>
      <b/>
      <sz val="9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rgb="FFFF0000"/>
      <name val="Arial"/>
      <family val="2"/>
      <charset val="186"/>
    </font>
    <font>
      <sz val="10"/>
      <color rgb="FF00B050"/>
      <name val="Arial"/>
      <family val="2"/>
      <charset val="186"/>
    </font>
    <font>
      <b/>
      <sz val="11"/>
      <color rgb="FF00B050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9" fillId="0" borderId="0"/>
    <xf numFmtId="0" fontId="8" fillId="0" borderId="0"/>
    <xf numFmtId="0" fontId="1" fillId="0" borderId="0"/>
    <xf numFmtId="0" fontId="9" fillId="0" borderId="0"/>
    <xf numFmtId="0" fontId="12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2" fillId="0" borderId="0"/>
    <xf numFmtId="0" fontId="1" fillId="0" borderId="0"/>
    <xf numFmtId="0" fontId="2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4" fontId="3" fillId="2" borderId="1" applyNumberFormat="0" applyProtection="0">
      <alignment horizontal="left" vertical="center" indent="1"/>
    </xf>
    <xf numFmtId="4" fontId="3" fillId="0" borderId="1" applyNumberFormat="0" applyProtection="0">
      <alignment horizontal="right" vertical="center"/>
    </xf>
    <xf numFmtId="4" fontId="3" fillId="2" borderId="1" applyNumberFormat="0" applyProtection="0">
      <alignment horizontal="left" vertical="center" indent="1"/>
    </xf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3" xfId="0" applyFont="1" applyBorder="1"/>
    <xf numFmtId="2" fontId="1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3" fontId="11" fillId="0" borderId="3" xfId="0" applyNumberFormat="1" applyFont="1" applyBorder="1"/>
    <xf numFmtId="3" fontId="11" fillId="0" borderId="3" xfId="37" applyNumberFormat="1" applyFont="1" applyBorder="1" applyAlignment="1">
      <alignment horizontal="right" vertical="center" wrapText="1"/>
    </xf>
    <xf numFmtId="3" fontId="23" fillId="0" borderId="0" xfId="0" applyNumberFormat="1" applyFont="1"/>
    <xf numFmtId="0" fontId="24" fillId="0" borderId="0" xfId="0" applyFont="1"/>
    <xf numFmtId="0" fontId="1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1" fillId="0" borderId="5" xfId="0" applyNumberFormat="1" applyFont="1" applyBorder="1" applyAlignment="1">
      <alignment vertical="center" wrapText="1"/>
    </xf>
    <xf numFmtId="3" fontId="0" fillId="0" borderId="5" xfId="0" applyNumberFormat="1" applyBorder="1" applyAlignment="1">
      <alignment vertical="center" wrapText="1"/>
    </xf>
    <xf numFmtId="0" fontId="1" fillId="0" borderId="6" xfId="0" applyFont="1" applyBorder="1"/>
    <xf numFmtId="3" fontId="0" fillId="0" borderId="6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3" fontId="11" fillId="0" borderId="7" xfId="37" applyNumberFormat="1" applyFont="1" applyBorder="1" applyAlignment="1">
      <alignment horizontal="right" vertical="center" wrapText="1"/>
    </xf>
    <xf numFmtId="0" fontId="0" fillId="0" borderId="3" xfId="0" applyBorder="1"/>
    <xf numFmtId="14" fontId="1" fillId="0" borderId="4" xfId="0" applyNumberFormat="1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11" fillId="0" borderId="4" xfId="0" applyFont="1" applyBorder="1"/>
    <xf numFmtId="0" fontId="11" fillId="0" borderId="6" xfId="0" applyFont="1" applyBorder="1"/>
    <xf numFmtId="14" fontId="11" fillId="0" borderId="5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11" fillId="0" borderId="3" xfId="0" applyFont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3" fontId="11" fillId="0" borderId="4" xfId="0" applyNumberFormat="1" applyFont="1" applyBorder="1"/>
    <xf numFmtId="0" fontId="20" fillId="0" borderId="3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10" fillId="0" borderId="6" xfId="0" applyNumberFormat="1" applyFont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0" fontId="1" fillId="0" borderId="5" xfId="0" applyFont="1" applyBorder="1"/>
    <xf numFmtId="3" fontId="0" fillId="0" borderId="4" xfId="0" applyNumberFormat="1" applyBorder="1"/>
    <xf numFmtId="3" fontId="0" fillId="0" borderId="6" xfId="0" applyNumberFormat="1" applyBorder="1"/>
    <xf numFmtId="3" fontId="10" fillId="0" borderId="6" xfId="0" applyNumberFormat="1" applyFont="1" applyBorder="1"/>
    <xf numFmtId="0" fontId="10" fillId="0" borderId="6" xfId="0" applyFont="1" applyBorder="1"/>
    <xf numFmtId="0" fontId="10" fillId="0" borderId="4" xfId="0" applyFont="1" applyBorder="1"/>
    <xf numFmtId="14" fontId="10" fillId="0" borderId="5" xfId="0" applyNumberFormat="1" applyFont="1" applyBorder="1" applyAlignment="1">
      <alignment vertical="center" wrapText="1"/>
    </xf>
    <xf numFmtId="3" fontId="10" fillId="0" borderId="4" xfId="0" applyNumberFormat="1" applyFont="1" applyBorder="1" applyAlignment="1">
      <alignment vertical="center" wrapText="1"/>
    </xf>
    <xf numFmtId="3" fontId="10" fillId="0" borderId="5" xfId="0" applyNumberFormat="1" applyFont="1" applyBorder="1" applyAlignment="1">
      <alignment vertical="center" wrapText="1"/>
    </xf>
    <xf numFmtId="3" fontId="11" fillId="0" borderId="9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vertical="center" wrapText="1"/>
    </xf>
    <xf numFmtId="0" fontId="25" fillId="0" borderId="0" xfId="0" applyFont="1" applyAlignment="1">
      <alignment horizontal="center" vertical="center" wrapText="1"/>
    </xf>
    <xf numFmtId="3" fontId="25" fillId="0" borderId="0" xfId="0" applyNumberFormat="1" applyFont="1" applyAlignment="1">
      <alignment vertical="center" wrapText="1"/>
    </xf>
    <xf numFmtId="3" fontId="25" fillId="0" borderId="0" xfId="0" applyNumberFormat="1" applyFont="1"/>
    <xf numFmtId="0" fontId="4" fillId="5" borderId="0" xfId="0" applyFont="1" applyFill="1" applyAlignment="1">
      <alignment wrapText="1"/>
    </xf>
    <xf numFmtId="0" fontId="26" fillId="0" borderId="0" xfId="0" applyFont="1" applyAlignment="1">
      <alignment horizontal="right" vertical="center" wrapText="1"/>
    </xf>
    <xf numFmtId="3" fontId="1" fillId="0" borderId="2" xfId="37" applyNumberFormat="1" applyBorder="1" applyAlignment="1" applyProtection="1">
      <alignment horizontal="right" vertical="center"/>
      <protection locked="0"/>
    </xf>
    <xf numFmtId="3" fontId="1" fillId="0" borderId="10" xfId="37" applyNumberFormat="1" applyBorder="1" applyAlignment="1" applyProtection="1">
      <alignment horizontal="right" vertical="center"/>
      <protection locked="0"/>
    </xf>
    <xf numFmtId="0" fontId="0" fillId="0" borderId="2" xfId="0" applyBorder="1" applyAlignment="1">
      <alignment horizontal="center" vertical="center"/>
    </xf>
    <xf numFmtId="3" fontId="1" fillId="0" borderId="6" xfId="37" applyNumberFormat="1" applyBorder="1" applyAlignment="1" applyProtection="1">
      <alignment horizontal="right" vertical="center"/>
      <protection locked="0"/>
    </xf>
    <xf numFmtId="3" fontId="1" fillId="0" borderId="11" xfId="37" applyNumberFormat="1" applyBorder="1" applyAlignment="1" applyProtection="1">
      <alignment horizontal="right" vertical="center"/>
      <protection locked="0"/>
    </xf>
    <xf numFmtId="3" fontId="11" fillId="0" borderId="11" xfId="0" applyNumberFormat="1" applyFont="1" applyBorder="1" applyAlignment="1">
      <alignment horizontal="center" vertical="center"/>
    </xf>
    <xf numFmtId="3" fontId="1" fillId="0" borderId="4" xfId="37" applyNumberFormat="1" applyBorder="1" applyAlignment="1" applyProtection="1">
      <alignment horizontal="right" vertical="center"/>
      <protection locked="0"/>
    </xf>
    <xf numFmtId="3" fontId="11" fillId="0" borderId="5" xfId="37" applyNumberFormat="1" applyFont="1" applyBorder="1" applyAlignment="1">
      <alignment horizontal="right" vertical="center" wrapText="1"/>
    </xf>
    <xf numFmtId="3" fontId="1" fillId="0" borderId="12" xfId="37" applyNumberFormat="1" applyBorder="1" applyAlignment="1" applyProtection="1">
      <alignment horizontal="right" vertical="center"/>
      <protection locked="0"/>
    </xf>
    <xf numFmtId="3" fontId="1" fillId="5" borderId="10" xfId="37" applyNumberFormat="1" applyFill="1" applyBorder="1" applyAlignment="1" applyProtection="1">
      <alignment horizontal="right" vertical="center"/>
      <protection locked="0"/>
    </xf>
    <xf numFmtId="3" fontId="1" fillId="5" borderId="6" xfId="37" applyNumberFormat="1" applyFill="1" applyBorder="1" applyAlignment="1" applyProtection="1">
      <alignment horizontal="right" vertical="center"/>
      <protection locked="0"/>
    </xf>
    <xf numFmtId="3" fontId="0" fillId="0" borderId="12" xfId="0" applyNumberFormat="1" applyBorder="1" applyAlignment="1">
      <alignment horizontal="right" vertical="center"/>
    </xf>
    <xf numFmtId="3" fontId="1" fillId="0" borderId="4" xfId="0" applyNumberFormat="1" applyFont="1" applyBorder="1"/>
    <xf numFmtId="3" fontId="1" fillId="0" borderId="4" xfId="0" applyNumberFormat="1" applyFont="1" applyBorder="1" applyAlignment="1">
      <alignment vertical="center" wrapText="1"/>
    </xf>
    <xf numFmtId="3" fontId="1" fillId="5" borderId="6" xfId="0" applyNumberFormat="1" applyFont="1" applyFill="1" applyBorder="1"/>
    <xf numFmtId="3" fontId="1" fillId="0" borderId="6" xfId="0" applyNumberFormat="1" applyFont="1" applyBorder="1"/>
    <xf numFmtId="3" fontId="1" fillId="0" borderId="5" xfId="0" applyNumberFormat="1" applyFont="1" applyBorder="1" applyAlignment="1">
      <alignment vertical="center" wrapText="1"/>
    </xf>
    <xf numFmtId="3" fontId="0" fillId="5" borderId="4" xfId="0" applyNumberFormat="1" applyFill="1" applyBorder="1" applyAlignment="1">
      <alignment vertical="center" wrapText="1"/>
    </xf>
    <xf numFmtId="3" fontId="0" fillId="5" borderId="6" xfId="0" applyNumberFormat="1" applyFill="1" applyBorder="1" applyAlignment="1">
      <alignment vertical="center" wrapText="1"/>
    </xf>
    <xf numFmtId="3" fontId="10" fillId="5" borderId="6" xfId="0" applyNumberFormat="1" applyFont="1" applyFill="1" applyBorder="1" applyAlignment="1">
      <alignment vertical="center" wrapText="1"/>
    </xf>
    <xf numFmtId="3" fontId="1" fillId="5" borderId="6" xfId="0" applyNumberFormat="1" applyFont="1" applyFill="1" applyBorder="1" applyAlignment="1">
      <alignment vertical="center" wrapText="1"/>
    </xf>
    <xf numFmtId="3" fontId="1" fillId="0" borderId="13" xfId="37" applyNumberFormat="1" applyBorder="1" applyAlignment="1" applyProtection="1">
      <alignment horizontal="right" vertical="center"/>
      <protection locked="0"/>
    </xf>
    <xf numFmtId="3" fontId="1" fillId="0" borderId="8" xfId="37" applyNumberFormat="1" applyBorder="1" applyAlignment="1" applyProtection="1">
      <alignment horizontal="right" vertical="center"/>
      <protection locked="0"/>
    </xf>
    <xf numFmtId="3" fontId="1" fillId="0" borderId="14" xfId="37" applyNumberFormat="1" applyBorder="1" applyAlignment="1" applyProtection="1">
      <alignment horizontal="right" vertical="center"/>
      <protection locked="0"/>
    </xf>
    <xf numFmtId="0" fontId="0" fillId="0" borderId="8" xfId="0" applyBorder="1" applyAlignment="1">
      <alignment horizontal="center" vertical="center"/>
    </xf>
    <xf numFmtId="3" fontId="11" fillId="0" borderId="4" xfId="37" applyNumberFormat="1" applyFont="1" applyBorder="1" applyAlignment="1" applyProtection="1">
      <alignment horizontal="right" vertical="center"/>
      <protection locked="0"/>
    </xf>
    <xf numFmtId="3" fontId="11" fillId="0" borderId="6" xfId="37" applyNumberFormat="1" applyFont="1" applyBorder="1" applyAlignment="1" applyProtection="1">
      <alignment horizontal="right" vertical="center"/>
      <protection locked="0"/>
    </xf>
    <xf numFmtId="3" fontId="1" fillId="5" borderId="4" xfId="0" applyNumberFormat="1" applyFont="1" applyFill="1" applyBorder="1"/>
    <xf numFmtId="3" fontId="10" fillId="0" borderId="4" xfId="0" applyNumberFormat="1" applyFont="1" applyBorder="1"/>
    <xf numFmtId="3" fontId="1" fillId="0" borderId="11" xfId="37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vertical="center"/>
    </xf>
    <xf numFmtId="3" fontId="1" fillId="0" borderId="2" xfId="37" applyNumberFormat="1" applyBorder="1" applyAlignment="1" applyProtection="1">
      <alignment vertical="center"/>
      <protection locked="0"/>
    </xf>
    <xf numFmtId="3" fontId="1" fillId="0" borderId="0" xfId="37" applyNumberFormat="1" applyAlignment="1" applyProtection="1">
      <alignment vertical="center"/>
      <protection locked="0"/>
    </xf>
    <xf numFmtId="3" fontId="1" fillId="0" borderId="6" xfId="37" applyNumberForma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3" fontId="10" fillId="5" borderId="4" xfId="0" applyNumberFormat="1" applyFont="1" applyFill="1" applyBorder="1"/>
    <xf numFmtId="3" fontId="10" fillId="5" borderId="4" xfId="0" applyNumberFormat="1" applyFont="1" applyFill="1" applyBorder="1" applyAlignment="1">
      <alignment vertical="center" wrapText="1"/>
    </xf>
    <xf numFmtId="3" fontId="10" fillId="5" borderId="6" xfId="0" applyNumberFormat="1" applyFont="1" applyFill="1" applyBorder="1"/>
    <xf numFmtId="0" fontId="0" fillId="5" borderId="6" xfId="0" applyFill="1" applyBorder="1" applyAlignment="1">
      <alignment vertical="center" wrapText="1"/>
    </xf>
    <xf numFmtId="0" fontId="25" fillId="0" borderId="0" xfId="0" applyFont="1"/>
    <xf numFmtId="3" fontId="10" fillId="0" borderId="2" xfId="0" applyNumberFormat="1" applyFont="1" applyBorder="1"/>
    <xf numFmtId="3" fontId="11" fillId="5" borderId="3" xfId="0" applyNumberFormat="1" applyFont="1" applyFill="1" applyBorder="1"/>
    <xf numFmtId="0" fontId="0" fillId="5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14" fontId="1" fillId="0" borderId="3" xfId="0" quotePrefix="1" applyNumberFormat="1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5" borderId="3" xfId="0" applyNumberFormat="1" applyFill="1" applyBorder="1" applyAlignment="1">
      <alignment horizontal="center" vertical="center" wrapText="1"/>
    </xf>
    <xf numFmtId="14" fontId="0" fillId="5" borderId="4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wrapText="1"/>
    </xf>
    <xf numFmtId="49" fontId="15" fillId="3" borderId="3" xfId="0" applyNumberFormat="1" applyFont="1" applyFill="1" applyBorder="1" applyAlignment="1">
      <alignment horizontal="center" vertical="center" wrapText="1"/>
    </xf>
    <xf numFmtId="49" fontId="1" fillId="5" borderId="3" xfId="37" applyNumberFormat="1" applyFill="1" applyBorder="1" applyAlignment="1" applyProtection="1">
      <alignment horizontal="left" vertical="center" wrapText="1"/>
      <protection locked="0"/>
    </xf>
    <xf numFmtId="0" fontId="1" fillId="5" borderId="3" xfId="0" applyFont="1" applyFill="1" applyBorder="1" applyAlignment="1">
      <alignment horizontal="left" vertical="center" wrapText="1"/>
    </xf>
    <xf numFmtId="49" fontId="18" fillId="5" borderId="3" xfId="37" applyNumberFormat="1" applyFont="1" applyFill="1" applyBorder="1" applyAlignment="1" applyProtection="1">
      <alignment horizontal="left" vertical="top" wrapText="1"/>
      <protection locked="0"/>
    </xf>
    <xf numFmtId="0" fontId="1" fillId="5" borderId="3" xfId="10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13" fillId="0" borderId="13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9" fillId="0" borderId="4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49" fontId="7" fillId="0" borderId="15" xfId="37" applyNumberFormat="1" applyFont="1" applyBorder="1" applyAlignment="1" applyProtection="1">
      <alignment horizontal="left" vertical="center" wrapText="1"/>
      <protection locked="0"/>
    </xf>
    <xf numFmtId="49" fontId="7" fillId="0" borderId="13" xfId="37" applyNumberFormat="1" applyFont="1" applyBorder="1" applyAlignment="1" applyProtection="1">
      <alignment horizontal="left" vertical="center" wrapText="1"/>
      <protection locked="0"/>
    </xf>
    <xf numFmtId="49" fontId="7" fillId="0" borderId="16" xfId="37" applyNumberFormat="1" applyFont="1" applyBorder="1" applyAlignment="1" applyProtection="1">
      <alignment horizontal="left" vertical="center" wrapText="1"/>
      <protection locked="0"/>
    </xf>
    <xf numFmtId="49" fontId="1" fillId="0" borderId="4" xfId="37" applyNumberFormat="1" applyBorder="1" applyAlignment="1" applyProtection="1">
      <alignment horizontal="center" vertical="center" wrapText="1"/>
      <protection locked="0"/>
    </xf>
    <xf numFmtId="49" fontId="1" fillId="0" borderId="2" xfId="37" applyNumberFormat="1" applyBorder="1" applyAlignment="1" applyProtection="1">
      <alignment horizontal="center" vertical="center" wrapText="1"/>
      <protection locked="0"/>
    </xf>
    <xf numFmtId="49" fontId="1" fillId="0" borderId="5" xfId="37" applyNumberForma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49" fontId="18" fillId="0" borderId="4" xfId="37" applyNumberFormat="1" applyFont="1" applyBorder="1" applyAlignment="1" applyProtection="1">
      <alignment horizontal="left" vertical="center" wrapText="1"/>
      <protection locked="0"/>
    </xf>
    <xf numFmtId="49" fontId="18" fillId="0" borderId="2" xfId="37" applyNumberFormat="1" applyFont="1" applyBorder="1" applyAlignment="1" applyProtection="1">
      <alignment horizontal="left" vertical="center" wrapText="1"/>
      <protection locked="0"/>
    </xf>
    <xf numFmtId="49" fontId="18" fillId="0" borderId="5" xfId="37" applyNumberFormat="1" applyFont="1" applyBorder="1" applyAlignment="1" applyProtection="1">
      <alignment horizontal="left" vertical="center" wrapText="1"/>
      <protection locked="0"/>
    </xf>
    <xf numFmtId="14" fontId="1" fillId="5" borderId="4" xfId="0" applyNumberFormat="1" applyFont="1" applyFill="1" applyBorder="1" applyAlignment="1">
      <alignment horizontal="center" vertical="center" wrapText="1"/>
    </xf>
    <xf numFmtId="14" fontId="1" fillId="5" borderId="2" xfId="0" applyNumberFormat="1" applyFont="1" applyFill="1" applyBorder="1" applyAlignment="1">
      <alignment horizontal="center" vertical="center" wrapText="1"/>
    </xf>
    <xf numFmtId="14" fontId="1" fillId="5" borderId="5" xfId="0" applyNumberFormat="1" applyFont="1" applyFill="1" applyBorder="1" applyAlignment="1">
      <alignment horizontal="center" vertical="center" wrapText="1"/>
    </xf>
    <xf numFmtId="49" fontId="1" fillId="0" borderId="4" xfId="37" applyNumberFormat="1" applyBorder="1" applyAlignment="1" applyProtection="1">
      <alignment horizontal="left" vertical="center" wrapText="1"/>
      <protection locked="0"/>
    </xf>
    <xf numFmtId="49" fontId="1" fillId="0" borderId="2" xfId="37" applyNumberFormat="1" applyBorder="1" applyAlignment="1" applyProtection="1">
      <alignment horizontal="left" vertical="center" wrapText="1"/>
      <protection locked="0"/>
    </xf>
    <xf numFmtId="49" fontId="1" fillId="0" borderId="5" xfId="37" applyNumberForma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1" fillId="0" borderId="3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9" fillId="0" borderId="7" xfId="0" applyFont="1" applyBorder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4" fillId="7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49" fontId="11" fillId="5" borderId="4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2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5" xfId="37" applyNumberFormat="1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49" fontId="1" fillId="5" borderId="4" xfId="37" applyNumberFormat="1" applyFill="1" applyBorder="1" applyAlignment="1" applyProtection="1">
      <alignment horizontal="left" vertical="center" wrapText="1"/>
      <protection locked="0"/>
    </xf>
    <xf numFmtId="49" fontId="1" fillId="5" borderId="2" xfId="37" applyNumberFormat="1" applyFill="1" applyBorder="1" applyAlignment="1" applyProtection="1">
      <alignment horizontal="left" vertical="center" wrapText="1"/>
      <protection locked="0"/>
    </xf>
    <xf numFmtId="49" fontId="1" fillId="5" borderId="5" xfId="37" applyNumberFormat="1" applyFill="1" applyBorder="1" applyAlignment="1" applyProtection="1">
      <alignment horizontal="left" vertical="center" wrapText="1"/>
      <protection locked="0"/>
    </xf>
    <xf numFmtId="0" fontId="1" fillId="5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6">
    <cellStyle name="Comma 2" xfId="1" xr:uid="{00000000-0005-0000-0000-000000000000}"/>
    <cellStyle name="Comma 2 2" xfId="2" xr:uid="{00000000-0005-0000-0000-000001000000}"/>
    <cellStyle name="Comma 2 2 2" xfId="3" xr:uid="{00000000-0005-0000-0000-000002000000}"/>
    <cellStyle name="Comma 2 3" xfId="4" xr:uid="{00000000-0005-0000-0000-000003000000}"/>
    <cellStyle name="Comma 2 3 2" xfId="5" xr:uid="{00000000-0005-0000-0000-000004000000}"/>
    <cellStyle name="Comma 3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2 2" xfId="9" xr:uid="{00000000-0005-0000-0000-000009000000}"/>
    <cellStyle name="Normal 2 2 2 2" xfId="10" xr:uid="{00000000-0005-0000-0000-00000A000000}"/>
    <cellStyle name="Normal 2 2 3" xfId="11" xr:uid="{00000000-0005-0000-0000-00000B000000}"/>
    <cellStyle name="Normal 2 2 3 2" xfId="12" xr:uid="{00000000-0005-0000-0000-00000C000000}"/>
    <cellStyle name="Normal 2 2 4" xfId="13" xr:uid="{00000000-0005-0000-0000-00000D000000}"/>
    <cellStyle name="Normal 2 3" xfId="14" xr:uid="{00000000-0005-0000-0000-00000E000000}"/>
    <cellStyle name="Normal 2 3 2" xfId="15" xr:uid="{00000000-0005-0000-0000-00000F000000}"/>
    <cellStyle name="Normal 2 4" xfId="16" xr:uid="{00000000-0005-0000-0000-000010000000}"/>
    <cellStyle name="Normal 2 5" xfId="17" xr:uid="{00000000-0005-0000-0000-000011000000}"/>
    <cellStyle name="Normal 2 5 2" xfId="18" xr:uid="{00000000-0005-0000-0000-000012000000}"/>
    <cellStyle name="Normal 3" xfId="19" xr:uid="{00000000-0005-0000-0000-000013000000}"/>
    <cellStyle name="Normal 3 2" xfId="20" xr:uid="{00000000-0005-0000-0000-000014000000}"/>
    <cellStyle name="Normal 3 2 2" xfId="21" xr:uid="{00000000-0005-0000-0000-000015000000}"/>
    <cellStyle name="Normal 3 3" xfId="22" xr:uid="{00000000-0005-0000-0000-000016000000}"/>
    <cellStyle name="Normal 3 4" xfId="23" xr:uid="{00000000-0005-0000-0000-000017000000}"/>
    <cellStyle name="Normal 3 4 2" xfId="24" xr:uid="{00000000-0005-0000-0000-000018000000}"/>
    <cellStyle name="Normal 4" xfId="25" xr:uid="{00000000-0005-0000-0000-000019000000}"/>
    <cellStyle name="Normal 4 2" xfId="26" xr:uid="{00000000-0005-0000-0000-00001A000000}"/>
    <cellStyle name="Normal 4 2 2" xfId="27" xr:uid="{00000000-0005-0000-0000-00001B000000}"/>
    <cellStyle name="Normal 4 3" xfId="28" xr:uid="{00000000-0005-0000-0000-00001C000000}"/>
    <cellStyle name="Normal 5" xfId="29" xr:uid="{00000000-0005-0000-0000-00001D000000}"/>
    <cellStyle name="Normal 5 2" xfId="30" xr:uid="{00000000-0005-0000-0000-00001E000000}"/>
    <cellStyle name="Normal 5 2 2" xfId="31" xr:uid="{00000000-0005-0000-0000-00001F000000}"/>
    <cellStyle name="Normal 5 3" xfId="32" xr:uid="{00000000-0005-0000-0000-000020000000}"/>
    <cellStyle name="Normal 5 3 2" xfId="33" xr:uid="{00000000-0005-0000-0000-000021000000}"/>
    <cellStyle name="Normal 6" xfId="34" xr:uid="{00000000-0005-0000-0000-000022000000}"/>
    <cellStyle name="Normal 6 2" xfId="35" xr:uid="{00000000-0005-0000-0000-000023000000}"/>
    <cellStyle name="Normal 7" xfId="36" xr:uid="{00000000-0005-0000-0000-000024000000}"/>
    <cellStyle name="Normal_Pamatformas" xfId="37" xr:uid="{00000000-0005-0000-0000-000025000000}"/>
    <cellStyle name="Percent 2" xfId="38" xr:uid="{00000000-0005-0000-0000-000026000000}"/>
    <cellStyle name="Percent 2 2" xfId="39" xr:uid="{00000000-0005-0000-0000-000027000000}"/>
    <cellStyle name="Percent 2 2 2" xfId="40" xr:uid="{00000000-0005-0000-0000-000028000000}"/>
    <cellStyle name="Percent 2 3" xfId="41" xr:uid="{00000000-0005-0000-0000-000029000000}"/>
    <cellStyle name="Percent 2 3 2" xfId="42" xr:uid="{00000000-0005-0000-0000-00002A000000}"/>
    <cellStyle name="SAPBEXchaText" xfId="43" xr:uid="{00000000-0005-0000-0000-00002B000000}"/>
    <cellStyle name="SAPBEXstdData" xfId="44" xr:uid="{00000000-0005-0000-0000-00002C000000}"/>
    <cellStyle name="SAPBEXstdItem" xfId="45" xr:uid="{00000000-0005-0000-0000-00002D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70828-5513-42C8-8BD6-4D615C7D0A8E}">
  <dimension ref="A1:Q525"/>
  <sheetViews>
    <sheetView tabSelected="1" zoomScale="88" zoomScaleNormal="88" workbookViewId="0">
      <pane xSplit="5" ySplit="8" topLeftCell="F525" activePane="bottomRight" state="frozen"/>
      <selection pane="topRight" activeCell="F1" sqref="F1"/>
      <selection pane="bottomLeft" activeCell="A8" sqref="A8"/>
      <selection pane="bottomRight" activeCell="C351" sqref="C351:C353"/>
    </sheetView>
  </sheetViews>
  <sheetFormatPr defaultRowHeight="13.2" outlineLevelRow="1" outlineLevelCol="1" x14ac:dyDescent="0.25"/>
  <cols>
    <col min="1" max="1" width="6.44140625" customWidth="1"/>
    <col min="2" max="2" width="10.88671875" customWidth="1"/>
    <col min="3" max="3" width="45.33203125" customWidth="1"/>
    <col min="4" max="4" width="12.109375" customWidth="1"/>
    <col min="5" max="5" width="11.6640625" customWidth="1"/>
    <col min="6" max="6" width="13" style="1" customWidth="1"/>
    <col min="7" max="7" width="15.33203125" customWidth="1"/>
    <col min="8" max="8" width="12.33203125" customWidth="1"/>
    <col min="9" max="9" width="11.6640625" customWidth="1" outlineLevel="1"/>
    <col min="10" max="11" width="11" customWidth="1" outlineLevel="1"/>
    <col min="12" max="12" width="10.88671875" customWidth="1" outlineLevel="1"/>
    <col min="13" max="14" width="11.109375" customWidth="1" outlineLevel="1"/>
    <col min="15" max="15" width="12.109375" customWidth="1" outlineLevel="1"/>
    <col min="16" max="16" width="12.88671875" customWidth="1" outlineLevel="1"/>
    <col min="17" max="17" width="10.109375" customWidth="1"/>
  </cols>
  <sheetData>
    <row r="1" spans="1:16" x14ac:dyDescent="0.25">
      <c r="J1" s="11" t="s">
        <v>607</v>
      </c>
    </row>
    <row r="2" spans="1:16" x14ac:dyDescent="0.25">
      <c r="J2" s="11" t="s">
        <v>608</v>
      </c>
    </row>
    <row r="3" spans="1:16" x14ac:dyDescent="0.25">
      <c r="J3" s="1" t="s">
        <v>609</v>
      </c>
    </row>
    <row r="4" spans="1:16" x14ac:dyDescent="0.25">
      <c r="J4" s="11" t="s">
        <v>610</v>
      </c>
    </row>
    <row r="5" spans="1:16" ht="15.6" x14ac:dyDescent="0.3">
      <c r="C5" s="2" t="s">
        <v>611</v>
      </c>
    </row>
    <row r="7" spans="1:16" ht="42.6" customHeight="1" x14ac:dyDescent="0.25">
      <c r="A7" s="24"/>
      <c r="B7" s="31" t="s">
        <v>1</v>
      </c>
      <c r="C7" s="31" t="s">
        <v>0</v>
      </c>
      <c r="D7" s="31" t="s">
        <v>82</v>
      </c>
      <c r="E7" s="32" t="s">
        <v>102</v>
      </c>
      <c r="F7" s="31" t="s">
        <v>456</v>
      </c>
      <c r="G7" s="31"/>
      <c r="H7" s="36">
        <v>2024</v>
      </c>
      <c r="I7" s="36">
        <v>2025</v>
      </c>
      <c r="J7" s="36">
        <v>2026</v>
      </c>
      <c r="K7" s="36">
        <v>2027</v>
      </c>
      <c r="L7" s="36">
        <v>2028</v>
      </c>
      <c r="M7" s="36">
        <v>2029</v>
      </c>
      <c r="N7" s="36">
        <v>2030</v>
      </c>
      <c r="O7" s="38" t="s">
        <v>2</v>
      </c>
      <c r="P7" s="36" t="s">
        <v>463</v>
      </c>
    </row>
    <row r="8" spans="1:16" ht="12.6" customHeight="1" x14ac:dyDescent="0.25">
      <c r="A8" s="33">
        <v>1</v>
      </c>
      <c r="B8" s="8">
        <v>2</v>
      </c>
      <c r="C8" s="8">
        <v>3</v>
      </c>
      <c r="D8" s="8">
        <v>4</v>
      </c>
      <c r="E8" s="34" t="s">
        <v>462</v>
      </c>
      <c r="F8" s="8">
        <v>6</v>
      </c>
      <c r="G8" s="35">
        <v>7</v>
      </c>
      <c r="H8" s="35">
        <v>9</v>
      </c>
      <c r="I8" s="35">
        <v>10</v>
      </c>
      <c r="J8" s="35">
        <v>11</v>
      </c>
      <c r="K8" s="35">
        <v>12</v>
      </c>
      <c r="L8" s="35">
        <v>13</v>
      </c>
      <c r="M8" s="35">
        <v>14</v>
      </c>
      <c r="N8" s="35"/>
      <c r="O8" s="35">
        <v>15</v>
      </c>
      <c r="P8" s="35">
        <v>16</v>
      </c>
    </row>
    <row r="9" spans="1:16" ht="18" customHeight="1" x14ac:dyDescent="0.25">
      <c r="A9" s="106">
        <v>1</v>
      </c>
      <c r="B9" s="102" t="s">
        <v>11</v>
      </c>
      <c r="C9" s="104" t="s">
        <v>68</v>
      </c>
      <c r="D9" s="107">
        <v>36607</v>
      </c>
      <c r="E9" s="107" t="s">
        <v>103</v>
      </c>
      <c r="F9" s="108" t="s">
        <v>104</v>
      </c>
      <c r="G9" s="13" t="s">
        <v>5</v>
      </c>
      <c r="H9" s="14">
        <v>68349</v>
      </c>
      <c r="I9" s="14">
        <v>68349</v>
      </c>
      <c r="J9" s="14">
        <v>68349</v>
      </c>
      <c r="K9" s="14">
        <v>68349</v>
      </c>
      <c r="L9" s="14">
        <v>68349</v>
      </c>
      <c r="M9" s="14">
        <v>68349</v>
      </c>
      <c r="N9" s="14">
        <v>68349</v>
      </c>
      <c r="O9" s="14">
        <f>468779-68349-68349</f>
        <v>332081</v>
      </c>
      <c r="P9" s="14">
        <f t="shared" ref="P9:P19" si="0">SUM(H9:O9)</f>
        <v>810524</v>
      </c>
    </row>
    <row r="10" spans="1:16" ht="15.75" customHeight="1" x14ac:dyDescent="0.25">
      <c r="A10" s="106"/>
      <c r="B10" s="102"/>
      <c r="C10" s="104"/>
      <c r="D10" s="107"/>
      <c r="E10" s="107"/>
      <c r="F10" s="108"/>
      <c r="G10" s="17" t="s">
        <v>8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f t="shared" si="0"/>
        <v>0</v>
      </c>
    </row>
    <row r="11" spans="1:16" ht="15.75" customHeight="1" x14ac:dyDescent="0.25">
      <c r="A11" s="106"/>
      <c r="B11" s="102"/>
      <c r="C11" s="104"/>
      <c r="D11" s="107"/>
      <c r="E11" s="107"/>
      <c r="F11" s="108"/>
      <c r="G11" s="15" t="s">
        <v>105</v>
      </c>
      <c r="H11" s="16">
        <f t="shared" ref="H11:O11" si="1">SUM(H9:H10)</f>
        <v>68349</v>
      </c>
      <c r="I11" s="16">
        <f t="shared" si="1"/>
        <v>68349</v>
      </c>
      <c r="J11" s="16">
        <f t="shared" si="1"/>
        <v>68349</v>
      </c>
      <c r="K11" s="16">
        <f t="shared" si="1"/>
        <v>68349</v>
      </c>
      <c r="L11" s="16">
        <f t="shared" si="1"/>
        <v>68349</v>
      </c>
      <c r="M11" s="16">
        <f t="shared" si="1"/>
        <v>68349</v>
      </c>
      <c r="N11" s="16">
        <f t="shared" si="1"/>
        <v>68349</v>
      </c>
      <c r="O11" s="16">
        <f t="shared" si="1"/>
        <v>332081</v>
      </c>
      <c r="P11" s="16">
        <f t="shared" si="0"/>
        <v>810524</v>
      </c>
    </row>
    <row r="12" spans="1:16" ht="16.5" customHeight="1" x14ac:dyDescent="0.25">
      <c r="A12" s="106">
        <f>A9+1</f>
        <v>2</v>
      </c>
      <c r="B12" s="102" t="s">
        <v>11</v>
      </c>
      <c r="C12" s="104" t="s">
        <v>53</v>
      </c>
      <c r="D12" s="107">
        <v>38587</v>
      </c>
      <c r="E12" s="109" t="s">
        <v>111</v>
      </c>
      <c r="F12" s="25" t="s">
        <v>106</v>
      </c>
      <c r="G12" s="13" t="s">
        <v>5</v>
      </c>
      <c r="H12" s="14">
        <v>2857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  <c r="P12" s="14">
        <f t="shared" si="0"/>
        <v>2857</v>
      </c>
    </row>
    <row r="13" spans="1:16" ht="15" customHeight="1" x14ac:dyDescent="0.25">
      <c r="A13" s="106"/>
      <c r="B13" s="102"/>
      <c r="C13" s="104"/>
      <c r="D13" s="107"/>
      <c r="E13" s="109"/>
      <c r="F13" s="20" t="s">
        <v>107</v>
      </c>
      <c r="G13" s="17" t="s">
        <v>8</v>
      </c>
      <c r="H13" s="18">
        <f>89+6</f>
        <v>95</v>
      </c>
      <c r="I13" s="21"/>
      <c r="J13" s="21"/>
      <c r="K13" s="21"/>
      <c r="L13" s="21"/>
      <c r="M13" s="21"/>
      <c r="N13" s="21"/>
      <c r="O13" s="21"/>
      <c r="P13" s="18">
        <f t="shared" si="0"/>
        <v>95</v>
      </c>
    </row>
    <row r="14" spans="1:16" ht="16.5" customHeight="1" x14ac:dyDescent="0.25">
      <c r="A14" s="106"/>
      <c r="B14" s="102"/>
      <c r="C14" s="104"/>
      <c r="D14" s="107"/>
      <c r="E14" s="109"/>
      <c r="F14" s="15"/>
      <c r="G14" s="15" t="s">
        <v>105</v>
      </c>
      <c r="H14" s="16">
        <f t="shared" ref="H14:O14" si="2">SUM(H12:H13)</f>
        <v>2952</v>
      </c>
      <c r="I14" s="16">
        <f t="shared" si="2"/>
        <v>0</v>
      </c>
      <c r="J14" s="16">
        <f t="shared" si="2"/>
        <v>0</v>
      </c>
      <c r="K14" s="16">
        <f t="shared" si="2"/>
        <v>0</v>
      </c>
      <c r="L14" s="16">
        <f t="shared" si="2"/>
        <v>0</v>
      </c>
      <c r="M14" s="16">
        <f t="shared" si="2"/>
        <v>0</v>
      </c>
      <c r="N14" s="16">
        <f>SUM(N12:N13)</f>
        <v>0</v>
      </c>
      <c r="O14" s="16">
        <f t="shared" si="2"/>
        <v>0</v>
      </c>
      <c r="P14" s="16">
        <f t="shared" si="0"/>
        <v>2952</v>
      </c>
    </row>
    <row r="15" spans="1:16" ht="19.5" customHeight="1" x14ac:dyDescent="0.25">
      <c r="A15" s="106">
        <f>A12+1</f>
        <v>3</v>
      </c>
      <c r="B15" s="102" t="s">
        <v>11</v>
      </c>
      <c r="C15" s="104" t="s">
        <v>69</v>
      </c>
      <c r="D15" s="110">
        <v>39191</v>
      </c>
      <c r="E15" s="113" t="s">
        <v>110</v>
      </c>
      <c r="F15" s="25" t="s">
        <v>108</v>
      </c>
      <c r="G15" s="13" t="s">
        <v>5</v>
      </c>
      <c r="H15" s="14">
        <f>8404-183</f>
        <v>8221</v>
      </c>
      <c r="I15" s="14">
        <v>8488</v>
      </c>
      <c r="J15" s="14">
        <v>8488</v>
      </c>
      <c r="K15" s="14">
        <v>2116</v>
      </c>
      <c r="L15" s="14">
        <v>0</v>
      </c>
      <c r="M15" s="14">
        <v>0</v>
      </c>
      <c r="N15" s="14">
        <v>0</v>
      </c>
      <c r="O15" s="19">
        <v>0</v>
      </c>
      <c r="P15" s="14">
        <f t="shared" si="0"/>
        <v>27313</v>
      </c>
    </row>
    <row r="16" spans="1:16" ht="15.75" customHeight="1" x14ac:dyDescent="0.25">
      <c r="A16" s="106"/>
      <c r="B16" s="102"/>
      <c r="C16" s="104"/>
      <c r="D16" s="111"/>
      <c r="E16" s="114"/>
      <c r="F16" s="20" t="s">
        <v>109</v>
      </c>
      <c r="G16" s="17" t="s">
        <v>8</v>
      </c>
      <c r="H16" s="18">
        <f>1046+66+7</f>
        <v>1119</v>
      </c>
      <c r="I16" s="18">
        <v>755</v>
      </c>
      <c r="J16" s="18">
        <v>396</v>
      </c>
      <c r="K16" s="18">
        <v>62</v>
      </c>
      <c r="L16" s="18">
        <v>0</v>
      </c>
      <c r="M16" s="18">
        <v>0</v>
      </c>
      <c r="N16" s="18">
        <v>0</v>
      </c>
      <c r="O16" s="21">
        <v>0</v>
      </c>
      <c r="P16" s="18">
        <f t="shared" si="0"/>
        <v>2332</v>
      </c>
    </row>
    <row r="17" spans="1:16" ht="15.75" customHeight="1" x14ac:dyDescent="0.25">
      <c r="A17" s="106"/>
      <c r="B17" s="102"/>
      <c r="C17" s="104"/>
      <c r="D17" s="112"/>
      <c r="E17" s="115"/>
      <c r="F17" s="15"/>
      <c r="G17" s="15" t="s">
        <v>105</v>
      </c>
      <c r="H17" s="16">
        <f t="shared" ref="H17:O17" si="3">SUM(H15:H16)</f>
        <v>9340</v>
      </c>
      <c r="I17" s="16">
        <f t="shared" si="3"/>
        <v>9243</v>
      </c>
      <c r="J17" s="16">
        <f t="shared" si="3"/>
        <v>8884</v>
      </c>
      <c r="K17" s="16">
        <f t="shared" si="3"/>
        <v>2178</v>
      </c>
      <c r="L17" s="16">
        <f t="shared" si="3"/>
        <v>0</v>
      </c>
      <c r="M17" s="16">
        <f>SUM(M15:M16)</f>
        <v>0</v>
      </c>
      <c r="N17" s="16">
        <f>SUM(N15:N16)</f>
        <v>0</v>
      </c>
      <c r="O17" s="16">
        <f t="shared" si="3"/>
        <v>0</v>
      </c>
      <c r="P17" s="16">
        <f t="shared" si="0"/>
        <v>29645</v>
      </c>
    </row>
    <row r="18" spans="1:16" ht="15" customHeight="1" x14ac:dyDescent="0.25">
      <c r="A18" s="106">
        <f>A15+1</f>
        <v>4</v>
      </c>
      <c r="B18" s="102" t="s">
        <v>11</v>
      </c>
      <c r="C18" s="104" t="s">
        <v>47</v>
      </c>
      <c r="D18" s="110">
        <v>39238</v>
      </c>
      <c r="E18" s="113" t="s">
        <v>112</v>
      </c>
      <c r="F18" s="25" t="s">
        <v>113</v>
      </c>
      <c r="G18" s="13" t="s">
        <v>5</v>
      </c>
      <c r="H18" s="14">
        <f>18725-529</f>
        <v>18196</v>
      </c>
      <c r="I18" s="14">
        <v>17044</v>
      </c>
      <c r="J18" s="14">
        <v>17044</v>
      </c>
      <c r="K18" s="14">
        <v>8515</v>
      </c>
      <c r="L18" s="14">
        <v>0</v>
      </c>
      <c r="M18" s="14">
        <v>0</v>
      </c>
      <c r="N18" s="14">
        <v>0</v>
      </c>
      <c r="O18" s="19">
        <v>0</v>
      </c>
      <c r="P18" s="14">
        <f t="shared" si="0"/>
        <v>60799</v>
      </c>
    </row>
    <row r="19" spans="1:16" ht="14.25" customHeight="1" x14ac:dyDescent="0.25">
      <c r="A19" s="106"/>
      <c r="B19" s="102"/>
      <c r="C19" s="104"/>
      <c r="D19" s="111"/>
      <c r="E19" s="114"/>
      <c r="F19" s="20" t="s">
        <v>114</v>
      </c>
      <c r="G19" s="17" t="s">
        <v>8</v>
      </c>
      <c r="H19" s="18">
        <f>2601+5</f>
        <v>2606</v>
      </c>
      <c r="I19" s="18">
        <f>1595+43</f>
        <v>1638</v>
      </c>
      <c r="J19" s="18">
        <v>937</v>
      </c>
      <c r="K19" s="18">
        <v>215</v>
      </c>
      <c r="L19" s="18">
        <v>0</v>
      </c>
      <c r="M19" s="18">
        <v>0</v>
      </c>
      <c r="N19" s="18">
        <v>0</v>
      </c>
      <c r="O19" s="21">
        <v>0</v>
      </c>
      <c r="P19" s="18">
        <f t="shared" si="0"/>
        <v>5396</v>
      </c>
    </row>
    <row r="20" spans="1:16" ht="14.25" customHeight="1" x14ac:dyDescent="0.25">
      <c r="A20" s="106"/>
      <c r="B20" s="102"/>
      <c r="C20" s="104"/>
      <c r="D20" s="112"/>
      <c r="E20" s="115"/>
      <c r="F20" s="15"/>
      <c r="G20" s="15" t="s">
        <v>105</v>
      </c>
      <c r="H20" s="16">
        <f t="shared" ref="H20:P20" si="4">SUM(H18:H19)</f>
        <v>20802</v>
      </c>
      <c r="I20" s="16">
        <f t="shared" si="4"/>
        <v>18682</v>
      </c>
      <c r="J20" s="16">
        <f t="shared" si="4"/>
        <v>17981</v>
      </c>
      <c r="K20" s="16">
        <f t="shared" si="4"/>
        <v>8730</v>
      </c>
      <c r="L20" s="16">
        <f t="shared" si="4"/>
        <v>0</v>
      </c>
      <c r="M20" s="16">
        <f>SUM(M18:M19)</f>
        <v>0</v>
      </c>
      <c r="N20" s="16">
        <f>SUM(N18:N19)</f>
        <v>0</v>
      </c>
      <c r="O20" s="16">
        <f t="shared" si="4"/>
        <v>0</v>
      </c>
      <c r="P20" s="16">
        <f t="shared" si="4"/>
        <v>66195</v>
      </c>
    </row>
    <row r="21" spans="1:16" ht="17.25" customHeight="1" x14ac:dyDescent="0.25">
      <c r="A21" s="106">
        <f>A18+1</f>
        <v>5</v>
      </c>
      <c r="B21" s="102" t="s">
        <v>11</v>
      </c>
      <c r="C21" s="104" t="s">
        <v>48</v>
      </c>
      <c r="D21" s="107">
        <v>39238</v>
      </c>
      <c r="E21" s="109" t="s">
        <v>112</v>
      </c>
      <c r="F21" s="25" t="s">
        <v>115</v>
      </c>
      <c r="G21" s="13" t="s">
        <v>5</v>
      </c>
      <c r="H21" s="14">
        <f>3745-106</f>
        <v>3639</v>
      </c>
      <c r="I21" s="14">
        <v>3412</v>
      </c>
      <c r="J21" s="14">
        <v>3412</v>
      </c>
      <c r="K21" s="19">
        <v>1696</v>
      </c>
      <c r="L21" s="19">
        <v>0</v>
      </c>
      <c r="M21" s="19">
        <v>0</v>
      </c>
      <c r="N21" s="19">
        <v>0</v>
      </c>
      <c r="O21" s="19">
        <v>0</v>
      </c>
      <c r="P21" s="14">
        <f>SUM(H21:O21)</f>
        <v>12159</v>
      </c>
    </row>
    <row r="22" spans="1:16" ht="15.75" customHeight="1" x14ac:dyDescent="0.25">
      <c r="A22" s="106"/>
      <c r="B22" s="102"/>
      <c r="C22" s="104"/>
      <c r="D22" s="107"/>
      <c r="E22" s="109"/>
      <c r="F22" s="20" t="s">
        <v>116</v>
      </c>
      <c r="G22" s="17" t="s">
        <v>8</v>
      </c>
      <c r="H22" s="18">
        <v>521</v>
      </c>
      <c r="I22" s="18">
        <v>327</v>
      </c>
      <c r="J22" s="18">
        <v>188</v>
      </c>
      <c r="K22" s="21">
        <v>43</v>
      </c>
      <c r="L22" s="21">
        <v>0</v>
      </c>
      <c r="M22" s="21">
        <v>0</v>
      </c>
      <c r="N22" s="21">
        <v>0</v>
      </c>
      <c r="O22" s="21">
        <v>0</v>
      </c>
      <c r="P22" s="18">
        <f>SUM(H22:O22)</f>
        <v>1079</v>
      </c>
    </row>
    <row r="23" spans="1:16" ht="15.75" customHeight="1" x14ac:dyDescent="0.25">
      <c r="A23" s="106"/>
      <c r="B23" s="102"/>
      <c r="C23" s="104"/>
      <c r="D23" s="107"/>
      <c r="E23" s="109"/>
      <c r="F23" s="15"/>
      <c r="G23" s="15" t="s">
        <v>105</v>
      </c>
      <c r="H23" s="16">
        <f t="shared" ref="H23:P23" si="5">SUM(H21:H22)</f>
        <v>4160</v>
      </c>
      <c r="I23" s="16">
        <f t="shared" si="5"/>
        <v>3739</v>
      </c>
      <c r="J23" s="16">
        <f t="shared" si="5"/>
        <v>3600</v>
      </c>
      <c r="K23" s="16">
        <f t="shared" si="5"/>
        <v>1739</v>
      </c>
      <c r="L23" s="16">
        <f t="shared" si="5"/>
        <v>0</v>
      </c>
      <c r="M23" s="16">
        <f>SUM(M21:M22)</f>
        <v>0</v>
      </c>
      <c r="N23" s="16">
        <f>SUM(N21:N22)</f>
        <v>0</v>
      </c>
      <c r="O23" s="16">
        <f t="shared" si="5"/>
        <v>0</v>
      </c>
      <c r="P23" s="16">
        <f t="shared" si="5"/>
        <v>13238</v>
      </c>
    </row>
    <row r="24" spans="1:16" ht="16.5" customHeight="1" x14ac:dyDescent="0.25">
      <c r="A24" s="106">
        <f>A21+1</f>
        <v>6</v>
      </c>
      <c r="B24" s="102" t="s">
        <v>11</v>
      </c>
      <c r="C24" s="104" t="s">
        <v>12</v>
      </c>
      <c r="D24" s="107">
        <v>39328</v>
      </c>
      <c r="E24" s="109" t="s">
        <v>119</v>
      </c>
      <c r="F24" s="25" t="s">
        <v>117</v>
      </c>
      <c r="G24" s="13" t="s">
        <v>5</v>
      </c>
      <c r="H24" s="14">
        <v>23523</v>
      </c>
      <c r="I24" s="14">
        <v>23523</v>
      </c>
      <c r="J24" s="14">
        <v>23523</v>
      </c>
      <c r="K24" s="14">
        <v>11684</v>
      </c>
      <c r="L24" s="14">
        <v>0</v>
      </c>
      <c r="M24" s="14">
        <v>0</v>
      </c>
      <c r="N24" s="14">
        <v>0</v>
      </c>
      <c r="O24" s="19">
        <v>0</v>
      </c>
      <c r="P24" s="14">
        <f>SUM(H24:O24)</f>
        <v>82253</v>
      </c>
    </row>
    <row r="25" spans="1:16" ht="16.5" customHeight="1" x14ac:dyDescent="0.25">
      <c r="A25" s="106"/>
      <c r="B25" s="102"/>
      <c r="C25" s="104"/>
      <c r="D25" s="107"/>
      <c r="E25" s="109"/>
      <c r="F25" s="20" t="s">
        <v>118</v>
      </c>
      <c r="G25" s="17" t="s">
        <v>8</v>
      </c>
      <c r="H25" s="18">
        <f>898+200</f>
        <v>1098</v>
      </c>
      <c r="I25" s="18">
        <v>1518</v>
      </c>
      <c r="J25" s="18">
        <v>1224</v>
      </c>
      <c r="K25" s="18">
        <v>320</v>
      </c>
      <c r="L25" s="18">
        <v>0</v>
      </c>
      <c r="M25" s="18">
        <v>0</v>
      </c>
      <c r="N25" s="18">
        <v>0</v>
      </c>
      <c r="O25" s="21">
        <v>0</v>
      </c>
      <c r="P25" s="18">
        <f>SUM(H25:O25)</f>
        <v>4160</v>
      </c>
    </row>
    <row r="26" spans="1:16" ht="15.75" customHeight="1" x14ac:dyDescent="0.25">
      <c r="A26" s="106"/>
      <c r="B26" s="102"/>
      <c r="C26" s="104"/>
      <c r="D26" s="107"/>
      <c r="E26" s="109"/>
      <c r="F26" s="15"/>
      <c r="G26" s="15" t="s">
        <v>105</v>
      </c>
      <c r="H26" s="16">
        <f t="shared" ref="H26:P26" si="6">SUM(H24:H25)</f>
        <v>24621</v>
      </c>
      <c r="I26" s="16">
        <f t="shared" si="6"/>
        <v>25041</v>
      </c>
      <c r="J26" s="16">
        <f t="shared" si="6"/>
        <v>24747</v>
      </c>
      <c r="K26" s="16">
        <f t="shared" si="6"/>
        <v>12004</v>
      </c>
      <c r="L26" s="16">
        <f t="shared" si="6"/>
        <v>0</v>
      </c>
      <c r="M26" s="16">
        <f>SUM(M24:M25)</f>
        <v>0</v>
      </c>
      <c r="N26" s="16">
        <f>SUM(N24:N25)</f>
        <v>0</v>
      </c>
      <c r="O26" s="16">
        <f t="shared" si="6"/>
        <v>0</v>
      </c>
      <c r="P26" s="16">
        <f t="shared" si="6"/>
        <v>86413</v>
      </c>
    </row>
    <row r="27" spans="1:16" ht="17.25" customHeight="1" x14ac:dyDescent="0.25">
      <c r="A27" s="106">
        <f>A24+1</f>
        <v>7</v>
      </c>
      <c r="B27" s="102" t="s">
        <v>11</v>
      </c>
      <c r="C27" s="103" t="s">
        <v>96</v>
      </c>
      <c r="D27" s="107">
        <v>39328</v>
      </c>
      <c r="E27" s="109" t="s">
        <v>122</v>
      </c>
      <c r="F27" s="25" t="s">
        <v>120</v>
      </c>
      <c r="G27" s="13" t="s">
        <v>5</v>
      </c>
      <c r="H27" s="14">
        <f>33204-2374</f>
        <v>30830</v>
      </c>
      <c r="I27" s="14">
        <v>34128</v>
      </c>
      <c r="J27" s="14">
        <v>34128</v>
      </c>
      <c r="K27" s="14">
        <v>17060</v>
      </c>
      <c r="L27" s="14">
        <v>0</v>
      </c>
      <c r="M27" s="14">
        <v>0</v>
      </c>
      <c r="N27" s="14">
        <v>0</v>
      </c>
      <c r="O27" s="19">
        <v>0</v>
      </c>
      <c r="P27" s="14">
        <f>SUM(H27:O27)</f>
        <v>116146</v>
      </c>
    </row>
    <row r="28" spans="1:16" ht="15.75" customHeight="1" x14ac:dyDescent="0.25">
      <c r="A28" s="106"/>
      <c r="B28" s="102"/>
      <c r="C28" s="103"/>
      <c r="D28" s="107"/>
      <c r="E28" s="109"/>
      <c r="F28" s="20" t="s">
        <v>121</v>
      </c>
      <c r="G28" s="17" t="s">
        <v>8</v>
      </c>
      <c r="H28" s="18">
        <f>4285+282+20</f>
        <v>4587</v>
      </c>
      <c r="I28" s="18">
        <v>3277</v>
      </c>
      <c r="J28" s="18">
        <v>1886</v>
      </c>
      <c r="K28" s="18">
        <v>465</v>
      </c>
      <c r="L28" s="18">
        <v>0</v>
      </c>
      <c r="M28" s="18">
        <v>0</v>
      </c>
      <c r="N28" s="18">
        <v>0</v>
      </c>
      <c r="O28" s="21">
        <v>0</v>
      </c>
      <c r="P28" s="18">
        <f>SUM(H28:O28)</f>
        <v>10215</v>
      </c>
    </row>
    <row r="29" spans="1:16" ht="15" customHeight="1" x14ac:dyDescent="0.25">
      <c r="A29" s="106"/>
      <c r="B29" s="102"/>
      <c r="C29" s="103"/>
      <c r="D29" s="107"/>
      <c r="E29" s="109"/>
      <c r="F29" s="15"/>
      <c r="G29" s="15" t="s">
        <v>105</v>
      </c>
      <c r="H29" s="16">
        <f t="shared" ref="H29:O29" si="7">SUM(H27:H28)</f>
        <v>35417</v>
      </c>
      <c r="I29" s="16">
        <f t="shared" si="7"/>
        <v>37405</v>
      </c>
      <c r="J29" s="16">
        <f t="shared" si="7"/>
        <v>36014</v>
      </c>
      <c r="K29" s="16">
        <f t="shared" si="7"/>
        <v>17525</v>
      </c>
      <c r="L29" s="16">
        <f t="shared" si="7"/>
        <v>0</v>
      </c>
      <c r="M29" s="16">
        <f>SUM(M27:M28)</f>
        <v>0</v>
      </c>
      <c r="N29" s="16">
        <f>SUM(N27:N28)</f>
        <v>0</v>
      </c>
      <c r="O29" s="16">
        <f t="shared" si="7"/>
        <v>0</v>
      </c>
      <c r="P29" s="16">
        <f>SUM(P27:P28)</f>
        <v>126361</v>
      </c>
    </row>
    <row r="30" spans="1:16" ht="17.25" customHeight="1" x14ac:dyDescent="0.25">
      <c r="A30" s="106">
        <f>A27+1</f>
        <v>8</v>
      </c>
      <c r="B30" s="102" t="s">
        <v>11</v>
      </c>
      <c r="C30" s="104" t="s">
        <v>69</v>
      </c>
      <c r="D30" s="107">
        <v>39356</v>
      </c>
      <c r="E30" s="109" t="s">
        <v>125</v>
      </c>
      <c r="F30" s="25" t="s">
        <v>123</v>
      </c>
      <c r="G30" s="13" t="s">
        <v>5</v>
      </c>
      <c r="H30" s="14">
        <f>16344-81</f>
        <v>16263</v>
      </c>
      <c r="I30" s="14">
        <v>16376</v>
      </c>
      <c r="J30" s="14">
        <v>16376</v>
      </c>
      <c r="K30" s="14">
        <v>12275</v>
      </c>
      <c r="L30" s="14">
        <v>0</v>
      </c>
      <c r="M30" s="14">
        <v>0</v>
      </c>
      <c r="N30" s="14"/>
      <c r="O30" s="19">
        <v>0</v>
      </c>
      <c r="P30" s="14">
        <f>SUM(H30:O30)</f>
        <v>61290</v>
      </c>
    </row>
    <row r="31" spans="1:16" ht="15.75" customHeight="1" x14ac:dyDescent="0.25">
      <c r="A31" s="106"/>
      <c r="B31" s="102"/>
      <c r="C31" s="104"/>
      <c r="D31" s="107"/>
      <c r="E31" s="109"/>
      <c r="F31" s="20" t="s">
        <v>124</v>
      </c>
      <c r="G31" s="17" t="s">
        <v>8</v>
      </c>
      <c r="H31" s="18">
        <f>2330+149+16</f>
        <v>2495</v>
      </c>
      <c r="I31" s="18">
        <v>1735</v>
      </c>
      <c r="J31" s="18">
        <v>1067</v>
      </c>
      <c r="K31" s="18">
        <v>399</v>
      </c>
      <c r="L31" s="18">
        <v>0</v>
      </c>
      <c r="M31" s="18">
        <v>0</v>
      </c>
      <c r="N31" s="18"/>
      <c r="O31" s="21">
        <v>0</v>
      </c>
      <c r="P31" s="18">
        <f>SUM(H31:O31)</f>
        <v>5696</v>
      </c>
    </row>
    <row r="32" spans="1:16" ht="15" customHeight="1" x14ac:dyDescent="0.25">
      <c r="A32" s="106"/>
      <c r="B32" s="102"/>
      <c r="C32" s="104"/>
      <c r="D32" s="107"/>
      <c r="E32" s="109"/>
      <c r="F32" s="15"/>
      <c r="G32" s="15" t="s">
        <v>105</v>
      </c>
      <c r="H32" s="16">
        <f t="shared" ref="H32:O32" si="8">SUM(H30:H31)</f>
        <v>18758</v>
      </c>
      <c r="I32" s="16">
        <f t="shared" si="8"/>
        <v>18111</v>
      </c>
      <c r="J32" s="16">
        <f t="shared" si="8"/>
        <v>17443</v>
      </c>
      <c r="K32" s="16">
        <f t="shared" si="8"/>
        <v>12674</v>
      </c>
      <c r="L32" s="16">
        <f t="shared" si="8"/>
        <v>0</v>
      </c>
      <c r="M32" s="16">
        <f>SUM(M30:M31)</f>
        <v>0</v>
      </c>
      <c r="N32" s="16"/>
      <c r="O32" s="16">
        <f t="shared" si="8"/>
        <v>0</v>
      </c>
      <c r="P32" s="16">
        <f>SUM(H32:O32)</f>
        <v>66986</v>
      </c>
    </row>
    <row r="33" spans="1:16" ht="17.25" customHeight="1" x14ac:dyDescent="0.25">
      <c r="A33" s="106">
        <f>A30+1</f>
        <v>9</v>
      </c>
      <c r="B33" s="102" t="s">
        <v>11</v>
      </c>
      <c r="C33" s="103" t="s">
        <v>95</v>
      </c>
      <c r="D33" s="107">
        <v>39434</v>
      </c>
      <c r="E33" s="109" t="s">
        <v>126</v>
      </c>
      <c r="F33" s="41" t="s">
        <v>127</v>
      </c>
      <c r="G33" s="13" t="s">
        <v>5</v>
      </c>
      <c r="H33" s="14">
        <f>45532-1962</f>
        <v>43570</v>
      </c>
      <c r="I33" s="14">
        <v>56148</v>
      </c>
      <c r="J33" s="14">
        <v>56148</v>
      </c>
      <c r="K33" s="14">
        <v>56139</v>
      </c>
      <c r="L33" s="14">
        <v>0</v>
      </c>
      <c r="M33" s="14">
        <v>0</v>
      </c>
      <c r="N33" s="14">
        <v>1</v>
      </c>
      <c r="O33" s="19">
        <v>0</v>
      </c>
      <c r="P33" s="14">
        <f>SUM(H33:O33)</f>
        <v>212006</v>
      </c>
    </row>
    <row r="34" spans="1:16" ht="16.5" customHeight="1" x14ac:dyDescent="0.25">
      <c r="A34" s="106"/>
      <c r="B34" s="102"/>
      <c r="C34" s="103"/>
      <c r="D34" s="107"/>
      <c r="E34" s="109"/>
      <c r="F34" s="20" t="s">
        <v>128</v>
      </c>
      <c r="G34" s="17" t="s">
        <v>8</v>
      </c>
      <c r="H34" s="18">
        <f>8245+521+53</f>
        <v>8819</v>
      </c>
      <c r="I34" s="18">
        <v>6762</v>
      </c>
      <c r="J34" s="18">
        <v>4409</v>
      </c>
      <c r="K34" s="18">
        <v>2019</v>
      </c>
      <c r="L34" s="18">
        <v>131</v>
      </c>
      <c r="M34" s="18"/>
      <c r="N34" s="18"/>
      <c r="O34" s="21">
        <v>0</v>
      </c>
      <c r="P34" s="18">
        <f>SUM(H34:O34)</f>
        <v>22140</v>
      </c>
    </row>
    <row r="35" spans="1:16" ht="15" customHeight="1" x14ac:dyDescent="0.25">
      <c r="A35" s="106"/>
      <c r="B35" s="116"/>
      <c r="C35" s="117"/>
      <c r="D35" s="110"/>
      <c r="E35" s="113"/>
      <c r="F35" s="26"/>
      <c r="G35" s="26" t="s">
        <v>105</v>
      </c>
      <c r="H35" s="16">
        <f t="shared" ref="H35:P35" si="9">SUM(H33:H34)</f>
        <v>52389</v>
      </c>
      <c r="I35" s="16">
        <f t="shared" si="9"/>
        <v>62910</v>
      </c>
      <c r="J35" s="16">
        <f t="shared" si="9"/>
        <v>60557</v>
      </c>
      <c r="K35" s="16">
        <f t="shared" si="9"/>
        <v>58158</v>
      </c>
      <c r="L35" s="16">
        <f t="shared" si="9"/>
        <v>131</v>
      </c>
      <c r="M35" s="16">
        <f t="shared" si="9"/>
        <v>0</v>
      </c>
      <c r="N35" s="16">
        <f>SUM(N33:N34)</f>
        <v>1</v>
      </c>
      <c r="O35" s="16">
        <f t="shared" si="9"/>
        <v>0</v>
      </c>
      <c r="P35" s="16">
        <f t="shared" si="9"/>
        <v>234146</v>
      </c>
    </row>
    <row r="36" spans="1:16" ht="17.25" customHeight="1" x14ac:dyDescent="0.25">
      <c r="A36" s="106">
        <f>A33+1</f>
        <v>10</v>
      </c>
      <c r="B36" s="102" t="s">
        <v>11</v>
      </c>
      <c r="C36" s="103" t="s">
        <v>97</v>
      </c>
      <c r="D36" s="107">
        <v>39556</v>
      </c>
      <c r="E36" s="109" t="s">
        <v>131</v>
      </c>
      <c r="F36" s="41" t="s">
        <v>129</v>
      </c>
      <c r="G36" s="13" t="s">
        <v>5</v>
      </c>
      <c r="H36" s="14">
        <f>110871-1-10031</f>
        <v>100839</v>
      </c>
      <c r="I36" s="14">
        <v>105836</v>
      </c>
      <c r="J36" s="14">
        <v>105836</v>
      </c>
      <c r="K36" s="14">
        <v>105836</v>
      </c>
      <c r="L36" s="14">
        <f>26459+26449</f>
        <v>52908</v>
      </c>
      <c r="M36" s="14">
        <v>0</v>
      </c>
      <c r="N36" s="14"/>
      <c r="O36" s="14">
        <v>0</v>
      </c>
      <c r="P36" s="14">
        <f>SUM(H36:O36)</f>
        <v>471255</v>
      </c>
    </row>
    <row r="37" spans="1:16" ht="17.25" customHeight="1" x14ac:dyDescent="0.25">
      <c r="A37" s="106"/>
      <c r="B37" s="102"/>
      <c r="C37" s="103"/>
      <c r="D37" s="107"/>
      <c r="E37" s="109"/>
      <c r="F37" s="20" t="s">
        <v>130</v>
      </c>
      <c r="G37" s="17" t="s">
        <v>8</v>
      </c>
      <c r="H37" s="18">
        <f>17532+1153+88</f>
        <v>18773</v>
      </c>
      <c r="I37" s="18">
        <f>13623+896</f>
        <v>14519</v>
      </c>
      <c r="J37" s="18">
        <f>9566+629</f>
        <v>10195</v>
      </c>
      <c r="K37" s="18">
        <f>5486+361</f>
        <v>5847</v>
      </c>
      <c r="L37" s="18">
        <f>1265+83</f>
        <v>1348</v>
      </c>
      <c r="M37" s="18"/>
      <c r="N37" s="18"/>
      <c r="O37" s="18"/>
      <c r="P37" s="18">
        <f>SUM(H37:O37)</f>
        <v>50682</v>
      </c>
    </row>
    <row r="38" spans="1:16" ht="17.25" customHeight="1" x14ac:dyDescent="0.25">
      <c r="A38" s="106"/>
      <c r="B38" s="102"/>
      <c r="C38" s="103"/>
      <c r="D38" s="107"/>
      <c r="E38" s="109"/>
      <c r="F38" s="15"/>
      <c r="G38" s="15" t="s">
        <v>105</v>
      </c>
      <c r="H38" s="16">
        <f t="shared" ref="H38:P38" si="10">SUM(H36:H37)</f>
        <v>119612</v>
      </c>
      <c r="I38" s="16">
        <f t="shared" si="10"/>
        <v>120355</v>
      </c>
      <c r="J38" s="16">
        <f t="shared" si="10"/>
        <v>116031</v>
      </c>
      <c r="K38" s="16">
        <f t="shared" si="10"/>
        <v>111683</v>
      </c>
      <c r="L38" s="16">
        <f t="shared" si="10"/>
        <v>54256</v>
      </c>
      <c r="M38" s="16">
        <f t="shared" si="10"/>
        <v>0</v>
      </c>
      <c r="N38" s="16"/>
      <c r="O38" s="16">
        <f t="shared" si="10"/>
        <v>0</v>
      </c>
      <c r="P38" s="16">
        <f t="shared" si="10"/>
        <v>521937</v>
      </c>
    </row>
    <row r="39" spans="1:16" ht="17.25" customHeight="1" x14ac:dyDescent="0.25">
      <c r="A39" s="106">
        <f>A36+1</f>
        <v>11</v>
      </c>
      <c r="B39" s="102" t="s">
        <v>11</v>
      </c>
      <c r="C39" s="104" t="s">
        <v>612</v>
      </c>
      <c r="D39" s="107">
        <v>39575</v>
      </c>
      <c r="E39" s="109" t="s">
        <v>134</v>
      </c>
      <c r="F39" s="25" t="s">
        <v>132</v>
      </c>
      <c r="G39" s="13" t="s">
        <v>5</v>
      </c>
      <c r="H39" s="14">
        <v>40654</v>
      </c>
      <c r="I39" s="14">
        <v>40654</v>
      </c>
      <c r="J39" s="14">
        <v>40654</v>
      </c>
      <c r="K39" s="14">
        <v>40654</v>
      </c>
      <c r="L39" s="14">
        <v>40654</v>
      </c>
      <c r="M39" s="14">
        <v>40654</v>
      </c>
      <c r="N39" s="14">
        <v>40654</v>
      </c>
      <c r="O39" s="14">
        <f>142272-40654</f>
        <v>101618</v>
      </c>
      <c r="P39" s="14">
        <f>SUM(H39:O39)</f>
        <v>386196</v>
      </c>
    </row>
    <row r="40" spans="1:16" ht="17.25" customHeight="1" x14ac:dyDescent="0.25">
      <c r="A40" s="106"/>
      <c r="B40" s="102"/>
      <c r="C40" s="104"/>
      <c r="D40" s="107"/>
      <c r="E40" s="109"/>
      <c r="F40" s="20" t="s">
        <v>133</v>
      </c>
      <c r="G40" s="17" t="s">
        <v>8</v>
      </c>
      <c r="H40" s="18">
        <f>4341+965</f>
        <v>5306</v>
      </c>
      <c r="I40" s="18">
        <v>9655</v>
      </c>
      <c r="J40" s="18">
        <f>10804+6+757</f>
        <v>11567</v>
      </c>
      <c r="K40" s="18">
        <f>9332+5+654</f>
        <v>9991</v>
      </c>
      <c r="L40" s="18">
        <f>7880+4+552</f>
        <v>8436</v>
      </c>
      <c r="M40" s="18">
        <f>6387+3+447</f>
        <v>6837</v>
      </c>
      <c r="N40" s="18">
        <f>4916+3+344</f>
        <v>5263</v>
      </c>
      <c r="O40" s="18">
        <v>6304</v>
      </c>
      <c r="P40" s="18">
        <f>SUM(H40:O40)</f>
        <v>63359</v>
      </c>
    </row>
    <row r="41" spans="1:16" ht="17.25" customHeight="1" x14ac:dyDescent="0.25">
      <c r="A41" s="106"/>
      <c r="B41" s="116"/>
      <c r="C41" s="118"/>
      <c r="D41" s="110"/>
      <c r="E41" s="113"/>
      <c r="F41" s="26"/>
      <c r="G41" s="26" t="s">
        <v>105</v>
      </c>
      <c r="H41" s="16">
        <f t="shared" ref="H41:P41" si="11">SUM(H39:H40)</f>
        <v>45960</v>
      </c>
      <c r="I41" s="16">
        <f t="shared" si="11"/>
        <v>50309</v>
      </c>
      <c r="J41" s="16">
        <f t="shared" si="11"/>
        <v>52221</v>
      </c>
      <c r="K41" s="16">
        <f t="shared" si="11"/>
        <v>50645</v>
      </c>
      <c r="L41" s="16">
        <f t="shared" si="11"/>
        <v>49090</v>
      </c>
      <c r="M41" s="16">
        <f t="shared" si="11"/>
        <v>47491</v>
      </c>
      <c r="N41" s="16">
        <f t="shared" si="11"/>
        <v>45917</v>
      </c>
      <c r="O41" s="16">
        <f t="shared" si="11"/>
        <v>107922</v>
      </c>
      <c r="P41" s="16">
        <f t="shared" si="11"/>
        <v>449555</v>
      </c>
    </row>
    <row r="42" spans="1:16" ht="17.25" customHeight="1" x14ac:dyDescent="0.25">
      <c r="A42" s="106">
        <f>A39+1</f>
        <v>12</v>
      </c>
      <c r="B42" s="102" t="s">
        <v>11</v>
      </c>
      <c r="C42" s="104" t="s">
        <v>49</v>
      </c>
      <c r="D42" s="107">
        <v>39596</v>
      </c>
      <c r="E42" s="109" t="s">
        <v>134</v>
      </c>
      <c r="F42" s="25" t="s">
        <v>135</v>
      </c>
      <c r="G42" s="13" t="s">
        <v>5</v>
      </c>
      <c r="H42" s="14">
        <f>17302-2338</f>
        <v>14964</v>
      </c>
      <c r="I42" s="14">
        <v>17012</v>
      </c>
      <c r="J42" s="14">
        <v>17012</v>
      </c>
      <c r="K42" s="14">
        <v>17012</v>
      </c>
      <c r="L42" s="14">
        <v>17012</v>
      </c>
      <c r="M42" s="14">
        <v>17012</v>
      </c>
      <c r="N42" s="14">
        <v>17012</v>
      </c>
      <c r="O42" s="14">
        <f>42520</f>
        <v>42520</v>
      </c>
      <c r="P42" s="14">
        <f>SUM(H42:O42)</f>
        <v>159556</v>
      </c>
    </row>
    <row r="43" spans="1:16" ht="17.25" customHeight="1" x14ac:dyDescent="0.25">
      <c r="A43" s="106"/>
      <c r="B43" s="102"/>
      <c r="C43" s="104"/>
      <c r="D43" s="107"/>
      <c r="E43" s="109"/>
      <c r="F43" s="20" t="s">
        <v>136</v>
      </c>
      <c r="G43" s="17" t="s">
        <v>8</v>
      </c>
      <c r="H43" s="18">
        <f>6655+399+22</f>
        <v>7076</v>
      </c>
      <c r="I43" s="18">
        <v>5805</v>
      </c>
      <c r="J43" s="18">
        <f>4787+317</f>
        <v>5104</v>
      </c>
      <c r="K43" s="18">
        <f>4135+274</f>
        <v>4409</v>
      </c>
      <c r="L43" s="18">
        <f>3491+231</f>
        <v>3722</v>
      </c>
      <c r="M43" s="18">
        <f>2830+187</f>
        <v>3017</v>
      </c>
      <c r="N43" s="18">
        <f>2178+144</f>
        <v>2322</v>
      </c>
      <c r="O43" s="18">
        <f>2608+173</f>
        <v>2781</v>
      </c>
      <c r="P43" s="18">
        <f>SUM(H43:O43)</f>
        <v>34236</v>
      </c>
    </row>
    <row r="44" spans="1:16" ht="17.25" customHeight="1" x14ac:dyDescent="0.25">
      <c r="A44" s="106"/>
      <c r="B44" s="102"/>
      <c r="C44" s="104"/>
      <c r="D44" s="107"/>
      <c r="E44" s="109"/>
      <c r="F44" s="15"/>
      <c r="G44" s="15" t="s">
        <v>105</v>
      </c>
      <c r="H44" s="16">
        <f t="shared" ref="H44:P44" si="12">SUM(H42:H43)</f>
        <v>22040</v>
      </c>
      <c r="I44" s="16">
        <f t="shared" si="12"/>
        <v>22817</v>
      </c>
      <c r="J44" s="16">
        <f t="shared" si="12"/>
        <v>22116</v>
      </c>
      <c r="K44" s="16">
        <f t="shared" si="12"/>
        <v>21421</v>
      </c>
      <c r="L44" s="16">
        <f t="shared" si="12"/>
        <v>20734</v>
      </c>
      <c r="M44" s="16">
        <f t="shared" si="12"/>
        <v>20029</v>
      </c>
      <c r="N44" s="16">
        <f t="shared" si="12"/>
        <v>19334</v>
      </c>
      <c r="O44" s="16">
        <f t="shared" si="12"/>
        <v>45301</v>
      </c>
      <c r="P44" s="16">
        <f t="shared" si="12"/>
        <v>193792</v>
      </c>
    </row>
    <row r="45" spans="1:16" ht="16.5" customHeight="1" x14ac:dyDescent="0.25">
      <c r="A45" s="106">
        <f>A42+1</f>
        <v>13</v>
      </c>
      <c r="B45" s="102" t="s">
        <v>11</v>
      </c>
      <c r="C45" s="103" t="s">
        <v>95</v>
      </c>
      <c r="D45" s="107">
        <v>39597</v>
      </c>
      <c r="E45" s="109" t="s">
        <v>139</v>
      </c>
      <c r="F45" s="25" t="s">
        <v>137</v>
      </c>
      <c r="G45" s="13" t="s">
        <v>5</v>
      </c>
      <c r="H45" s="14">
        <f>28458-1689</f>
        <v>26769</v>
      </c>
      <c r="I45" s="14">
        <f>28457+423</f>
        <v>28880</v>
      </c>
      <c r="J45" s="14">
        <f>28457+423</f>
        <v>28880</v>
      </c>
      <c r="K45" s="14">
        <f>34149+419</f>
        <v>34568</v>
      </c>
      <c r="L45" s="14">
        <f>43540+424</f>
        <v>43964</v>
      </c>
      <c r="M45" s="14">
        <v>0</v>
      </c>
      <c r="N45" s="14">
        <v>0</v>
      </c>
      <c r="O45" s="14">
        <v>0</v>
      </c>
      <c r="P45" s="14">
        <f>SUM(H45:O45)</f>
        <v>163061</v>
      </c>
    </row>
    <row r="46" spans="1:16" ht="16.5" customHeight="1" x14ac:dyDescent="0.25">
      <c r="A46" s="106"/>
      <c r="B46" s="102"/>
      <c r="C46" s="103"/>
      <c r="D46" s="107"/>
      <c r="E46" s="109"/>
      <c r="F46" s="20" t="s">
        <v>138</v>
      </c>
      <c r="G46" s="17" t="s">
        <v>8</v>
      </c>
      <c r="H46" s="18">
        <f>6383+403+43</f>
        <v>6829</v>
      </c>
      <c r="I46" s="18">
        <f>5266+334</f>
        <v>5600</v>
      </c>
      <c r="J46" s="18">
        <f>4118+261</f>
        <v>4379</v>
      </c>
      <c r="K46" s="18">
        <f>2915+185</f>
        <v>3100</v>
      </c>
      <c r="L46" s="18">
        <f>1467+93</f>
        <v>1560</v>
      </c>
      <c r="M46" s="77">
        <f>60+4</f>
        <v>64</v>
      </c>
      <c r="N46" s="18">
        <v>0</v>
      </c>
      <c r="O46" s="18">
        <v>0</v>
      </c>
      <c r="P46" s="18">
        <f>SUM(H46:O46)</f>
        <v>21532</v>
      </c>
    </row>
    <row r="47" spans="1:16" ht="16.5" customHeight="1" x14ac:dyDescent="0.25">
      <c r="A47" s="106"/>
      <c r="B47" s="102"/>
      <c r="C47" s="103"/>
      <c r="D47" s="107"/>
      <c r="E47" s="109"/>
      <c r="F47" s="15"/>
      <c r="G47" s="15" t="s">
        <v>105</v>
      </c>
      <c r="H47" s="16">
        <f t="shared" ref="H47:P47" si="13">SUM(H45:H46)</f>
        <v>33598</v>
      </c>
      <c r="I47" s="16">
        <f t="shared" si="13"/>
        <v>34480</v>
      </c>
      <c r="J47" s="16">
        <f t="shared" si="13"/>
        <v>33259</v>
      </c>
      <c r="K47" s="16">
        <f t="shared" si="13"/>
        <v>37668</v>
      </c>
      <c r="L47" s="16">
        <f t="shared" si="13"/>
        <v>45524</v>
      </c>
      <c r="M47" s="16">
        <f t="shared" si="13"/>
        <v>64</v>
      </c>
      <c r="N47" s="16">
        <f t="shared" si="13"/>
        <v>0</v>
      </c>
      <c r="O47" s="16">
        <f t="shared" si="13"/>
        <v>0</v>
      </c>
      <c r="P47" s="16">
        <f t="shared" si="13"/>
        <v>184593</v>
      </c>
    </row>
    <row r="48" spans="1:16" ht="19.5" customHeight="1" x14ac:dyDescent="0.25">
      <c r="A48" s="106">
        <f>A45+1</f>
        <v>14</v>
      </c>
      <c r="B48" s="102" t="s">
        <v>11</v>
      </c>
      <c r="C48" s="103" t="s">
        <v>461</v>
      </c>
      <c r="D48" s="107">
        <v>39632</v>
      </c>
      <c r="E48" s="109" t="s">
        <v>140</v>
      </c>
      <c r="F48" s="41" t="s">
        <v>141</v>
      </c>
      <c r="G48" s="13" t="s">
        <v>5</v>
      </c>
      <c r="H48" s="14">
        <f>8822-1965.8</f>
        <v>6856.2</v>
      </c>
      <c r="I48" s="14">
        <v>9052</v>
      </c>
      <c r="J48" s="14">
        <v>9052</v>
      </c>
      <c r="K48" s="14">
        <v>9052</v>
      </c>
      <c r="L48" s="14">
        <v>9052</v>
      </c>
      <c r="M48" s="14">
        <v>9052</v>
      </c>
      <c r="N48" s="14">
        <v>9052</v>
      </c>
      <c r="O48" s="14">
        <f>22040+585</f>
        <v>22625</v>
      </c>
      <c r="P48" s="14">
        <f>SUM(H48:O48)</f>
        <v>83793.2</v>
      </c>
    </row>
    <row r="49" spans="1:16" ht="16.95" customHeight="1" x14ac:dyDescent="0.25">
      <c r="A49" s="106"/>
      <c r="B49" s="102"/>
      <c r="C49" s="104"/>
      <c r="D49" s="107"/>
      <c r="E49" s="109"/>
      <c r="F49" s="20" t="s">
        <v>142</v>
      </c>
      <c r="G49" s="17" t="s">
        <v>8</v>
      </c>
      <c r="H49" s="18">
        <f>3183+210+17</f>
        <v>3410</v>
      </c>
      <c r="I49" s="18">
        <f>2905+191</f>
        <v>3096</v>
      </c>
      <c r="J49" s="18">
        <f>2561+169</f>
        <v>2730</v>
      </c>
      <c r="K49" s="18">
        <f>2212+146</f>
        <v>2358</v>
      </c>
      <c r="L49" s="18">
        <f>1822+123</f>
        <v>1945</v>
      </c>
      <c r="M49" s="18">
        <f>1355+100</f>
        <v>1455</v>
      </c>
      <c r="N49" s="18">
        <f>1043+77</f>
        <v>1120</v>
      </c>
      <c r="O49" s="18">
        <f>1262+93</f>
        <v>1355</v>
      </c>
      <c r="P49" s="18">
        <f>SUM(H49:O49)</f>
        <v>17469</v>
      </c>
    </row>
    <row r="50" spans="1:16" ht="16.2" customHeight="1" x14ac:dyDescent="0.25">
      <c r="A50" s="106"/>
      <c r="B50" s="102"/>
      <c r="C50" s="104"/>
      <c r="D50" s="107"/>
      <c r="E50" s="109"/>
      <c r="F50" s="15"/>
      <c r="G50" s="15" t="s">
        <v>105</v>
      </c>
      <c r="H50" s="16">
        <f t="shared" ref="H50:P50" si="14">SUM(H48:H49)</f>
        <v>10266.200000000001</v>
      </c>
      <c r="I50" s="16">
        <f t="shared" si="14"/>
        <v>12148</v>
      </c>
      <c r="J50" s="16">
        <f t="shared" si="14"/>
        <v>11782</v>
      </c>
      <c r="K50" s="16">
        <f t="shared" si="14"/>
        <v>11410</v>
      </c>
      <c r="L50" s="16">
        <f t="shared" si="14"/>
        <v>10997</v>
      </c>
      <c r="M50" s="16">
        <f t="shared" si="14"/>
        <v>10507</v>
      </c>
      <c r="N50" s="16">
        <f t="shared" si="14"/>
        <v>10172</v>
      </c>
      <c r="O50" s="16">
        <f t="shared" si="14"/>
        <v>23980</v>
      </c>
      <c r="P50" s="16">
        <f t="shared" si="14"/>
        <v>101262.2</v>
      </c>
    </row>
    <row r="51" spans="1:16" ht="19.5" customHeight="1" x14ac:dyDescent="0.25">
      <c r="A51" s="106">
        <f>A48+1</f>
        <v>15</v>
      </c>
      <c r="B51" s="102" t="s">
        <v>11</v>
      </c>
      <c r="C51" s="104" t="s">
        <v>52</v>
      </c>
      <c r="D51" s="107">
        <v>39749</v>
      </c>
      <c r="E51" s="109" t="s">
        <v>145</v>
      </c>
      <c r="F51" s="41" t="s">
        <v>143</v>
      </c>
      <c r="G51" s="13" t="s">
        <v>5</v>
      </c>
      <c r="H51" s="14">
        <f>59561-2874</f>
        <v>56687</v>
      </c>
      <c r="I51" s="14">
        <v>60276</v>
      </c>
      <c r="J51" s="14">
        <v>60276</v>
      </c>
      <c r="K51" s="14">
        <v>60276</v>
      </c>
      <c r="L51" s="14">
        <v>60269</v>
      </c>
      <c r="M51" s="14">
        <v>0</v>
      </c>
      <c r="N51" s="14">
        <v>0</v>
      </c>
      <c r="O51" s="14">
        <v>0</v>
      </c>
      <c r="P51" s="14">
        <f>SUM(H51:O51)</f>
        <v>297784</v>
      </c>
    </row>
    <row r="52" spans="1:16" ht="16.95" customHeight="1" x14ac:dyDescent="0.25">
      <c r="A52" s="106"/>
      <c r="B52" s="102"/>
      <c r="C52" s="104"/>
      <c r="D52" s="107"/>
      <c r="E52" s="109"/>
      <c r="F52" s="20" t="s">
        <v>144</v>
      </c>
      <c r="G52" s="17" t="s">
        <v>8</v>
      </c>
      <c r="H52" s="18">
        <f>11609+733+75</f>
        <v>12417</v>
      </c>
      <c r="I52" s="18">
        <f>9258+587</f>
        <v>9845</v>
      </c>
      <c r="J52" s="18">
        <f>6861+435</f>
        <v>7296</v>
      </c>
      <c r="K52" s="18">
        <f>4449+282</f>
        <v>4731</v>
      </c>
      <c r="L52" s="18">
        <f>2039+129</f>
        <v>2168</v>
      </c>
      <c r="M52" s="18">
        <v>140</v>
      </c>
      <c r="N52" s="18">
        <v>0</v>
      </c>
      <c r="O52" s="18">
        <v>0</v>
      </c>
      <c r="P52" s="18">
        <f>SUM(H52:O52)</f>
        <v>36597</v>
      </c>
    </row>
    <row r="53" spans="1:16" ht="18" customHeight="1" x14ac:dyDescent="0.25">
      <c r="A53" s="106"/>
      <c r="B53" s="102"/>
      <c r="C53" s="104"/>
      <c r="D53" s="107"/>
      <c r="E53" s="109"/>
      <c r="F53" s="15"/>
      <c r="G53" s="15" t="s">
        <v>105</v>
      </c>
      <c r="H53" s="16">
        <f t="shared" ref="H53:P53" si="15">SUM(H51:H52)</f>
        <v>69104</v>
      </c>
      <c r="I53" s="16">
        <f t="shared" si="15"/>
        <v>70121</v>
      </c>
      <c r="J53" s="16">
        <f t="shared" si="15"/>
        <v>67572</v>
      </c>
      <c r="K53" s="16">
        <f t="shared" si="15"/>
        <v>65007</v>
      </c>
      <c r="L53" s="16">
        <f t="shared" si="15"/>
        <v>62437</v>
      </c>
      <c r="M53" s="16">
        <f t="shared" si="15"/>
        <v>140</v>
      </c>
      <c r="N53" s="16">
        <f>SUM(N51:N52)</f>
        <v>0</v>
      </c>
      <c r="O53" s="16">
        <f t="shared" si="15"/>
        <v>0</v>
      </c>
      <c r="P53" s="16">
        <f t="shared" si="15"/>
        <v>334381</v>
      </c>
    </row>
    <row r="54" spans="1:16" ht="17.399999999999999" customHeight="1" x14ac:dyDescent="0.25">
      <c r="A54" s="119">
        <f>A51+1</f>
        <v>16</v>
      </c>
      <c r="B54" s="116" t="s">
        <v>11</v>
      </c>
      <c r="C54" s="118" t="s">
        <v>613</v>
      </c>
      <c r="D54" s="110">
        <v>39794</v>
      </c>
      <c r="E54" s="113" t="s">
        <v>148</v>
      </c>
      <c r="F54" s="41" t="s">
        <v>146</v>
      </c>
      <c r="G54" s="13" t="s">
        <v>5</v>
      </c>
      <c r="H54" s="14">
        <v>5538</v>
      </c>
      <c r="I54" s="14">
        <v>5538</v>
      </c>
      <c r="J54" s="14">
        <v>5538</v>
      </c>
      <c r="K54" s="14">
        <v>5538</v>
      </c>
      <c r="L54" s="14">
        <v>5538</v>
      </c>
      <c r="M54" s="14">
        <v>5538</v>
      </c>
      <c r="N54" s="14">
        <v>5538</v>
      </c>
      <c r="O54" s="14">
        <f>49720-5538</f>
        <v>44182</v>
      </c>
      <c r="P54" s="14">
        <f>SUM(H54:O54)</f>
        <v>82948</v>
      </c>
    </row>
    <row r="55" spans="1:16" ht="17.25" customHeight="1" x14ac:dyDescent="0.25">
      <c r="A55" s="120"/>
      <c r="B55" s="122"/>
      <c r="C55" s="124"/>
      <c r="D55" s="111"/>
      <c r="E55" s="114"/>
      <c r="F55" s="20" t="s">
        <v>147</v>
      </c>
      <c r="G55" s="17" t="s">
        <v>8</v>
      </c>
      <c r="H55" s="18">
        <f>938+209</f>
        <v>1147</v>
      </c>
      <c r="I55" s="18">
        <f>1994+194</f>
        <v>2188</v>
      </c>
      <c r="J55" s="18">
        <f>2571+180</f>
        <v>2751</v>
      </c>
      <c r="K55" s="18">
        <f>2369+166</f>
        <v>2535</v>
      </c>
      <c r="L55" s="18">
        <f>2175+152</f>
        <v>2327</v>
      </c>
      <c r="M55" s="18">
        <f>1969+138</f>
        <v>2107</v>
      </c>
      <c r="N55" s="18">
        <f>1768+124</f>
        <v>1892</v>
      </c>
      <c r="O55" s="18">
        <v>7435</v>
      </c>
      <c r="P55" s="18">
        <f>SUM(H55:O55)</f>
        <v>22382</v>
      </c>
    </row>
    <row r="56" spans="1:16" ht="17.25" customHeight="1" x14ac:dyDescent="0.25">
      <c r="A56" s="121"/>
      <c r="B56" s="123"/>
      <c r="C56" s="125"/>
      <c r="D56" s="112"/>
      <c r="E56" s="115"/>
      <c r="F56" s="26"/>
      <c r="G56" s="26" t="s">
        <v>105</v>
      </c>
      <c r="H56" s="16">
        <f t="shared" ref="H56:P56" si="16">SUM(H54:H55)</f>
        <v>6685</v>
      </c>
      <c r="I56" s="16">
        <f t="shared" si="16"/>
        <v>7726</v>
      </c>
      <c r="J56" s="16">
        <f t="shared" si="16"/>
        <v>8289</v>
      </c>
      <c r="K56" s="16">
        <f t="shared" si="16"/>
        <v>8073</v>
      </c>
      <c r="L56" s="16">
        <f t="shared" si="16"/>
        <v>7865</v>
      </c>
      <c r="M56" s="16">
        <f t="shared" si="16"/>
        <v>7645</v>
      </c>
      <c r="N56" s="16">
        <f t="shared" si="16"/>
        <v>7430</v>
      </c>
      <c r="O56" s="16">
        <f t="shared" si="16"/>
        <v>51617</v>
      </c>
      <c r="P56" s="16">
        <f t="shared" si="16"/>
        <v>105330</v>
      </c>
    </row>
    <row r="57" spans="1:16" ht="18.600000000000001" customHeight="1" x14ac:dyDescent="0.25">
      <c r="A57" s="119">
        <f>A54+1</f>
        <v>17</v>
      </c>
      <c r="B57" s="116" t="s">
        <v>11</v>
      </c>
      <c r="C57" s="118" t="s">
        <v>86</v>
      </c>
      <c r="D57" s="110">
        <v>39920</v>
      </c>
      <c r="E57" s="113" t="s">
        <v>151</v>
      </c>
      <c r="F57" s="41" t="s">
        <v>149</v>
      </c>
      <c r="G57" s="13" t="s">
        <v>5</v>
      </c>
      <c r="H57" s="14">
        <v>3136</v>
      </c>
      <c r="I57" s="14">
        <v>3136</v>
      </c>
      <c r="J57" s="14">
        <v>3136</v>
      </c>
      <c r="K57" s="14">
        <v>3136</v>
      </c>
      <c r="L57" s="14">
        <v>3136</v>
      </c>
      <c r="M57" s="14">
        <v>784</v>
      </c>
      <c r="N57" s="19">
        <v>0</v>
      </c>
      <c r="O57" s="19">
        <v>0</v>
      </c>
      <c r="P57" s="14">
        <f>SUM(H57:O57)</f>
        <v>16464</v>
      </c>
    </row>
    <row r="58" spans="1:16" ht="16.5" customHeight="1" x14ac:dyDescent="0.25">
      <c r="A58" s="120"/>
      <c r="B58" s="122"/>
      <c r="C58" s="124"/>
      <c r="D58" s="111"/>
      <c r="E58" s="114"/>
      <c r="F58" s="20" t="s">
        <v>150</v>
      </c>
      <c r="G58" s="17" t="s">
        <v>8</v>
      </c>
      <c r="H58" s="18">
        <v>728</v>
      </c>
      <c r="I58" s="18">
        <v>584</v>
      </c>
      <c r="J58" s="18">
        <v>442</v>
      </c>
      <c r="K58" s="18">
        <v>299</v>
      </c>
      <c r="L58" s="18">
        <v>156</v>
      </c>
      <c r="M58" s="18">
        <v>24</v>
      </c>
      <c r="N58" s="21">
        <v>0</v>
      </c>
      <c r="O58" s="21">
        <v>0</v>
      </c>
      <c r="P58" s="18">
        <f>SUM(H58:O58)</f>
        <v>2233</v>
      </c>
    </row>
    <row r="59" spans="1:16" ht="16.5" customHeight="1" x14ac:dyDescent="0.25">
      <c r="A59" s="121"/>
      <c r="B59" s="123"/>
      <c r="C59" s="125"/>
      <c r="D59" s="112"/>
      <c r="E59" s="115"/>
      <c r="F59" s="15"/>
      <c r="G59" s="15" t="s">
        <v>105</v>
      </c>
      <c r="H59" s="16">
        <f t="shared" ref="H59:P59" si="17">SUM(H57:H58)</f>
        <v>3864</v>
      </c>
      <c r="I59" s="16">
        <f t="shared" si="17"/>
        <v>3720</v>
      </c>
      <c r="J59" s="16">
        <f t="shared" si="17"/>
        <v>3578</v>
      </c>
      <c r="K59" s="16">
        <f t="shared" si="17"/>
        <v>3435</v>
      </c>
      <c r="L59" s="16">
        <f t="shared" si="17"/>
        <v>3292</v>
      </c>
      <c r="M59" s="16">
        <f t="shared" si="17"/>
        <v>808</v>
      </c>
      <c r="N59" s="16">
        <f t="shared" si="17"/>
        <v>0</v>
      </c>
      <c r="O59" s="16">
        <f t="shared" si="17"/>
        <v>0</v>
      </c>
      <c r="P59" s="16">
        <f t="shared" si="17"/>
        <v>18697</v>
      </c>
    </row>
    <row r="60" spans="1:16" ht="18.600000000000001" customHeight="1" x14ac:dyDescent="0.25">
      <c r="A60" s="119">
        <f>A57+1</f>
        <v>18</v>
      </c>
      <c r="B60" s="116" t="s">
        <v>11</v>
      </c>
      <c r="C60" s="118" t="s">
        <v>13</v>
      </c>
      <c r="D60" s="110">
        <v>39961</v>
      </c>
      <c r="E60" s="113" t="s">
        <v>154</v>
      </c>
      <c r="F60" s="41" t="s">
        <v>152</v>
      </c>
      <c r="G60" s="13" t="s">
        <v>5</v>
      </c>
      <c r="H60" s="14">
        <v>9838</v>
      </c>
      <c r="I60" s="39">
        <v>0</v>
      </c>
      <c r="J60" s="39">
        <v>0</v>
      </c>
      <c r="K60" s="39">
        <v>0</v>
      </c>
      <c r="L60" s="39">
        <v>0</v>
      </c>
      <c r="M60" s="39">
        <v>0</v>
      </c>
      <c r="N60" s="39">
        <v>0</v>
      </c>
      <c r="O60" s="39">
        <v>0</v>
      </c>
      <c r="P60" s="14">
        <f>SUM(H60:O60)</f>
        <v>9838</v>
      </c>
    </row>
    <row r="61" spans="1:16" ht="16.95" customHeight="1" x14ac:dyDescent="0.25">
      <c r="A61" s="120"/>
      <c r="B61" s="122"/>
      <c r="C61" s="124"/>
      <c r="D61" s="111"/>
      <c r="E61" s="114"/>
      <c r="F61" s="20" t="s">
        <v>153</v>
      </c>
      <c r="G61" s="17" t="s">
        <v>8</v>
      </c>
      <c r="H61" s="18">
        <v>293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18">
        <f>SUM(H61:O61)</f>
        <v>293</v>
      </c>
    </row>
    <row r="62" spans="1:16" ht="15" customHeight="1" x14ac:dyDescent="0.25">
      <c r="A62" s="121"/>
      <c r="B62" s="123"/>
      <c r="C62" s="125"/>
      <c r="D62" s="112"/>
      <c r="E62" s="115"/>
      <c r="F62" s="15"/>
      <c r="G62" s="15" t="s">
        <v>105</v>
      </c>
      <c r="H62" s="16">
        <f t="shared" ref="H62:P62" si="18">SUM(H60:H61)</f>
        <v>10131</v>
      </c>
      <c r="I62" s="16">
        <f t="shared" si="18"/>
        <v>0</v>
      </c>
      <c r="J62" s="16">
        <f t="shared" si="18"/>
        <v>0</v>
      </c>
      <c r="K62" s="16">
        <f t="shared" si="18"/>
        <v>0</v>
      </c>
      <c r="L62" s="16">
        <f t="shared" si="18"/>
        <v>0</v>
      </c>
      <c r="M62" s="16">
        <f t="shared" si="18"/>
        <v>0</v>
      </c>
      <c r="N62" s="16">
        <f>SUM(N60:N61)</f>
        <v>0</v>
      </c>
      <c r="O62" s="16">
        <f t="shared" si="18"/>
        <v>0</v>
      </c>
      <c r="P62" s="16">
        <f t="shared" si="18"/>
        <v>10131</v>
      </c>
    </row>
    <row r="63" spans="1:16" ht="18" customHeight="1" x14ac:dyDescent="0.25">
      <c r="A63" s="106">
        <f>A60+1</f>
        <v>19</v>
      </c>
      <c r="B63" s="102" t="s">
        <v>11</v>
      </c>
      <c r="C63" s="104" t="s">
        <v>54</v>
      </c>
      <c r="D63" s="107">
        <v>39994</v>
      </c>
      <c r="E63" s="109" t="s">
        <v>157</v>
      </c>
      <c r="F63" s="41" t="s">
        <v>155</v>
      </c>
      <c r="G63" s="13" t="s">
        <v>5</v>
      </c>
      <c r="H63" s="14">
        <f>3676-205</f>
        <v>3471</v>
      </c>
      <c r="I63" s="14">
        <v>3724</v>
      </c>
      <c r="J63" s="14">
        <v>3724</v>
      </c>
      <c r="K63" s="14">
        <v>3724</v>
      </c>
      <c r="L63" s="14">
        <v>3724</v>
      </c>
      <c r="M63" s="14">
        <v>1851</v>
      </c>
      <c r="N63" s="14">
        <v>0</v>
      </c>
      <c r="O63" s="14">
        <v>0</v>
      </c>
      <c r="P63" s="14">
        <f>SUM(H63:O63)</f>
        <v>20218</v>
      </c>
    </row>
    <row r="64" spans="1:16" ht="17.399999999999999" customHeight="1" x14ac:dyDescent="0.25">
      <c r="A64" s="106"/>
      <c r="B64" s="102"/>
      <c r="C64" s="104"/>
      <c r="D64" s="107"/>
      <c r="E64" s="109"/>
      <c r="F64" s="20" t="s">
        <v>156</v>
      </c>
      <c r="G64" s="17" t="s">
        <v>8</v>
      </c>
      <c r="H64" s="18">
        <f>790+50+6</f>
        <v>846</v>
      </c>
      <c r="I64" s="18">
        <f>640+6+41</f>
        <v>687</v>
      </c>
      <c r="J64" s="18">
        <f>498+32</f>
        <v>530</v>
      </c>
      <c r="K64" s="18">
        <f>349+22</f>
        <v>371</v>
      </c>
      <c r="L64" s="18">
        <f>200+13</f>
        <v>213</v>
      </c>
      <c r="M64" s="18">
        <f>49+3</f>
        <v>52</v>
      </c>
      <c r="N64" s="18">
        <v>0</v>
      </c>
      <c r="O64" s="18">
        <v>0</v>
      </c>
      <c r="P64" s="18">
        <f>SUM(H64:O64)</f>
        <v>2699</v>
      </c>
    </row>
    <row r="65" spans="1:16" ht="16.95" customHeight="1" x14ac:dyDescent="0.25">
      <c r="A65" s="106"/>
      <c r="B65" s="102"/>
      <c r="C65" s="104"/>
      <c r="D65" s="107"/>
      <c r="E65" s="109"/>
      <c r="F65" s="15"/>
      <c r="G65" s="15" t="s">
        <v>105</v>
      </c>
      <c r="H65" s="16">
        <f t="shared" ref="H65:P65" si="19">SUM(H63:H64)</f>
        <v>4317</v>
      </c>
      <c r="I65" s="16">
        <f t="shared" si="19"/>
        <v>4411</v>
      </c>
      <c r="J65" s="16">
        <f t="shared" si="19"/>
        <v>4254</v>
      </c>
      <c r="K65" s="16">
        <f t="shared" si="19"/>
        <v>4095</v>
      </c>
      <c r="L65" s="16">
        <f t="shared" si="19"/>
        <v>3937</v>
      </c>
      <c r="M65" s="16">
        <f t="shared" si="19"/>
        <v>1903</v>
      </c>
      <c r="N65" s="16">
        <f t="shared" si="19"/>
        <v>0</v>
      </c>
      <c r="O65" s="16">
        <f t="shared" si="19"/>
        <v>0</v>
      </c>
      <c r="P65" s="16">
        <f t="shared" si="19"/>
        <v>22917</v>
      </c>
    </row>
    <row r="66" spans="1:16" ht="18.75" customHeight="1" x14ac:dyDescent="0.25">
      <c r="A66" s="106">
        <f>A63+1</f>
        <v>20</v>
      </c>
      <c r="B66" s="102" t="s">
        <v>11</v>
      </c>
      <c r="C66" s="104" t="s">
        <v>83</v>
      </c>
      <c r="D66" s="107">
        <v>40262</v>
      </c>
      <c r="E66" s="109" t="s">
        <v>158</v>
      </c>
      <c r="F66" s="41" t="s">
        <v>159</v>
      </c>
      <c r="G66" s="13" t="s">
        <v>5</v>
      </c>
      <c r="H66" s="76">
        <f>1844-67</f>
        <v>1777</v>
      </c>
      <c r="I66" s="14">
        <v>1856</v>
      </c>
      <c r="J66" s="14">
        <v>1856</v>
      </c>
      <c r="K66" s="14">
        <v>1856</v>
      </c>
      <c r="L66" s="14">
        <v>1856</v>
      </c>
      <c r="M66" s="14">
        <v>1856</v>
      </c>
      <c r="N66" s="14">
        <v>1851</v>
      </c>
      <c r="O66" s="14">
        <v>0</v>
      </c>
      <c r="P66" s="14">
        <f>SUM(H66:O66)</f>
        <v>12908</v>
      </c>
    </row>
    <row r="67" spans="1:16" ht="17.399999999999999" customHeight="1" x14ac:dyDescent="0.25">
      <c r="A67" s="106"/>
      <c r="B67" s="102"/>
      <c r="C67" s="104"/>
      <c r="D67" s="107"/>
      <c r="E67" s="109"/>
      <c r="F67" s="20" t="s">
        <v>160</v>
      </c>
      <c r="G67" s="17" t="s">
        <v>8</v>
      </c>
      <c r="H67" s="18">
        <f>532+4</f>
        <v>536</v>
      </c>
      <c r="I67" s="18">
        <f>415+27</f>
        <v>442</v>
      </c>
      <c r="J67" s="18">
        <f>344+23</f>
        <v>367</v>
      </c>
      <c r="K67" s="18">
        <f>273+18</f>
        <v>291</v>
      </c>
      <c r="L67" s="18">
        <v>216</v>
      </c>
      <c r="M67" s="18">
        <v>140</v>
      </c>
      <c r="N67" s="18">
        <v>64</v>
      </c>
      <c r="O67" s="18">
        <v>4</v>
      </c>
      <c r="P67" s="18">
        <f>SUM(H67:O67)</f>
        <v>2060</v>
      </c>
    </row>
    <row r="68" spans="1:16" ht="18" customHeight="1" x14ac:dyDescent="0.25">
      <c r="A68" s="106"/>
      <c r="B68" s="102"/>
      <c r="C68" s="104"/>
      <c r="D68" s="107"/>
      <c r="E68" s="109"/>
      <c r="F68" s="15"/>
      <c r="G68" s="15" t="s">
        <v>105</v>
      </c>
      <c r="H68" s="16">
        <f t="shared" ref="H68:P68" si="20">SUM(H66:H67)</f>
        <v>2313</v>
      </c>
      <c r="I68" s="16">
        <f t="shared" si="20"/>
        <v>2298</v>
      </c>
      <c r="J68" s="16">
        <f t="shared" si="20"/>
        <v>2223</v>
      </c>
      <c r="K68" s="16">
        <f t="shared" si="20"/>
        <v>2147</v>
      </c>
      <c r="L68" s="16">
        <f t="shared" si="20"/>
        <v>2072</v>
      </c>
      <c r="M68" s="16">
        <f t="shared" si="20"/>
        <v>1996</v>
      </c>
      <c r="N68" s="16">
        <f t="shared" si="20"/>
        <v>1915</v>
      </c>
      <c r="O68" s="16">
        <f t="shared" si="20"/>
        <v>4</v>
      </c>
      <c r="P68" s="16">
        <f t="shared" si="20"/>
        <v>14968</v>
      </c>
    </row>
    <row r="69" spans="1:16" ht="18.75" customHeight="1" x14ac:dyDescent="0.25">
      <c r="A69" s="106">
        <f>A66+1</f>
        <v>21</v>
      </c>
      <c r="B69" s="102" t="s">
        <v>11</v>
      </c>
      <c r="C69" s="104" t="s">
        <v>70</v>
      </c>
      <c r="D69" s="107">
        <v>40316</v>
      </c>
      <c r="E69" s="109" t="s">
        <v>158</v>
      </c>
      <c r="F69" s="41" t="s">
        <v>161</v>
      </c>
      <c r="G69" s="13" t="s">
        <v>5</v>
      </c>
      <c r="H69" s="14">
        <v>1368</v>
      </c>
      <c r="I69" s="14">
        <v>1368</v>
      </c>
      <c r="J69" s="14">
        <v>1368</v>
      </c>
      <c r="K69" s="14">
        <v>1368</v>
      </c>
      <c r="L69" s="14">
        <v>1368</v>
      </c>
      <c r="M69" s="14">
        <v>1368</v>
      </c>
      <c r="N69" s="14">
        <v>1368</v>
      </c>
      <c r="O69" s="14">
        <v>0</v>
      </c>
      <c r="P69" s="14">
        <f>SUM(H69:O69)</f>
        <v>9576</v>
      </c>
    </row>
    <row r="70" spans="1:16" ht="17.399999999999999" customHeight="1" x14ac:dyDescent="0.25">
      <c r="A70" s="106"/>
      <c r="B70" s="102"/>
      <c r="C70" s="104"/>
      <c r="D70" s="107"/>
      <c r="E70" s="109"/>
      <c r="F70" s="20" t="s">
        <v>162</v>
      </c>
      <c r="G70" s="17" t="s">
        <v>8</v>
      </c>
      <c r="H70" s="18">
        <v>401</v>
      </c>
      <c r="I70" s="18">
        <v>340</v>
      </c>
      <c r="J70" s="18">
        <v>282</v>
      </c>
      <c r="K70" s="18">
        <v>223</v>
      </c>
      <c r="L70" s="18">
        <v>166</v>
      </c>
      <c r="M70" s="18">
        <v>107</v>
      </c>
      <c r="N70" s="18">
        <v>49</v>
      </c>
      <c r="O70" s="18">
        <v>3</v>
      </c>
      <c r="P70" s="18">
        <f>SUM(H70:O70)</f>
        <v>1571</v>
      </c>
    </row>
    <row r="71" spans="1:16" ht="18.75" customHeight="1" x14ac:dyDescent="0.25">
      <c r="A71" s="106"/>
      <c r="B71" s="116"/>
      <c r="C71" s="118"/>
      <c r="D71" s="110"/>
      <c r="E71" s="113"/>
      <c r="F71" s="26"/>
      <c r="G71" s="26" t="s">
        <v>105</v>
      </c>
      <c r="H71" s="16">
        <f t="shared" ref="H71:P71" si="21">SUM(H69:H70)</f>
        <v>1769</v>
      </c>
      <c r="I71" s="16">
        <f t="shared" si="21"/>
        <v>1708</v>
      </c>
      <c r="J71" s="16">
        <f t="shared" si="21"/>
        <v>1650</v>
      </c>
      <c r="K71" s="16">
        <f t="shared" si="21"/>
        <v>1591</v>
      </c>
      <c r="L71" s="16">
        <f t="shared" si="21"/>
        <v>1534</v>
      </c>
      <c r="M71" s="16">
        <f t="shared" si="21"/>
        <v>1475</v>
      </c>
      <c r="N71" s="16">
        <f t="shared" si="21"/>
        <v>1417</v>
      </c>
      <c r="O71" s="16">
        <f t="shared" si="21"/>
        <v>3</v>
      </c>
      <c r="P71" s="16">
        <f t="shared" si="21"/>
        <v>11147</v>
      </c>
    </row>
    <row r="72" spans="1:16" ht="20.399999999999999" customHeight="1" x14ac:dyDescent="0.25">
      <c r="A72" s="106">
        <f>A69+1</f>
        <v>22</v>
      </c>
      <c r="B72" s="102" t="s">
        <v>11</v>
      </c>
      <c r="C72" s="104" t="s">
        <v>71</v>
      </c>
      <c r="D72" s="107">
        <v>40365</v>
      </c>
      <c r="E72" s="109" t="s">
        <v>163</v>
      </c>
      <c r="F72" s="41" t="s">
        <v>164</v>
      </c>
      <c r="G72" s="13" t="s">
        <v>5</v>
      </c>
      <c r="H72" s="14">
        <f>13876-4415</f>
        <v>9461</v>
      </c>
      <c r="I72" s="14">
        <v>14168</v>
      </c>
      <c r="J72" s="14">
        <v>14168</v>
      </c>
      <c r="K72" s="14">
        <v>14168</v>
      </c>
      <c r="L72" s="14">
        <v>14168</v>
      </c>
      <c r="M72" s="14">
        <v>14168</v>
      </c>
      <c r="N72" s="14">
        <v>14168</v>
      </c>
      <c r="O72" s="14">
        <f>142229-13876+2663</f>
        <v>131016</v>
      </c>
      <c r="P72" s="14">
        <f>SUM(H72:O72)</f>
        <v>225485</v>
      </c>
    </row>
    <row r="73" spans="1:16" ht="17.399999999999999" customHeight="1" x14ac:dyDescent="0.25">
      <c r="A73" s="106"/>
      <c r="B73" s="102"/>
      <c r="C73" s="104"/>
      <c r="D73" s="107"/>
      <c r="E73" s="109"/>
      <c r="F73" s="20" t="s">
        <v>165</v>
      </c>
      <c r="G73" s="17" t="s">
        <v>8</v>
      </c>
      <c r="H73" s="18">
        <f>9147+568+51</f>
        <v>9766</v>
      </c>
      <c r="I73" s="18">
        <f>8181+541</f>
        <v>8722</v>
      </c>
      <c r="J73" s="18">
        <f>7649+506</f>
        <v>8155</v>
      </c>
      <c r="K73" s="18">
        <f>7106+470</f>
        <v>7576</v>
      </c>
      <c r="L73" s="18">
        <f>3580+435</f>
        <v>4015</v>
      </c>
      <c r="M73" s="18">
        <f>6019+398</f>
        <v>6417</v>
      </c>
      <c r="N73" s="18">
        <f>5476+362</f>
        <v>5838</v>
      </c>
      <c r="O73" s="18">
        <f>24982+1653</f>
        <v>26635</v>
      </c>
      <c r="P73" s="18">
        <f>SUM(H73:O73)</f>
        <v>77124</v>
      </c>
    </row>
    <row r="74" spans="1:16" ht="16.95" customHeight="1" x14ac:dyDescent="0.25">
      <c r="A74" s="106"/>
      <c r="B74" s="102"/>
      <c r="C74" s="104"/>
      <c r="D74" s="107"/>
      <c r="E74" s="109"/>
      <c r="F74" s="15"/>
      <c r="G74" s="15" t="s">
        <v>105</v>
      </c>
      <c r="H74" s="16">
        <f t="shared" ref="H74:P74" si="22">SUM(H72:H73)</f>
        <v>19227</v>
      </c>
      <c r="I74" s="16">
        <f t="shared" si="22"/>
        <v>22890</v>
      </c>
      <c r="J74" s="16">
        <f t="shared" si="22"/>
        <v>22323</v>
      </c>
      <c r="K74" s="16">
        <f t="shared" si="22"/>
        <v>21744</v>
      </c>
      <c r="L74" s="16">
        <f t="shared" si="22"/>
        <v>18183</v>
      </c>
      <c r="M74" s="16">
        <f t="shared" si="22"/>
        <v>20585</v>
      </c>
      <c r="N74" s="16">
        <f t="shared" si="22"/>
        <v>20006</v>
      </c>
      <c r="O74" s="16">
        <f t="shared" si="22"/>
        <v>157651</v>
      </c>
      <c r="P74" s="16">
        <f t="shared" si="22"/>
        <v>302609</v>
      </c>
    </row>
    <row r="75" spans="1:16" ht="16.95" customHeight="1" x14ac:dyDescent="0.25">
      <c r="A75" s="119">
        <f>A72+1</f>
        <v>23</v>
      </c>
      <c r="B75" s="116" t="s">
        <v>11</v>
      </c>
      <c r="C75" s="118" t="s">
        <v>14</v>
      </c>
      <c r="D75" s="110">
        <v>40388</v>
      </c>
      <c r="E75" s="113" t="s">
        <v>168</v>
      </c>
      <c r="F75" s="41" t="s">
        <v>166</v>
      </c>
      <c r="G75" s="13" t="s">
        <v>5</v>
      </c>
      <c r="H75" s="14">
        <v>3147</v>
      </c>
      <c r="I75" s="14">
        <v>2341</v>
      </c>
      <c r="J75" s="19">
        <v>0</v>
      </c>
      <c r="K75" s="19">
        <v>0</v>
      </c>
      <c r="L75" s="19">
        <v>0</v>
      </c>
      <c r="M75" s="19">
        <v>0</v>
      </c>
      <c r="N75" s="19">
        <v>0</v>
      </c>
      <c r="O75" s="19">
        <v>0</v>
      </c>
      <c r="P75" s="14">
        <f>SUM(H75:O75)</f>
        <v>5488</v>
      </c>
    </row>
    <row r="76" spans="1:16" ht="16.5" customHeight="1" x14ac:dyDescent="0.25">
      <c r="A76" s="120"/>
      <c r="B76" s="122"/>
      <c r="C76" s="124"/>
      <c r="D76" s="111"/>
      <c r="E76" s="114"/>
      <c r="F76" s="20" t="s">
        <v>167</v>
      </c>
      <c r="G76" s="17" t="s">
        <v>8</v>
      </c>
      <c r="H76" s="18">
        <f>143+9+70</f>
        <v>222</v>
      </c>
      <c r="I76" s="18">
        <v>70</v>
      </c>
      <c r="J76" s="21">
        <v>0</v>
      </c>
      <c r="K76" s="21">
        <v>0</v>
      </c>
      <c r="L76" s="21">
        <v>0</v>
      </c>
      <c r="M76" s="21">
        <v>0</v>
      </c>
      <c r="N76" s="21">
        <v>0</v>
      </c>
      <c r="O76" s="21">
        <v>0</v>
      </c>
      <c r="P76" s="18">
        <f>SUM(H76:O76)</f>
        <v>292</v>
      </c>
    </row>
    <row r="77" spans="1:16" ht="16.5" customHeight="1" x14ac:dyDescent="0.25">
      <c r="A77" s="121"/>
      <c r="B77" s="123"/>
      <c r="C77" s="125"/>
      <c r="D77" s="112"/>
      <c r="E77" s="115"/>
      <c r="F77" s="15"/>
      <c r="G77" s="15" t="s">
        <v>105</v>
      </c>
      <c r="H77" s="16">
        <f t="shared" ref="H77:P77" si="23">SUM(H75:H76)</f>
        <v>3369</v>
      </c>
      <c r="I77" s="16">
        <f t="shared" si="23"/>
        <v>2411</v>
      </c>
      <c r="J77" s="16">
        <f t="shared" si="23"/>
        <v>0</v>
      </c>
      <c r="K77" s="16">
        <f t="shared" si="23"/>
        <v>0</v>
      </c>
      <c r="L77" s="16">
        <f t="shared" si="23"/>
        <v>0</v>
      </c>
      <c r="M77" s="16">
        <f t="shared" si="23"/>
        <v>0</v>
      </c>
      <c r="N77" s="16">
        <f>SUM(N75:N76)</f>
        <v>0</v>
      </c>
      <c r="O77" s="16">
        <f t="shared" si="23"/>
        <v>0</v>
      </c>
      <c r="P77" s="16">
        <f t="shared" si="23"/>
        <v>5780</v>
      </c>
    </row>
    <row r="78" spans="1:16" ht="15" customHeight="1" x14ac:dyDescent="0.25">
      <c r="A78" s="106">
        <f>A75+1</f>
        <v>24</v>
      </c>
      <c r="B78" s="102" t="s">
        <v>11</v>
      </c>
      <c r="C78" s="104" t="s">
        <v>50</v>
      </c>
      <c r="D78" s="107">
        <v>40452</v>
      </c>
      <c r="E78" s="109" t="s">
        <v>171</v>
      </c>
      <c r="F78" s="41" t="s">
        <v>169</v>
      </c>
      <c r="G78" s="13" t="s">
        <v>5</v>
      </c>
      <c r="H78" s="14">
        <f>28987-2209</f>
        <v>26778</v>
      </c>
      <c r="I78" s="14">
        <v>29364</v>
      </c>
      <c r="J78" s="14">
        <v>29364</v>
      </c>
      <c r="K78" s="14">
        <v>29364</v>
      </c>
      <c r="L78" s="14">
        <v>29364</v>
      </c>
      <c r="M78" s="14">
        <v>29364</v>
      </c>
      <c r="N78" s="14">
        <v>22011</v>
      </c>
      <c r="O78" s="14">
        <v>0</v>
      </c>
      <c r="P78" s="14">
        <f>SUM(H78:O78)</f>
        <v>195609</v>
      </c>
    </row>
    <row r="79" spans="1:16" ht="15.75" customHeight="1" x14ac:dyDescent="0.25">
      <c r="A79" s="106"/>
      <c r="B79" s="102"/>
      <c r="C79" s="104"/>
      <c r="D79" s="107"/>
      <c r="E79" s="109"/>
      <c r="F79" s="20" t="s">
        <v>170</v>
      </c>
      <c r="G79" s="17" t="s">
        <v>8</v>
      </c>
      <c r="H79" s="18">
        <f>8155+485+22</f>
        <v>8662</v>
      </c>
      <c r="I79" s="18">
        <f>6287+416</f>
        <v>6703</v>
      </c>
      <c r="J79" s="18">
        <f>5170+342</f>
        <v>5512</v>
      </c>
      <c r="K79" s="18">
        <f>4044+268</f>
        <v>4312</v>
      </c>
      <c r="L79" s="18">
        <f>2925+194</f>
        <v>3119</v>
      </c>
      <c r="M79" s="18">
        <f>1791+119</f>
        <v>1910</v>
      </c>
      <c r="N79" s="18">
        <f>667+44</f>
        <v>711</v>
      </c>
      <c r="O79" s="18">
        <v>0</v>
      </c>
      <c r="P79" s="18">
        <f>SUM(H79:O79)</f>
        <v>30929</v>
      </c>
    </row>
    <row r="80" spans="1:16" ht="15.75" customHeight="1" x14ac:dyDescent="0.25">
      <c r="A80" s="106"/>
      <c r="B80" s="102"/>
      <c r="C80" s="104"/>
      <c r="D80" s="107"/>
      <c r="E80" s="109"/>
      <c r="F80" s="15"/>
      <c r="G80" s="15" t="s">
        <v>105</v>
      </c>
      <c r="H80" s="16">
        <f t="shared" ref="H80:P80" si="24">SUM(H78:H79)</f>
        <v>35440</v>
      </c>
      <c r="I80" s="16">
        <f t="shared" si="24"/>
        <v>36067</v>
      </c>
      <c r="J80" s="16">
        <f t="shared" si="24"/>
        <v>34876</v>
      </c>
      <c r="K80" s="16">
        <f t="shared" si="24"/>
        <v>33676</v>
      </c>
      <c r="L80" s="16">
        <f t="shared" si="24"/>
        <v>32483</v>
      </c>
      <c r="M80" s="16">
        <f t="shared" si="24"/>
        <v>31274</v>
      </c>
      <c r="N80" s="16">
        <f t="shared" si="24"/>
        <v>22722</v>
      </c>
      <c r="O80" s="16">
        <f t="shared" si="24"/>
        <v>0</v>
      </c>
      <c r="P80" s="16">
        <f t="shared" si="24"/>
        <v>226538</v>
      </c>
    </row>
    <row r="81" spans="1:16" ht="18" customHeight="1" x14ac:dyDescent="0.25">
      <c r="A81" s="106">
        <f>A78+1</f>
        <v>25</v>
      </c>
      <c r="B81" s="102" t="s">
        <v>11</v>
      </c>
      <c r="C81" s="104" t="s">
        <v>84</v>
      </c>
      <c r="D81" s="107">
        <v>40471</v>
      </c>
      <c r="E81" s="109" t="s">
        <v>172</v>
      </c>
      <c r="F81" s="25" t="s">
        <v>173</v>
      </c>
      <c r="G81" s="13" t="s">
        <v>5</v>
      </c>
      <c r="H81" s="14">
        <f>2100-444</f>
        <v>1656</v>
      </c>
      <c r="I81" s="14">
        <v>2128</v>
      </c>
      <c r="J81" s="14">
        <v>2128</v>
      </c>
      <c r="K81" s="14">
        <v>2128</v>
      </c>
      <c r="L81" s="14">
        <v>2128</v>
      </c>
      <c r="M81" s="14">
        <v>2128</v>
      </c>
      <c r="N81" s="14">
        <v>2128</v>
      </c>
      <c r="O81" s="14">
        <f>23100-2100+276</f>
        <v>21276</v>
      </c>
      <c r="P81" s="14">
        <f>SUM(H81:O81)</f>
        <v>35700</v>
      </c>
    </row>
    <row r="82" spans="1:16" ht="18" customHeight="1" x14ac:dyDescent="0.25">
      <c r="A82" s="106"/>
      <c r="B82" s="102"/>
      <c r="C82" s="104"/>
      <c r="D82" s="107"/>
      <c r="E82" s="109"/>
      <c r="F82" s="20" t="s">
        <v>174</v>
      </c>
      <c r="G82" s="17" t="s">
        <v>8</v>
      </c>
      <c r="H82" s="18">
        <f>1537+4</f>
        <v>1541</v>
      </c>
      <c r="I82" s="18">
        <f>1305+85</f>
        <v>1390</v>
      </c>
      <c r="J82" s="18">
        <v>1290</v>
      </c>
      <c r="K82" s="18">
        <f>1128+75</f>
        <v>1203</v>
      </c>
      <c r="L82" s="18">
        <f>1050+69</f>
        <v>1119</v>
      </c>
      <c r="M82" s="18">
        <f>965+64</f>
        <v>1029</v>
      </c>
      <c r="N82" s="18">
        <f>884+59</f>
        <v>943</v>
      </c>
      <c r="O82" s="18">
        <f>4359+289</f>
        <v>4648</v>
      </c>
      <c r="P82" s="18">
        <f>SUM(H82:O82)</f>
        <v>13163</v>
      </c>
    </row>
    <row r="83" spans="1:16" ht="18" customHeight="1" x14ac:dyDescent="0.25">
      <c r="A83" s="106"/>
      <c r="B83" s="102"/>
      <c r="C83" s="104"/>
      <c r="D83" s="107"/>
      <c r="E83" s="109"/>
      <c r="F83" s="15"/>
      <c r="G83" s="15" t="s">
        <v>105</v>
      </c>
      <c r="H83" s="16">
        <f t="shared" ref="H83:P83" si="25">SUM(H81:H82)</f>
        <v>3197</v>
      </c>
      <c r="I83" s="16">
        <f t="shared" si="25"/>
        <v>3518</v>
      </c>
      <c r="J83" s="16">
        <f t="shared" si="25"/>
        <v>3418</v>
      </c>
      <c r="K83" s="16">
        <f t="shared" si="25"/>
        <v>3331</v>
      </c>
      <c r="L83" s="16">
        <f t="shared" si="25"/>
        <v>3247</v>
      </c>
      <c r="M83" s="16">
        <f t="shared" si="25"/>
        <v>3157</v>
      </c>
      <c r="N83" s="16">
        <f t="shared" si="25"/>
        <v>3071</v>
      </c>
      <c r="O83" s="16">
        <f t="shared" si="25"/>
        <v>25924</v>
      </c>
      <c r="P83" s="16">
        <f t="shared" si="25"/>
        <v>48863</v>
      </c>
    </row>
    <row r="84" spans="1:16" ht="17.25" customHeight="1" x14ac:dyDescent="0.25">
      <c r="A84" s="106">
        <f>A81+1</f>
        <v>26</v>
      </c>
      <c r="B84" s="102" t="s">
        <v>11</v>
      </c>
      <c r="C84" s="104" t="s">
        <v>15</v>
      </c>
      <c r="D84" s="107">
        <v>40651</v>
      </c>
      <c r="E84" s="109" t="s">
        <v>175</v>
      </c>
      <c r="F84" s="25" t="s">
        <v>176</v>
      </c>
      <c r="G84" s="13" t="s">
        <v>5</v>
      </c>
      <c r="H84" s="14">
        <f>6170-212</f>
        <v>5958</v>
      </c>
      <c r="I84" s="14">
        <v>6296</v>
      </c>
      <c r="J84" s="14">
        <v>3147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4">
        <f>SUM(H84:O84)</f>
        <v>15401</v>
      </c>
    </row>
    <row r="85" spans="1:16" ht="16.2" customHeight="1" x14ac:dyDescent="0.25">
      <c r="A85" s="106"/>
      <c r="B85" s="102"/>
      <c r="C85" s="104"/>
      <c r="D85" s="107"/>
      <c r="E85" s="109"/>
      <c r="F85" s="20" t="s">
        <v>177</v>
      </c>
      <c r="G85" s="17" t="s">
        <v>8</v>
      </c>
      <c r="H85" s="18">
        <f>536+37+3</f>
        <v>576</v>
      </c>
      <c r="I85" s="18">
        <v>345</v>
      </c>
      <c r="J85" s="18">
        <v>80</v>
      </c>
      <c r="K85" s="21">
        <v>0</v>
      </c>
      <c r="L85" s="21">
        <v>0</v>
      </c>
      <c r="M85" s="21">
        <v>0</v>
      </c>
      <c r="N85" s="21">
        <v>0</v>
      </c>
      <c r="O85" s="21">
        <v>0</v>
      </c>
      <c r="P85" s="18">
        <f>SUM(H85:O85)</f>
        <v>1001</v>
      </c>
    </row>
    <row r="86" spans="1:16" ht="16.2" customHeight="1" x14ac:dyDescent="0.25">
      <c r="A86" s="106"/>
      <c r="B86" s="116"/>
      <c r="C86" s="118"/>
      <c r="D86" s="110"/>
      <c r="E86" s="113"/>
      <c r="F86" s="26"/>
      <c r="G86" s="26" t="s">
        <v>105</v>
      </c>
      <c r="H86" s="16">
        <f t="shared" ref="H86:P86" si="26">SUM(H84:H85)</f>
        <v>6534</v>
      </c>
      <c r="I86" s="16">
        <f t="shared" si="26"/>
        <v>6641</v>
      </c>
      <c r="J86" s="16">
        <f t="shared" si="26"/>
        <v>3227</v>
      </c>
      <c r="K86" s="16">
        <f t="shared" si="26"/>
        <v>0</v>
      </c>
      <c r="L86" s="16">
        <f t="shared" si="26"/>
        <v>0</v>
      </c>
      <c r="M86" s="16">
        <f t="shared" si="26"/>
        <v>0</v>
      </c>
      <c r="N86" s="16">
        <f t="shared" si="26"/>
        <v>0</v>
      </c>
      <c r="O86" s="16">
        <f t="shared" si="26"/>
        <v>0</v>
      </c>
      <c r="P86" s="16">
        <f t="shared" si="26"/>
        <v>16402</v>
      </c>
    </row>
    <row r="87" spans="1:16" ht="16.5" customHeight="1" x14ac:dyDescent="0.25">
      <c r="A87" s="106">
        <f>A84+1</f>
        <v>27</v>
      </c>
      <c r="B87" s="102" t="s">
        <v>11</v>
      </c>
      <c r="C87" s="104" t="s">
        <v>16</v>
      </c>
      <c r="D87" s="107">
        <v>40651</v>
      </c>
      <c r="E87" s="109" t="s">
        <v>175</v>
      </c>
      <c r="F87" s="41" t="s">
        <v>178</v>
      </c>
      <c r="G87" s="13" t="s">
        <v>5</v>
      </c>
      <c r="H87" s="14">
        <v>2447</v>
      </c>
      <c r="I87" s="14">
        <v>2448</v>
      </c>
      <c r="J87" s="14">
        <v>1224</v>
      </c>
      <c r="K87" s="19">
        <v>0</v>
      </c>
      <c r="L87" s="19">
        <v>0</v>
      </c>
      <c r="M87" s="19">
        <v>0</v>
      </c>
      <c r="N87" s="19">
        <v>0</v>
      </c>
      <c r="O87" s="19">
        <v>0</v>
      </c>
      <c r="P87" s="14">
        <f>SUM(H87:O87)</f>
        <v>6119</v>
      </c>
    </row>
    <row r="88" spans="1:16" ht="17.25" customHeight="1" x14ac:dyDescent="0.25">
      <c r="A88" s="106"/>
      <c r="B88" s="102"/>
      <c r="C88" s="104"/>
      <c r="D88" s="107"/>
      <c r="E88" s="109"/>
      <c r="F88" s="20" t="s">
        <v>179</v>
      </c>
      <c r="G88" s="17" t="s">
        <v>8</v>
      </c>
      <c r="H88" s="18">
        <v>228</v>
      </c>
      <c r="I88" s="18">
        <v>134</v>
      </c>
      <c r="J88" s="18">
        <v>31</v>
      </c>
      <c r="K88" s="21">
        <v>0</v>
      </c>
      <c r="L88" s="21">
        <v>0</v>
      </c>
      <c r="M88" s="21">
        <v>0</v>
      </c>
      <c r="N88" s="21">
        <v>0</v>
      </c>
      <c r="O88" s="21">
        <v>0</v>
      </c>
      <c r="P88" s="18">
        <f>SUM(H88:O88)</f>
        <v>393</v>
      </c>
    </row>
    <row r="89" spans="1:16" ht="17.25" customHeight="1" x14ac:dyDescent="0.25">
      <c r="A89" s="106"/>
      <c r="B89" s="102"/>
      <c r="C89" s="104"/>
      <c r="D89" s="107"/>
      <c r="E89" s="109"/>
      <c r="F89" s="15"/>
      <c r="G89" s="15" t="s">
        <v>105</v>
      </c>
      <c r="H89" s="16">
        <f t="shared" ref="H89:P89" si="27">SUM(H87:H88)</f>
        <v>2675</v>
      </c>
      <c r="I89" s="16">
        <f t="shared" si="27"/>
        <v>2582</v>
      </c>
      <c r="J89" s="16">
        <f t="shared" si="27"/>
        <v>1255</v>
      </c>
      <c r="K89" s="16">
        <f t="shared" si="27"/>
        <v>0</v>
      </c>
      <c r="L89" s="16">
        <f t="shared" si="27"/>
        <v>0</v>
      </c>
      <c r="M89" s="16">
        <f t="shared" si="27"/>
        <v>0</v>
      </c>
      <c r="N89" s="16">
        <f t="shared" si="27"/>
        <v>0</v>
      </c>
      <c r="O89" s="16">
        <f t="shared" si="27"/>
        <v>0</v>
      </c>
      <c r="P89" s="16">
        <f t="shared" si="27"/>
        <v>6512</v>
      </c>
    </row>
    <row r="90" spans="1:16" ht="18" customHeight="1" x14ac:dyDescent="0.25">
      <c r="A90" s="106">
        <f>A87+1</f>
        <v>28</v>
      </c>
      <c r="B90" s="102" t="s">
        <v>11</v>
      </c>
      <c r="C90" s="103" t="s">
        <v>614</v>
      </c>
      <c r="D90" s="107">
        <v>40868</v>
      </c>
      <c r="E90" s="109" t="s">
        <v>182</v>
      </c>
      <c r="F90" s="41" t="s">
        <v>180</v>
      </c>
      <c r="G90" s="13" t="s">
        <v>5</v>
      </c>
      <c r="H90" s="14">
        <f>7262-89</f>
        <v>7173</v>
      </c>
      <c r="I90" s="14">
        <v>7308</v>
      </c>
      <c r="J90" s="14">
        <v>7306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4">
        <f>SUM(H90:O90)</f>
        <v>21787</v>
      </c>
    </row>
    <row r="91" spans="1:16" ht="15.75" customHeight="1" x14ac:dyDescent="0.25">
      <c r="A91" s="106"/>
      <c r="B91" s="102"/>
      <c r="C91" s="104"/>
      <c r="D91" s="107"/>
      <c r="E91" s="109"/>
      <c r="F91" s="20" t="s">
        <v>181</v>
      </c>
      <c r="G91" s="17" t="s">
        <v>8</v>
      </c>
      <c r="H91" s="18">
        <f>893+2</f>
        <v>895</v>
      </c>
      <c r="I91" s="18">
        <v>557</v>
      </c>
      <c r="J91" s="18">
        <v>253</v>
      </c>
      <c r="K91" s="21">
        <v>11</v>
      </c>
      <c r="L91" s="21">
        <v>0</v>
      </c>
      <c r="M91" s="21">
        <v>0</v>
      </c>
      <c r="N91" s="21">
        <v>0</v>
      </c>
      <c r="O91" s="21">
        <v>0</v>
      </c>
      <c r="P91" s="18">
        <f>SUM(H91:O91)</f>
        <v>1716</v>
      </c>
    </row>
    <row r="92" spans="1:16" ht="15.75" customHeight="1" x14ac:dyDescent="0.25">
      <c r="A92" s="106"/>
      <c r="B92" s="102"/>
      <c r="C92" s="104"/>
      <c r="D92" s="107"/>
      <c r="E92" s="109"/>
      <c r="F92" s="15"/>
      <c r="G92" s="15" t="s">
        <v>105</v>
      </c>
      <c r="H92" s="16">
        <f t="shared" ref="H92:P92" si="28">SUM(H90:H91)</f>
        <v>8068</v>
      </c>
      <c r="I92" s="16">
        <f t="shared" si="28"/>
        <v>7865</v>
      </c>
      <c r="J92" s="16">
        <f t="shared" si="28"/>
        <v>7559</v>
      </c>
      <c r="K92" s="16">
        <f t="shared" si="28"/>
        <v>11</v>
      </c>
      <c r="L92" s="16">
        <f t="shared" si="28"/>
        <v>0</v>
      </c>
      <c r="M92" s="16">
        <f t="shared" si="28"/>
        <v>0</v>
      </c>
      <c r="N92" s="16">
        <f>SUM(N90:N91)</f>
        <v>0</v>
      </c>
      <c r="O92" s="16">
        <f t="shared" si="28"/>
        <v>0</v>
      </c>
      <c r="P92" s="16">
        <f t="shared" si="28"/>
        <v>23503</v>
      </c>
    </row>
    <row r="93" spans="1:16" ht="19.2" customHeight="1" x14ac:dyDescent="0.25">
      <c r="A93" s="106">
        <f>A90+1</f>
        <v>29</v>
      </c>
      <c r="B93" s="102" t="s">
        <v>11</v>
      </c>
      <c r="C93" s="104" t="s">
        <v>55</v>
      </c>
      <c r="D93" s="107">
        <v>40932</v>
      </c>
      <c r="E93" s="109" t="s">
        <v>183</v>
      </c>
      <c r="F93" s="41" t="s">
        <v>184</v>
      </c>
      <c r="G93" s="13" t="s">
        <v>5</v>
      </c>
      <c r="H93" s="14">
        <f>22271-1847</f>
        <v>20424</v>
      </c>
      <c r="I93" s="14">
        <v>22528</v>
      </c>
      <c r="J93" s="14">
        <v>22528</v>
      </c>
      <c r="K93" s="14">
        <v>22528</v>
      </c>
      <c r="L93" s="14">
        <v>22528</v>
      </c>
      <c r="M93" s="14">
        <v>22528</v>
      </c>
      <c r="N93" s="14">
        <v>22528</v>
      </c>
      <c r="O93" s="14">
        <f>50109-22271+304</f>
        <v>28142</v>
      </c>
      <c r="P93" s="14">
        <f>SUM(H93:O93)</f>
        <v>183734</v>
      </c>
    </row>
    <row r="94" spans="1:16" ht="15.6" customHeight="1" x14ac:dyDescent="0.25">
      <c r="A94" s="106"/>
      <c r="B94" s="102"/>
      <c r="C94" s="104"/>
      <c r="D94" s="107"/>
      <c r="E94" s="109"/>
      <c r="F94" s="20" t="s">
        <v>185</v>
      </c>
      <c r="G94" s="17" t="s">
        <v>8</v>
      </c>
      <c r="H94" s="18">
        <f>6503+458+16</f>
        <v>6977</v>
      </c>
      <c r="I94" s="18">
        <f>6052+405</f>
        <v>6457</v>
      </c>
      <c r="J94" s="18">
        <f>5260+348</f>
        <v>5608</v>
      </c>
      <c r="K94" s="18">
        <f>4397+291</f>
        <v>4688</v>
      </c>
      <c r="L94" s="18">
        <f>3541+234</f>
        <v>3775</v>
      </c>
      <c r="M94" s="18">
        <f>2668+177</f>
        <v>2845</v>
      </c>
      <c r="N94" s="18">
        <f>1806+119</f>
        <v>1925</v>
      </c>
      <c r="O94" s="18">
        <f>1058+70</f>
        <v>1128</v>
      </c>
      <c r="P94" s="18">
        <f>SUM(H94:O94)</f>
        <v>33403</v>
      </c>
    </row>
    <row r="95" spans="1:16" ht="16.2" customHeight="1" x14ac:dyDescent="0.25">
      <c r="A95" s="106"/>
      <c r="B95" s="102"/>
      <c r="C95" s="104"/>
      <c r="D95" s="107"/>
      <c r="E95" s="109"/>
      <c r="F95" s="15"/>
      <c r="G95" s="15" t="s">
        <v>105</v>
      </c>
      <c r="H95" s="16">
        <f t="shared" ref="H95:P95" si="29">SUM(H93:H94)</f>
        <v>27401</v>
      </c>
      <c r="I95" s="16">
        <f t="shared" si="29"/>
        <v>28985</v>
      </c>
      <c r="J95" s="16">
        <f t="shared" si="29"/>
        <v>28136</v>
      </c>
      <c r="K95" s="16">
        <f t="shared" si="29"/>
        <v>27216</v>
      </c>
      <c r="L95" s="16">
        <f t="shared" si="29"/>
        <v>26303</v>
      </c>
      <c r="M95" s="16">
        <f t="shared" si="29"/>
        <v>25373</v>
      </c>
      <c r="N95" s="16">
        <f t="shared" si="29"/>
        <v>24453</v>
      </c>
      <c r="O95" s="16">
        <f t="shared" si="29"/>
        <v>29270</v>
      </c>
      <c r="P95" s="16">
        <f t="shared" si="29"/>
        <v>217137</v>
      </c>
    </row>
    <row r="96" spans="1:16" ht="14.25" customHeight="1" x14ac:dyDescent="0.25">
      <c r="A96" s="106">
        <f>A93+1</f>
        <v>30</v>
      </c>
      <c r="B96" s="102" t="s">
        <v>11</v>
      </c>
      <c r="C96" s="104" t="s">
        <v>72</v>
      </c>
      <c r="D96" s="126">
        <v>41019</v>
      </c>
      <c r="E96" s="109" t="s">
        <v>158</v>
      </c>
      <c r="F96" s="41" t="s">
        <v>186</v>
      </c>
      <c r="G96" s="13" t="s">
        <v>5</v>
      </c>
      <c r="H96" s="14">
        <f>1980-254</f>
        <v>1726</v>
      </c>
      <c r="I96" s="14">
        <v>2024</v>
      </c>
      <c r="J96" s="14">
        <v>2024</v>
      </c>
      <c r="K96" s="14">
        <v>2024</v>
      </c>
      <c r="L96" s="14">
        <v>2024</v>
      </c>
      <c r="M96" s="14">
        <v>2024</v>
      </c>
      <c r="N96" s="14">
        <v>2014</v>
      </c>
      <c r="O96" s="14">
        <v>0</v>
      </c>
      <c r="P96" s="14">
        <f>SUM(H96:O96)</f>
        <v>13860</v>
      </c>
    </row>
    <row r="97" spans="1:16" ht="15.75" customHeight="1" x14ac:dyDescent="0.25">
      <c r="A97" s="106"/>
      <c r="B97" s="102"/>
      <c r="C97" s="104"/>
      <c r="D97" s="126"/>
      <c r="E97" s="109"/>
      <c r="F97" s="20" t="s">
        <v>187</v>
      </c>
      <c r="G97" s="17" t="s">
        <v>8</v>
      </c>
      <c r="H97" s="18">
        <f>504+34+4</f>
        <v>542</v>
      </c>
      <c r="I97" s="18">
        <f>452+30</f>
        <v>482</v>
      </c>
      <c r="J97" s="18">
        <f>375+25</f>
        <v>400</v>
      </c>
      <c r="K97" s="18">
        <f>298+20</f>
        <v>318</v>
      </c>
      <c r="L97" s="18">
        <v>236</v>
      </c>
      <c r="M97" s="18">
        <v>152</v>
      </c>
      <c r="N97" s="18">
        <v>69</v>
      </c>
      <c r="O97" s="18">
        <v>4</v>
      </c>
      <c r="P97" s="18">
        <f>SUM(H97:O97)</f>
        <v>2203</v>
      </c>
    </row>
    <row r="98" spans="1:16" ht="15.75" customHeight="1" x14ac:dyDescent="0.25">
      <c r="A98" s="106"/>
      <c r="B98" s="102"/>
      <c r="C98" s="104"/>
      <c r="D98" s="126"/>
      <c r="E98" s="109"/>
      <c r="F98" s="15"/>
      <c r="G98" s="15" t="s">
        <v>105</v>
      </c>
      <c r="H98" s="16">
        <f t="shared" ref="H98:P98" si="30">SUM(H96:H97)</f>
        <v>2268</v>
      </c>
      <c r="I98" s="16">
        <f t="shared" si="30"/>
        <v>2506</v>
      </c>
      <c r="J98" s="16">
        <f t="shared" si="30"/>
        <v>2424</v>
      </c>
      <c r="K98" s="16">
        <f t="shared" si="30"/>
        <v>2342</v>
      </c>
      <c r="L98" s="16">
        <f t="shared" si="30"/>
        <v>2260</v>
      </c>
      <c r="M98" s="16">
        <f t="shared" si="30"/>
        <v>2176</v>
      </c>
      <c r="N98" s="16">
        <f t="shared" si="30"/>
        <v>2083</v>
      </c>
      <c r="O98" s="16">
        <f t="shared" si="30"/>
        <v>4</v>
      </c>
      <c r="P98" s="16">
        <f t="shared" si="30"/>
        <v>16063</v>
      </c>
    </row>
    <row r="99" spans="1:16" ht="18.600000000000001" customHeight="1" x14ac:dyDescent="0.25">
      <c r="A99" s="106">
        <f>A96+1</f>
        <v>31</v>
      </c>
      <c r="B99" s="102" t="s">
        <v>11</v>
      </c>
      <c r="C99" s="104" t="s">
        <v>85</v>
      </c>
      <c r="D99" s="126">
        <v>41019</v>
      </c>
      <c r="E99" s="109" t="s">
        <v>188</v>
      </c>
      <c r="F99" s="41" t="s">
        <v>189</v>
      </c>
      <c r="G99" s="13" t="s">
        <v>5</v>
      </c>
      <c r="H99" s="14">
        <f>7803-2880</f>
        <v>4923</v>
      </c>
      <c r="I99" s="14">
        <v>7968</v>
      </c>
      <c r="J99" s="14">
        <v>7968</v>
      </c>
      <c r="K99" s="14">
        <v>7968</v>
      </c>
      <c r="L99" s="14">
        <v>7968</v>
      </c>
      <c r="M99" s="14">
        <v>7968</v>
      </c>
      <c r="N99" s="14">
        <v>7968</v>
      </c>
      <c r="O99" s="14">
        <f>97538-7803+1890</f>
        <v>91625</v>
      </c>
      <c r="P99" s="14">
        <f>SUM(H99:O99)</f>
        <v>144356</v>
      </c>
    </row>
    <row r="100" spans="1:16" ht="15.6" customHeight="1" x14ac:dyDescent="0.25">
      <c r="A100" s="106"/>
      <c r="B100" s="102"/>
      <c r="C100" s="104"/>
      <c r="D100" s="126"/>
      <c r="E100" s="109"/>
      <c r="F100" s="20" t="s">
        <v>190</v>
      </c>
      <c r="G100" s="17" t="s">
        <v>8</v>
      </c>
      <c r="H100" s="18">
        <f>5326+364+38</f>
        <v>5728</v>
      </c>
      <c r="I100" s="18">
        <f>5287+350</f>
        <v>5637</v>
      </c>
      <c r="J100" s="18">
        <f>4989+330</f>
        <v>5319</v>
      </c>
      <c r="K100" s="18">
        <f>4683+310</f>
        <v>4993</v>
      </c>
      <c r="L100" s="18">
        <f>4390+290</f>
        <v>4680</v>
      </c>
      <c r="M100" s="18">
        <f>4072+269</f>
        <v>4341</v>
      </c>
      <c r="N100" s="18">
        <f>3767+249</f>
        <v>4016</v>
      </c>
      <c r="O100" s="18">
        <f>22824</f>
        <v>22824</v>
      </c>
      <c r="P100" s="18">
        <f>SUM(H100:O100)</f>
        <v>57538</v>
      </c>
    </row>
    <row r="101" spans="1:16" ht="15" customHeight="1" x14ac:dyDescent="0.25">
      <c r="A101" s="106"/>
      <c r="B101" s="102"/>
      <c r="C101" s="104"/>
      <c r="D101" s="126"/>
      <c r="E101" s="109"/>
      <c r="F101" s="15"/>
      <c r="G101" s="15" t="s">
        <v>105</v>
      </c>
      <c r="H101" s="16">
        <f t="shared" ref="H101:P101" si="31">SUM(H99:H100)</f>
        <v>10651</v>
      </c>
      <c r="I101" s="16">
        <f t="shared" si="31"/>
        <v>13605</v>
      </c>
      <c r="J101" s="16">
        <f t="shared" si="31"/>
        <v>13287</v>
      </c>
      <c r="K101" s="16">
        <f t="shared" si="31"/>
        <v>12961</v>
      </c>
      <c r="L101" s="16">
        <f t="shared" si="31"/>
        <v>12648</v>
      </c>
      <c r="M101" s="16">
        <f t="shared" si="31"/>
        <v>12309</v>
      </c>
      <c r="N101" s="16">
        <f t="shared" si="31"/>
        <v>11984</v>
      </c>
      <c r="O101" s="16">
        <f t="shared" si="31"/>
        <v>114449</v>
      </c>
      <c r="P101" s="16">
        <f t="shared" si="31"/>
        <v>201894</v>
      </c>
    </row>
    <row r="102" spans="1:16" ht="16.2" customHeight="1" x14ac:dyDescent="0.25">
      <c r="A102" s="106">
        <f>A99+1</f>
        <v>32</v>
      </c>
      <c r="B102" s="102" t="s">
        <v>11</v>
      </c>
      <c r="C102" s="104" t="s">
        <v>73</v>
      </c>
      <c r="D102" s="126">
        <v>41019</v>
      </c>
      <c r="E102" s="109" t="s">
        <v>188</v>
      </c>
      <c r="F102" s="41" t="s">
        <v>191</v>
      </c>
      <c r="G102" s="13" t="s">
        <v>5</v>
      </c>
      <c r="H102" s="14">
        <f>3421-1263</f>
        <v>2158</v>
      </c>
      <c r="I102" s="14">
        <v>3496</v>
      </c>
      <c r="J102" s="14">
        <v>3496</v>
      </c>
      <c r="K102" s="14">
        <v>3496</v>
      </c>
      <c r="L102" s="14">
        <v>3496</v>
      </c>
      <c r="M102" s="14">
        <v>3496</v>
      </c>
      <c r="N102" s="14">
        <v>3496</v>
      </c>
      <c r="O102" s="14">
        <f>42754-3421+814</f>
        <v>40147</v>
      </c>
      <c r="P102" s="14">
        <f>SUM(H102:O102)</f>
        <v>63281</v>
      </c>
    </row>
    <row r="103" spans="1:16" ht="16.2" customHeight="1" x14ac:dyDescent="0.25">
      <c r="A103" s="106"/>
      <c r="B103" s="102"/>
      <c r="C103" s="104"/>
      <c r="D103" s="126"/>
      <c r="E103" s="109"/>
      <c r="F103" s="20" t="s">
        <v>192</v>
      </c>
      <c r="G103" s="17" t="s">
        <v>8</v>
      </c>
      <c r="H103" s="18">
        <f>2335+159+17</f>
        <v>2511</v>
      </c>
      <c r="I103" s="18">
        <f>2318+153</f>
        <v>2471</v>
      </c>
      <c r="J103" s="18">
        <f>2187+145</f>
        <v>2332</v>
      </c>
      <c r="K103" s="18">
        <f>2053+136</f>
        <v>2189</v>
      </c>
      <c r="L103" s="18">
        <f>1924+127</f>
        <v>2051</v>
      </c>
      <c r="M103" s="18">
        <f>1785+118</f>
        <v>1903</v>
      </c>
      <c r="N103" s="18">
        <f>1651+109</f>
        <v>1760</v>
      </c>
      <c r="O103" s="18">
        <f>9989</f>
        <v>9989</v>
      </c>
      <c r="P103" s="18">
        <f>SUM(H103:O103)</f>
        <v>25206</v>
      </c>
    </row>
    <row r="104" spans="1:16" ht="16.2" customHeight="1" x14ac:dyDescent="0.25">
      <c r="A104" s="106"/>
      <c r="B104" s="116"/>
      <c r="C104" s="118"/>
      <c r="D104" s="127"/>
      <c r="E104" s="113"/>
      <c r="F104" s="26"/>
      <c r="G104" s="26" t="s">
        <v>105</v>
      </c>
      <c r="H104" s="16">
        <f t="shared" ref="H104:P104" si="32">SUM(H102:H103)</f>
        <v>4669</v>
      </c>
      <c r="I104" s="16">
        <f t="shared" si="32"/>
        <v>5967</v>
      </c>
      <c r="J104" s="16">
        <f t="shared" si="32"/>
        <v>5828</v>
      </c>
      <c r="K104" s="16">
        <f t="shared" si="32"/>
        <v>5685</v>
      </c>
      <c r="L104" s="16">
        <f t="shared" si="32"/>
        <v>5547</v>
      </c>
      <c r="M104" s="16">
        <f t="shared" si="32"/>
        <v>5399</v>
      </c>
      <c r="N104" s="16">
        <f t="shared" si="32"/>
        <v>5256</v>
      </c>
      <c r="O104" s="16">
        <f t="shared" si="32"/>
        <v>50136</v>
      </c>
      <c r="P104" s="16">
        <f t="shared" si="32"/>
        <v>88487</v>
      </c>
    </row>
    <row r="105" spans="1:16" ht="16.5" customHeight="1" x14ac:dyDescent="0.25">
      <c r="A105" s="106">
        <f>A102+1</f>
        <v>33</v>
      </c>
      <c r="B105" s="102" t="s">
        <v>11</v>
      </c>
      <c r="C105" s="104" t="s">
        <v>74</v>
      </c>
      <c r="D105" s="107">
        <v>41100</v>
      </c>
      <c r="E105" s="109" t="s">
        <v>193</v>
      </c>
      <c r="F105" s="41" t="s">
        <v>194</v>
      </c>
      <c r="G105" s="13" t="s">
        <v>5</v>
      </c>
      <c r="H105" s="14">
        <f>3563-1477</f>
        <v>2086</v>
      </c>
      <c r="I105" s="14">
        <v>3648</v>
      </c>
      <c r="J105" s="14">
        <v>3648</v>
      </c>
      <c r="K105" s="14">
        <v>3648</v>
      </c>
      <c r="L105" s="14">
        <v>3648</v>
      </c>
      <c r="M105" s="14">
        <v>3648</v>
      </c>
      <c r="N105" s="14">
        <v>3648</v>
      </c>
      <c r="O105" s="14">
        <f>45426-3563+967</f>
        <v>42830</v>
      </c>
      <c r="P105" s="14">
        <f>SUM(H105:O105)</f>
        <v>66804</v>
      </c>
    </row>
    <row r="106" spans="1:16" ht="15.75" customHeight="1" x14ac:dyDescent="0.25">
      <c r="A106" s="106"/>
      <c r="B106" s="102"/>
      <c r="C106" s="104"/>
      <c r="D106" s="107"/>
      <c r="E106" s="109"/>
      <c r="F106" s="20" t="s">
        <v>195</v>
      </c>
      <c r="G106" s="17" t="s">
        <v>8</v>
      </c>
      <c r="H106" s="18">
        <f>2744+168+16</f>
        <v>2928</v>
      </c>
      <c r="I106" s="18">
        <f>2454+162</f>
        <v>2616</v>
      </c>
      <c r="J106" s="18">
        <f>2318+153</f>
        <v>2471</v>
      </c>
      <c r="K106" s="18">
        <f>2178+144</f>
        <v>2322</v>
      </c>
      <c r="L106" s="18">
        <f>2044+135</f>
        <v>2179</v>
      </c>
      <c r="M106" s="18">
        <f>1898+126</f>
        <v>2024</v>
      </c>
      <c r="N106" s="18">
        <f>1758+116</f>
        <v>1874</v>
      </c>
      <c r="O106" s="18">
        <v>10880</v>
      </c>
      <c r="P106" s="18">
        <f>SUM(H106:O106)</f>
        <v>27294</v>
      </c>
    </row>
    <row r="107" spans="1:16" ht="18" customHeight="1" x14ac:dyDescent="0.25">
      <c r="A107" s="106"/>
      <c r="B107" s="102"/>
      <c r="C107" s="104"/>
      <c r="D107" s="107"/>
      <c r="E107" s="109"/>
      <c r="F107" s="15"/>
      <c r="G107" s="15" t="s">
        <v>105</v>
      </c>
      <c r="H107" s="16">
        <f t="shared" ref="H107:P107" si="33">SUM(H105:H106)</f>
        <v>5014</v>
      </c>
      <c r="I107" s="16">
        <f t="shared" si="33"/>
        <v>6264</v>
      </c>
      <c r="J107" s="16">
        <f t="shared" si="33"/>
        <v>6119</v>
      </c>
      <c r="K107" s="16">
        <f t="shared" si="33"/>
        <v>5970</v>
      </c>
      <c r="L107" s="16">
        <f t="shared" si="33"/>
        <v>5827</v>
      </c>
      <c r="M107" s="16">
        <f t="shared" si="33"/>
        <v>5672</v>
      </c>
      <c r="N107" s="16">
        <f t="shared" si="33"/>
        <v>5522</v>
      </c>
      <c r="O107" s="16">
        <f t="shared" si="33"/>
        <v>53710</v>
      </c>
      <c r="P107" s="16">
        <f t="shared" si="33"/>
        <v>94098</v>
      </c>
    </row>
    <row r="108" spans="1:16" ht="15.75" customHeight="1" x14ac:dyDescent="0.25">
      <c r="A108" s="106">
        <f>A105+1</f>
        <v>34</v>
      </c>
      <c r="B108" s="102" t="s">
        <v>11</v>
      </c>
      <c r="C108" s="104" t="s">
        <v>75</v>
      </c>
      <c r="D108" s="107">
        <v>41142</v>
      </c>
      <c r="E108" s="109" t="s">
        <v>198</v>
      </c>
      <c r="F108" s="41" t="s">
        <v>196</v>
      </c>
      <c r="G108" s="13" t="s">
        <v>5</v>
      </c>
      <c r="H108" s="14">
        <f>5304-2239</f>
        <v>3065</v>
      </c>
      <c r="I108" s="14">
        <v>5432</v>
      </c>
      <c r="J108" s="14">
        <v>5432</v>
      </c>
      <c r="K108" s="14">
        <v>5432</v>
      </c>
      <c r="L108" s="14">
        <v>5432</v>
      </c>
      <c r="M108" s="14">
        <v>5432</v>
      </c>
      <c r="N108" s="14">
        <v>5432</v>
      </c>
      <c r="O108" s="14">
        <f>67626-5304+1471</f>
        <v>63793</v>
      </c>
      <c r="P108" s="14">
        <f>SUM(H108:O108)</f>
        <v>99450</v>
      </c>
    </row>
    <row r="109" spans="1:16" ht="15.75" customHeight="1" x14ac:dyDescent="0.25">
      <c r="A109" s="106"/>
      <c r="B109" s="102"/>
      <c r="C109" s="104"/>
      <c r="D109" s="107"/>
      <c r="E109" s="109"/>
      <c r="F109" s="20" t="s">
        <v>197</v>
      </c>
      <c r="G109" s="17" t="s">
        <v>8</v>
      </c>
      <c r="H109" s="18">
        <f>4072+251+24</f>
        <v>4347</v>
      </c>
      <c r="I109" s="18">
        <f>3655+242</f>
        <v>3897</v>
      </c>
      <c r="J109" s="18">
        <f>3452+228</f>
        <v>3680</v>
      </c>
      <c r="K109" s="18">
        <f>3244+215</f>
        <v>3459</v>
      </c>
      <c r="L109" s="18">
        <f>3044+201</f>
        <v>3245</v>
      </c>
      <c r="M109" s="18">
        <f>2827+187</f>
        <v>3014</v>
      </c>
      <c r="N109" s="18">
        <f>2619+173</f>
        <v>2792</v>
      </c>
      <c r="O109" s="18">
        <f>16216</f>
        <v>16216</v>
      </c>
      <c r="P109" s="18">
        <f>SUM(H109:O109)</f>
        <v>40650</v>
      </c>
    </row>
    <row r="110" spans="1:16" ht="15.75" customHeight="1" x14ac:dyDescent="0.25">
      <c r="A110" s="106"/>
      <c r="B110" s="102"/>
      <c r="C110" s="104"/>
      <c r="D110" s="107"/>
      <c r="E110" s="109"/>
      <c r="F110" s="15"/>
      <c r="G110" s="15" t="s">
        <v>105</v>
      </c>
      <c r="H110" s="16">
        <f t="shared" ref="H110:P110" si="34">SUM(H108:H109)</f>
        <v>7412</v>
      </c>
      <c r="I110" s="16">
        <f t="shared" si="34"/>
        <v>9329</v>
      </c>
      <c r="J110" s="16">
        <f t="shared" si="34"/>
        <v>9112</v>
      </c>
      <c r="K110" s="16">
        <f t="shared" si="34"/>
        <v>8891</v>
      </c>
      <c r="L110" s="16">
        <f t="shared" si="34"/>
        <v>8677</v>
      </c>
      <c r="M110" s="16">
        <f t="shared" si="34"/>
        <v>8446</v>
      </c>
      <c r="N110" s="16">
        <f t="shared" si="34"/>
        <v>8224</v>
      </c>
      <c r="O110" s="16">
        <f t="shared" si="34"/>
        <v>80009</v>
      </c>
      <c r="P110" s="16">
        <f t="shared" si="34"/>
        <v>140100</v>
      </c>
    </row>
    <row r="111" spans="1:16" ht="17.25" customHeight="1" x14ac:dyDescent="0.25">
      <c r="A111" s="106">
        <f>A108+1</f>
        <v>35</v>
      </c>
      <c r="B111" s="102" t="s">
        <v>11</v>
      </c>
      <c r="C111" s="104" t="s">
        <v>17</v>
      </c>
      <c r="D111" s="107">
        <v>41150</v>
      </c>
      <c r="E111" s="109" t="s">
        <v>201</v>
      </c>
      <c r="F111" s="41" t="s">
        <v>199</v>
      </c>
      <c r="G111" s="13" t="s">
        <v>5</v>
      </c>
      <c r="H111" s="14">
        <f>6705-454</f>
        <v>6251</v>
      </c>
      <c r="I111" s="14">
        <v>6872</v>
      </c>
      <c r="J111" s="14">
        <v>6872</v>
      </c>
      <c r="K111" s="14">
        <v>5144</v>
      </c>
      <c r="L111" s="14">
        <v>0</v>
      </c>
      <c r="M111" s="14">
        <v>0</v>
      </c>
      <c r="N111" s="14">
        <v>0</v>
      </c>
      <c r="O111" s="19">
        <v>0</v>
      </c>
      <c r="P111" s="14">
        <f>SUM(H111:O111)</f>
        <v>25139</v>
      </c>
    </row>
    <row r="112" spans="1:16" ht="15.75" customHeight="1" x14ac:dyDescent="0.25">
      <c r="A112" s="106"/>
      <c r="B112" s="102"/>
      <c r="C112" s="104"/>
      <c r="D112" s="107"/>
      <c r="E112" s="109"/>
      <c r="F112" s="42" t="s">
        <v>200</v>
      </c>
      <c r="G112" s="17" t="s">
        <v>8</v>
      </c>
      <c r="H112" s="18">
        <f>1063+4</f>
        <v>1067</v>
      </c>
      <c r="I112" s="18">
        <f>681+45</f>
        <v>726</v>
      </c>
      <c r="J112" s="18">
        <f>420+28</f>
        <v>448</v>
      </c>
      <c r="K112" s="18">
        <v>161</v>
      </c>
      <c r="L112" s="18">
        <v>0</v>
      </c>
      <c r="M112" s="18">
        <v>0</v>
      </c>
      <c r="N112" s="18">
        <v>0</v>
      </c>
      <c r="O112" s="21">
        <v>0</v>
      </c>
      <c r="P112" s="18">
        <f>SUM(H112:O112)</f>
        <v>2402</v>
      </c>
    </row>
    <row r="113" spans="1:16" ht="16.5" customHeight="1" x14ac:dyDescent="0.25">
      <c r="A113" s="106"/>
      <c r="B113" s="102"/>
      <c r="C113" s="104"/>
      <c r="D113" s="107"/>
      <c r="E113" s="109"/>
      <c r="F113" s="15"/>
      <c r="G113" s="15" t="s">
        <v>105</v>
      </c>
      <c r="H113" s="16">
        <f t="shared" ref="H113:P113" si="35">SUM(H111:H112)</f>
        <v>7318</v>
      </c>
      <c r="I113" s="16">
        <f t="shared" si="35"/>
        <v>7598</v>
      </c>
      <c r="J113" s="16">
        <f t="shared" si="35"/>
        <v>7320</v>
      </c>
      <c r="K113" s="16">
        <f t="shared" si="35"/>
        <v>5305</v>
      </c>
      <c r="L113" s="16">
        <f t="shared" si="35"/>
        <v>0</v>
      </c>
      <c r="M113" s="16">
        <f t="shared" si="35"/>
        <v>0</v>
      </c>
      <c r="N113" s="16">
        <f t="shared" si="35"/>
        <v>0</v>
      </c>
      <c r="O113" s="16">
        <f t="shared" si="35"/>
        <v>0</v>
      </c>
      <c r="P113" s="16">
        <f t="shared" si="35"/>
        <v>27541</v>
      </c>
    </row>
    <row r="114" spans="1:16" ht="16.2" customHeight="1" x14ac:dyDescent="0.25">
      <c r="A114" s="106">
        <f>A111+1</f>
        <v>36</v>
      </c>
      <c r="B114" s="102" t="s">
        <v>11</v>
      </c>
      <c r="C114" s="104" t="s">
        <v>18</v>
      </c>
      <c r="D114" s="107">
        <v>41211</v>
      </c>
      <c r="E114" s="109" t="s">
        <v>202</v>
      </c>
      <c r="F114" s="41" t="s">
        <v>203</v>
      </c>
      <c r="G114" s="13" t="s">
        <v>5</v>
      </c>
      <c r="H114" s="14">
        <f>7222-163</f>
        <v>7059</v>
      </c>
      <c r="I114" s="14">
        <v>6676</v>
      </c>
      <c r="J114" s="14">
        <v>6676</v>
      </c>
      <c r="K114" s="14">
        <v>6673</v>
      </c>
      <c r="L114" s="14">
        <v>0</v>
      </c>
      <c r="M114" s="14">
        <v>0</v>
      </c>
      <c r="N114" s="14">
        <v>0</v>
      </c>
      <c r="O114" s="19">
        <v>0</v>
      </c>
      <c r="P114" s="14">
        <f>SUM(H114:O114)</f>
        <v>27084</v>
      </c>
    </row>
    <row r="115" spans="1:16" ht="17.25" customHeight="1" x14ac:dyDescent="0.25">
      <c r="A115" s="106"/>
      <c r="B115" s="102"/>
      <c r="C115" s="104"/>
      <c r="D115" s="107"/>
      <c r="E115" s="109"/>
      <c r="F115" s="20" t="s">
        <v>204</v>
      </c>
      <c r="G115" s="17" t="s">
        <v>8</v>
      </c>
      <c r="H115" s="18">
        <f>1071+66+2</f>
        <v>1139</v>
      </c>
      <c r="I115" s="18">
        <f>734+48</f>
        <v>782</v>
      </c>
      <c r="J115" s="18">
        <f>472+31</f>
        <v>503</v>
      </c>
      <c r="K115" s="18">
        <v>230</v>
      </c>
      <c r="L115" s="18">
        <v>3</v>
      </c>
      <c r="M115" s="18">
        <v>0</v>
      </c>
      <c r="N115" s="18">
        <v>0</v>
      </c>
      <c r="O115" s="21">
        <v>0</v>
      </c>
      <c r="P115" s="18">
        <f>SUM(H115:O115)</f>
        <v>2657</v>
      </c>
    </row>
    <row r="116" spans="1:16" ht="17.25" customHeight="1" x14ac:dyDescent="0.25">
      <c r="A116" s="106"/>
      <c r="B116" s="116"/>
      <c r="C116" s="118"/>
      <c r="D116" s="110"/>
      <c r="E116" s="113"/>
      <c r="F116" s="26"/>
      <c r="G116" s="26" t="s">
        <v>105</v>
      </c>
      <c r="H116" s="16">
        <f t="shared" ref="H116:P116" si="36">SUM(H114:H115)</f>
        <v>8198</v>
      </c>
      <c r="I116" s="16">
        <f t="shared" si="36"/>
        <v>7458</v>
      </c>
      <c r="J116" s="16">
        <f t="shared" si="36"/>
        <v>7179</v>
      </c>
      <c r="K116" s="16">
        <f t="shared" si="36"/>
        <v>6903</v>
      </c>
      <c r="L116" s="16">
        <f t="shared" si="36"/>
        <v>3</v>
      </c>
      <c r="M116" s="16">
        <f t="shared" si="36"/>
        <v>0</v>
      </c>
      <c r="N116" s="16">
        <f t="shared" si="36"/>
        <v>0</v>
      </c>
      <c r="O116" s="16">
        <f t="shared" si="36"/>
        <v>0</v>
      </c>
      <c r="P116" s="16">
        <f t="shared" si="36"/>
        <v>29741</v>
      </c>
    </row>
    <row r="117" spans="1:16" ht="19.95" customHeight="1" x14ac:dyDescent="0.25">
      <c r="A117" s="106">
        <f>A114+1</f>
        <v>37</v>
      </c>
      <c r="B117" s="102" t="s">
        <v>11</v>
      </c>
      <c r="C117" s="104" t="s">
        <v>19</v>
      </c>
      <c r="D117" s="107">
        <v>41229</v>
      </c>
      <c r="E117" s="109" t="s">
        <v>205</v>
      </c>
      <c r="F117" s="41" t="s">
        <v>206</v>
      </c>
      <c r="G117" s="13" t="s">
        <v>5</v>
      </c>
      <c r="H117" s="14">
        <f>7456-217</f>
        <v>7239</v>
      </c>
      <c r="I117" s="14">
        <v>7528</v>
      </c>
      <c r="J117" s="14">
        <v>7528</v>
      </c>
      <c r="K117" s="14">
        <v>7527</v>
      </c>
      <c r="L117" s="14">
        <v>0</v>
      </c>
      <c r="M117" s="14">
        <v>0</v>
      </c>
      <c r="N117" s="14">
        <v>0</v>
      </c>
      <c r="O117" s="19">
        <v>0</v>
      </c>
      <c r="P117" s="14">
        <f>SUM(H117:O117)</f>
        <v>29822</v>
      </c>
    </row>
    <row r="118" spans="1:16" ht="15.75" customHeight="1" x14ac:dyDescent="0.25">
      <c r="A118" s="106"/>
      <c r="B118" s="102"/>
      <c r="C118" s="104"/>
      <c r="D118" s="107"/>
      <c r="E118" s="109"/>
      <c r="F118" s="20" t="s">
        <v>207</v>
      </c>
      <c r="G118" s="17" t="s">
        <v>8</v>
      </c>
      <c r="H118" s="18">
        <f>1164+73</f>
        <v>1237</v>
      </c>
      <c r="I118" s="18">
        <f>831+54</f>
        <v>885</v>
      </c>
      <c r="J118" s="18">
        <f>532+35</f>
        <v>567</v>
      </c>
      <c r="K118" s="18">
        <v>260</v>
      </c>
      <c r="L118" s="18">
        <v>11</v>
      </c>
      <c r="M118" s="18">
        <v>0</v>
      </c>
      <c r="N118" s="18">
        <v>0</v>
      </c>
      <c r="O118" s="21">
        <v>0</v>
      </c>
      <c r="P118" s="18">
        <f>SUM(H118:O118)</f>
        <v>2960</v>
      </c>
    </row>
    <row r="119" spans="1:16" ht="15.75" customHeight="1" x14ac:dyDescent="0.25">
      <c r="A119" s="106"/>
      <c r="B119" s="102"/>
      <c r="C119" s="104"/>
      <c r="D119" s="107"/>
      <c r="E119" s="109"/>
      <c r="F119" s="15"/>
      <c r="G119" s="15" t="s">
        <v>105</v>
      </c>
      <c r="H119" s="16">
        <f t="shared" ref="H119:P119" si="37">SUM(H117:H118)</f>
        <v>8476</v>
      </c>
      <c r="I119" s="16">
        <f t="shared" si="37"/>
        <v>8413</v>
      </c>
      <c r="J119" s="16">
        <f t="shared" si="37"/>
        <v>8095</v>
      </c>
      <c r="K119" s="16">
        <f t="shared" si="37"/>
        <v>7787</v>
      </c>
      <c r="L119" s="16">
        <f t="shared" si="37"/>
        <v>11</v>
      </c>
      <c r="M119" s="16">
        <f t="shared" si="37"/>
        <v>0</v>
      </c>
      <c r="N119" s="16">
        <f t="shared" si="37"/>
        <v>0</v>
      </c>
      <c r="O119" s="16">
        <f t="shared" si="37"/>
        <v>0</v>
      </c>
      <c r="P119" s="16">
        <f t="shared" si="37"/>
        <v>32782</v>
      </c>
    </row>
    <row r="120" spans="1:16" ht="16.5" customHeight="1" x14ac:dyDescent="0.25">
      <c r="A120" s="106">
        <f>A117+1</f>
        <v>38</v>
      </c>
      <c r="B120" s="102" t="s">
        <v>11</v>
      </c>
      <c r="C120" s="104" t="s">
        <v>18</v>
      </c>
      <c r="D120" s="107">
        <v>41311</v>
      </c>
      <c r="E120" s="109" t="s">
        <v>210</v>
      </c>
      <c r="F120" s="41" t="s">
        <v>208</v>
      </c>
      <c r="G120" s="13" t="s">
        <v>5</v>
      </c>
      <c r="H120" s="14">
        <f>22174-824</f>
        <v>21350</v>
      </c>
      <c r="I120" s="14">
        <v>22428</v>
      </c>
      <c r="J120" s="14">
        <v>22428</v>
      </c>
      <c r="K120" s="14">
        <v>22428</v>
      </c>
      <c r="L120" s="14">
        <f>5544+62</f>
        <v>5606</v>
      </c>
      <c r="M120" s="14">
        <v>0</v>
      </c>
      <c r="N120" s="14">
        <v>0</v>
      </c>
      <c r="O120" s="14">
        <v>0</v>
      </c>
      <c r="P120" s="14">
        <f>SUM(H120:O120)</f>
        <v>94240</v>
      </c>
    </row>
    <row r="121" spans="1:16" ht="15" customHeight="1" x14ac:dyDescent="0.25">
      <c r="A121" s="106"/>
      <c r="B121" s="102"/>
      <c r="C121" s="104"/>
      <c r="D121" s="107"/>
      <c r="E121" s="109"/>
      <c r="F121" s="20" t="s">
        <v>209</v>
      </c>
      <c r="G121" s="17" t="s">
        <v>8</v>
      </c>
      <c r="H121" s="18">
        <f>3368+231+7</f>
        <v>3606</v>
      </c>
      <c r="I121" s="18">
        <f>2654+176</f>
        <v>2830</v>
      </c>
      <c r="J121" s="18">
        <f>1801+119</f>
        <v>1920</v>
      </c>
      <c r="K121" s="18">
        <f>941+62</f>
        <v>1003</v>
      </c>
      <c r="L121" s="18">
        <v>119</v>
      </c>
      <c r="M121" s="18">
        <v>0</v>
      </c>
      <c r="N121" s="18">
        <v>0</v>
      </c>
      <c r="O121" s="18">
        <v>0</v>
      </c>
      <c r="P121" s="18">
        <f>SUM(H121:O121)</f>
        <v>9478</v>
      </c>
    </row>
    <row r="122" spans="1:16" ht="15" customHeight="1" x14ac:dyDescent="0.25">
      <c r="A122" s="106"/>
      <c r="B122" s="102"/>
      <c r="C122" s="104"/>
      <c r="D122" s="107"/>
      <c r="E122" s="109"/>
      <c r="F122" s="15"/>
      <c r="G122" s="15" t="s">
        <v>105</v>
      </c>
      <c r="H122" s="16">
        <f t="shared" ref="H122:P122" si="38">SUM(H120:H121)</f>
        <v>24956</v>
      </c>
      <c r="I122" s="16">
        <f t="shared" si="38"/>
        <v>25258</v>
      </c>
      <c r="J122" s="16">
        <f t="shared" si="38"/>
        <v>24348</v>
      </c>
      <c r="K122" s="16">
        <f t="shared" si="38"/>
        <v>23431</v>
      </c>
      <c r="L122" s="16">
        <f t="shared" si="38"/>
        <v>5725</v>
      </c>
      <c r="M122" s="16">
        <f t="shared" si="38"/>
        <v>0</v>
      </c>
      <c r="N122" s="16">
        <f t="shared" si="38"/>
        <v>0</v>
      </c>
      <c r="O122" s="16">
        <f t="shared" si="38"/>
        <v>0</v>
      </c>
      <c r="P122" s="16">
        <f t="shared" si="38"/>
        <v>103718</v>
      </c>
    </row>
    <row r="123" spans="1:16" ht="16.95" customHeight="1" x14ac:dyDescent="0.25">
      <c r="A123" s="106">
        <f>A120+1</f>
        <v>39</v>
      </c>
      <c r="B123" s="102" t="s">
        <v>11</v>
      </c>
      <c r="C123" s="104" t="s">
        <v>76</v>
      </c>
      <c r="D123" s="107">
        <v>41474</v>
      </c>
      <c r="E123" s="109" t="s">
        <v>211</v>
      </c>
      <c r="F123" s="41" t="s">
        <v>212</v>
      </c>
      <c r="G123" s="13" t="s">
        <v>5</v>
      </c>
      <c r="H123" s="14">
        <f>4228-1831</f>
        <v>2397</v>
      </c>
      <c r="I123" s="14">
        <v>4328</v>
      </c>
      <c r="J123" s="14">
        <v>4328</v>
      </c>
      <c r="K123" s="14">
        <v>4328</v>
      </c>
      <c r="L123" s="14">
        <v>4328</v>
      </c>
      <c r="M123" s="14">
        <v>4328</v>
      </c>
      <c r="N123" s="14">
        <v>4328</v>
      </c>
      <c r="O123" s="14">
        <f>58135-4228+1231</f>
        <v>55138</v>
      </c>
      <c r="P123" s="14">
        <f>SUM(H123:O123)</f>
        <v>83503</v>
      </c>
    </row>
    <row r="124" spans="1:16" ht="15.75" customHeight="1" x14ac:dyDescent="0.25">
      <c r="A124" s="106"/>
      <c r="B124" s="102"/>
      <c r="C124" s="104"/>
      <c r="D124" s="107"/>
      <c r="E124" s="109"/>
      <c r="F124" s="20" t="s">
        <v>213</v>
      </c>
      <c r="G124" s="17" t="s">
        <v>8</v>
      </c>
      <c r="H124" s="18">
        <f>3455+211+20</f>
        <v>3686</v>
      </c>
      <c r="I124" s="18">
        <f>3077+204</f>
        <v>3281</v>
      </c>
      <c r="J124" s="18">
        <f>2916+183</f>
        <v>3099</v>
      </c>
      <c r="K124" s="18">
        <f>2750+182</f>
        <v>2932</v>
      </c>
      <c r="L124" s="18">
        <f>2591+171</f>
        <v>2762</v>
      </c>
      <c r="M124" s="18">
        <f>2418+160</f>
        <v>2578</v>
      </c>
      <c r="N124" s="18">
        <f>2252+149</f>
        <v>2401</v>
      </c>
      <c r="O124" s="53">
        <f>15133</f>
        <v>15133</v>
      </c>
      <c r="P124" s="18">
        <f>SUM(H124:O124)</f>
        <v>35872</v>
      </c>
    </row>
    <row r="125" spans="1:16" ht="15.75" customHeight="1" x14ac:dyDescent="0.25">
      <c r="A125" s="106"/>
      <c r="B125" s="102"/>
      <c r="C125" s="104"/>
      <c r="D125" s="107"/>
      <c r="E125" s="109"/>
      <c r="F125" s="15"/>
      <c r="G125" s="15" t="s">
        <v>105</v>
      </c>
      <c r="H125" s="16">
        <f t="shared" ref="H125:P125" si="39">SUM(H123:H124)</f>
        <v>6083</v>
      </c>
      <c r="I125" s="16">
        <f t="shared" si="39"/>
        <v>7609</v>
      </c>
      <c r="J125" s="16">
        <f t="shared" si="39"/>
        <v>7427</v>
      </c>
      <c r="K125" s="16">
        <f t="shared" si="39"/>
        <v>7260</v>
      </c>
      <c r="L125" s="16">
        <f t="shared" si="39"/>
        <v>7090</v>
      </c>
      <c r="M125" s="16">
        <f t="shared" si="39"/>
        <v>6906</v>
      </c>
      <c r="N125" s="16">
        <f t="shared" si="39"/>
        <v>6729</v>
      </c>
      <c r="O125" s="16">
        <f t="shared" si="39"/>
        <v>70271</v>
      </c>
      <c r="P125" s="16">
        <f t="shared" si="39"/>
        <v>119375</v>
      </c>
    </row>
    <row r="126" spans="1:16" ht="18" customHeight="1" x14ac:dyDescent="0.25">
      <c r="A126" s="106">
        <f>A123+1</f>
        <v>40</v>
      </c>
      <c r="B126" s="102" t="s">
        <v>11</v>
      </c>
      <c r="C126" s="104" t="s">
        <v>615</v>
      </c>
      <c r="D126" s="107">
        <v>41627</v>
      </c>
      <c r="E126" s="109" t="s">
        <v>215</v>
      </c>
      <c r="F126" s="41" t="s">
        <v>216</v>
      </c>
      <c r="G126" s="13" t="s">
        <v>5</v>
      </c>
      <c r="H126" s="19">
        <v>0</v>
      </c>
      <c r="I126" s="19">
        <v>0</v>
      </c>
      <c r="J126" s="19">
        <v>0</v>
      </c>
      <c r="K126" s="19">
        <v>0</v>
      </c>
      <c r="L126" s="19">
        <v>0</v>
      </c>
      <c r="M126" s="19">
        <v>0</v>
      </c>
      <c r="N126" s="19">
        <v>0</v>
      </c>
      <c r="O126" s="19">
        <v>0</v>
      </c>
      <c r="P126" s="14">
        <f>SUM(H126:O126)</f>
        <v>0</v>
      </c>
    </row>
    <row r="127" spans="1:16" ht="15.75" customHeight="1" x14ac:dyDescent="0.25">
      <c r="A127" s="106"/>
      <c r="B127" s="102"/>
      <c r="C127" s="104"/>
      <c r="D127" s="107"/>
      <c r="E127" s="109"/>
      <c r="F127" s="20" t="s">
        <v>217</v>
      </c>
      <c r="G127" s="17" t="s">
        <v>8</v>
      </c>
      <c r="H127" s="97">
        <v>11</v>
      </c>
      <c r="I127" s="21">
        <v>0</v>
      </c>
      <c r="J127" s="21">
        <v>0</v>
      </c>
      <c r="K127" s="21">
        <v>0</v>
      </c>
      <c r="L127" s="21">
        <v>0</v>
      </c>
      <c r="M127" s="21">
        <v>0</v>
      </c>
      <c r="N127" s="21">
        <v>0</v>
      </c>
      <c r="O127" s="21">
        <v>0</v>
      </c>
      <c r="P127" s="18">
        <f>SUM(H127:O127)</f>
        <v>11</v>
      </c>
    </row>
    <row r="128" spans="1:16" ht="15.75" customHeight="1" x14ac:dyDescent="0.25">
      <c r="A128" s="106"/>
      <c r="B128" s="102"/>
      <c r="C128" s="104"/>
      <c r="D128" s="107"/>
      <c r="E128" s="109"/>
      <c r="F128" s="15"/>
      <c r="G128" s="15" t="s">
        <v>105</v>
      </c>
      <c r="H128" s="16">
        <f t="shared" ref="H128:P128" si="40">SUM(H126:H127)</f>
        <v>11</v>
      </c>
      <c r="I128" s="16">
        <f t="shared" si="40"/>
        <v>0</v>
      </c>
      <c r="J128" s="16">
        <f t="shared" si="40"/>
        <v>0</v>
      </c>
      <c r="K128" s="16">
        <f t="shared" si="40"/>
        <v>0</v>
      </c>
      <c r="L128" s="16">
        <f t="shared" si="40"/>
        <v>0</v>
      </c>
      <c r="M128" s="16">
        <f t="shared" si="40"/>
        <v>0</v>
      </c>
      <c r="N128" s="16">
        <f>SUM(N126:N127)</f>
        <v>0</v>
      </c>
      <c r="O128" s="16">
        <f t="shared" si="40"/>
        <v>0</v>
      </c>
      <c r="P128" s="16">
        <f t="shared" si="40"/>
        <v>11</v>
      </c>
    </row>
    <row r="129" spans="1:16" ht="18.600000000000001" customHeight="1" x14ac:dyDescent="0.25">
      <c r="A129" s="106">
        <f>A126+1</f>
        <v>41</v>
      </c>
      <c r="B129" s="102" t="s">
        <v>11</v>
      </c>
      <c r="C129" s="104" t="s">
        <v>78</v>
      </c>
      <c r="D129" s="126">
        <v>41897</v>
      </c>
      <c r="E129" s="109" t="s">
        <v>215</v>
      </c>
      <c r="F129" s="41" t="s">
        <v>218</v>
      </c>
      <c r="G129" s="13" t="s">
        <v>5</v>
      </c>
      <c r="H129" s="14">
        <f>1960-239</f>
        <v>1721</v>
      </c>
      <c r="I129" s="14">
        <v>2000</v>
      </c>
      <c r="J129" s="14">
        <v>2000</v>
      </c>
      <c r="K129" s="14">
        <v>2000</v>
      </c>
      <c r="L129" s="14">
        <v>2000</v>
      </c>
      <c r="M129" s="14">
        <v>2000</v>
      </c>
      <c r="N129" s="14">
        <v>1999</v>
      </c>
      <c r="O129" s="14">
        <v>0</v>
      </c>
      <c r="P129" s="14">
        <f>SUM(H129:O129)</f>
        <v>13720</v>
      </c>
    </row>
    <row r="130" spans="1:16" ht="17.25" customHeight="1" x14ac:dyDescent="0.25">
      <c r="A130" s="106"/>
      <c r="B130" s="102"/>
      <c r="C130" s="104"/>
      <c r="D130" s="126"/>
      <c r="E130" s="109"/>
      <c r="F130" s="20" t="s">
        <v>219</v>
      </c>
      <c r="G130" s="17" t="s">
        <v>8</v>
      </c>
      <c r="H130" s="18">
        <f>558+34+3</f>
        <v>595</v>
      </c>
      <c r="I130" s="18">
        <f>447+30</f>
        <v>477</v>
      </c>
      <c r="J130" s="18">
        <f>371+25</f>
        <v>396</v>
      </c>
      <c r="K130" s="18">
        <f>295+20</f>
        <v>315</v>
      </c>
      <c r="L130" s="18">
        <f>218+14</f>
        <v>232</v>
      </c>
      <c r="M130" s="53">
        <v>150</v>
      </c>
      <c r="N130" s="53">
        <v>69</v>
      </c>
      <c r="O130" s="40">
        <v>4</v>
      </c>
      <c r="P130" s="18">
        <f>SUM(H130:O130)</f>
        <v>2238</v>
      </c>
    </row>
    <row r="131" spans="1:16" ht="15" customHeight="1" x14ac:dyDescent="0.25">
      <c r="A131" s="106"/>
      <c r="B131" s="116"/>
      <c r="C131" s="118"/>
      <c r="D131" s="127"/>
      <c r="E131" s="113"/>
      <c r="F131" s="26"/>
      <c r="G131" s="26" t="s">
        <v>105</v>
      </c>
      <c r="H131" s="16">
        <f t="shared" ref="H131:P131" si="41">SUM(H129:H130)</f>
        <v>2316</v>
      </c>
      <c r="I131" s="16">
        <f t="shared" si="41"/>
        <v>2477</v>
      </c>
      <c r="J131" s="16">
        <f t="shared" si="41"/>
        <v>2396</v>
      </c>
      <c r="K131" s="16">
        <f t="shared" si="41"/>
        <v>2315</v>
      </c>
      <c r="L131" s="16">
        <f t="shared" si="41"/>
        <v>2232</v>
      </c>
      <c r="M131" s="16">
        <f t="shared" si="41"/>
        <v>2150</v>
      </c>
      <c r="N131" s="16">
        <f t="shared" si="41"/>
        <v>2068</v>
      </c>
      <c r="O131" s="16">
        <f t="shared" si="41"/>
        <v>4</v>
      </c>
      <c r="P131" s="16">
        <f t="shared" si="41"/>
        <v>15958</v>
      </c>
    </row>
    <row r="132" spans="1:16" ht="17.25" customHeight="1" x14ac:dyDescent="0.25">
      <c r="A132" s="106">
        <f>A129+1</f>
        <v>42</v>
      </c>
      <c r="B132" s="102" t="s">
        <v>11</v>
      </c>
      <c r="C132" s="104" t="s">
        <v>20</v>
      </c>
      <c r="D132" s="107">
        <v>41696</v>
      </c>
      <c r="E132" s="109" t="s">
        <v>222</v>
      </c>
      <c r="F132" s="41" t="s">
        <v>220</v>
      </c>
      <c r="G132" s="13" t="s">
        <v>5</v>
      </c>
      <c r="H132" s="14">
        <f>120928-7452</f>
        <v>113476</v>
      </c>
      <c r="I132" s="14">
        <v>122264</v>
      </c>
      <c r="J132" s="14">
        <v>122264</v>
      </c>
      <c r="K132" s="14">
        <v>122264</v>
      </c>
      <c r="L132" s="14">
        <v>122264</v>
      </c>
      <c r="M132" s="14">
        <v>30554</v>
      </c>
      <c r="N132" s="14">
        <v>0</v>
      </c>
      <c r="O132" s="14">
        <v>0</v>
      </c>
      <c r="P132" s="14">
        <f>SUM(H132:O132)</f>
        <v>633086</v>
      </c>
    </row>
    <row r="133" spans="1:16" ht="15.75" customHeight="1" x14ac:dyDescent="0.25">
      <c r="A133" s="106"/>
      <c r="B133" s="102"/>
      <c r="C133" s="104"/>
      <c r="D133" s="107"/>
      <c r="E133" s="109"/>
      <c r="F133" s="20" t="s">
        <v>221</v>
      </c>
      <c r="G133" s="17" t="s">
        <v>8</v>
      </c>
      <c r="H133" s="18">
        <f>23103+1561+251</f>
        <v>24915</v>
      </c>
      <c r="I133" s="18">
        <f>19223+1268</f>
        <v>20491</v>
      </c>
      <c r="J133" s="18">
        <f>14502+960</f>
        <v>15462</v>
      </c>
      <c r="K133" s="18">
        <f>9815+650</f>
        <v>10465</v>
      </c>
      <c r="L133" s="18">
        <f>5135+340</f>
        <v>5475</v>
      </c>
      <c r="M133" s="53">
        <v>759</v>
      </c>
      <c r="N133" s="53">
        <v>0</v>
      </c>
      <c r="O133" s="18">
        <v>0</v>
      </c>
      <c r="P133" s="18">
        <f>SUM(H133:O133)</f>
        <v>77567</v>
      </c>
    </row>
    <row r="134" spans="1:16" ht="15" customHeight="1" x14ac:dyDescent="0.25">
      <c r="A134" s="106"/>
      <c r="B134" s="102"/>
      <c r="C134" s="104"/>
      <c r="D134" s="107"/>
      <c r="E134" s="109"/>
      <c r="F134" s="15"/>
      <c r="G134" s="15" t="s">
        <v>105</v>
      </c>
      <c r="H134" s="16">
        <f t="shared" ref="H134:P134" si="42">SUM(H132:H133)</f>
        <v>138391</v>
      </c>
      <c r="I134" s="16">
        <f t="shared" si="42"/>
        <v>142755</v>
      </c>
      <c r="J134" s="16">
        <f t="shared" si="42"/>
        <v>137726</v>
      </c>
      <c r="K134" s="16">
        <f t="shared" si="42"/>
        <v>132729</v>
      </c>
      <c r="L134" s="16">
        <f t="shared" si="42"/>
        <v>127739</v>
      </c>
      <c r="M134" s="16">
        <f t="shared" si="42"/>
        <v>31313</v>
      </c>
      <c r="N134" s="16">
        <f t="shared" si="42"/>
        <v>0</v>
      </c>
      <c r="O134" s="16">
        <f t="shared" si="42"/>
        <v>0</v>
      </c>
      <c r="P134" s="16">
        <f t="shared" si="42"/>
        <v>710653</v>
      </c>
    </row>
    <row r="135" spans="1:16" ht="18" customHeight="1" x14ac:dyDescent="0.25">
      <c r="A135" s="106">
        <f>A132+1</f>
        <v>43</v>
      </c>
      <c r="B135" s="102" t="s">
        <v>11</v>
      </c>
      <c r="C135" s="103" t="s">
        <v>214</v>
      </c>
      <c r="D135" s="107">
        <v>41752</v>
      </c>
      <c r="E135" s="109" t="s">
        <v>223</v>
      </c>
      <c r="F135" s="41" t="s">
        <v>224</v>
      </c>
      <c r="G135" s="13" t="s">
        <v>5</v>
      </c>
      <c r="H135" s="14">
        <f>10812-2200</f>
        <v>8612</v>
      </c>
      <c r="I135" s="14">
        <v>11044</v>
      </c>
      <c r="J135" s="14">
        <v>11044</v>
      </c>
      <c r="K135" s="14">
        <v>11044</v>
      </c>
      <c r="L135" s="14">
        <v>11044</v>
      </c>
      <c r="M135" s="14">
        <v>11044</v>
      </c>
      <c r="N135" s="14">
        <v>11044</v>
      </c>
      <c r="O135" s="14">
        <f>48654-10812+808</f>
        <v>38650</v>
      </c>
      <c r="P135" s="14">
        <f>SUM(H135:O135)</f>
        <v>113526</v>
      </c>
    </row>
    <row r="136" spans="1:16" ht="15.75" customHeight="1" x14ac:dyDescent="0.25">
      <c r="A136" s="106"/>
      <c r="B136" s="102"/>
      <c r="C136" s="103"/>
      <c r="D136" s="107"/>
      <c r="E136" s="109"/>
      <c r="F136" s="42" t="s">
        <v>225</v>
      </c>
      <c r="G136" s="17" t="s">
        <v>8</v>
      </c>
      <c r="H136" s="18">
        <f>4159+284+30</f>
        <v>4473</v>
      </c>
      <c r="I136" s="18">
        <f>3948+261</f>
        <v>4209</v>
      </c>
      <c r="J136" s="18">
        <f>3531+234</f>
        <v>3765</v>
      </c>
      <c r="K136" s="18">
        <f>3107+206</f>
        <v>3313</v>
      </c>
      <c r="L136" s="18">
        <f>2691+178</f>
        <v>2869</v>
      </c>
      <c r="M136" s="53">
        <f>2260+150</f>
        <v>2410</v>
      </c>
      <c r="N136" s="53">
        <f>1837+122</f>
        <v>1959</v>
      </c>
      <c r="O136" s="53">
        <v>3315</v>
      </c>
      <c r="P136" s="18">
        <f>SUM(H136:O136)</f>
        <v>26313</v>
      </c>
    </row>
    <row r="137" spans="1:16" ht="15.75" customHeight="1" x14ac:dyDescent="0.25">
      <c r="A137" s="106"/>
      <c r="B137" s="102"/>
      <c r="C137" s="103"/>
      <c r="D137" s="107"/>
      <c r="E137" s="109"/>
      <c r="F137" s="15"/>
      <c r="G137" s="15" t="s">
        <v>105</v>
      </c>
      <c r="H137" s="16">
        <f t="shared" ref="H137:P137" si="43">SUM(H135:H136)</f>
        <v>13085</v>
      </c>
      <c r="I137" s="16">
        <f t="shared" si="43"/>
        <v>15253</v>
      </c>
      <c r="J137" s="16">
        <f t="shared" si="43"/>
        <v>14809</v>
      </c>
      <c r="K137" s="16">
        <f t="shared" si="43"/>
        <v>14357</v>
      </c>
      <c r="L137" s="16">
        <f t="shared" si="43"/>
        <v>13913</v>
      </c>
      <c r="M137" s="16">
        <f t="shared" si="43"/>
        <v>13454</v>
      </c>
      <c r="N137" s="16">
        <f t="shared" si="43"/>
        <v>13003</v>
      </c>
      <c r="O137" s="16">
        <f t="shared" si="43"/>
        <v>41965</v>
      </c>
      <c r="P137" s="16">
        <f t="shared" si="43"/>
        <v>139839</v>
      </c>
    </row>
    <row r="138" spans="1:16" ht="18.600000000000001" customHeight="1" x14ac:dyDescent="0.25">
      <c r="A138" s="106">
        <f>A135+1</f>
        <v>44</v>
      </c>
      <c r="B138" s="102" t="s">
        <v>11</v>
      </c>
      <c r="C138" s="104" t="s">
        <v>599</v>
      </c>
      <c r="D138" s="107">
        <v>41851</v>
      </c>
      <c r="E138" s="109" t="s">
        <v>230</v>
      </c>
      <c r="F138" s="41" t="s">
        <v>226</v>
      </c>
      <c r="G138" s="13" t="s">
        <v>5</v>
      </c>
      <c r="H138" s="14">
        <f>12204-5522</f>
        <v>6682</v>
      </c>
      <c r="I138" s="14">
        <v>12484</v>
      </c>
      <c r="J138" s="14">
        <v>12484</v>
      </c>
      <c r="K138" s="14">
        <v>12484</v>
      </c>
      <c r="L138" s="14">
        <v>12484</v>
      </c>
      <c r="M138" s="14">
        <v>12484</v>
      </c>
      <c r="N138" s="14">
        <v>12484</v>
      </c>
      <c r="O138" s="14">
        <f>180009-12204+3842</f>
        <v>171647</v>
      </c>
      <c r="P138" s="14">
        <f>SUM(H138:O138)</f>
        <v>253233</v>
      </c>
    </row>
    <row r="139" spans="1:16" ht="15.75" customHeight="1" x14ac:dyDescent="0.25">
      <c r="A139" s="106"/>
      <c r="B139" s="102"/>
      <c r="C139" s="104"/>
      <c r="D139" s="107"/>
      <c r="E139" s="109"/>
      <c r="F139" s="20" t="s">
        <v>227</v>
      </c>
      <c r="G139" s="17" t="s">
        <v>8</v>
      </c>
      <c r="H139" s="18">
        <f>10433+639+60</f>
        <v>11132</v>
      </c>
      <c r="I139" s="18">
        <f>9358+616</f>
        <v>9974</v>
      </c>
      <c r="J139" s="18">
        <f>8893+588</f>
        <v>9481</v>
      </c>
      <c r="K139" s="18">
        <f>8414+557</f>
        <v>8971</v>
      </c>
      <c r="L139" s="18">
        <f>7956+526</f>
        <v>8482</v>
      </c>
      <c r="M139" s="18">
        <f>7456+493</f>
        <v>7949</v>
      </c>
      <c r="N139" s="18">
        <f>6978+462</f>
        <v>7440</v>
      </c>
      <c r="O139" s="53">
        <v>84823</v>
      </c>
      <c r="P139" s="18">
        <f>SUM(H139:O139)</f>
        <v>148252</v>
      </c>
    </row>
    <row r="140" spans="1:16" ht="15.75" customHeight="1" x14ac:dyDescent="0.25">
      <c r="A140" s="106"/>
      <c r="B140" s="102"/>
      <c r="C140" s="104"/>
      <c r="D140" s="107"/>
      <c r="E140" s="109"/>
      <c r="F140" s="15"/>
      <c r="G140" s="15" t="s">
        <v>105</v>
      </c>
      <c r="H140" s="16">
        <f t="shared" ref="H140:P140" si="44">SUM(H138:H139)</f>
        <v>17814</v>
      </c>
      <c r="I140" s="16">
        <f t="shared" si="44"/>
        <v>22458</v>
      </c>
      <c r="J140" s="16">
        <f t="shared" si="44"/>
        <v>21965</v>
      </c>
      <c r="K140" s="16">
        <f t="shared" si="44"/>
        <v>21455</v>
      </c>
      <c r="L140" s="16">
        <f t="shared" si="44"/>
        <v>20966</v>
      </c>
      <c r="M140" s="16">
        <f t="shared" si="44"/>
        <v>20433</v>
      </c>
      <c r="N140" s="16">
        <f t="shared" si="44"/>
        <v>19924</v>
      </c>
      <c r="O140" s="16">
        <f t="shared" si="44"/>
        <v>256470</v>
      </c>
      <c r="P140" s="16">
        <f t="shared" si="44"/>
        <v>401485</v>
      </c>
    </row>
    <row r="141" spans="1:16" ht="16.5" customHeight="1" x14ac:dyDescent="0.25">
      <c r="A141" s="106">
        <f>A138+1</f>
        <v>45</v>
      </c>
      <c r="B141" s="102" t="s">
        <v>11</v>
      </c>
      <c r="C141" s="104" t="s">
        <v>77</v>
      </c>
      <c r="D141" s="107">
        <v>41851</v>
      </c>
      <c r="E141" s="109" t="s">
        <v>230</v>
      </c>
      <c r="F141" s="41" t="s">
        <v>229</v>
      </c>
      <c r="G141" s="13" t="s">
        <v>5</v>
      </c>
      <c r="H141" s="14">
        <f>5732-2594</f>
        <v>3138</v>
      </c>
      <c r="I141" s="14">
        <v>5864</v>
      </c>
      <c r="J141" s="14">
        <v>5864</v>
      </c>
      <c r="K141" s="14">
        <v>5864</v>
      </c>
      <c r="L141" s="14">
        <v>5864</v>
      </c>
      <c r="M141" s="14">
        <v>5864</v>
      </c>
      <c r="N141" s="14">
        <v>5864</v>
      </c>
      <c r="O141" s="14">
        <f>84547-5732+1802</f>
        <v>80617</v>
      </c>
      <c r="P141" s="14">
        <f>SUM(H141:O141)</f>
        <v>118939</v>
      </c>
    </row>
    <row r="142" spans="1:16" ht="15" customHeight="1" x14ac:dyDescent="0.25">
      <c r="A142" s="106"/>
      <c r="B142" s="102"/>
      <c r="C142" s="104"/>
      <c r="D142" s="107"/>
      <c r="E142" s="109"/>
      <c r="F142" s="20" t="s">
        <v>228</v>
      </c>
      <c r="G142" s="17" t="s">
        <v>8</v>
      </c>
      <c r="H142" s="18">
        <f>4900+300+29</f>
        <v>5229</v>
      </c>
      <c r="I142" s="18">
        <f>4395+291</f>
        <v>4686</v>
      </c>
      <c r="J142" s="18">
        <f>4177+276</f>
        <v>4453</v>
      </c>
      <c r="K142" s="18">
        <f>3952+262</f>
        <v>4214</v>
      </c>
      <c r="L142" s="18">
        <f>3737+247</f>
        <v>3984</v>
      </c>
      <c r="M142" s="53">
        <f>3502+232</f>
        <v>3734</v>
      </c>
      <c r="N142" s="53">
        <f>3277+217</f>
        <v>3494</v>
      </c>
      <c r="O142" s="53">
        <f>23785</f>
        <v>23785</v>
      </c>
      <c r="P142" s="18">
        <f>SUM(H142:O142)</f>
        <v>53579</v>
      </c>
    </row>
    <row r="143" spans="1:16" ht="15" customHeight="1" x14ac:dyDescent="0.25">
      <c r="A143" s="106"/>
      <c r="B143" s="102"/>
      <c r="C143" s="104"/>
      <c r="D143" s="107"/>
      <c r="E143" s="109"/>
      <c r="F143" s="15"/>
      <c r="G143" s="15" t="s">
        <v>105</v>
      </c>
      <c r="H143" s="16">
        <f t="shared" ref="H143:P143" si="45">SUM(H141:H142)</f>
        <v>8367</v>
      </c>
      <c r="I143" s="16">
        <f t="shared" si="45"/>
        <v>10550</v>
      </c>
      <c r="J143" s="16">
        <f t="shared" si="45"/>
        <v>10317</v>
      </c>
      <c r="K143" s="16">
        <f t="shared" si="45"/>
        <v>10078</v>
      </c>
      <c r="L143" s="16">
        <f t="shared" si="45"/>
        <v>9848</v>
      </c>
      <c r="M143" s="16">
        <f t="shared" si="45"/>
        <v>9598</v>
      </c>
      <c r="N143" s="16">
        <f t="shared" si="45"/>
        <v>9358</v>
      </c>
      <c r="O143" s="16">
        <f t="shared" si="45"/>
        <v>104402</v>
      </c>
      <c r="P143" s="16">
        <f t="shared" si="45"/>
        <v>172518</v>
      </c>
    </row>
    <row r="144" spans="1:16" ht="14.25" customHeight="1" x14ac:dyDescent="0.25">
      <c r="A144" s="106">
        <f>A141+1</f>
        <v>46</v>
      </c>
      <c r="B144" s="102" t="s">
        <v>11</v>
      </c>
      <c r="C144" s="104" t="s">
        <v>56</v>
      </c>
      <c r="D144" s="107">
        <v>41942</v>
      </c>
      <c r="E144" s="109" t="s">
        <v>233</v>
      </c>
      <c r="F144" s="41" t="s">
        <v>231</v>
      </c>
      <c r="G144" s="13" t="s">
        <v>5</v>
      </c>
      <c r="H144" s="14">
        <v>9404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4">
        <f>SUM(H144:O144)</f>
        <v>9404</v>
      </c>
    </row>
    <row r="145" spans="1:16" ht="15" customHeight="1" x14ac:dyDescent="0.25">
      <c r="A145" s="106"/>
      <c r="B145" s="102"/>
      <c r="C145" s="104"/>
      <c r="D145" s="107"/>
      <c r="E145" s="109"/>
      <c r="F145" s="20" t="s">
        <v>232</v>
      </c>
      <c r="G145" s="17" t="s">
        <v>8</v>
      </c>
      <c r="H145" s="18">
        <v>344</v>
      </c>
      <c r="I145" s="21">
        <v>21</v>
      </c>
      <c r="J145" s="21">
        <v>0</v>
      </c>
      <c r="K145" s="21">
        <v>0</v>
      </c>
      <c r="L145" s="21">
        <v>0</v>
      </c>
      <c r="M145" s="21">
        <v>0</v>
      </c>
      <c r="N145" s="21">
        <v>0</v>
      </c>
      <c r="O145" s="21">
        <v>0</v>
      </c>
      <c r="P145" s="18">
        <f>SUM(H145:O145)</f>
        <v>365</v>
      </c>
    </row>
    <row r="146" spans="1:16" ht="15" customHeight="1" x14ac:dyDescent="0.25">
      <c r="A146" s="106"/>
      <c r="B146" s="102"/>
      <c r="C146" s="104"/>
      <c r="D146" s="107"/>
      <c r="E146" s="109"/>
      <c r="F146" s="15"/>
      <c r="G146" s="15" t="s">
        <v>105</v>
      </c>
      <c r="H146" s="16">
        <f t="shared" ref="H146:P146" si="46">SUM(H144:H145)</f>
        <v>9748</v>
      </c>
      <c r="I146" s="16">
        <f t="shared" si="46"/>
        <v>21</v>
      </c>
      <c r="J146" s="16">
        <f t="shared" si="46"/>
        <v>0</v>
      </c>
      <c r="K146" s="16">
        <f t="shared" si="46"/>
        <v>0</v>
      </c>
      <c r="L146" s="16">
        <f t="shared" si="46"/>
        <v>0</v>
      </c>
      <c r="M146" s="16">
        <f t="shared" si="46"/>
        <v>0</v>
      </c>
      <c r="N146" s="16">
        <f>SUM(N144:N145)</f>
        <v>0</v>
      </c>
      <c r="O146" s="16">
        <f t="shared" si="46"/>
        <v>0</v>
      </c>
      <c r="P146" s="16">
        <f t="shared" si="46"/>
        <v>9769</v>
      </c>
    </row>
    <row r="147" spans="1:16" ht="14.25" customHeight="1" x14ac:dyDescent="0.25">
      <c r="A147" s="106">
        <f>A144+1</f>
        <v>47</v>
      </c>
      <c r="B147" s="102" t="s">
        <v>11</v>
      </c>
      <c r="C147" s="104" t="s">
        <v>21</v>
      </c>
      <c r="D147" s="107">
        <v>41962</v>
      </c>
      <c r="E147" s="109" t="s">
        <v>145</v>
      </c>
      <c r="F147" s="41" t="s">
        <v>234</v>
      </c>
      <c r="G147" s="13" t="s">
        <v>5</v>
      </c>
      <c r="H147" s="14">
        <f>17748-721</f>
        <v>17027</v>
      </c>
      <c r="I147" s="14">
        <v>17932</v>
      </c>
      <c r="J147" s="14">
        <v>17932</v>
      </c>
      <c r="K147" s="14">
        <v>17932</v>
      </c>
      <c r="L147" s="14">
        <v>17917</v>
      </c>
      <c r="M147" s="14">
        <v>0</v>
      </c>
      <c r="N147" s="19">
        <v>0</v>
      </c>
      <c r="O147" s="14">
        <v>0</v>
      </c>
      <c r="P147" s="14">
        <f>SUM(H147:O147)</f>
        <v>88740</v>
      </c>
    </row>
    <row r="148" spans="1:16" ht="14.25" customHeight="1" x14ac:dyDescent="0.25">
      <c r="A148" s="106"/>
      <c r="B148" s="102"/>
      <c r="C148" s="104"/>
      <c r="D148" s="107"/>
      <c r="E148" s="109"/>
      <c r="F148" s="20" t="s">
        <v>235</v>
      </c>
      <c r="G148" s="17" t="s">
        <v>8</v>
      </c>
      <c r="H148" s="18">
        <f>3720+7</f>
        <v>3727</v>
      </c>
      <c r="I148" s="18">
        <f>2674+175</f>
        <v>2849</v>
      </c>
      <c r="J148" s="18">
        <f>1955+129</f>
        <v>2084</v>
      </c>
      <c r="K148" s="18">
        <f>1267+84</f>
        <v>1351</v>
      </c>
      <c r="L148" s="18">
        <f>580+38</f>
        <v>618</v>
      </c>
      <c r="M148" s="40">
        <v>40</v>
      </c>
      <c r="N148" s="21">
        <v>0</v>
      </c>
      <c r="O148" s="18">
        <v>0</v>
      </c>
      <c r="P148" s="18">
        <f>SUM(H148:O148)</f>
        <v>10669</v>
      </c>
    </row>
    <row r="149" spans="1:16" ht="14.25" customHeight="1" x14ac:dyDescent="0.25">
      <c r="A149" s="106"/>
      <c r="B149" s="116"/>
      <c r="C149" s="118"/>
      <c r="D149" s="110"/>
      <c r="E149" s="113"/>
      <c r="F149" s="26"/>
      <c r="G149" s="26" t="s">
        <v>105</v>
      </c>
      <c r="H149" s="16">
        <f t="shared" ref="H149:P149" si="47">SUM(H147:H148)</f>
        <v>20754</v>
      </c>
      <c r="I149" s="16">
        <f t="shared" si="47"/>
        <v>20781</v>
      </c>
      <c r="J149" s="16">
        <f t="shared" si="47"/>
        <v>20016</v>
      </c>
      <c r="K149" s="16">
        <f t="shared" si="47"/>
        <v>19283</v>
      </c>
      <c r="L149" s="16">
        <f t="shared" si="47"/>
        <v>18535</v>
      </c>
      <c r="M149" s="16">
        <f t="shared" si="47"/>
        <v>40</v>
      </c>
      <c r="N149" s="16">
        <f t="shared" si="47"/>
        <v>0</v>
      </c>
      <c r="O149" s="16">
        <f t="shared" si="47"/>
        <v>0</v>
      </c>
      <c r="P149" s="16">
        <f t="shared" si="47"/>
        <v>99409</v>
      </c>
    </row>
    <row r="150" spans="1:16" ht="14.25" customHeight="1" x14ac:dyDescent="0.25">
      <c r="A150" s="106">
        <f>A147+1</f>
        <v>48</v>
      </c>
      <c r="B150" s="102" t="s">
        <v>11</v>
      </c>
      <c r="C150" s="103" t="s">
        <v>600</v>
      </c>
      <c r="D150" s="107">
        <v>41962</v>
      </c>
      <c r="E150" s="109" t="s">
        <v>236</v>
      </c>
      <c r="F150" s="41" t="s">
        <v>237</v>
      </c>
      <c r="G150" s="13" t="s">
        <v>5</v>
      </c>
      <c r="H150" s="14">
        <f>13692-1725</f>
        <v>11967</v>
      </c>
      <c r="I150" s="14">
        <v>13868</v>
      </c>
      <c r="J150" s="14">
        <v>13868</v>
      </c>
      <c r="K150" s="14">
        <v>13868</v>
      </c>
      <c r="L150" s="14">
        <v>13868</v>
      </c>
      <c r="M150" s="14">
        <v>13868</v>
      </c>
      <c r="N150" s="14">
        <v>13868</v>
      </c>
      <c r="O150" s="14">
        <f>68460-13692+669</f>
        <v>55437</v>
      </c>
      <c r="P150" s="14">
        <f>SUM(H150:O150)</f>
        <v>150612</v>
      </c>
    </row>
    <row r="151" spans="1:16" ht="14.25" customHeight="1" x14ac:dyDescent="0.25">
      <c r="A151" s="106"/>
      <c r="B151" s="102"/>
      <c r="C151" s="104"/>
      <c r="D151" s="107"/>
      <c r="E151" s="109"/>
      <c r="F151" s="20" t="s">
        <v>238</v>
      </c>
      <c r="G151" s="17" t="s">
        <v>8</v>
      </c>
      <c r="H151" s="18">
        <f>6057+377+17</f>
        <v>6451</v>
      </c>
      <c r="I151" s="18">
        <f>5290+346</f>
        <v>5636</v>
      </c>
      <c r="J151" s="18">
        <f>4698+311</f>
        <v>5009</v>
      </c>
      <c r="K151" s="18">
        <f>4166+276</f>
        <v>4442</v>
      </c>
      <c r="L151" s="18">
        <f>3644+241</f>
        <v>3885</v>
      </c>
      <c r="M151" s="53">
        <f>3103+205</f>
        <v>3308</v>
      </c>
      <c r="N151" s="53">
        <f>2571+170</f>
        <v>2741</v>
      </c>
      <c r="O151" s="53">
        <f>5330</f>
        <v>5330</v>
      </c>
      <c r="P151" s="18">
        <f>SUM(H151:O151)</f>
        <v>36802</v>
      </c>
    </row>
    <row r="152" spans="1:16" ht="14.25" customHeight="1" x14ac:dyDescent="0.25">
      <c r="A152" s="106"/>
      <c r="B152" s="102"/>
      <c r="C152" s="104"/>
      <c r="D152" s="107"/>
      <c r="E152" s="109"/>
      <c r="F152" s="15"/>
      <c r="G152" s="15" t="s">
        <v>105</v>
      </c>
      <c r="H152" s="16">
        <f t="shared" ref="H152:P152" si="48">SUM(H150:H151)</f>
        <v>18418</v>
      </c>
      <c r="I152" s="16">
        <f t="shared" si="48"/>
        <v>19504</v>
      </c>
      <c r="J152" s="16">
        <f t="shared" si="48"/>
        <v>18877</v>
      </c>
      <c r="K152" s="16">
        <f t="shared" si="48"/>
        <v>18310</v>
      </c>
      <c r="L152" s="16">
        <f t="shared" si="48"/>
        <v>17753</v>
      </c>
      <c r="M152" s="16">
        <f t="shared" si="48"/>
        <v>17176</v>
      </c>
      <c r="N152" s="16">
        <f t="shared" si="48"/>
        <v>16609</v>
      </c>
      <c r="O152" s="16">
        <f t="shared" si="48"/>
        <v>60767</v>
      </c>
      <c r="P152" s="16">
        <f t="shared" si="48"/>
        <v>187414</v>
      </c>
    </row>
    <row r="153" spans="1:16" ht="16.5" customHeight="1" x14ac:dyDescent="0.25">
      <c r="A153" s="106">
        <f>A150+1</f>
        <v>49</v>
      </c>
      <c r="B153" s="102" t="s">
        <v>11</v>
      </c>
      <c r="C153" s="104" t="s">
        <v>22</v>
      </c>
      <c r="D153" s="107">
        <v>41989</v>
      </c>
      <c r="E153" s="109" t="s">
        <v>239</v>
      </c>
      <c r="F153" s="41" t="s">
        <v>240</v>
      </c>
      <c r="G153" s="13" t="s">
        <v>5</v>
      </c>
      <c r="H153" s="14">
        <f>6100-393</f>
        <v>5707</v>
      </c>
      <c r="I153" s="14">
        <v>6180</v>
      </c>
      <c r="J153" s="14">
        <v>6180</v>
      </c>
      <c r="K153" s="14">
        <v>6180</v>
      </c>
      <c r="L153" s="14">
        <v>6180</v>
      </c>
      <c r="M153" s="14">
        <v>6173</v>
      </c>
      <c r="N153" s="14">
        <v>0</v>
      </c>
      <c r="O153" s="14">
        <v>0</v>
      </c>
      <c r="P153" s="14">
        <f>SUM(H153:O153)</f>
        <v>36600</v>
      </c>
    </row>
    <row r="154" spans="1:16" ht="16.95" customHeight="1" x14ac:dyDescent="0.25">
      <c r="A154" s="106"/>
      <c r="B154" s="102"/>
      <c r="C154" s="104"/>
      <c r="D154" s="107"/>
      <c r="E154" s="109"/>
      <c r="F154" s="20" t="s">
        <v>241</v>
      </c>
      <c r="G154" s="17" t="s">
        <v>8</v>
      </c>
      <c r="H154" s="18">
        <f>1355+91+4</f>
        <v>1450</v>
      </c>
      <c r="I154" s="18">
        <f>1160+76</f>
        <v>1236</v>
      </c>
      <c r="J154" s="18">
        <f>910+60</f>
        <v>970</v>
      </c>
      <c r="K154" s="18">
        <f>673+45</f>
        <v>718</v>
      </c>
      <c r="L154" s="18">
        <f>437+29</f>
        <v>466</v>
      </c>
      <c r="M154" s="53">
        <v>212</v>
      </c>
      <c r="N154" s="53">
        <v>9</v>
      </c>
      <c r="O154" s="53">
        <v>0</v>
      </c>
      <c r="P154" s="18">
        <f>SUM(H154:O154)</f>
        <v>5061</v>
      </c>
    </row>
    <row r="155" spans="1:16" ht="16.5" customHeight="1" x14ac:dyDescent="0.25">
      <c r="A155" s="106"/>
      <c r="B155" s="102"/>
      <c r="C155" s="104"/>
      <c r="D155" s="107"/>
      <c r="E155" s="109"/>
      <c r="F155" s="15"/>
      <c r="G155" s="15" t="s">
        <v>105</v>
      </c>
      <c r="H155" s="16">
        <f t="shared" ref="H155:P155" si="49">SUM(H153:H154)</f>
        <v>7157</v>
      </c>
      <c r="I155" s="16">
        <f t="shared" si="49"/>
        <v>7416</v>
      </c>
      <c r="J155" s="16">
        <f t="shared" si="49"/>
        <v>7150</v>
      </c>
      <c r="K155" s="16">
        <f t="shared" si="49"/>
        <v>6898</v>
      </c>
      <c r="L155" s="16">
        <f t="shared" si="49"/>
        <v>6646</v>
      </c>
      <c r="M155" s="75">
        <f t="shared" si="49"/>
        <v>6385</v>
      </c>
      <c r="N155" s="75">
        <f t="shared" si="49"/>
        <v>9</v>
      </c>
      <c r="O155" s="75">
        <f t="shared" si="49"/>
        <v>0</v>
      </c>
      <c r="P155" s="16">
        <f t="shared" si="49"/>
        <v>41661</v>
      </c>
    </row>
    <row r="156" spans="1:16" ht="15" customHeight="1" x14ac:dyDescent="0.25">
      <c r="A156" s="106">
        <f>A153+1</f>
        <v>50</v>
      </c>
      <c r="B156" s="102" t="s">
        <v>11</v>
      </c>
      <c r="C156" s="104" t="s">
        <v>616</v>
      </c>
      <c r="D156" s="107">
        <v>42103</v>
      </c>
      <c r="E156" s="109" t="s">
        <v>244</v>
      </c>
      <c r="F156" s="41" t="s">
        <v>242</v>
      </c>
      <c r="G156" s="13" t="s">
        <v>5</v>
      </c>
      <c r="H156" s="14">
        <f>2188-881</f>
        <v>1307</v>
      </c>
      <c r="I156" s="14">
        <f>2188+44</f>
        <v>2232</v>
      </c>
      <c r="J156" s="14">
        <f t="shared" ref="J156:N156" si="50">2188+44</f>
        <v>2232</v>
      </c>
      <c r="K156" s="14">
        <f t="shared" si="50"/>
        <v>2232</v>
      </c>
      <c r="L156" s="14">
        <f t="shared" si="50"/>
        <v>2232</v>
      </c>
      <c r="M156" s="14">
        <f t="shared" si="50"/>
        <v>2232</v>
      </c>
      <c r="N156" s="14">
        <f t="shared" si="50"/>
        <v>2232</v>
      </c>
      <c r="O156" s="14">
        <f>33367-2188+617</f>
        <v>31796</v>
      </c>
      <c r="P156" s="14">
        <f>SUM(H156:O156)</f>
        <v>46495</v>
      </c>
    </row>
    <row r="157" spans="1:16" ht="15.75" customHeight="1" x14ac:dyDescent="0.25">
      <c r="A157" s="106"/>
      <c r="B157" s="102"/>
      <c r="C157" s="104"/>
      <c r="D157" s="107"/>
      <c r="E157" s="109"/>
      <c r="F157" s="20" t="s">
        <v>243</v>
      </c>
      <c r="G157" s="17" t="s">
        <v>8</v>
      </c>
      <c r="H157" s="18">
        <f>1733+117+4</f>
        <v>1854</v>
      </c>
      <c r="I157" s="18">
        <f>1705+114</f>
        <v>1819</v>
      </c>
      <c r="J157" s="18">
        <f>1632+108</f>
        <v>1740</v>
      </c>
      <c r="K157" s="18">
        <f>1547+102</f>
        <v>1649</v>
      </c>
      <c r="L157" s="18">
        <f>1465+97</f>
        <v>1562</v>
      </c>
      <c r="M157" s="53">
        <f>1376+91</f>
        <v>1467</v>
      </c>
      <c r="N157" s="53">
        <f>1290+85</f>
        <v>1375</v>
      </c>
      <c r="O157" s="53">
        <f>9708</f>
        <v>9708</v>
      </c>
      <c r="P157" s="18">
        <f>SUM(H157:O157)</f>
        <v>21174</v>
      </c>
    </row>
    <row r="158" spans="1:16" ht="15.75" customHeight="1" x14ac:dyDescent="0.25">
      <c r="A158" s="106"/>
      <c r="B158" s="102"/>
      <c r="C158" s="104"/>
      <c r="D158" s="107"/>
      <c r="E158" s="109"/>
      <c r="F158" s="15"/>
      <c r="G158" s="15" t="s">
        <v>105</v>
      </c>
      <c r="H158" s="16">
        <f t="shared" ref="H158:P158" si="51">SUM(H156:H157)</f>
        <v>3161</v>
      </c>
      <c r="I158" s="16">
        <f t="shared" si="51"/>
        <v>4051</v>
      </c>
      <c r="J158" s="16">
        <f t="shared" si="51"/>
        <v>3972</v>
      </c>
      <c r="K158" s="16">
        <f t="shared" si="51"/>
        <v>3881</v>
      </c>
      <c r="L158" s="16">
        <f t="shared" si="51"/>
        <v>3794</v>
      </c>
      <c r="M158" s="16">
        <f t="shared" si="51"/>
        <v>3699</v>
      </c>
      <c r="N158" s="16">
        <f t="shared" si="51"/>
        <v>3607</v>
      </c>
      <c r="O158" s="16">
        <f t="shared" si="51"/>
        <v>41504</v>
      </c>
      <c r="P158" s="16">
        <f t="shared" si="51"/>
        <v>67669</v>
      </c>
    </row>
    <row r="159" spans="1:16" ht="18.600000000000001" customHeight="1" x14ac:dyDescent="0.25">
      <c r="A159" s="106">
        <f>A156+1</f>
        <v>51</v>
      </c>
      <c r="B159" s="102" t="s">
        <v>11</v>
      </c>
      <c r="C159" s="104" t="s">
        <v>23</v>
      </c>
      <c r="D159" s="107">
        <v>42207</v>
      </c>
      <c r="E159" s="109" t="s">
        <v>247</v>
      </c>
      <c r="F159" s="41" t="s">
        <v>245</v>
      </c>
      <c r="G159" s="13" t="s">
        <v>5</v>
      </c>
      <c r="H159" s="14">
        <f>24780-3273</f>
        <v>21507</v>
      </c>
      <c r="I159" s="14">
        <f>24780+572</f>
        <v>25352</v>
      </c>
      <c r="J159" s="14">
        <f t="shared" ref="J159:M159" si="52">24780+572</f>
        <v>25352</v>
      </c>
      <c r="K159" s="14">
        <f t="shared" si="52"/>
        <v>25352</v>
      </c>
      <c r="L159" s="14">
        <f t="shared" si="52"/>
        <v>25352</v>
      </c>
      <c r="M159" s="14">
        <f t="shared" si="52"/>
        <v>25352</v>
      </c>
      <c r="N159" s="14">
        <f>18585+413</f>
        <v>18998</v>
      </c>
      <c r="O159" s="14">
        <v>0</v>
      </c>
      <c r="P159" s="14">
        <f>SUM(H159:O159)</f>
        <v>167265</v>
      </c>
    </row>
    <row r="160" spans="1:16" ht="15.75" customHeight="1" x14ac:dyDescent="0.25">
      <c r="A160" s="106"/>
      <c r="B160" s="102"/>
      <c r="C160" s="104"/>
      <c r="D160" s="107"/>
      <c r="E160" s="109"/>
      <c r="F160" s="20" t="s">
        <v>246</v>
      </c>
      <c r="G160" s="17" t="s">
        <v>8</v>
      </c>
      <c r="H160" s="18">
        <f>6788+415+37</f>
        <v>7240</v>
      </c>
      <c r="I160" s="18">
        <f>5424+259</f>
        <v>5683</v>
      </c>
      <c r="J160" s="18">
        <f>4463+295</f>
        <v>4758</v>
      </c>
      <c r="K160" s="18">
        <f>3491+231</f>
        <v>3722</v>
      </c>
      <c r="L160" s="18">
        <f>2525+167</f>
        <v>2692</v>
      </c>
      <c r="M160" s="53">
        <f>1546+102</f>
        <v>1648</v>
      </c>
      <c r="N160" s="53">
        <v>571</v>
      </c>
      <c r="O160" s="53">
        <v>0</v>
      </c>
      <c r="P160" s="18">
        <f>SUM(H160:O160)</f>
        <v>26314</v>
      </c>
    </row>
    <row r="161" spans="1:16" ht="15.75" customHeight="1" x14ac:dyDescent="0.25">
      <c r="A161" s="106"/>
      <c r="B161" s="102"/>
      <c r="C161" s="104"/>
      <c r="D161" s="107"/>
      <c r="E161" s="109"/>
      <c r="F161" s="15"/>
      <c r="G161" s="15" t="s">
        <v>105</v>
      </c>
      <c r="H161" s="16">
        <f t="shared" ref="H161:P161" si="53">SUM(H159:H160)</f>
        <v>28747</v>
      </c>
      <c r="I161" s="16">
        <f t="shared" si="53"/>
        <v>31035</v>
      </c>
      <c r="J161" s="16">
        <f t="shared" si="53"/>
        <v>30110</v>
      </c>
      <c r="K161" s="16">
        <f t="shared" si="53"/>
        <v>29074</v>
      </c>
      <c r="L161" s="16">
        <f t="shared" si="53"/>
        <v>28044</v>
      </c>
      <c r="M161" s="16">
        <f t="shared" si="53"/>
        <v>27000</v>
      </c>
      <c r="N161" s="16">
        <f t="shared" si="53"/>
        <v>19569</v>
      </c>
      <c r="O161" s="16">
        <f t="shared" si="53"/>
        <v>0</v>
      </c>
      <c r="P161" s="16">
        <f t="shared" si="53"/>
        <v>193579</v>
      </c>
    </row>
    <row r="162" spans="1:16" ht="16.95" customHeight="1" x14ac:dyDescent="0.25">
      <c r="A162" s="106">
        <f>A159+1</f>
        <v>52</v>
      </c>
      <c r="B162" s="102" t="s">
        <v>11</v>
      </c>
      <c r="C162" s="104" t="s">
        <v>24</v>
      </c>
      <c r="D162" s="107">
        <v>42207</v>
      </c>
      <c r="E162" s="109" t="s">
        <v>248</v>
      </c>
      <c r="F162" s="41" t="s">
        <v>249</v>
      </c>
      <c r="G162" s="13" t="s">
        <v>5</v>
      </c>
      <c r="H162" s="14">
        <f>4760-1173</f>
        <v>3587</v>
      </c>
      <c r="I162" s="14">
        <f>4760+112</f>
        <v>4872</v>
      </c>
      <c r="J162" s="14">
        <f t="shared" ref="J162:N162" si="54">4760+112</f>
        <v>4872</v>
      </c>
      <c r="K162" s="14">
        <f t="shared" si="54"/>
        <v>4872</v>
      </c>
      <c r="L162" s="14">
        <f t="shared" si="54"/>
        <v>4872</v>
      </c>
      <c r="M162" s="14">
        <f t="shared" si="54"/>
        <v>4872</v>
      </c>
      <c r="N162" s="14">
        <f t="shared" si="54"/>
        <v>4872</v>
      </c>
      <c r="O162" s="14">
        <f>27370-4760+501</f>
        <v>23111</v>
      </c>
      <c r="P162" s="14">
        <f>SUM(H162:O162)</f>
        <v>55930</v>
      </c>
    </row>
    <row r="163" spans="1:16" ht="16.5" customHeight="1" x14ac:dyDescent="0.25">
      <c r="A163" s="106"/>
      <c r="B163" s="102"/>
      <c r="C163" s="104"/>
      <c r="D163" s="107"/>
      <c r="E163" s="109"/>
      <c r="F163" s="20" t="s">
        <v>250</v>
      </c>
      <c r="G163" s="17" t="s">
        <v>8</v>
      </c>
      <c r="H163" s="18">
        <f>2292+140+13</f>
        <v>2445</v>
      </c>
      <c r="I163" s="18">
        <f>1973+131</f>
        <v>2104</v>
      </c>
      <c r="J163" s="18">
        <f>1790+118</f>
        <v>1908</v>
      </c>
      <c r="K163" s="18">
        <f>1603+106</f>
        <v>1709</v>
      </c>
      <c r="L163" s="18">
        <f>1420+94</f>
        <v>1514</v>
      </c>
      <c r="M163" s="53">
        <f>1229+81</f>
        <v>1310</v>
      </c>
      <c r="N163" s="53">
        <f>1043+69</f>
        <v>1112</v>
      </c>
      <c r="O163" s="53">
        <f>2568</f>
        <v>2568</v>
      </c>
      <c r="P163" s="18">
        <f>SUM(H163:O163)</f>
        <v>14670</v>
      </c>
    </row>
    <row r="164" spans="1:16" ht="16.5" customHeight="1" x14ac:dyDescent="0.25">
      <c r="A164" s="106"/>
      <c r="B164" s="116"/>
      <c r="C164" s="118"/>
      <c r="D164" s="110"/>
      <c r="E164" s="113"/>
      <c r="F164" s="26"/>
      <c r="G164" s="26" t="s">
        <v>105</v>
      </c>
      <c r="H164" s="16">
        <f t="shared" ref="H164:P164" si="55">SUM(H162:H163)</f>
        <v>6032</v>
      </c>
      <c r="I164" s="16">
        <f t="shared" si="55"/>
        <v>6976</v>
      </c>
      <c r="J164" s="16">
        <f t="shared" si="55"/>
        <v>6780</v>
      </c>
      <c r="K164" s="16">
        <f t="shared" si="55"/>
        <v>6581</v>
      </c>
      <c r="L164" s="16">
        <f t="shared" si="55"/>
        <v>6386</v>
      </c>
      <c r="M164" s="16">
        <f t="shared" si="55"/>
        <v>6182</v>
      </c>
      <c r="N164" s="16">
        <f t="shared" si="55"/>
        <v>5984</v>
      </c>
      <c r="O164" s="16">
        <f t="shared" si="55"/>
        <v>25679</v>
      </c>
      <c r="P164" s="16">
        <f t="shared" si="55"/>
        <v>70600</v>
      </c>
    </row>
    <row r="165" spans="1:16" ht="17.25" customHeight="1" x14ac:dyDescent="0.25">
      <c r="A165" s="106">
        <f>A162+1</f>
        <v>53</v>
      </c>
      <c r="B165" s="102" t="s">
        <v>11</v>
      </c>
      <c r="C165" s="104" t="s">
        <v>57</v>
      </c>
      <c r="D165" s="107">
        <v>42214</v>
      </c>
      <c r="E165" s="109" t="s">
        <v>247</v>
      </c>
      <c r="F165" s="41" t="s">
        <v>251</v>
      </c>
      <c r="G165" s="13" t="s">
        <v>5</v>
      </c>
      <c r="H165" s="14">
        <f>16952-2319</f>
        <v>14633</v>
      </c>
      <c r="I165" s="14">
        <v>17356</v>
      </c>
      <c r="J165" s="14">
        <v>17356</v>
      </c>
      <c r="K165" s="14">
        <v>17356</v>
      </c>
      <c r="L165" s="14">
        <v>17356</v>
      </c>
      <c r="M165" s="14">
        <v>17356</v>
      </c>
      <c r="N165" s="14">
        <f>13013</f>
        <v>13013</v>
      </c>
      <c r="O165" s="14">
        <v>0</v>
      </c>
      <c r="P165" s="14">
        <f>SUM(H165:O165)</f>
        <v>114426</v>
      </c>
    </row>
    <row r="166" spans="1:16" ht="17.25" customHeight="1" x14ac:dyDescent="0.25">
      <c r="A166" s="106"/>
      <c r="B166" s="102"/>
      <c r="C166" s="104"/>
      <c r="D166" s="107"/>
      <c r="E166" s="109"/>
      <c r="F166" s="42" t="s">
        <v>252</v>
      </c>
      <c r="G166" s="17" t="s">
        <v>8</v>
      </c>
      <c r="H166" s="18">
        <f>4607+284+25</f>
        <v>4916</v>
      </c>
      <c r="I166" s="18">
        <f>3713+246</f>
        <v>3959</v>
      </c>
      <c r="J166" s="18">
        <f>3056+202</f>
        <v>3258</v>
      </c>
      <c r="K166" s="18">
        <f>2390+158</f>
        <v>2548</v>
      </c>
      <c r="L166" s="18">
        <f>1729+114</f>
        <v>1843</v>
      </c>
      <c r="M166" s="53">
        <f>1059+70</f>
        <v>1129</v>
      </c>
      <c r="N166" s="53">
        <f>367+24</f>
        <v>391</v>
      </c>
      <c r="O166" s="53">
        <v>0</v>
      </c>
      <c r="P166" s="18">
        <f>SUM(H166:O166)</f>
        <v>18044</v>
      </c>
    </row>
    <row r="167" spans="1:16" ht="17.25" customHeight="1" x14ac:dyDescent="0.25">
      <c r="A167" s="106"/>
      <c r="B167" s="102"/>
      <c r="C167" s="104"/>
      <c r="D167" s="107"/>
      <c r="E167" s="109"/>
      <c r="F167" s="15"/>
      <c r="G167" s="15" t="s">
        <v>105</v>
      </c>
      <c r="H167" s="16">
        <f t="shared" ref="H167:P167" si="56">SUM(H165:H166)</f>
        <v>19549</v>
      </c>
      <c r="I167" s="16">
        <f t="shared" si="56"/>
        <v>21315</v>
      </c>
      <c r="J167" s="16">
        <f t="shared" si="56"/>
        <v>20614</v>
      </c>
      <c r="K167" s="16">
        <f t="shared" si="56"/>
        <v>19904</v>
      </c>
      <c r="L167" s="16">
        <f t="shared" si="56"/>
        <v>19199</v>
      </c>
      <c r="M167" s="16">
        <f t="shared" si="56"/>
        <v>18485</v>
      </c>
      <c r="N167" s="16">
        <f t="shared" si="56"/>
        <v>13404</v>
      </c>
      <c r="O167" s="16">
        <f t="shared" si="56"/>
        <v>0</v>
      </c>
      <c r="P167" s="16">
        <f t="shared" si="56"/>
        <v>132470</v>
      </c>
    </row>
    <row r="168" spans="1:16" ht="17.25" customHeight="1" x14ac:dyDescent="0.25">
      <c r="A168" s="106">
        <f>A165+1</f>
        <v>54</v>
      </c>
      <c r="B168" s="102" t="s">
        <v>11</v>
      </c>
      <c r="C168" s="104" t="s">
        <v>64</v>
      </c>
      <c r="D168" s="107">
        <v>42215</v>
      </c>
      <c r="E168" s="109" t="s">
        <v>248</v>
      </c>
      <c r="F168" s="41" t="s">
        <v>253</v>
      </c>
      <c r="G168" s="13" t="s">
        <v>5</v>
      </c>
      <c r="H168" s="14">
        <f>13888-3590</f>
        <v>10298</v>
      </c>
      <c r="I168" s="14">
        <v>14224</v>
      </c>
      <c r="J168" s="14">
        <v>14224</v>
      </c>
      <c r="K168" s="14">
        <v>14224</v>
      </c>
      <c r="L168" s="14">
        <v>14224</v>
      </c>
      <c r="M168" s="14">
        <v>14224</v>
      </c>
      <c r="N168" s="14">
        <v>14224</v>
      </c>
      <c r="O168" s="14">
        <f>79856-13888+1574</f>
        <v>67542</v>
      </c>
      <c r="P168" s="14">
        <f>SUM(H168:O168)</f>
        <v>163184</v>
      </c>
    </row>
    <row r="169" spans="1:16" ht="17.25" customHeight="1" x14ac:dyDescent="0.25">
      <c r="A169" s="106"/>
      <c r="B169" s="102"/>
      <c r="C169" s="104"/>
      <c r="D169" s="107"/>
      <c r="E169" s="109"/>
      <c r="F169" s="20" t="s">
        <v>254</v>
      </c>
      <c r="G169" s="17" t="s">
        <v>8</v>
      </c>
      <c r="H169" s="18">
        <f>6637+409+39</f>
        <v>7085</v>
      </c>
      <c r="I169" s="18">
        <f>5763+381</f>
        <v>6144</v>
      </c>
      <c r="J169" s="18">
        <f>5228+346</f>
        <v>5574</v>
      </c>
      <c r="K169" s="18">
        <f>4683+310</f>
        <v>4993</v>
      </c>
      <c r="L169" s="18">
        <f>4148+274</f>
        <v>4422</v>
      </c>
      <c r="M169" s="53">
        <f>3591+238</f>
        <v>3829</v>
      </c>
      <c r="N169" s="53">
        <f>3047+202</f>
        <v>3249</v>
      </c>
      <c r="O169" s="53">
        <f>7512</f>
        <v>7512</v>
      </c>
      <c r="P169" s="18">
        <f>SUM(H169:O169)</f>
        <v>42808</v>
      </c>
    </row>
    <row r="170" spans="1:16" ht="17.25" customHeight="1" x14ac:dyDescent="0.25">
      <c r="A170" s="106"/>
      <c r="B170" s="102"/>
      <c r="C170" s="104"/>
      <c r="D170" s="107"/>
      <c r="E170" s="109"/>
      <c r="F170" s="15"/>
      <c r="G170" s="15" t="s">
        <v>105</v>
      </c>
      <c r="H170" s="16">
        <f t="shared" ref="H170:P170" si="57">SUM(H168:H169)</f>
        <v>17383</v>
      </c>
      <c r="I170" s="16">
        <f t="shared" si="57"/>
        <v>20368</v>
      </c>
      <c r="J170" s="16">
        <f t="shared" si="57"/>
        <v>19798</v>
      </c>
      <c r="K170" s="16">
        <f t="shared" si="57"/>
        <v>19217</v>
      </c>
      <c r="L170" s="16">
        <f t="shared" si="57"/>
        <v>18646</v>
      </c>
      <c r="M170" s="16">
        <f t="shared" si="57"/>
        <v>18053</v>
      </c>
      <c r="N170" s="16">
        <f t="shared" si="57"/>
        <v>17473</v>
      </c>
      <c r="O170" s="16">
        <f t="shared" si="57"/>
        <v>75054</v>
      </c>
      <c r="P170" s="16">
        <f t="shared" si="57"/>
        <v>205992</v>
      </c>
    </row>
    <row r="171" spans="1:16" ht="17.25" customHeight="1" x14ac:dyDescent="0.25">
      <c r="A171" s="106">
        <f>A168+1</f>
        <v>55</v>
      </c>
      <c r="B171" s="102" t="s">
        <v>11</v>
      </c>
      <c r="C171" s="104" t="s">
        <v>25</v>
      </c>
      <c r="D171" s="126">
        <v>42298</v>
      </c>
      <c r="E171" s="109" t="s">
        <v>255</v>
      </c>
      <c r="F171" s="41" t="s">
        <v>256</v>
      </c>
      <c r="G171" s="13" t="s">
        <v>5</v>
      </c>
      <c r="H171" s="14">
        <f>2740-229</f>
        <v>2511</v>
      </c>
      <c r="I171" s="14">
        <v>2780</v>
      </c>
      <c r="J171" s="14">
        <v>2780</v>
      </c>
      <c r="K171" s="14">
        <v>2780</v>
      </c>
      <c r="L171" s="14">
        <v>2780</v>
      </c>
      <c r="M171" s="14">
        <v>2780</v>
      </c>
      <c r="N171" s="14">
        <v>2769</v>
      </c>
      <c r="O171" s="14">
        <v>0</v>
      </c>
      <c r="P171" s="14">
        <f>SUM(H171:O171)</f>
        <v>19180</v>
      </c>
    </row>
    <row r="172" spans="1:16" ht="17.25" customHeight="1" x14ac:dyDescent="0.25">
      <c r="A172" s="106"/>
      <c r="B172" s="102"/>
      <c r="C172" s="104"/>
      <c r="D172" s="126"/>
      <c r="E172" s="109"/>
      <c r="F172" s="20" t="s">
        <v>257</v>
      </c>
      <c r="G172" s="17" t="s">
        <v>8</v>
      </c>
      <c r="H172" s="18">
        <f>835+2</f>
        <v>837</v>
      </c>
      <c r="I172" s="18">
        <f>626+41</f>
        <v>667</v>
      </c>
      <c r="J172" s="18">
        <f>516+34</f>
        <v>550</v>
      </c>
      <c r="K172" s="18">
        <f>409+27</f>
        <v>436</v>
      </c>
      <c r="L172" s="18">
        <v>323</v>
      </c>
      <c r="M172" s="53">
        <v>209</v>
      </c>
      <c r="N172" s="53">
        <v>95</v>
      </c>
      <c r="O172" s="53">
        <v>1</v>
      </c>
      <c r="P172" s="18">
        <f>SUM(H172:O172)</f>
        <v>3118</v>
      </c>
    </row>
    <row r="173" spans="1:16" ht="17.25" customHeight="1" x14ac:dyDescent="0.25">
      <c r="A173" s="106"/>
      <c r="B173" s="102"/>
      <c r="C173" s="104"/>
      <c r="D173" s="126"/>
      <c r="E173" s="109"/>
      <c r="F173" s="15"/>
      <c r="G173" s="15" t="s">
        <v>105</v>
      </c>
      <c r="H173" s="16">
        <f t="shared" ref="H173:P173" si="58">SUM(H171:H172)</f>
        <v>3348</v>
      </c>
      <c r="I173" s="16">
        <f t="shared" si="58"/>
        <v>3447</v>
      </c>
      <c r="J173" s="16">
        <f t="shared" si="58"/>
        <v>3330</v>
      </c>
      <c r="K173" s="16">
        <f t="shared" si="58"/>
        <v>3216</v>
      </c>
      <c r="L173" s="16">
        <f t="shared" si="58"/>
        <v>3103</v>
      </c>
      <c r="M173" s="16">
        <f t="shared" si="58"/>
        <v>2989</v>
      </c>
      <c r="N173" s="16">
        <f t="shared" si="58"/>
        <v>2864</v>
      </c>
      <c r="O173" s="16">
        <f t="shared" si="58"/>
        <v>1</v>
      </c>
      <c r="P173" s="16">
        <f t="shared" si="58"/>
        <v>22298</v>
      </c>
    </row>
    <row r="174" spans="1:16" ht="17.25" customHeight="1" x14ac:dyDescent="0.25">
      <c r="A174" s="106">
        <f>A171+1</f>
        <v>56</v>
      </c>
      <c r="B174" s="102" t="s">
        <v>11</v>
      </c>
      <c r="C174" s="103" t="s">
        <v>258</v>
      </c>
      <c r="D174" s="126">
        <v>42552</v>
      </c>
      <c r="E174" s="107">
        <v>45828</v>
      </c>
      <c r="F174" s="41" t="s">
        <v>259</v>
      </c>
      <c r="G174" s="13" t="s">
        <v>5</v>
      </c>
      <c r="H174" s="14">
        <v>13496</v>
      </c>
      <c r="I174" s="14">
        <v>6748</v>
      </c>
      <c r="J174" s="19">
        <v>0</v>
      </c>
      <c r="K174" s="19">
        <v>0</v>
      </c>
      <c r="L174" s="19">
        <v>0</v>
      </c>
      <c r="M174" s="19">
        <v>0</v>
      </c>
      <c r="N174" s="19">
        <v>0</v>
      </c>
      <c r="O174" s="19">
        <v>0</v>
      </c>
      <c r="P174" s="14">
        <f>SUM(H174:O174)</f>
        <v>20244</v>
      </c>
    </row>
    <row r="175" spans="1:16" ht="17.25" customHeight="1" x14ac:dyDescent="0.25">
      <c r="A175" s="106"/>
      <c r="B175" s="102"/>
      <c r="C175" s="103"/>
      <c r="D175" s="126"/>
      <c r="E175" s="107"/>
      <c r="F175" s="20" t="s">
        <v>260</v>
      </c>
      <c r="G175" s="17" t="s">
        <v>8</v>
      </c>
      <c r="H175" s="18">
        <f>736+46</f>
        <v>782</v>
      </c>
      <c r="I175" s="18">
        <v>193</v>
      </c>
      <c r="J175" s="21">
        <v>0</v>
      </c>
      <c r="K175" s="21">
        <v>0</v>
      </c>
      <c r="L175" s="21">
        <v>0</v>
      </c>
      <c r="M175" s="21">
        <v>0</v>
      </c>
      <c r="N175" s="21">
        <v>0</v>
      </c>
      <c r="O175" s="21">
        <v>0</v>
      </c>
      <c r="P175" s="18">
        <f>SUM(H175:O175)</f>
        <v>975</v>
      </c>
    </row>
    <row r="176" spans="1:16" ht="17.25" customHeight="1" x14ac:dyDescent="0.25">
      <c r="A176" s="106"/>
      <c r="B176" s="102"/>
      <c r="C176" s="103"/>
      <c r="D176" s="126"/>
      <c r="E176" s="107"/>
      <c r="F176" s="15"/>
      <c r="G176" s="15" t="s">
        <v>105</v>
      </c>
      <c r="H176" s="16">
        <f t="shared" ref="H176:P176" si="59">SUM(H174:H175)</f>
        <v>14278</v>
      </c>
      <c r="I176" s="16">
        <f t="shared" si="59"/>
        <v>6941</v>
      </c>
      <c r="J176" s="16">
        <f t="shared" si="59"/>
        <v>0</v>
      </c>
      <c r="K176" s="16">
        <f t="shared" si="59"/>
        <v>0</v>
      </c>
      <c r="L176" s="16">
        <f t="shared" si="59"/>
        <v>0</v>
      </c>
      <c r="M176" s="16">
        <f t="shared" si="59"/>
        <v>0</v>
      </c>
      <c r="N176" s="16">
        <f>SUM(N174:N175)</f>
        <v>0</v>
      </c>
      <c r="O176" s="16">
        <f t="shared" si="59"/>
        <v>0</v>
      </c>
      <c r="P176" s="16">
        <f t="shared" si="59"/>
        <v>21219</v>
      </c>
    </row>
    <row r="177" spans="1:16" ht="17.25" customHeight="1" x14ac:dyDescent="0.25">
      <c r="A177" s="106">
        <f>A174+1</f>
        <v>57</v>
      </c>
      <c r="B177" s="102" t="s">
        <v>11</v>
      </c>
      <c r="C177" s="104" t="s">
        <v>26</v>
      </c>
      <c r="D177" s="107">
        <v>42612</v>
      </c>
      <c r="E177" s="109" t="s">
        <v>263</v>
      </c>
      <c r="F177" s="41" t="s">
        <v>261</v>
      </c>
      <c r="G177" s="13" t="s">
        <v>5</v>
      </c>
      <c r="H177" s="14">
        <f>19944-5713</f>
        <v>14231</v>
      </c>
      <c r="I177" s="14">
        <v>20432</v>
      </c>
      <c r="J177" s="14">
        <v>20432</v>
      </c>
      <c r="K177" s="14">
        <v>20432</v>
      </c>
      <c r="L177" s="14">
        <v>20432</v>
      </c>
      <c r="M177" s="14">
        <v>20432</v>
      </c>
      <c r="N177" s="14">
        <v>20432</v>
      </c>
      <c r="O177" s="14">
        <f>134622-19944+2785</f>
        <v>117463</v>
      </c>
      <c r="P177" s="14">
        <f>SUM(H177:O177)</f>
        <v>254286</v>
      </c>
    </row>
    <row r="178" spans="1:16" ht="17.25" customHeight="1" x14ac:dyDescent="0.25">
      <c r="A178" s="106"/>
      <c r="B178" s="102"/>
      <c r="C178" s="104"/>
      <c r="D178" s="107"/>
      <c r="E178" s="109"/>
      <c r="F178" s="20" t="s">
        <v>262</v>
      </c>
      <c r="G178" s="17" t="s">
        <v>8</v>
      </c>
      <c r="H178" s="18">
        <f>10440+638+57</f>
        <v>11135</v>
      </c>
      <c r="I178" s="18">
        <f>9061+600</f>
        <v>9661</v>
      </c>
      <c r="J178" s="18">
        <f>8292+549</f>
        <v>8841</v>
      </c>
      <c r="K178" s="18">
        <f>7509+497</f>
        <v>8006</v>
      </c>
      <c r="L178" s="18">
        <f>6743+446</f>
        <v>7189</v>
      </c>
      <c r="M178" s="53">
        <f>5942+393</f>
        <v>6335</v>
      </c>
      <c r="N178" s="53">
        <f>5159+341</f>
        <v>5500</v>
      </c>
      <c r="O178" s="53">
        <f>15480</f>
        <v>15480</v>
      </c>
      <c r="P178" s="18">
        <f>SUM(H178:O178)</f>
        <v>72147</v>
      </c>
    </row>
    <row r="179" spans="1:16" ht="17.25" customHeight="1" x14ac:dyDescent="0.25">
      <c r="A179" s="106"/>
      <c r="B179" s="102"/>
      <c r="C179" s="104"/>
      <c r="D179" s="107"/>
      <c r="E179" s="109"/>
      <c r="F179" s="15"/>
      <c r="G179" s="15" t="s">
        <v>105</v>
      </c>
      <c r="H179" s="16">
        <f t="shared" ref="H179:P179" si="60">SUM(H177:H178)</f>
        <v>25366</v>
      </c>
      <c r="I179" s="16">
        <f t="shared" si="60"/>
        <v>30093</v>
      </c>
      <c r="J179" s="16">
        <f t="shared" si="60"/>
        <v>29273</v>
      </c>
      <c r="K179" s="16">
        <f t="shared" si="60"/>
        <v>28438</v>
      </c>
      <c r="L179" s="16">
        <f t="shared" si="60"/>
        <v>27621</v>
      </c>
      <c r="M179" s="16">
        <f t="shared" si="60"/>
        <v>26767</v>
      </c>
      <c r="N179" s="16">
        <f t="shared" si="60"/>
        <v>25932</v>
      </c>
      <c r="O179" s="16">
        <f t="shared" si="60"/>
        <v>132943</v>
      </c>
      <c r="P179" s="16">
        <f t="shared" si="60"/>
        <v>326433</v>
      </c>
    </row>
    <row r="180" spans="1:16" ht="17.25" customHeight="1" x14ac:dyDescent="0.25">
      <c r="A180" s="106">
        <f>A177+1</f>
        <v>58</v>
      </c>
      <c r="B180" s="102" t="s">
        <v>11</v>
      </c>
      <c r="C180" s="104" t="s">
        <v>27</v>
      </c>
      <c r="D180" s="107">
        <v>42884</v>
      </c>
      <c r="E180" s="109" t="s">
        <v>264</v>
      </c>
      <c r="F180" s="41" t="s">
        <v>265</v>
      </c>
      <c r="G180" s="13" t="s">
        <v>5</v>
      </c>
      <c r="H180" s="14">
        <f>11260-4206</f>
        <v>7054</v>
      </c>
      <c r="I180" s="14">
        <v>11504</v>
      </c>
      <c r="J180" s="14">
        <v>11504</v>
      </c>
      <c r="K180" s="14">
        <v>11504</v>
      </c>
      <c r="L180" s="14">
        <v>11504</v>
      </c>
      <c r="M180" s="14">
        <v>11504</v>
      </c>
      <c r="N180" s="14">
        <v>11504</v>
      </c>
      <c r="O180" s="14">
        <f>140750-11260+2742</f>
        <v>132232</v>
      </c>
      <c r="P180" s="14">
        <f>SUM(H180:O180)</f>
        <v>208310</v>
      </c>
    </row>
    <row r="181" spans="1:16" ht="16.5" customHeight="1" x14ac:dyDescent="0.25">
      <c r="A181" s="106"/>
      <c r="B181" s="102"/>
      <c r="C181" s="104"/>
      <c r="D181" s="107"/>
      <c r="E181" s="109"/>
      <c r="F181" s="20" t="s">
        <v>266</v>
      </c>
      <c r="G181" s="17" t="s">
        <v>8</v>
      </c>
      <c r="H181" s="18">
        <f>8095+525+52</f>
        <v>8672</v>
      </c>
      <c r="I181" s="18">
        <f>7631+505</f>
        <v>8136</v>
      </c>
      <c r="J181" s="18">
        <f>7201+477</f>
        <v>7678</v>
      </c>
      <c r="K181" s="18">
        <f>6760+447</f>
        <v>7207</v>
      </c>
      <c r="L181" s="18">
        <f>6335+419</f>
        <v>6754</v>
      </c>
      <c r="M181" s="53">
        <f>5877+389</f>
        <v>6266</v>
      </c>
      <c r="N181" s="53">
        <f>5437+360</f>
        <v>5797</v>
      </c>
      <c r="O181" s="53">
        <f>32938</f>
        <v>32938</v>
      </c>
      <c r="P181" s="18">
        <f>SUM(H181:O181)</f>
        <v>83448</v>
      </c>
    </row>
    <row r="182" spans="1:16" ht="17.25" customHeight="1" x14ac:dyDescent="0.25">
      <c r="A182" s="106"/>
      <c r="B182" s="102"/>
      <c r="C182" s="104"/>
      <c r="D182" s="107"/>
      <c r="E182" s="109"/>
      <c r="F182" s="15"/>
      <c r="G182" s="15" t="s">
        <v>105</v>
      </c>
      <c r="H182" s="16">
        <f t="shared" ref="H182:P182" si="61">SUM(H180:H181)</f>
        <v>15726</v>
      </c>
      <c r="I182" s="16">
        <f t="shared" si="61"/>
        <v>19640</v>
      </c>
      <c r="J182" s="16">
        <f t="shared" si="61"/>
        <v>19182</v>
      </c>
      <c r="K182" s="16">
        <f t="shared" si="61"/>
        <v>18711</v>
      </c>
      <c r="L182" s="16">
        <f t="shared" si="61"/>
        <v>18258</v>
      </c>
      <c r="M182" s="16">
        <f t="shared" si="61"/>
        <v>17770</v>
      </c>
      <c r="N182" s="16">
        <f t="shared" si="61"/>
        <v>17301</v>
      </c>
      <c r="O182" s="16">
        <f t="shared" si="61"/>
        <v>165170</v>
      </c>
      <c r="P182" s="16">
        <f t="shared" si="61"/>
        <v>291758</v>
      </c>
    </row>
    <row r="183" spans="1:16" ht="16.5" customHeight="1" x14ac:dyDescent="0.25">
      <c r="A183" s="106">
        <f>A180+1</f>
        <v>59</v>
      </c>
      <c r="B183" s="102" t="s">
        <v>11</v>
      </c>
      <c r="C183" s="104" t="s">
        <v>28</v>
      </c>
      <c r="D183" s="107">
        <v>42943</v>
      </c>
      <c r="E183" s="109" t="s">
        <v>269</v>
      </c>
      <c r="F183" s="41" t="s">
        <v>267</v>
      </c>
      <c r="G183" s="13" t="s">
        <v>5</v>
      </c>
      <c r="H183" s="14">
        <f>13552-2479</f>
        <v>11073</v>
      </c>
      <c r="I183" s="14">
        <v>13872</v>
      </c>
      <c r="J183" s="14">
        <v>13872</v>
      </c>
      <c r="K183" s="14">
        <v>13872</v>
      </c>
      <c r="L183" s="14">
        <v>13872</v>
      </c>
      <c r="M183" s="14">
        <v>13872</v>
      </c>
      <c r="N183" s="14">
        <v>13872</v>
      </c>
      <c r="O183" s="14">
        <f>37268-13552+559</f>
        <v>24275</v>
      </c>
      <c r="P183" s="14">
        <f>SUM(H183:O183)</f>
        <v>118580</v>
      </c>
    </row>
    <row r="184" spans="1:16" ht="16.5" customHeight="1" x14ac:dyDescent="0.25">
      <c r="A184" s="106"/>
      <c r="B184" s="102"/>
      <c r="C184" s="104"/>
      <c r="D184" s="107"/>
      <c r="E184" s="109"/>
      <c r="F184" s="20" t="s">
        <v>268</v>
      </c>
      <c r="G184" s="17" t="s">
        <v>8</v>
      </c>
      <c r="H184" s="18">
        <f>4843+296+28</f>
        <v>5167</v>
      </c>
      <c r="I184" s="18">
        <f>4030+267</f>
        <v>4297</v>
      </c>
      <c r="J184" s="18">
        <f>3505+232</f>
        <v>3737</v>
      </c>
      <c r="K184" s="18">
        <f>2973+197</f>
        <v>3170</v>
      </c>
      <c r="L184" s="18">
        <f>2447+162</f>
        <v>2609</v>
      </c>
      <c r="M184" s="53">
        <f>199+126</f>
        <v>325</v>
      </c>
      <c r="N184" s="53">
        <f>1378+91</f>
        <v>1469</v>
      </c>
      <c r="O184" s="53">
        <f>1218</f>
        <v>1218</v>
      </c>
      <c r="P184" s="18">
        <f>SUM(H184:O184)</f>
        <v>21992</v>
      </c>
    </row>
    <row r="185" spans="1:16" ht="17.25" customHeight="1" x14ac:dyDescent="0.25">
      <c r="A185" s="106"/>
      <c r="B185" s="102"/>
      <c r="C185" s="104"/>
      <c r="D185" s="107"/>
      <c r="E185" s="109"/>
      <c r="F185" s="15"/>
      <c r="G185" s="15" t="s">
        <v>105</v>
      </c>
      <c r="H185" s="16">
        <f t="shared" ref="H185:P185" si="62">SUM(H183:H184)</f>
        <v>16240</v>
      </c>
      <c r="I185" s="16">
        <f t="shared" si="62"/>
        <v>18169</v>
      </c>
      <c r="J185" s="16">
        <f t="shared" si="62"/>
        <v>17609</v>
      </c>
      <c r="K185" s="16">
        <f t="shared" si="62"/>
        <v>17042</v>
      </c>
      <c r="L185" s="16">
        <f t="shared" si="62"/>
        <v>16481</v>
      </c>
      <c r="M185" s="16">
        <f t="shared" si="62"/>
        <v>14197</v>
      </c>
      <c r="N185" s="16">
        <f t="shared" si="62"/>
        <v>15341</v>
      </c>
      <c r="O185" s="16">
        <f t="shared" si="62"/>
        <v>25493</v>
      </c>
      <c r="P185" s="16">
        <f t="shared" si="62"/>
        <v>140572</v>
      </c>
    </row>
    <row r="186" spans="1:16" ht="17.25" customHeight="1" x14ac:dyDescent="0.25">
      <c r="A186" s="106">
        <f>A183+1</f>
        <v>60</v>
      </c>
      <c r="B186" s="102" t="s">
        <v>11</v>
      </c>
      <c r="C186" s="104" t="s">
        <v>617</v>
      </c>
      <c r="D186" s="107">
        <v>42957</v>
      </c>
      <c r="E186" s="109" t="s">
        <v>269</v>
      </c>
      <c r="F186" s="41" t="s">
        <v>270</v>
      </c>
      <c r="G186" s="13" t="s">
        <v>5</v>
      </c>
      <c r="H186" s="14">
        <f>7260-1351</f>
        <v>5909</v>
      </c>
      <c r="I186" s="14">
        <f>7260+176</f>
        <v>7436</v>
      </c>
      <c r="J186" s="14">
        <f t="shared" ref="J186:N186" si="63">7260+176</f>
        <v>7436</v>
      </c>
      <c r="K186" s="14">
        <f t="shared" si="63"/>
        <v>7436</v>
      </c>
      <c r="L186" s="14">
        <f t="shared" si="63"/>
        <v>7436</v>
      </c>
      <c r="M186" s="14">
        <f t="shared" si="63"/>
        <v>7436</v>
      </c>
      <c r="N186" s="14">
        <f t="shared" si="63"/>
        <v>7436</v>
      </c>
      <c r="O186" s="14">
        <f>19965-7260+295</f>
        <v>13000</v>
      </c>
      <c r="P186" s="14">
        <f>SUM(H186:O186)</f>
        <v>63525</v>
      </c>
    </row>
    <row r="187" spans="1:16" ht="15.75" customHeight="1" x14ac:dyDescent="0.25">
      <c r="A187" s="106"/>
      <c r="B187" s="102"/>
      <c r="C187" s="104"/>
      <c r="D187" s="107"/>
      <c r="E187" s="109"/>
      <c r="F187" s="20" t="s">
        <v>271</v>
      </c>
      <c r="G187" s="17" t="s">
        <v>8</v>
      </c>
      <c r="H187" s="18">
        <f>2578+159+14</f>
        <v>2751</v>
      </c>
      <c r="I187" s="18">
        <f>2159+143</f>
        <v>2302</v>
      </c>
      <c r="J187" s="18">
        <f>1878+124</f>
        <v>2002</v>
      </c>
      <c r="K187" s="18">
        <f>1593+105</f>
        <v>1698</v>
      </c>
      <c r="L187" s="18">
        <f>1311+87</f>
        <v>1398</v>
      </c>
      <c r="M187" s="53">
        <f>1023+68</f>
        <v>1091</v>
      </c>
      <c r="N187" s="53">
        <f>738+49</f>
        <v>787</v>
      </c>
      <c r="O187" s="53">
        <f>652</f>
        <v>652</v>
      </c>
      <c r="P187" s="18">
        <f>SUM(H187:O187)</f>
        <v>12681</v>
      </c>
    </row>
    <row r="188" spans="1:16" ht="17.25" customHeight="1" x14ac:dyDescent="0.25">
      <c r="A188" s="106"/>
      <c r="B188" s="102"/>
      <c r="C188" s="104"/>
      <c r="D188" s="107"/>
      <c r="E188" s="109"/>
      <c r="F188" s="15"/>
      <c r="G188" s="15" t="s">
        <v>105</v>
      </c>
      <c r="H188" s="16">
        <f t="shared" ref="H188:P188" si="64">SUM(H186:H187)</f>
        <v>8660</v>
      </c>
      <c r="I188" s="16">
        <f t="shared" si="64"/>
        <v>9738</v>
      </c>
      <c r="J188" s="16">
        <f t="shared" si="64"/>
        <v>9438</v>
      </c>
      <c r="K188" s="16">
        <f t="shared" si="64"/>
        <v>9134</v>
      </c>
      <c r="L188" s="16">
        <f t="shared" si="64"/>
        <v>8834</v>
      </c>
      <c r="M188" s="16">
        <f t="shared" si="64"/>
        <v>8527</v>
      </c>
      <c r="N188" s="16">
        <f t="shared" si="64"/>
        <v>8223</v>
      </c>
      <c r="O188" s="16">
        <f t="shared" si="64"/>
        <v>13652</v>
      </c>
      <c r="P188" s="16">
        <f t="shared" si="64"/>
        <v>76206</v>
      </c>
    </row>
    <row r="189" spans="1:16" ht="15.75" customHeight="1" x14ac:dyDescent="0.25">
      <c r="A189" s="106">
        <f>A186+1</f>
        <v>61</v>
      </c>
      <c r="B189" s="102" t="s">
        <v>11</v>
      </c>
      <c r="C189" s="103" t="s">
        <v>275</v>
      </c>
      <c r="D189" s="107">
        <v>42989</v>
      </c>
      <c r="E189" s="109" t="s">
        <v>272</v>
      </c>
      <c r="F189" s="41" t="s">
        <v>273</v>
      </c>
      <c r="G189" s="13" t="s">
        <v>5</v>
      </c>
      <c r="H189" s="14">
        <f>4568-1171</f>
        <v>3397</v>
      </c>
      <c r="I189" s="14">
        <f>4568+92</f>
        <v>4660</v>
      </c>
      <c r="J189" s="14">
        <f t="shared" ref="J189:N189" si="65">4568+92</f>
        <v>4660</v>
      </c>
      <c r="K189" s="14">
        <f t="shared" si="65"/>
        <v>4660</v>
      </c>
      <c r="L189" s="14">
        <f t="shared" si="65"/>
        <v>4660</v>
      </c>
      <c r="M189" s="14">
        <f t="shared" si="65"/>
        <v>4660</v>
      </c>
      <c r="N189" s="14">
        <f t="shared" si="65"/>
        <v>4660</v>
      </c>
      <c r="O189" s="14">
        <f>35402-4568+619</f>
        <v>31453</v>
      </c>
      <c r="P189" s="14">
        <f>SUM(H189:O189)</f>
        <v>62810</v>
      </c>
    </row>
    <row r="190" spans="1:16" ht="14.25" customHeight="1" x14ac:dyDescent="0.25">
      <c r="A190" s="106"/>
      <c r="B190" s="102"/>
      <c r="C190" s="103"/>
      <c r="D190" s="107"/>
      <c r="E190" s="109"/>
      <c r="F190" s="20" t="s">
        <v>274</v>
      </c>
      <c r="G190" s="17" t="s">
        <v>8</v>
      </c>
      <c r="H190" s="18">
        <f>2559+158+12</f>
        <v>2729</v>
      </c>
      <c r="I190" s="18">
        <f>2245+149</f>
        <v>2394</v>
      </c>
      <c r="J190" s="18">
        <f>2070+137</f>
        <v>2207</v>
      </c>
      <c r="K190" s="18">
        <f>1891+125</f>
        <v>2016</v>
      </c>
      <c r="L190" s="18">
        <f>1717+114</f>
        <v>1831</v>
      </c>
      <c r="M190" s="53">
        <f>1534+102</f>
        <v>1636</v>
      </c>
      <c r="N190" s="53">
        <f>1355+90</f>
        <v>1445</v>
      </c>
      <c r="O190" s="53">
        <v>4788</v>
      </c>
      <c r="P190" s="18">
        <f>SUM(H190:O190)</f>
        <v>19046</v>
      </c>
    </row>
    <row r="191" spans="1:16" ht="14.25" customHeight="1" x14ac:dyDescent="0.25">
      <c r="A191" s="106"/>
      <c r="B191" s="102"/>
      <c r="C191" s="103"/>
      <c r="D191" s="107"/>
      <c r="E191" s="109"/>
      <c r="F191" s="15"/>
      <c r="G191" s="15" t="s">
        <v>105</v>
      </c>
      <c r="H191" s="16">
        <f t="shared" ref="H191:P191" si="66">SUM(H189:H190)</f>
        <v>6126</v>
      </c>
      <c r="I191" s="16">
        <f t="shared" si="66"/>
        <v>7054</v>
      </c>
      <c r="J191" s="16">
        <f t="shared" si="66"/>
        <v>6867</v>
      </c>
      <c r="K191" s="16">
        <f t="shared" si="66"/>
        <v>6676</v>
      </c>
      <c r="L191" s="16">
        <f t="shared" si="66"/>
        <v>6491</v>
      </c>
      <c r="M191" s="16">
        <f t="shared" si="66"/>
        <v>6296</v>
      </c>
      <c r="N191" s="16">
        <f t="shared" si="66"/>
        <v>6105</v>
      </c>
      <c r="O191" s="16">
        <f t="shared" si="66"/>
        <v>36241</v>
      </c>
      <c r="P191" s="16">
        <f t="shared" si="66"/>
        <v>81856</v>
      </c>
    </row>
    <row r="192" spans="1:16" ht="18.600000000000001" customHeight="1" x14ac:dyDescent="0.25">
      <c r="A192" s="106">
        <f>A189+1</f>
        <v>62</v>
      </c>
      <c r="B192" s="102" t="s">
        <v>11</v>
      </c>
      <c r="C192" s="104" t="s">
        <v>65</v>
      </c>
      <c r="D192" s="107">
        <v>42993</v>
      </c>
      <c r="E192" s="105" t="s">
        <v>125</v>
      </c>
      <c r="F192" s="41" t="s">
        <v>276</v>
      </c>
      <c r="G192" s="13" t="s">
        <v>5</v>
      </c>
      <c r="H192" s="14">
        <f>4788-235</f>
        <v>4553</v>
      </c>
      <c r="I192" s="14">
        <f>4788+88</f>
        <v>4876</v>
      </c>
      <c r="J192" s="14">
        <f>4788+88</f>
        <v>4876</v>
      </c>
      <c r="K192" s="14">
        <f>3591+59</f>
        <v>3650</v>
      </c>
      <c r="L192" s="14">
        <v>0</v>
      </c>
      <c r="M192" s="14">
        <v>0</v>
      </c>
      <c r="N192" s="14">
        <v>0</v>
      </c>
      <c r="O192" s="19">
        <v>0</v>
      </c>
      <c r="P192" s="14">
        <f>SUM(H192:O192)</f>
        <v>17955</v>
      </c>
    </row>
    <row r="193" spans="1:16" ht="15" customHeight="1" x14ac:dyDescent="0.25">
      <c r="A193" s="106"/>
      <c r="B193" s="102"/>
      <c r="C193" s="104"/>
      <c r="D193" s="107"/>
      <c r="E193" s="105"/>
      <c r="F193" s="20" t="s">
        <v>277</v>
      </c>
      <c r="G193" s="17" t="s">
        <v>8</v>
      </c>
      <c r="H193" s="18">
        <f>761+2</f>
        <v>763</v>
      </c>
      <c r="I193" s="18">
        <f>484+32</f>
        <v>516</v>
      </c>
      <c r="J193" s="18">
        <f>298+20</f>
        <v>318</v>
      </c>
      <c r="K193" s="18">
        <v>118</v>
      </c>
      <c r="L193" s="18">
        <v>0</v>
      </c>
      <c r="M193" s="18">
        <v>0</v>
      </c>
      <c r="N193" s="18">
        <v>0</v>
      </c>
      <c r="O193" s="21">
        <v>0</v>
      </c>
      <c r="P193" s="18">
        <f>SUM(H193:O193)</f>
        <v>1715</v>
      </c>
    </row>
    <row r="194" spans="1:16" ht="15" customHeight="1" x14ac:dyDescent="0.25">
      <c r="A194" s="106"/>
      <c r="B194" s="102"/>
      <c r="C194" s="104"/>
      <c r="D194" s="107"/>
      <c r="E194" s="105"/>
      <c r="F194" s="15"/>
      <c r="G194" s="15" t="s">
        <v>105</v>
      </c>
      <c r="H194" s="16">
        <f t="shared" ref="H194:P194" si="67">SUM(H192:H193)</f>
        <v>5316</v>
      </c>
      <c r="I194" s="16">
        <f t="shared" si="67"/>
        <v>5392</v>
      </c>
      <c r="J194" s="16">
        <f t="shared" si="67"/>
        <v>5194</v>
      </c>
      <c r="K194" s="16">
        <f t="shared" si="67"/>
        <v>3768</v>
      </c>
      <c r="L194" s="16">
        <f t="shared" si="67"/>
        <v>0</v>
      </c>
      <c r="M194" s="16">
        <f t="shared" si="67"/>
        <v>0</v>
      </c>
      <c r="N194" s="16">
        <f>SUM(N192:N193)</f>
        <v>0</v>
      </c>
      <c r="O194" s="16">
        <f t="shared" si="67"/>
        <v>0</v>
      </c>
      <c r="P194" s="16">
        <f t="shared" si="67"/>
        <v>19670</v>
      </c>
    </row>
    <row r="195" spans="1:16" ht="15" customHeight="1" x14ac:dyDescent="0.25">
      <c r="A195" s="106">
        <f>A192+1</f>
        <v>63</v>
      </c>
      <c r="B195" s="102" t="s">
        <v>11</v>
      </c>
      <c r="C195" s="104" t="s">
        <v>598</v>
      </c>
      <c r="D195" s="107">
        <v>43012</v>
      </c>
      <c r="E195" s="109" t="s">
        <v>125</v>
      </c>
      <c r="F195" s="41" t="s">
        <v>278</v>
      </c>
      <c r="G195" s="13" t="s">
        <v>5</v>
      </c>
      <c r="H195" s="14">
        <f>4228-124</f>
        <v>4104</v>
      </c>
      <c r="I195" s="14">
        <v>4276</v>
      </c>
      <c r="J195" s="14">
        <v>4276</v>
      </c>
      <c r="K195" s="14">
        <f>3171+28</f>
        <v>3199</v>
      </c>
      <c r="L195" s="14">
        <v>0</v>
      </c>
      <c r="M195" s="14">
        <v>0</v>
      </c>
      <c r="N195" s="14">
        <v>0</v>
      </c>
      <c r="O195" s="19">
        <v>0</v>
      </c>
      <c r="P195" s="14">
        <f>SUM(H195:O195)</f>
        <v>15855</v>
      </c>
    </row>
    <row r="196" spans="1:16" ht="15" customHeight="1" x14ac:dyDescent="0.25">
      <c r="A196" s="106"/>
      <c r="B196" s="102"/>
      <c r="C196" s="104"/>
      <c r="D196" s="107"/>
      <c r="E196" s="109"/>
      <c r="F196" s="20" t="s">
        <v>279</v>
      </c>
      <c r="G196" s="17" t="s">
        <v>8</v>
      </c>
      <c r="H196" s="18">
        <v>686</v>
      </c>
      <c r="I196" s="18">
        <f>425+28</f>
        <v>453</v>
      </c>
      <c r="J196" s="18">
        <v>278</v>
      </c>
      <c r="K196" s="18">
        <v>103</v>
      </c>
      <c r="L196" s="18">
        <v>0</v>
      </c>
      <c r="M196" s="18">
        <v>0</v>
      </c>
      <c r="N196" s="18">
        <v>0</v>
      </c>
      <c r="O196" s="21">
        <v>0</v>
      </c>
      <c r="P196" s="18">
        <f>SUM(H196:O196)</f>
        <v>1520</v>
      </c>
    </row>
    <row r="197" spans="1:16" ht="15" customHeight="1" x14ac:dyDescent="0.25">
      <c r="A197" s="106"/>
      <c r="B197" s="102"/>
      <c r="C197" s="104"/>
      <c r="D197" s="107"/>
      <c r="E197" s="109"/>
      <c r="F197" s="15"/>
      <c r="G197" s="15" t="s">
        <v>105</v>
      </c>
      <c r="H197" s="16">
        <f t="shared" ref="H197:P197" si="68">SUM(H195:H196)</f>
        <v>4790</v>
      </c>
      <c r="I197" s="16">
        <f t="shared" si="68"/>
        <v>4729</v>
      </c>
      <c r="J197" s="16">
        <f t="shared" si="68"/>
        <v>4554</v>
      </c>
      <c r="K197" s="16">
        <f t="shared" si="68"/>
        <v>3302</v>
      </c>
      <c r="L197" s="16">
        <f t="shared" si="68"/>
        <v>0</v>
      </c>
      <c r="M197" s="16">
        <f t="shared" si="68"/>
        <v>0</v>
      </c>
      <c r="N197" s="16">
        <f t="shared" si="68"/>
        <v>0</v>
      </c>
      <c r="O197" s="16">
        <f t="shared" si="68"/>
        <v>0</v>
      </c>
      <c r="P197" s="16">
        <f t="shared" si="68"/>
        <v>17375</v>
      </c>
    </row>
    <row r="198" spans="1:16" ht="15" customHeight="1" x14ac:dyDescent="0.25">
      <c r="A198" s="106">
        <f>A195+1</f>
        <v>64</v>
      </c>
      <c r="B198" s="102" t="s">
        <v>11</v>
      </c>
      <c r="C198" s="104" t="s">
        <v>51</v>
      </c>
      <c r="D198" s="107">
        <v>43020</v>
      </c>
      <c r="E198" s="109" t="s">
        <v>125</v>
      </c>
      <c r="F198" s="41" t="s">
        <v>280</v>
      </c>
      <c r="G198" s="13" t="s">
        <v>5</v>
      </c>
      <c r="H198" s="14">
        <f>19960-738</f>
        <v>19222</v>
      </c>
      <c r="I198" s="14">
        <v>19988</v>
      </c>
      <c r="J198" s="14">
        <v>19988</v>
      </c>
      <c r="K198" s="14">
        <f>14302+682</f>
        <v>14984</v>
      </c>
      <c r="L198" s="14">
        <v>0</v>
      </c>
      <c r="M198" s="14">
        <v>0</v>
      </c>
      <c r="N198" s="14">
        <v>0</v>
      </c>
      <c r="O198" s="19">
        <v>0</v>
      </c>
      <c r="P198" s="14">
        <f>SUM(H198:O198)</f>
        <v>74182</v>
      </c>
    </row>
    <row r="199" spans="1:16" ht="15" customHeight="1" x14ac:dyDescent="0.25">
      <c r="A199" s="106"/>
      <c r="B199" s="102"/>
      <c r="C199" s="104"/>
      <c r="D199" s="107"/>
      <c r="E199" s="109"/>
      <c r="F199" s="20" t="s">
        <v>281</v>
      </c>
      <c r="G199" s="17" t="s">
        <v>8</v>
      </c>
      <c r="H199" s="18">
        <f>3186+7</f>
        <v>3193</v>
      </c>
      <c r="I199" s="18">
        <f>1991+131</f>
        <v>2122</v>
      </c>
      <c r="J199" s="18">
        <f>1222+81</f>
        <v>1303</v>
      </c>
      <c r="K199" s="18">
        <v>486</v>
      </c>
      <c r="L199" s="18">
        <v>0</v>
      </c>
      <c r="M199" s="18">
        <v>0</v>
      </c>
      <c r="N199" s="18">
        <v>0</v>
      </c>
      <c r="O199" s="21">
        <v>0</v>
      </c>
      <c r="P199" s="18">
        <f>SUM(H199:O199)</f>
        <v>7104</v>
      </c>
    </row>
    <row r="200" spans="1:16" ht="15" customHeight="1" x14ac:dyDescent="0.25">
      <c r="A200" s="106"/>
      <c r="B200" s="116"/>
      <c r="C200" s="118"/>
      <c r="D200" s="110"/>
      <c r="E200" s="113"/>
      <c r="F200" s="26"/>
      <c r="G200" s="26" t="s">
        <v>105</v>
      </c>
      <c r="H200" s="16">
        <f t="shared" ref="H200:P200" si="69">SUM(H198:H199)</f>
        <v>22415</v>
      </c>
      <c r="I200" s="16">
        <f t="shared" si="69"/>
        <v>22110</v>
      </c>
      <c r="J200" s="16">
        <f t="shared" si="69"/>
        <v>21291</v>
      </c>
      <c r="K200" s="16">
        <f t="shared" si="69"/>
        <v>15470</v>
      </c>
      <c r="L200" s="16">
        <f t="shared" si="69"/>
        <v>0</v>
      </c>
      <c r="M200" s="16">
        <f t="shared" si="69"/>
        <v>0</v>
      </c>
      <c r="N200" s="16">
        <f t="shared" si="69"/>
        <v>0</v>
      </c>
      <c r="O200" s="16">
        <f t="shared" si="69"/>
        <v>0</v>
      </c>
      <c r="P200" s="16">
        <f t="shared" si="69"/>
        <v>81286</v>
      </c>
    </row>
    <row r="201" spans="1:16" ht="15" customHeight="1" x14ac:dyDescent="0.25">
      <c r="A201" s="106">
        <f>A198+1</f>
        <v>65</v>
      </c>
      <c r="B201" s="102" t="s">
        <v>11</v>
      </c>
      <c r="C201" s="104" t="s">
        <v>29</v>
      </c>
      <c r="D201" s="107">
        <v>43027</v>
      </c>
      <c r="E201" s="109" t="s">
        <v>282</v>
      </c>
      <c r="F201" s="41" t="s">
        <v>283</v>
      </c>
      <c r="G201" s="13" t="s">
        <v>5</v>
      </c>
      <c r="H201" s="14">
        <f>6192-680</f>
        <v>5512</v>
      </c>
      <c r="I201" s="14">
        <v>6280</v>
      </c>
      <c r="J201" s="14">
        <v>6280</v>
      </c>
      <c r="K201" s="14">
        <v>6280</v>
      </c>
      <c r="L201" s="14">
        <v>6280</v>
      </c>
      <c r="M201" s="14">
        <v>6280</v>
      </c>
      <c r="N201" s="14">
        <v>6280</v>
      </c>
      <c r="O201" s="14">
        <f>18576-6192+152</f>
        <v>12536</v>
      </c>
      <c r="P201" s="14">
        <f>SUM(H201:O201)</f>
        <v>55728</v>
      </c>
    </row>
    <row r="202" spans="1:16" ht="15" customHeight="1" x14ac:dyDescent="0.25">
      <c r="A202" s="106"/>
      <c r="B202" s="102"/>
      <c r="C202" s="104"/>
      <c r="D202" s="107"/>
      <c r="E202" s="109"/>
      <c r="F202" s="20" t="s">
        <v>284</v>
      </c>
      <c r="G202" s="17" t="s">
        <v>8</v>
      </c>
      <c r="H202" s="18">
        <f>2405+6</f>
        <v>2411</v>
      </c>
      <c r="I202" s="18">
        <f>1894+125</f>
        <v>2019</v>
      </c>
      <c r="J202" s="18">
        <f>1646+109</f>
        <v>1755</v>
      </c>
      <c r="K202" s="18">
        <v>1498</v>
      </c>
      <c r="L202" s="18">
        <f>1167+77</f>
        <v>1244</v>
      </c>
      <c r="M202" s="53">
        <f>924+61</f>
        <v>985</v>
      </c>
      <c r="N202" s="53">
        <f>683+45</f>
        <v>728</v>
      </c>
      <c r="O202" s="53">
        <v>692</v>
      </c>
      <c r="P202" s="18">
        <f>SUM(H202:O202)</f>
        <v>11332</v>
      </c>
    </row>
    <row r="203" spans="1:16" ht="15" customHeight="1" x14ac:dyDescent="0.25">
      <c r="A203" s="106"/>
      <c r="B203" s="102"/>
      <c r="C203" s="104"/>
      <c r="D203" s="107"/>
      <c r="E203" s="109"/>
      <c r="F203" s="15"/>
      <c r="G203" s="15" t="s">
        <v>105</v>
      </c>
      <c r="H203" s="16">
        <f t="shared" ref="H203:P203" si="70">SUM(H201:H202)</f>
        <v>7923</v>
      </c>
      <c r="I203" s="16">
        <f t="shared" si="70"/>
        <v>8299</v>
      </c>
      <c r="J203" s="16">
        <f t="shared" si="70"/>
        <v>8035</v>
      </c>
      <c r="K203" s="16">
        <f t="shared" si="70"/>
        <v>7778</v>
      </c>
      <c r="L203" s="16">
        <f t="shared" si="70"/>
        <v>7524</v>
      </c>
      <c r="M203" s="16">
        <f t="shared" si="70"/>
        <v>7265</v>
      </c>
      <c r="N203" s="16">
        <f t="shared" si="70"/>
        <v>7008</v>
      </c>
      <c r="O203" s="16">
        <f t="shared" si="70"/>
        <v>13228</v>
      </c>
      <c r="P203" s="16">
        <f t="shared" si="70"/>
        <v>67060</v>
      </c>
    </row>
    <row r="204" spans="1:16" ht="13.5" customHeight="1" x14ac:dyDescent="0.25">
      <c r="A204" s="106">
        <f>A201+1</f>
        <v>66</v>
      </c>
      <c r="B204" s="102" t="s">
        <v>11</v>
      </c>
      <c r="C204" s="104" t="s">
        <v>58</v>
      </c>
      <c r="D204" s="107">
        <v>43042</v>
      </c>
      <c r="E204" s="109" t="s">
        <v>282</v>
      </c>
      <c r="F204" s="41" t="s">
        <v>285</v>
      </c>
      <c r="G204" s="13" t="s">
        <v>5</v>
      </c>
      <c r="H204" s="14">
        <f>20000-2049</f>
        <v>17951</v>
      </c>
      <c r="I204" s="14">
        <v>20260</v>
      </c>
      <c r="J204" s="14">
        <v>20260</v>
      </c>
      <c r="K204" s="14">
        <v>20260</v>
      </c>
      <c r="L204" s="14">
        <v>20260</v>
      </c>
      <c r="M204" s="14">
        <v>20260</v>
      </c>
      <c r="N204" s="14">
        <v>20260</v>
      </c>
      <c r="O204" s="14">
        <f>60000-20000+489</f>
        <v>40489</v>
      </c>
      <c r="P204" s="14">
        <f>SUM(H204:O204)</f>
        <v>180000</v>
      </c>
    </row>
    <row r="205" spans="1:16" ht="13.5" customHeight="1" x14ac:dyDescent="0.25">
      <c r="A205" s="106"/>
      <c r="B205" s="102"/>
      <c r="C205" s="104"/>
      <c r="D205" s="107"/>
      <c r="E205" s="109"/>
      <c r="F205" s="20" t="s">
        <v>286</v>
      </c>
      <c r="G205" s="17" t="s">
        <v>8</v>
      </c>
      <c r="H205" s="18">
        <f>7285+450+20</f>
        <v>7755</v>
      </c>
      <c r="I205" s="18">
        <f>6135+402</f>
        <v>6537</v>
      </c>
      <c r="J205" s="18">
        <f>5312+352</f>
        <v>5664</v>
      </c>
      <c r="K205" s="18">
        <v>4836</v>
      </c>
      <c r="L205" s="18">
        <f>3768+249</f>
        <v>4017</v>
      </c>
      <c r="M205" s="53">
        <f>2981+197</f>
        <v>3178</v>
      </c>
      <c r="N205" s="53">
        <f>2205+146</f>
        <v>2351</v>
      </c>
      <c r="O205" s="53">
        <v>2237</v>
      </c>
      <c r="P205" s="18">
        <f>SUM(H205:O205)</f>
        <v>36575</v>
      </c>
    </row>
    <row r="206" spans="1:16" ht="13.5" customHeight="1" x14ac:dyDescent="0.25">
      <c r="A206" s="106"/>
      <c r="B206" s="102"/>
      <c r="C206" s="104"/>
      <c r="D206" s="107"/>
      <c r="E206" s="109"/>
      <c r="F206" s="15"/>
      <c r="G206" s="15" t="s">
        <v>105</v>
      </c>
      <c r="H206" s="16">
        <f t="shared" ref="H206:P206" si="71">SUM(H204:H205)</f>
        <v>25706</v>
      </c>
      <c r="I206" s="16">
        <f t="shared" si="71"/>
        <v>26797</v>
      </c>
      <c r="J206" s="16">
        <f t="shared" si="71"/>
        <v>25924</v>
      </c>
      <c r="K206" s="16">
        <f t="shared" si="71"/>
        <v>25096</v>
      </c>
      <c r="L206" s="16">
        <f t="shared" si="71"/>
        <v>24277</v>
      </c>
      <c r="M206" s="16">
        <f t="shared" si="71"/>
        <v>23438</v>
      </c>
      <c r="N206" s="16">
        <f t="shared" si="71"/>
        <v>22611</v>
      </c>
      <c r="O206" s="16">
        <f t="shared" si="71"/>
        <v>42726</v>
      </c>
      <c r="P206" s="16">
        <f t="shared" si="71"/>
        <v>216575</v>
      </c>
    </row>
    <row r="207" spans="1:16" ht="13.5" customHeight="1" x14ac:dyDescent="0.25">
      <c r="A207" s="106">
        <f>A204+1</f>
        <v>67</v>
      </c>
      <c r="B207" s="102" t="s">
        <v>11</v>
      </c>
      <c r="C207" s="104" t="s">
        <v>30</v>
      </c>
      <c r="D207" s="107">
        <v>43089</v>
      </c>
      <c r="E207" s="109" t="s">
        <v>289</v>
      </c>
      <c r="F207" s="41" t="s">
        <v>287</v>
      </c>
      <c r="G207" s="13" t="s">
        <v>5</v>
      </c>
      <c r="H207" s="14">
        <f>33396-8845</f>
        <v>24551</v>
      </c>
      <c r="I207" s="14">
        <v>33888</v>
      </c>
      <c r="J207" s="14">
        <v>33888</v>
      </c>
      <c r="K207" s="14">
        <v>33888</v>
      </c>
      <c r="L207" s="14">
        <v>33888</v>
      </c>
      <c r="M207" s="14">
        <v>33888</v>
      </c>
      <c r="N207" s="14">
        <v>33888</v>
      </c>
      <c r="O207" s="14">
        <f>434148-33396+5893</f>
        <v>406645</v>
      </c>
      <c r="P207" s="14">
        <f>SUM(H207:O207)</f>
        <v>634524</v>
      </c>
    </row>
    <row r="208" spans="1:16" ht="13.5" customHeight="1" x14ac:dyDescent="0.25">
      <c r="A208" s="106"/>
      <c r="B208" s="102"/>
      <c r="C208" s="104"/>
      <c r="D208" s="107"/>
      <c r="E208" s="109"/>
      <c r="F208" s="20" t="s">
        <v>288</v>
      </c>
      <c r="G208" s="17" t="s">
        <v>8</v>
      </c>
      <c r="H208" s="18">
        <f>23933+1600+80</f>
        <v>25613</v>
      </c>
      <c r="I208" s="18">
        <f>23427+1531</f>
        <v>24958</v>
      </c>
      <c r="J208" s="18">
        <f>21868+1447</f>
        <v>23315</v>
      </c>
      <c r="K208" s="18">
        <f>20569+1361</f>
        <v>21930</v>
      </c>
      <c r="L208" s="18">
        <f>19320+1278</f>
        <v>20598</v>
      </c>
      <c r="M208" s="53">
        <f>17969+1189</f>
        <v>19158</v>
      </c>
      <c r="N208" s="53">
        <f>16671+1103</f>
        <v>17774</v>
      </c>
      <c r="O208" s="53">
        <v>105517</v>
      </c>
      <c r="P208" s="18">
        <f>SUM(H208:O208)</f>
        <v>258863</v>
      </c>
    </row>
    <row r="209" spans="1:16" ht="13.5" customHeight="1" x14ac:dyDescent="0.25">
      <c r="A209" s="106"/>
      <c r="B209" s="102"/>
      <c r="C209" s="104"/>
      <c r="D209" s="107"/>
      <c r="E209" s="109"/>
      <c r="F209" s="15"/>
      <c r="G209" s="15" t="s">
        <v>105</v>
      </c>
      <c r="H209" s="16">
        <f t="shared" ref="H209:P209" si="72">SUM(H207:H208)</f>
        <v>50164</v>
      </c>
      <c r="I209" s="16">
        <f t="shared" si="72"/>
        <v>58846</v>
      </c>
      <c r="J209" s="16">
        <f t="shared" si="72"/>
        <v>57203</v>
      </c>
      <c r="K209" s="16">
        <f t="shared" si="72"/>
        <v>55818</v>
      </c>
      <c r="L209" s="16">
        <f t="shared" si="72"/>
        <v>54486</v>
      </c>
      <c r="M209" s="16">
        <f t="shared" si="72"/>
        <v>53046</v>
      </c>
      <c r="N209" s="16">
        <f t="shared" si="72"/>
        <v>51662</v>
      </c>
      <c r="O209" s="16">
        <f t="shared" si="72"/>
        <v>512162</v>
      </c>
      <c r="P209" s="16">
        <f t="shared" si="72"/>
        <v>893387</v>
      </c>
    </row>
    <row r="210" spans="1:16" ht="13.5" customHeight="1" x14ac:dyDescent="0.25">
      <c r="A210" s="106">
        <f>A207+1</f>
        <v>68</v>
      </c>
      <c r="B210" s="102" t="s">
        <v>11</v>
      </c>
      <c r="C210" s="103" t="s">
        <v>464</v>
      </c>
      <c r="D210" s="107">
        <v>43167</v>
      </c>
      <c r="E210" s="109" t="s">
        <v>292</v>
      </c>
      <c r="F210" s="41" t="s">
        <v>290</v>
      </c>
      <c r="G210" s="13" t="s">
        <v>5</v>
      </c>
      <c r="H210" s="14">
        <f>36296-10837</f>
        <v>25459</v>
      </c>
      <c r="I210" s="14">
        <v>36892</v>
      </c>
      <c r="J210" s="14">
        <v>36892</v>
      </c>
      <c r="K210" s="14">
        <v>36892</v>
      </c>
      <c r="L210" s="14">
        <v>36892</v>
      </c>
      <c r="M210" s="14">
        <v>36892</v>
      </c>
      <c r="N210" s="14">
        <v>36892</v>
      </c>
      <c r="O210" s="14">
        <f>480922-36296+7261</f>
        <v>451887</v>
      </c>
      <c r="P210" s="14">
        <f>SUM(H210:O210)</f>
        <v>698698</v>
      </c>
    </row>
    <row r="211" spans="1:16" ht="13.5" customHeight="1" x14ac:dyDescent="0.25">
      <c r="A211" s="106"/>
      <c r="B211" s="102"/>
      <c r="C211" s="104"/>
      <c r="D211" s="107"/>
      <c r="E211" s="109"/>
      <c r="F211" s="20" t="s">
        <v>291</v>
      </c>
      <c r="G211" s="17" t="s">
        <v>8</v>
      </c>
      <c r="H211" s="18">
        <f>26680+1761+289</f>
        <v>28730</v>
      </c>
      <c r="I211" s="18">
        <f>25624+1690</f>
        <v>27314</v>
      </c>
      <c r="J211" s="18">
        <f>24158+1599</f>
        <v>25757</v>
      </c>
      <c r="K211" s="18">
        <f>22744+1505</f>
        <v>24249</v>
      </c>
      <c r="L211" s="18">
        <f>21386+1415</f>
        <v>22801</v>
      </c>
      <c r="M211" s="53">
        <f>19914+1318</f>
        <v>21232</v>
      </c>
      <c r="N211" s="53">
        <f>18501+1224</f>
        <v>19725</v>
      </c>
      <c r="O211" s="53">
        <v>119526</v>
      </c>
      <c r="P211" s="18">
        <f>SUM(H211:O211)</f>
        <v>289334</v>
      </c>
    </row>
    <row r="212" spans="1:16" ht="13.5" customHeight="1" x14ac:dyDescent="0.25">
      <c r="A212" s="106"/>
      <c r="B212" s="102"/>
      <c r="C212" s="104"/>
      <c r="D212" s="107"/>
      <c r="E212" s="109"/>
      <c r="F212" s="15"/>
      <c r="G212" s="15" t="s">
        <v>105</v>
      </c>
      <c r="H212" s="16">
        <f t="shared" ref="H212:P212" si="73">SUM(H210:H211)</f>
        <v>54189</v>
      </c>
      <c r="I212" s="16">
        <f t="shared" si="73"/>
        <v>64206</v>
      </c>
      <c r="J212" s="16">
        <f t="shared" si="73"/>
        <v>62649</v>
      </c>
      <c r="K212" s="16">
        <f t="shared" si="73"/>
        <v>61141</v>
      </c>
      <c r="L212" s="16">
        <f t="shared" si="73"/>
        <v>59693</v>
      </c>
      <c r="M212" s="16">
        <f>SUM(M210:M211)</f>
        <v>58124</v>
      </c>
      <c r="N212" s="16">
        <f>SUM(N210:N211)</f>
        <v>56617</v>
      </c>
      <c r="O212" s="16">
        <f t="shared" si="73"/>
        <v>571413</v>
      </c>
      <c r="P212" s="16">
        <f t="shared" si="73"/>
        <v>988032</v>
      </c>
    </row>
    <row r="213" spans="1:16" ht="13.5" customHeight="1" x14ac:dyDescent="0.25">
      <c r="A213" s="106">
        <f>A210+1</f>
        <v>69</v>
      </c>
      <c r="B213" s="102" t="s">
        <v>11</v>
      </c>
      <c r="C213" s="103" t="s">
        <v>465</v>
      </c>
      <c r="D213" s="107">
        <v>43255</v>
      </c>
      <c r="E213" s="109" t="s">
        <v>293</v>
      </c>
      <c r="F213" s="41" t="s">
        <v>294</v>
      </c>
      <c r="G213" s="13" t="s">
        <v>5</v>
      </c>
      <c r="H213" s="14">
        <f>65820-26126</f>
        <v>39694</v>
      </c>
      <c r="I213" s="14">
        <v>67236</v>
      </c>
      <c r="J213" s="14">
        <v>67236</v>
      </c>
      <c r="K213" s="14">
        <v>67236</v>
      </c>
      <c r="L213" s="14">
        <v>67236</v>
      </c>
      <c r="M213" s="14">
        <v>67236</v>
      </c>
      <c r="N213" s="14">
        <v>67236</v>
      </c>
      <c r="O213" s="14">
        <f>888570-65820+17630</f>
        <v>840380</v>
      </c>
      <c r="P213" s="14">
        <f>SUM(H213:O213)</f>
        <v>1283490</v>
      </c>
    </row>
    <row r="214" spans="1:16" ht="13.5" customHeight="1" x14ac:dyDescent="0.25">
      <c r="A214" s="106"/>
      <c r="B214" s="102"/>
      <c r="C214" s="104"/>
      <c r="D214" s="107"/>
      <c r="E214" s="109"/>
      <c r="F214" s="20" t="s">
        <v>295</v>
      </c>
      <c r="G214" s="17" t="s">
        <v>8</v>
      </c>
      <c r="H214" s="18">
        <f>49901+3236+522</f>
        <v>53659</v>
      </c>
      <c r="I214" s="18">
        <f>47185+3122</f>
        <v>50307</v>
      </c>
      <c r="J214" s="18">
        <f>44673+2956</f>
        <v>47629</v>
      </c>
      <c r="K214" s="18">
        <f>42095+2786</f>
        <v>44881</v>
      </c>
      <c r="L214" s="18">
        <f>39622+2622</f>
        <v>42244</v>
      </c>
      <c r="M214" s="53">
        <f>36937+2444</f>
        <v>39381</v>
      </c>
      <c r="N214" s="53">
        <f>34362+2274</f>
        <v>36636</v>
      </c>
      <c r="O214" s="53">
        <v>226568</v>
      </c>
      <c r="P214" s="18">
        <f>SUM(H214:O214)</f>
        <v>541305</v>
      </c>
    </row>
    <row r="215" spans="1:16" ht="13.5" customHeight="1" x14ac:dyDescent="0.25">
      <c r="A215" s="106"/>
      <c r="B215" s="102"/>
      <c r="C215" s="104"/>
      <c r="D215" s="107"/>
      <c r="E215" s="109"/>
      <c r="F215" s="15"/>
      <c r="G215" s="15" t="s">
        <v>105</v>
      </c>
      <c r="H215" s="16">
        <f t="shared" ref="H215:P215" si="74">SUM(H213:H214)</f>
        <v>93353</v>
      </c>
      <c r="I215" s="16">
        <f t="shared" si="74"/>
        <v>117543</v>
      </c>
      <c r="J215" s="16">
        <f t="shared" si="74"/>
        <v>114865</v>
      </c>
      <c r="K215" s="16">
        <f t="shared" si="74"/>
        <v>112117</v>
      </c>
      <c r="L215" s="16">
        <f t="shared" si="74"/>
        <v>109480</v>
      </c>
      <c r="M215" s="16">
        <f t="shared" si="74"/>
        <v>106617</v>
      </c>
      <c r="N215" s="16">
        <f>SUM(N213:N214)</f>
        <v>103872</v>
      </c>
      <c r="O215" s="16">
        <f t="shared" si="74"/>
        <v>1066948</v>
      </c>
      <c r="P215" s="16">
        <f t="shared" si="74"/>
        <v>1824795</v>
      </c>
    </row>
    <row r="216" spans="1:16" ht="13.5" customHeight="1" x14ac:dyDescent="0.25">
      <c r="A216" s="106">
        <f>A213+1</f>
        <v>70</v>
      </c>
      <c r="B216" s="102" t="s">
        <v>11</v>
      </c>
      <c r="C216" s="104" t="s">
        <v>27</v>
      </c>
      <c r="D216" s="107">
        <v>43285</v>
      </c>
      <c r="E216" s="109" t="s">
        <v>298</v>
      </c>
      <c r="F216" s="41" t="s">
        <v>296</v>
      </c>
      <c r="G216" s="13" t="s">
        <v>5</v>
      </c>
      <c r="H216" s="14">
        <f>10552-3986</f>
        <v>6566</v>
      </c>
      <c r="I216" s="14">
        <v>10768</v>
      </c>
      <c r="J216" s="14">
        <v>10768</v>
      </c>
      <c r="K216" s="14">
        <v>10768</v>
      </c>
      <c r="L216" s="14">
        <v>10768</v>
      </c>
      <c r="M216" s="14">
        <v>10768</v>
      </c>
      <c r="N216" s="14">
        <v>10768</v>
      </c>
      <c r="O216" s="14">
        <f>142452-10552+2690</f>
        <v>134590</v>
      </c>
      <c r="P216" s="14">
        <f>SUM(H216:O216)</f>
        <v>205764</v>
      </c>
    </row>
    <row r="217" spans="1:16" ht="13.5" customHeight="1" x14ac:dyDescent="0.25">
      <c r="A217" s="106"/>
      <c r="B217" s="102"/>
      <c r="C217" s="104"/>
      <c r="D217" s="107"/>
      <c r="E217" s="109"/>
      <c r="F217" s="20" t="s">
        <v>297</v>
      </c>
      <c r="G217" s="17" t="s">
        <v>8</v>
      </c>
      <c r="H217" s="18">
        <f>8366+519+46</f>
        <v>8931</v>
      </c>
      <c r="I217" s="18">
        <f>7557+500</f>
        <v>8057</v>
      </c>
      <c r="J217" s="18">
        <f>7155+473</f>
        <v>7628</v>
      </c>
      <c r="K217" s="18">
        <f>6742+446</f>
        <v>7188</v>
      </c>
      <c r="L217" s="18">
        <f>6346+420</f>
        <v>6766</v>
      </c>
      <c r="M217" s="53">
        <f>5916+391</f>
        <v>6307</v>
      </c>
      <c r="N217" s="53">
        <f>5503+364</f>
        <v>5867</v>
      </c>
      <c r="O217" s="53">
        <v>36296</v>
      </c>
      <c r="P217" s="18">
        <f>SUM(H217:O217)</f>
        <v>87040</v>
      </c>
    </row>
    <row r="218" spans="1:16" ht="13.5" customHeight="1" x14ac:dyDescent="0.25">
      <c r="A218" s="106"/>
      <c r="B218" s="116"/>
      <c r="C218" s="118"/>
      <c r="D218" s="110"/>
      <c r="E218" s="113"/>
      <c r="F218" s="26"/>
      <c r="G218" s="26" t="s">
        <v>105</v>
      </c>
      <c r="H218" s="16">
        <f t="shared" ref="H218:P218" si="75">SUM(H216:H217)</f>
        <v>15497</v>
      </c>
      <c r="I218" s="16">
        <f t="shared" si="75"/>
        <v>18825</v>
      </c>
      <c r="J218" s="16">
        <f t="shared" si="75"/>
        <v>18396</v>
      </c>
      <c r="K218" s="16">
        <f t="shared" si="75"/>
        <v>17956</v>
      </c>
      <c r="L218" s="16">
        <f t="shared" si="75"/>
        <v>17534</v>
      </c>
      <c r="M218" s="16">
        <f t="shared" si="75"/>
        <v>17075</v>
      </c>
      <c r="N218" s="16">
        <f>SUM(N216:N217)</f>
        <v>16635</v>
      </c>
      <c r="O218" s="16">
        <f t="shared" si="75"/>
        <v>170886</v>
      </c>
      <c r="P218" s="16">
        <f t="shared" si="75"/>
        <v>292804</v>
      </c>
    </row>
    <row r="219" spans="1:16" ht="15" customHeight="1" x14ac:dyDescent="0.25">
      <c r="A219" s="106">
        <f>A216+1</f>
        <v>71</v>
      </c>
      <c r="B219" s="102" t="s">
        <v>11</v>
      </c>
      <c r="C219" s="128" t="s">
        <v>31</v>
      </c>
      <c r="D219" s="107">
        <v>43285</v>
      </c>
      <c r="E219" s="109" t="s">
        <v>299</v>
      </c>
      <c r="F219" s="41" t="s">
        <v>300</v>
      </c>
      <c r="G219" s="13" t="s">
        <v>5</v>
      </c>
      <c r="H219" s="14">
        <f>21820-5999</f>
        <v>15821</v>
      </c>
      <c r="I219" s="14">
        <v>22268</v>
      </c>
      <c r="J219" s="14">
        <v>22268</v>
      </c>
      <c r="K219" s="14">
        <v>22268</v>
      </c>
      <c r="L219" s="14">
        <v>22268</v>
      </c>
      <c r="M219" s="14">
        <v>22268</v>
      </c>
      <c r="N219" s="14">
        <v>22268</v>
      </c>
      <c r="O219" s="14">
        <f>185470-21820+3310</f>
        <v>166960</v>
      </c>
      <c r="P219" s="14">
        <f>SUM(H219:O219)</f>
        <v>316389</v>
      </c>
    </row>
    <row r="220" spans="1:16" ht="15" customHeight="1" x14ac:dyDescent="0.25">
      <c r="A220" s="106"/>
      <c r="B220" s="102"/>
      <c r="C220" s="128"/>
      <c r="D220" s="107"/>
      <c r="E220" s="109"/>
      <c r="F220" s="20" t="s">
        <v>301</v>
      </c>
      <c r="G220" s="17" t="s">
        <v>8</v>
      </c>
      <c r="H220" s="18">
        <f>12830+795+71</f>
        <v>13696</v>
      </c>
      <c r="I220" s="18">
        <f>11367+752</f>
        <v>12119</v>
      </c>
      <c r="J220" s="18">
        <f>10529+697</f>
        <v>11226</v>
      </c>
      <c r="K220" s="18">
        <f>9676+640</f>
        <v>10316</v>
      </c>
      <c r="L220" s="18">
        <f>8845+585</f>
        <v>9430</v>
      </c>
      <c r="M220" s="53">
        <f>7968+527</f>
        <v>8495</v>
      </c>
      <c r="N220" s="53">
        <f>7115+471</f>
        <v>7586</v>
      </c>
      <c r="O220" s="53">
        <v>27986</v>
      </c>
      <c r="P220" s="18">
        <f>SUM(H220:O220)</f>
        <v>100854</v>
      </c>
    </row>
    <row r="221" spans="1:16" ht="15" customHeight="1" x14ac:dyDescent="0.25">
      <c r="A221" s="106"/>
      <c r="B221" s="102"/>
      <c r="C221" s="128"/>
      <c r="D221" s="107"/>
      <c r="E221" s="109"/>
      <c r="F221" s="15"/>
      <c r="G221" s="15" t="s">
        <v>105</v>
      </c>
      <c r="H221" s="16">
        <f t="shared" ref="H221:P221" si="76">SUM(H219:H220)</f>
        <v>29517</v>
      </c>
      <c r="I221" s="16">
        <f t="shared" si="76"/>
        <v>34387</v>
      </c>
      <c r="J221" s="16">
        <f t="shared" si="76"/>
        <v>33494</v>
      </c>
      <c r="K221" s="16">
        <f t="shared" si="76"/>
        <v>32584</v>
      </c>
      <c r="L221" s="16">
        <f t="shared" si="76"/>
        <v>31698</v>
      </c>
      <c r="M221" s="16">
        <f t="shared" si="76"/>
        <v>30763</v>
      </c>
      <c r="N221" s="16">
        <f>SUM(N219:N220)</f>
        <v>29854</v>
      </c>
      <c r="O221" s="16">
        <f t="shared" si="76"/>
        <v>194946</v>
      </c>
      <c r="P221" s="16">
        <f t="shared" si="76"/>
        <v>417243</v>
      </c>
    </row>
    <row r="222" spans="1:16" ht="15" customHeight="1" x14ac:dyDescent="0.25">
      <c r="A222" s="106">
        <f>A219+1</f>
        <v>72</v>
      </c>
      <c r="B222" s="102" t="s">
        <v>11</v>
      </c>
      <c r="C222" s="128" t="s">
        <v>32</v>
      </c>
      <c r="D222" s="107">
        <v>43299</v>
      </c>
      <c r="E222" s="109" t="s">
        <v>304</v>
      </c>
      <c r="F222" s="41" t="s">
        <v>302</v>
      </c>
      <c r="G222" s="13" t="s">
        <v>5</v>
      </c>
      <c r="H222" s="14">
        <f>5304-1075</f>
        <v>4229</v>
      </c>
      <c r="I222" s="14">
        <v>5428</v>
      </c>
      <c r="J222" s="14">
        <v>5428</v>
      </c>
      <c r="K222" s="14">
        <v>5428</v>
      </c>
      <c r="L222" s="14">
        <v>5428</v>
      </c>
      <c r="M222" s="14">
        <v>5428</v>
      </c>
      <c r="N222" s="14">
        <v>5428</v>
      </c>
      <c r="O222" s="14">
        <f>19890-5304+331</f>
        <v>14917</v>
      </c>
      <c r="P222" s="14">
        <f>SUM(H222:O222)</f>
        <v>51714</v>
      </c>
    </row>
    <row r="223" spans="1:16" ht="15" customHeight="1" x14ac:dyDescent="0.25">
      <c r="A223" s="106"/>
      <c r="B223" s="102"/>
      <c r="C223" s="128"/>
      <c r="D223" s="107"/>
      <c r="E223" s="109"/>
      <c r="F223" s="20" t="s">
        <v>303</v>
      </c>
      <c r="G223" s="17" t="s">
        <v>8</v>
      </c>
      <c r="H223" s="18">
        <f>2123+130+11</f>
        <v>2264</v>
      </c>
      <c r="I223" s="18">
        <f>1784+118</f>
        <v>1902</v>
      </c>
      <c r="J223" s="18">
        <f>1579+104</f>
        <v>1683</v>
      </c>
      <c r="K223" s="18">
        <f>1371+91</f>
        <v>1462</v>
      </c>
      <c r="L223" s="18">
        <f>1166+77</f>
        <v>1243</v>
      </c>
      <c r="M223" s="53">
        <f>955+63</f>
        <v>1018</v>
      </c>
      <c r="N223" s="53">
        <f>747+49</f>
        <v>796</v>
      </c>
      <c r="O223" s="53">
        <f>986+65</f>
        <v>1051</v>
      </c>
      <c r="P223" s="18">
        <f>SUM(H223:O223)</f>
        <v>11419</v>
      </c>
    </row>
    <row r="224" spans="1:16" ht="15" customHeight="1" x14ac:dyDescent="0.25">
      <c r="A224" s="106"/>
      <c r="B224" s="102"/>
      <c r="C224" s="128"/>
      <c r="D224" s="107"/>
      <c r="E224" s="109"/>
      <c r="F224" s="15"/>
      <c r="G224" s="15" t="s">
        <v>105</v>
      </c>
      <c r="H224" s="16">
        <f t="shared" ref="H224:P224" si="77">SUM(H222:H223)</f>
        <v>6493</v>
      </c>
      <c r="I224" s="16">
        <f t="shared" si="77"/>
        <v>7330</v>
      </c>
      <c r="J224" s="16">
        <f t="shared" si="77"/>
        <v>7111</v>
      </c>
      <c r="K224" s="16">
        <f t="shared" si="77"/>
        <v>6890</v>
      </c>
      <c r="L224" s="16">
        <f t="shared" si="77"/>
        <v>6671</v>
      </c>
      <c r="M224" s="16">
        <f t="shared" si="77"/>
        <v>6446</v>
      </c>
      <c r="N224" s="16">
        <f>SUM(N222:N223)</f>
        <v>6224</v>
      </c>
      <c r="O224" s="16">
        <f t="shared" si="77"/>
        <v>15968</v>
      </c>
      <c r="P224" s="16">
        <f t="shared" si="77"/>
        <v>63133</v>
      </c>
    </row>
    <row r="225" spans="1:17" ht="15.75" customHeight="1" x14ac:dyDescent="0.25">
      <c r="A225" s="106">
        <f>A222+1</f>
        <v>73</v>
      </c>
      <c r="B225" s="102" t="s">
        <v>11</v>
      </c>
      <c r="C225" s="129" t="s">
        <v>618</v>
      </c>
      <c r="D225" s="107">
        <v>43315</v>
      </c>
      <c r="E225" s="109" t="s">
        <v>211</v>
      </c>
      <c r="F225" s="41" t="s">
        <v>305</v>
      </c>
      <c r="G225" s="13" t="s">
        <v>5</v>
      </c>
      <c r="H225" s="76">
        <f>102640-48306</f>
        <v>54334</v>
      </c>
      <c r="I225" s="14">
        <v>105220</v>
      </c>
      <c r="J225" s="14">
        <v>105220</v>
      </c>
      <c r="K225" s="14">
        <v>105220</v>
      </c>
      <c r="L225" s="14">
        <v>105220</v>
      </c>
      <c r="M225" s="14">
        <v>105220</v>
      </c>
      <c r="N225" s="14">
        <v>105220</v>
      </c>
      <c r="O225" s="14">
        <f>1157420+184066</f>
        <v>1341486</v>
      </c>
      <c r="P225" s="14">
        <f>SUM(H225:O225)</f>
        <v>2027140</v>
      </c>
      <c r="Q225" s="1"/>
    </row>
    <row r="226" spans="1:17" ht="15.75" customHeight="1" x14ac:dyDescent="0.25">
      <c r="A226" s="106"/>
      <c r="B226" s="102"/>
      <c r="C226" s="129"/>
      <c r="D226" s="107"/>
      <c r="E226" s="109"/>
      <c r="F226" s="20" t="s">
        <v>306</v>
      </c>
      <c r="G226" s="17" t="s">
        <v>8</v>
      </c>
      <c r="H226" s="18">
        <f>82939+5111+510</f>
        <v>88560</v>
      </c>
      <c r="I226" s="18">
        <f>74834+4952</f>
        <v>79786</v>
      </c>
      <c r="J226" s="18">
        <f>70919+4693</f>
        <v>75612</v>
      </c>
      <c r="K226" s="18">
        <f>66886+4426</f>
        <v>71312</v>
      </c>
      <c r="L226" s="18">
        <f>63018+4170</f>
        <v>67188</v>
      </c>
      <c r="M226" s="53">
        <f>58814+3892</f>
        <v>62706</v>
      </c>
      <c r="N226" s="53">
        <f>54784+3625</f>
        <v>58409</v>
      </c>
      <c r="O226" s="53">
        <f>336922+22295+8652+573</f>
        <v>368442</v>
      </c>
      <c r="P226" s="18">
        <f>SUM(H226:O226)</f>
        <v>872015</v>
      </c>
    </row>
    <row r="227" spans="1:17" ht="15.75" customHeight="1" x14ac:dyDescent="0.25">
      <c r="A227" s="106"/>
      <c r="B227" s="102"/>
      <c r="C227" s="129"/>
      <c r="D227" s="107"/>
      <c r="E227" s="109"/>
      <c r="F227" s="15"/>
      <c r="G227" s="15" t="s">
        <v>105</v>
      </c>
      <c r="H227" s="16">
        <f t="shared" ref="H227:P227" si="78">SUM(H225:H226)</f>
        <v>142894</v>
      </c>
      <c r="I227" s="16">
        <f t="shared" si="78"/>
        <v>185006</v>
      </c>
      <c r="J227" s="16">
        <f t="shared" si="78"/>
        <v>180832</v>
      </c>
      <c r="K227" s="16">
        <f t="shared" si="78"/>
        <v>176532</v>
      </c>
      <c r="L227" s="16">
        <f t="shared" si="78"/>
        <v>172408</v>
      </c>
      <c r="M227" s="16">
        <f t="shared" si="78"/>
        <v>167926</v>
      </c>
      <c r="N227" s="16">
        <f t="shared" si="78"/>
        <v>163629</v>
      </c>
      <c r="O227" s="16">
        <f t="shared" si="78"/>
        <v>1709928</v>
      </c>
      <c r="P227" s="16">
        <f t="shared" si="78"/>
        <v>2899155</v>
      </c>
    </row>
    <row r="228" spans="1:17" ht="16.5" customHeight="1" x14ac:dyDescent="0.25">
      <c r="A228" s="106">
        <f>A225+1</f>
        <v>74</v>
      </c>
      <c r="B228" s="102" t="s">
        <v>11</v>
      </c>
      <c r="C228" s="130" t="s">
        <v>619</v>
      </c>
      <c r="D228" s="107">
        <v>43341</v>
      </c>
      <c r="E228" s="109" t="s">
        <v>309</v>
      </c>
      <c r="F228" s="41" t="s">
        <v>307</v>
      </c>
      <c r="G228" s="13" t="s">
        <v>5</v>
      </c>
      <c r="H228" s="14">
        <f>7644-701</f>
        <v>6943</v>
      </c>
      <c r="I228" s="14">
        <v>7832</v>
      </c>
      <c r="J228" s="14">
        <v>7832</v>
      </c>
      <c r="K228" s="14">
        <v>7832</v>
      </c>
      <c r="L228" s="14">
        <f>5733+137</f>
        <v>5870</v>
      </c>
      <c r="M228" s="14">
        <v>0</v>
      </c>
      <c r="N228" s="14">
        <v>0</v>
      </c>
      <c r="O228" s="14">
        <v>0</v>
      </c>
      <c r="P228" s="14">
        <f>SUM(H228:O228)</f>
        <v>36309</v>
      </c>
    </row>
    <row r="229" spans="1:17" ht="16.5" customHeight="1" x14ac:dyDescent="0.25">
      <c r="A229" s="106"/>
      <c r="B229" s="102"/>
      <c r="C229" s="130"/>
      <c r="D229" s="107"/>
      <c r="E229" s="109"/>
      <c r="F229" s="20" t="s">
        <v>308</v>
      </c>
      <c r="G229" s="17" t="s">
        <v>8</v>
      </c>
      <c r="H229" s="18">
        <f>1460+89+7</f>
        <v>1556</v>
      </c>
      <c r="I229" s="18">
        <f>1076+71</f>
        <v>1147</v>
      </c>
      <c r="J229" s="18">
        <f>779+52</f>
        <v>831</v>
      </c>
      <c r="K229" s="18">
        <f>479+32</f>
        <v>511</v>
      </c>
      <c r="L229" s="18">
        <f>172+11</f>
        <v>183</v>
      </c>
      <c r="M229" s="18">
        <v>0</v>
      </c>
      <c r="N229" s="18">
        <v>0</v>
      </c>
      <c r="O229" s="18">
        <v>0</v>
      </c>
      <c r="P229" s="18">
        <f>SUM(H229:O229)</f>
        <v>4228</v>
      </c>
    </row>
    <row r="230" spans="1:17" ht="16.5" customHeight="1" x14ac:dyDescent="0.25">
      <c r="A230" s="106"/>
      <c r="B230" s="102"/>
      <c r="C230" s="130"/>
      <c r="D230" s="107"/>
      <c r="E230" s="109"/>
      <c r="F230" s="15"/>
      <c r="G230" s="15" t="s">
        <v>105</v>
      </c>
      <c r="H230" s="16">
        <f t="shared" ref="H230:P230" si="79">SUM(H228:H229)</f>
        <v>8499</v>
      </c>
      <c r="I230" s="16">
        <f t="shared" si="79"/>
        <v>8979</v>
      </c>
      <c r="J230" s="16">
        <f t="shared" si="79"/>
        <v>8663</v>
      </c>
      <c r="K230" s="16">
        <f t="shared" si="79"/>
        <v>8343</v>
      </c>
      <c r="L230" s="16">
        <f t="shared" si="79"/>
        <v>6053</v>
      </c>
      <c r="M230" s="16">
        <f t="shared" si="79"/>
        <v>0</v>
      </c>
      <c r="N230" s="16">
        <f>SUM(N228:N229)</f>
        <v>0</v>
      </c>
      <c r="O230" s="16">
        <f t="shared" si="79"/>
        <v>0</v>
      </c>
      <c r="P230" s="16">
        <f t="shared" si="79"/>
        <v>40537</v>
      </c>
    </row>
    <row r="231" spans="1:17" ht="14.25" customHeight="1" x14ac:dyDescent="0.25">
      <c r="A231" s="106">
        <f>A228+1</f>
        <v>75</v>
      </c>
      <c r="B231" s="102" t="s">
        <v>11</v>
      </c>
      <c r="C231" s="128" t="s">
        <v>34</v>
      </c>
      <c r="D231" s="107">
        <v>43378</v>
      </c>
      <c r="E231" s="109" t="s">
        <v>310</v>
      </c>
      <c r="F231" s="41" t="s">
        <v>311</v>
      </c>
      <c r="G231" s="13" t="s">
        <v>5</v>
      </c>
      <c r="H231" s="14">
        <f>12660-666</f>
        <v>11994</v>
      </c>
      <c r="I231" s="14">
        <v>12840</v>
      </c>
      <c r="J231" s="14">
        <v>12840</v>
      </c>
      <c r="K231" s="14">
        <v>12840</v>
      </c>
      <c r="L231" s="14">
        <f>9495+126</f>
        <v>9621</v>
      </c>
      <c r="M231" s="14">
        <v>0</v>
      </c>
      <c r="N231" s="14">
        <v>0</v>
      </c>
      <c r="O231" s="14">
        <v>0</v>
      </c>
      <c r="P231" s="14">
        <f>SUM(H231:O231)</f>
        <v>60135</v>
      </c>
    </row>
    <row r="232" spans="1:17" ht="14.25" customHeight="1" x14ac:dyDescent="0.25">
      <c r="A232" s="106"/>
      <c r="B232" s="102"/>
      <c r="C232" s="128"/>
      <c r="D232" s="107"/>
      <c r="E232" s="109"/>
      <c r="F232" s="20" t="s">
        <v>312</v>
      </c>
      <c r="G232" s="17" t="s">
        <v>8</v>
      </c>
      <c r="H232" s="18">
        <f>2471+148+6</f>
        <v>2625</v>
      </c>
      <c r="I232" s="18">
        <f>1768+117</f>
        <v>1885</v>
      </c>
      <c r="J232" s="18">
        <f>1277+84</f>
        <v>1361</v>
      </c>
      <c r="K232" s="18">
        <f>785+52</f>
        <v>837</v>
      </c>
      <c r="L232" s="18">
        <f>292+19</f>
        <v>311</v>
      </c>
      <c r="M232" s="18">
        <v>0</v>
      </c>
      <c r="N232" s="18">
        <v>0</v>
      </c>
      <c r="O232" s="18">
        <v>0</v>
      </c>
      <c r="P232" s="18">
        <f>SUM(H232:O232)</f>
        <v>7019</v>
      </c>
    </row>
    <row r="233" spans="1:17" ht="14.25" customHeight="1" x14ac:dyDescent="0.25">
      <c r="A233" s="106"/>
      <c r="B233" s="116"/>
      <c r="C233" s="131"/>
      <c r="D233" s="110"/>
      <c r="E233" s="113"/>
      <c r="F233" s="26"/>
      <c r="G233" s="26" t="s">
        <v>105</v>
      </c>
      <c r="H233" s="16">
        <f t="shared" ref="H233:P233" si="80">SUM(H231:H232)</f>
        <v>14619</v>
      </c>
      <c r="I233" s="16">
        <f t="shared" si="80"/>
        <v>14725</v>
      </c>
      <c r="J233" s="16">
        <f t="shared" si="80"/>
        <v>14201</v>
      </c>
      <c r="K233" s="16">
        <f t="shared" si="80"/>
        <v>13677</v>
      </c>
      <c r="L233" s="16">
        <f t="shared" si="80"/>
        <v>9932</v>
      </c>
      <c r="M233" s="16">
        <f t="shared" si="80"/>
        <v>0</v>
      </c>
      <c r="N233" s="16">
        <f>SUM(N231:N232)</f>
        <v>0</v>
      </c>
      <c r="O233" s="16">
        <f t="shared" si="80"/>
        <v>0</v>
      </c>
      <c r="P233" s="16">
        <f t="shared" si="80"/>
        <v>67154</v>
      </c>
    </row>
    <row r="234" spans="1:17" ht="14.25" customHeight="1" x14ac:dyDescent="0.25">
      <c r="A234" s="106">
        <f>A231+1</f>
        <v>76</v>
      </c>
      <c r="B234" s="102" t="s">
        <v>11</v>
      </c>
      <c r="C234" s="128" t="s">
        <v>33</v>
      </c>
      <c r="D234" s="107">
        <v>43391</v>
      </c>
      <c r="E234" s="109" t="s">
        <v>315</v>
      </c>
      <c r="F234" s="41" t="s">
        <v>313</v>
      </c>
      <c r="G234" s="13" t="s">
        <v>5</v>
      </c>
      <c r="H234" s="14">
        <f>8292-1040</f>
        <v>7252</v>
      </c>
      <c r="I234" s="14">
        <v>8408</v>
      </c>
      <c r="J234" s="14">
        <v>8408</v>
      </c>
      <c r="K234" s="14">
        <v>8408</v>
      </c>
      <c r="L234" s="14">
        <v>8408</v>
      </c>
      <c r="M234" s="14">
        <v>8408</v>
      </c>
      <c r="N234" s="14">
        <v>8408</v>
      </c>
      <c r="O234" s="14">
        <f>33168-8292+344</f>
        <v>25220</v>
      </c>
      <c r="P234" s="14">
        <f>SUM(H234:O234)</f>
        <v>82920</v>
      </c>
    </row>
    <row r="235" spans="1:17" ht="14.4" customHeight="1" x14ac:dyDescent="0.25">
      <c r="A235" s="106"/>
      <c r="B235" s="102"/>
      <c r="C235" s="128"/>
      <c r="D235" s="107"/>
      <c r="E235" s="109"/>
      <c r="F235" s="20" t="s">
        <v>314</v>
      </c>
      <c r="G235" s="17" t="s">
        <v>8</v>
      </c>
      <c r="H235" s="18">
        <f>3377+208+10</f>
        <v>3595</v>
      </c>
      <c r="I235" s="18">
        <f>2860+188</f>
        <v>3048</v>
      </c>
      <c r="J235" s="18">
        <f>2527+167</f>
        <v>2694</v>
      </c>
      <c r="K235" s="18">
        <f>2205+146</f>
        <v>2351</v>
      </c>
      <c r="L235" s="18">
        <f>1887+125</f>
        <v>2012</v>
      </c>
      <c r="M235" s="53">
        <f>1560+103</f>
        <v>1663</v>
      </c>
      <c r="N235" s="53">
        <f>1238+82</f>
        <v>1320</v>
      </c>
      <c r="O235" s="53">
        <v>1906</v>
      </c>
      <c r="P235" s="18">
        <f>SUM(H235:O235)</f>
        <v>18589</v>
      </c>
    </row>
    <row r="236" spans="1:17" ht="15" customHeight="1" x14ac:dyDescent="0.25">
      <c r="A236" s="106"/>
      <c r="B236" s="102"/>
      <c r="C236" s="128"/>
      <c r="D236" s="107"/>
      <c r="E236" s="109"/>
      <c r="F236" s="15"/>
      <c r="G236" s="15" t="s">
        <v>105</v>
      </c>
      <c r="H236" s="16">
        <f t="shared" ref="H236:P236" si="81">SUM(H234:H235)</f>
        <v>10847</v>
      </c>
      <c r="I236" s="16">
        <f t="shared" si="81"/>
        <v>11456</v>
      </c>
      <c r="J236" s="16">
        <f t="shared" si="81"/>
        <v>11102</v>
      </c>
      <c r="K236" s="16">
        <f t="shared" si="81"/>
        <v>10759</v>
      </c>
      <c r="L236" s="16">
        <f t="shared" si="81"/>
        <v>10420</v>
      </c>
      <c r="M236" s="16">
        <f t="shared" si="81"/>
        <v>10071</v>
      </c>
      <c r="N236" s="16">
        <f t="shared" si="81"/>
        <v>9728</v>
      </c>
      <c r="O236" s="16">
        <f t="shared" si="81"/>
        <v>27126</v>
      </c>
      <c r="P236" s="16">
        <f t="shared" si="81"/>
        <v>101509</v>
      </c>
    </row>
    <row r="237" spans="1:17" ht="16.5" customHeight="1" x14ac:dyDescent="0.25">
      <c r="A237" s="106">
        <f>A234+1</f>
        <v>77</v>
      </c>
      <c r="B237" s="102" t="s">
        <v>11</v>
      </c>
      <c r="C237" s="104" t="s">
        <v>620</v>
      </c>
      <c r="D237" s="107">
        <v>43416</v>
      </c>
      <c r="E237" s="109" t="s">
        <v>318</v>
      </c>
      <c r="F237" s="41" t="s">
        <v>316</v>
      </c>
      <c r="G237" s="13" t="s">
        <v>5</v>
      </c>
      <c r="H237" s="14">
        <f>9564-400</f>
        <v>9164</v>
      </c>
      <c r="I237" s="14">
        <v>9664</v>
      </c>
      <c r="J237" s="14">
        <v>9664</v>
      </c>
      <c r="K237" s="14">
        <v>9664</v>
      </c>
      <c r="L237" s="14">
        <v>9664</v>
      </c>
      <c r="M237" s="14">
        <v>0</v>
      </c>
      <c r="N237" s="14">
        <v>0</v>
      </c>
      <c r="O237" s="19">
        <v>0</v>
      </c>
      <c r="P237" s="14">
        <f>SUM(H237:O237)</f>
        <v>47820</v>
      </c>
    </row>
    <row r="238" spans="1:17" ht="16.5" customHeight="1" x14ac:dyDescent="0.25">
      <c r="A238" s="106"/>
      <c r="B238" s="102"/>
      <c r="C238" s="104"/>
      <c r="D238" s="107"/>
      <c r="E238" s="109"/>
      <c r="F238" s="20" t="s">
        <v>317</v>
      </c>
      <c r="G238" s="17" t="s">
        <v>8</v>
      </c>
      <c r="H238" s="18">
        <f>1891+118+4</f>
        <v>2013</v>
      </c>
      <c r="I238" s="18">
        <f>1438+94</f>
        <v>1532</v>
      </c>
      <c r="J238" s="18">
        <f>1054+70</f>
        <v>1124</v>
      </c>
      <c r="K238" s="18">
        <f>683+45</f>
        <v>728</v>
      </c>
      <c r="L238" s="18">
        <v>334</v>
      </c>
      <c r="M238" s="18">
        <v>5</v>
      </c>
      <c r="N238" s="18">
        <v>0</v>
      </c>
      <c r="O238" s="21">
        <v>0</v>
      </c>
      <c r="P238" s="18">
        <f>SUM(H238:O238)</f>
        <v>5736</v>
      </c>
    </row>
    <row r="239" spans="1:17" ht="16.5" customHeight="1" x14ac:dyDescent="0.25">
      <c r="A239" s="106"/>
      <c r="B239" s="102"/>
      <c r="C239" s="104"/>
      <c r="D239" s="107"/>
      <c r="E239" s="109"/>
      <c r="F239" s="15"/>
      <c r="G239" s="15" t="s">
        <v>105</v>
      </c>
      <c r="H239" s="16">
        <f t="shared" ref="H239:P239" si="82">SUM(H237:H238)</f>
        <v>11177</v>
      </c>
      <c r="I239" s="16">
        <f t="shared" si="82"/>
        <v>11196</v>
      </c>
      <c r="J239" s="16">
        <f t="shared" si="82"/>
        <v>10788</v>
      </c>
      <c r="K239" s="16">
        <f t="shared" si="82"/>
        <v>10392</v>
      </c>
      <c r="L239" s="16">
        <f t="shared" si="82"/>
        <v>9998</v>
      </c>
      <c r="M239" s="16">
        <f t="shared" si="82"/>
        <v>5</v>
      </c>
      <c r="N239" s="16">
        <f t="shared" si="82"/>
        <v>0</v>
      </c>
      <c r="O239" s="16">
        <f t="shared" si="82"/>
        <v>0</v>
      </c>
      <c r="P239" s="16">
        <f t="shared" si="82"/>
        <v>53556</v>
      </c>
    </row>
    <row r="240" spans="1:17" ht="16.5" customHeight="1" x14ac:dyDescent="0.25">
      <c r="A240" s="106">
        <f>A237+1</f>
        <v>78</v>
      </c>
      <c r="B240" s="102" t="s">
        <v>11</v>
      </c>
      <c r="C240" s="104" t="s">
        <v>40</v>
      </c>
      <c r="D240" s="107">
        <v>43431</v>
      </c>
      <c r="E240" s="109" t="s">
        <v>139</v>
      </c>
      <c r="F240" s="41" t="s">
        <v>319</v>
      </c>
      <c r="G240" s="13" t="s">
        <v>5</v>
      </c>
      <c r="H240" s="14">
        <f>16312-821</f>
        <v>15491</v>
      </c>
      <c r="I240" s="14">
        <v>16520</v>
      </c>
      <c r="J240" s="14">
        <v>16520</v>
      </c>
      <c r="K240" s="14">
        <v>16520</v>
      </c>
      <c r="L240" s="14">
        <v>16509</v>
      </c>
      <c r="M240" s="14">
        <v>0</v>
      </c>
      <c r="N240" s="14">
        <v>0</v>
      </c>
      <c r="O240" s="14">
        <v>0</v>
      </c>
      <c r="P240" s="14">
        <f>SUM(H240:O240)</f>
        <v>81560</v>
      </c>
    </row>
    <row r="241" spans="1:16" ht="16.5" customHeight="1" x14ac:dyDescent="0.25">
      <c r="A241" s="106"/>
      <c r="B241" s="102"/>
      <c r="C241" s="104"/>
      <c r="D241" s="107"/>
      <c r="E241" s="109"/>
      <c r="F241" s="20" t="s">
        <v>320</v>
      </c>
      <c r="G241" s="17" t="s">
        <v>8</v>
      </c>
      <c r="H241" s="18">
        <f>3387+8</f>
        <v>3395</v>
      </c>
      <c r="I241" s="18">
        <f>2470+161</f>
        <v>2631</v>
      </c>
      <c r="J241" s="18">
        <f>1801+119</f>
        <v>1920</v>
      </c>
      <c r="K241" s="18">
        <f>1168+77</f>
        <v>1245</v>
      </c>
      <c r="L241" s="18">
        <f>535+35</f>
        <v>570</v>
      </c>
      <c r="M241" s="18">
        <v>23</v>
      </c>
      <c r="N241" s="18">
        <v>0</v>
      </c>
      <c r="O241" s="18">
        <v>0</v>
      </c>
      <c r="P241" s="18">
        <f>SUM(H241:O241)</f>
        <v>9784</v>
      </c>
    </row>
    <row r="242" spans="1:16" ht="16.5" customHeight="1" x14ac:dyDescent="0.25">
      <c r="A242" s="106"/>
      <c r="B242" s="102"/>
      <c r="C242" s="104"/>
      <c r="D242" s="107"/>
      <c r="E242" s="109"/>
      <c r="F242" s="15"/>
      <c r="G242" s="15" t="s">
        <v>105</v>
      </c>
      <c r="H242" s="16">
        <f t="shared" ref="H242:P242" si="83">SUM(H240:H241)</f>
        <v>18886</v>
      </c>
      <c r="I242" s="16">
        <f t="shared" si="83"/>
        <v>19151</v>
      </c>
      <c r="J242" s="16">
        <f t="shared" si="83"/>
        <v>18440</v>
      </c>
      <c r="K242" s="16">
        <f t="shared" si="83"/>
        <v>17765</v>
      </c>
      <c r="L242" s="16">
        <f t="shared" si="83"/>
        <v>17079</v>
      </c>
      <c r="M242" s="16">
        <f t="shared" si="83"/>
        <v>23</v>
      </c>
      <c r="N242" s="16">
        <f t="shared" si="83"/>
        <v>0</v>
      </c>
      <c r="O242" s="16">
        <f t="shared" si="83"/>
        <v>0</v>
      </c>
      <c r="P242" s="16">
        <f t="shared" si="83"/>
        <v>91344</v>
      </c>
    </row>
    <row r="243" spans="1:16" ht="16.5" customHeight="1" x14ac:dyDescent="0.25">
      <c r="A243" s="106">
        <f>A240+1</f>
        <v>79</v>
      </c>
      <c r="B243" s="102" t="s">
        <v>11</v>
      </c>
      <c r="C243" s="104" t="s">
        <v>39</v>
      </c>
      <c r="D243" s="107">
        <v>43431</v>
      </c>
      <c r="E243" s="109" t="s">
        <v>321</v>
      </c>
      <c r="F243" s="41" t="s">
        <v>322</v>
      </c>
      <c r="G243" s="13" t="s">
        <v>5</v>
      </c>
      <c r="H243" s="14">
        <f>31676-1786</f>
        <v>29890</v>
      </c>
      <c r="I243" s="14">
        <v>31240</v>
      </c>
      <c r="J243" s="14">
        <v>31240</v>
      </c>
      <c r="K243" s="14">
        <v>31240</v>
      </c>
      <c r="L243" s="14">
        <v>31240</v>
      </c>
      <c r="M243" s="14">
        <f>12084+3530</f>
        <v>15614</v>
      </c>
      <c r="N243" s="14">
        <v>0</v>
      </c>
      <c r="O243" s="14">
        <v>0</v>
      </c>
      <c r="P243" s="14">
        <f>SUM(H243:O243)</f>
        <v>170464</v>
      </c>
    </row>
    <row r="244" spans="1:16" ht="15.75" customHeight="1" x14ac:dyDescent="0.25">
      <c r="A244" s="106"/>
      <c r="B244" s="102"/>
      <c r="C244" s="104"/>
      <c r="D244" s="107"/>
      <c r="E244" s="109"/>
      <c r="F244" s="20" t="s">
        <v>323</v>
      </c>
      <c r="G244" s="17" t="s">
        <v>8</v>
      </c>
      <c r="H244" s="18">
        <f>6676+421+16</f>
        <v>7113</v>
      </c>
      <c r="I244" s="18">
        <f>5280+344</f>
        <v>5624</v>
      </c>
      <c r="J244" s="18">
        <f>4004+265</f>
        <v>4269</v>
      </c>
      <c r="K244" s="18">
        <f>2807+186</f>
        <v>2993</v>
      </c>
      <c r="L244" s="18">
        <f>1612+107</f>
        <v>1719</v>
      </c>
      <c r="M244" s="53">
        <v>394</v>
      </c>
      <c r="N244" s="18">
        <v>0</v>
      </c>
      <c r="O244" s="18">
        <v>0</v>
      </c>
      <c r="P244" s="18">
        <f>SUM(H244:O244)</f>
        <v>22112</v>
      </c>
    </row>
    <row r="245" spans="1:16" ht="16.5" customHeight="1" x14ac:dyDescent="0.25">
      <c r="A245" s="106"/>
      <c r="B245" s="102"/>
      <c r="C245" s="104"/>
      <c r="D245" s="107"/>
      <c r="E245" s="109"/>
      <c r="F245" s="15"/>
      <c r="G245" s="15" t="s">
        <v>105</v>
      </c>
      <c r="H245" s="16">
        <f t="shared" ref="H245:P245" si="84">SUM(H243:H244)</f>
        <v>37003</v>
      </c>
      <c r="I245" s="16">
        <f t="shared" si="84"/>
        <v>36864</v>
      </c>
      <c r="J245" s="16">
        <f t="shared" si="84"/>
        <v>35509</v>
      </c>
      <c r="K245" s="16">
        <f t="shared" si="84"/>
        <v>34233</v>
      </c>
      <c r="L245" s="16">
        <f t="shared" si="84"/>
        <v>32959</v>
      </c>
      <c r="M245" s="16">
        <f t="shared" si="84"/>
        <v>16008</v>
      </c>
      <c r="N245" s="16">
        <f t="shared" si="84"/>
        <v>0</v>
      </c>
      <c r="O245" s="16">
        <f t="shared" si="84"/>
        <v>0</v>
      </c>
      <c r="P245" s="16">
        <f t="shared" si="84"/>
        <v>192576</v>
      </c>
    </row>
    <row r="246" spans="1:16" ht="16.5" customHeight="1" x14ac:dyDescent="0.25">
      <c r="A246" s="106">
        <f>A243+1</f>
        <v>80</v>
      </c>
      <c r="B246" s="102" t="s">
        <v>11</v>
      </c>
      <c r="C246" s="104" t="s">
        <v>35</v>
      </c>
      <c r="D246" s="107">
        <v>43433</v>
      </c>
      <c r="E246" s="109" t="s">
        <v>326</v>
      </c>
      <c r="F246" s="41" t="s">
        <v>324</v>
      </c>
      <c r="G246" s="13" t="s">
        <v>5</v>
      </c>
      <c r="H246" s="14">
        <v>3072</v>
      </c>
      <c r="I246" s="14">
        <v>3072</v>
      </c>
      <c r="J246" s="19">
        <v>0</v>
      </c>
      <c r="K246" s="19">
        <v>0</v>
      </c>
      <c r="L246" s="19">
        <v>0</v>
      </c>
      <c r="M246" s="19">
        <v>0</v>
      </c>
      <c r="N246" s="14">
        <v>0</v>
      </c>
      <c r="O246" s="19">
        <v>0</v>
      </c>
      <c r="P246" s="14">
        <f>SUM(H246:O246)</f>
        <v>6144</v>
      </c>
    </row>
    <row r="247" spans="1:16" ht="16.5" customHeight="1" x14ac:dyDescent="0.25">
      <c r="A247" s="106"/>
      <c r="B247" s="102"/>
      <c r="C247" s="104"/>
      <c r="D247" s="107"/>
      <c r="E247" s="109"/>
      <c r="F247" s="20" t="s">
        <v>325</v>
      </c>
      <c r="G247" s="17" t="s">
        <v>8</v>
      </c>
      <c r="H247" s="18">
        <v>239</v>
      </c>
      <c r="I247" s="18">
        <v>108</v>
      </c>
      <c r="J247" s="21">
        <v>14</v>
      </c>
      <c r="K247" s="21">
        <v>0</v>
      </c>
      <c r="L247" s="21">
        <v>0</v>
      </c>
      <c r="M247" s="21">
        <v>0</v>
      </c>
      <c r="N247" s="18">
        <v>0</v>
      </c>
      <c r="O247" s="21">
        <v>0</v>
      </c>
      <c r="P247" s="18">
        <f>SUM(H247:O247)</f>
        <v>361</v>
      </c>
    </row>
    <row r="248" spans="1:16" ht="16.5" customHeight="1" x14ac:dyDescent="0.25">
      <c r="A248" s="106"/>
      <c r="B248" s="102"/>
      <c r="C248" s="104"/>
      <c r="D248" s="107"/>
      <c r="E248" s="109"/>
      <c r="F248" s="15"/>
      <c r="G248" s="15" t="s">
        <v>105</v>
      </c>
      <c r="H248" s="16">
        <f t="shared" ref="H248:P248" si="85">SUM(H246:H247)</f>
        <v>3311</v>
      </c>
      <c r="I248" s="16">
        <f t="shared" si="85"/>
        <v>3180</v>
      </c>
      <c r="J248" s="16">
        <f t="shared" si="85"/>
        <v>14</v>
      </c>
      <c r="K248" s="16">
        <f t="shared" si="85"/>
        <v>0</v>
      </c>
      <c r="L248" s="16">
        <f t="shared" si="85"/>
        <v>0</v>
      </c>
      <c r="M248" s="16">
        <f t="shared" si="85"/>
        <v>0</v>
      </c>
      <c r="N248" s="16">
        <f t="shared" si="85"/>
        <v>0</v>
      </c>
      <c r="O248" s="16">
        <f t="shared" si="85"/>
        <v>0</v>
      </c>
      <c r="P248" s="16">
        <f t="shared" si="85"/>
        <v>6505</v>
      </c>
    </row>
    <row r="249" spans="1:16" ht="15.75" customHeight="1" x14ac:dyDescent="0.25">
      <c r="A249" s="106">
        <f>A246+1</f>
        <v>81</v>
      </c>
      <c r="B249" s="102" t="s">
        <v>11</v>
      </c>
      <c r="C249" s="132" t="s">
        <v>466</v>
      </c>
      <c r="D249" s="107">
        <v>43529</v>
      </c>
      <c r="E249" s="109" t="s">
        <v>329</v>
      </c>
      <c r="F249" s="41" t="s">
        <v>327</v>
      </c>
      <c r="G249" s="13" t="s">
        <v>5</v>
      </c>
      <c r="H249" s="14">
        <v>54120</v>
      </c>
      <c r="I249" s="14">
        <v>54120</v>
      </c>
      <c r="J249" s="14">
        <v>54120</v>
      </c>
      <c r="K249" s="14">
        <v>54120</v>
      </c>
      <c r="L249" s="14">
        <v>54120</v>
      </c>
      <c r="M249" s="14">
        <v>54120</v>
      </c>
      <c r="N249" s="14">
        <v>54120</v>
      </c>
      <c r="O249" s="14">
        <f>771210-54120</f>
        <v>717090</v>
      </c>
      <c r="P249" s="14">
        <f>SUM(H249:O249)</f>
        <v>1095930</v>
      </c>
    </row>
    <row r="250" spans="1:16" ht="15.75" customHeight="1" x14ac:dyDescent="0.25">
      <c r="A250" s="106"/>
      <c r="B250" s="102"/>
      <c r="C250" s="132"/>
      <c r="D250" s="107"/>
      <c r="E250" s="109"/>
      <c r="F250" s="20" t="s">
        <v>328</v>
      </c>
      <c r="G250" s="17" t="s">
        <v>591</v>
      </c>
      <c r="H250" s="18">
        <f>2764-708</f>
        <v>2056</v>
      </c>
      <c r="I250" s="18">
        <v>2619</v>
      </c>
      <c r="J250" s="18">
        <v>2482</v>
      </c>
      <c r="K250" s="18">
        <v>2345</v>
      </c>
      <c r="L250" s="18">
        <v>2214</v>
      </c>
      <c r="M250" s="53">
        <v>2070</v>
      </c>
      <c r="N250" s="53">
        <v>1933</v>
      </c>
      <c r="O250" s="53">
        <f>12224+462</f>
        <v>12686</v>
      </c>
      <c r="P250" s="18">
        <f>SUM(H250:O250)</f>
        <v>28405</v>
      </c>
    </row>
    <row r="251" spans="1:16" ht="15.75" customHeight="1" x14ac:dyDescent="0.25">
      <c r="A251" s="106"/>
      <c r="B251" s="102"/>
      <c r="C251" s="132"/>
      <c r="D251" s="107"/>
      <c r="E251" s="109"/>
      <c r="F251" s="15"/>
      <c r="G251" s="15" t="s">
        <v>105</v>
      </c>
      <c r="H251" s="16">
        <f t="shared" ref="H251:P251" si="86">SUM(H249:H250)</f>
        <v>56176</v>
      </c>
      <c r="I251" s="16">
        <f t="shared" si="86"/>
        <v>56739</v>
      </c>
      <c r="J251" s="16">
        <f t="shared" si="86"/>
        <v>56602</v>
      </c>
      <c r="K251" s="16">
        <f t="shared" si="86"/>
        <v>56465</v>
      </c>
      <c r="L251" s="16">
        <f t="shared" si="86"/>
        <v>56334</v>
      </c>
      <c r="M251" s="16">
        <f t="shared" si="86"/>
        <v>56190</v>
      </c>
      <c r="N251" s="16">
        <f t="shared" si="86"/>
        <v>56053</v>
      </c>
      <c r="O251" s="16">
        <f t="shared" si="86"/>
        <v>729776</v>
      </c>
      <c r="P251" s="16">
        <f t="shared" si="86"/>
        <v>1124335</v>
      </c>
    </row>
    <row r="252" spans="1:16" ht="15.75" customHeight="1" x14ac:dyDescent="0.25">
      <c r="A252" s="106">
        <f>A249+1</f>
        <v>82</v>
      </c>
      <c r="B252" s="102" t="s">
        <v>11</v>
      </c>
      <c r="C252" s="132" t="s">
        <v>621</v>
      </c>
      <c r="D252" s="126">
        <v>43594</v>
      </c>
      <c r="E252" s="109" t="s">
        <v>321</v>
      </c>
      <c r="F252" s="41" t="s">
        <v>330</v>
      </c>
      <c r="G252" s="13" t="s">
        <v>5</v>
      </c>
      <c r="H252" s="14">
        <f>44476-4357</f>
        <v>40119</v>
      </c>
      <c r="I252" s="14">
        <v>45448</v>
      </c>
      <c r="J252" s="14">
        <v>45448</v>
      </c>
      <c r="K252" s="14">
        <v>45448</v>
      </c>
      <c r="L252" s="14">
        <v>45448</v>
      </c>
      <c r="M252" s="14">
        <f>22238+469</f>
        <v>22707</v>
      </c>
      <c r="N252" s="14">
        <v>0</v>
      </c>
      <c r="O252" s="14">
        <v>0</v>
      </c>
      <c r="P252" s="14">
        <f>SUM(H252:O252)</f>
        <v>244618</v>
      </c>
    </row>
    <row r="253" spans="1:16" ht="15.75" customHeight="1" x14ac:dyDescent="0.25">
      <c r="A253" s="106"/>
      <c r="B253" s="102"/>
      <c r="C253" s="132"/>
      <c r="D253" s="126"/>
      <c r="E253" s="109"/>
      <c r="F253" s="20" t="s">
        <v>331</v>
      </c>
      <c r="G253" s="17" t="s">
        <v>8</v>
      </c>
      <c r="H253" s="18">
        <f>9229+604+58</f>
        <v>9891</v>
      </c>
      <c r="I253" s="18">
        <f>7551+500</f>
        <v>8051</v>
      </c>
      <c r="J253" s="18">
        <f>5825+385</f>
        <v>6210</v>
      </c>
      <c r="K253" s="18">
        <f>4083+270</f>
        <v>4353</v>
      </c>
      <c r="L253" s="18">
        <f>2345+155</f>
        <v>2500</v>
      </c>
      <c r="M253" s="53">
        <f>537+36</f>
        <v>573</v>
      </c>
      <c r="N253" s="18">
        <v>0</v>
      </c>
      <c r="O253" s="18">
        <v>0</v>
      </c>
      <c r="P253" s="18">
        <f>SUM(H253:O253)</f>
        <v>31578</v>
      </c>
    </row>
    <row r="254" spans="1:16" ht="16.95" customHeight="1" x14ac:dyDescent="0.25">
      <c r="A254" s="106"/>
      <c r="B254" s="116"/>
      <c r="C254" s="133"/>
      <c r="D254" s="127"/>
      <c r="E254" s="113"/>
      <c r="F254" s="26"/>
      <c r="G254" s="26" t="s">
        <v>105</v>
      </c>
      <c r="H254" s="16">
        <f t="shared" ref="H254:P254" si="87">SUM(H252:H253)</f>
        <v>50010</v>
      </c>
      <c r="I254" s="16">
        <f t="shared" si="87"/>
        <v>53499</v>
      </c>
      <c r="J254" s="16">
        <f t="shared" si="87"/>
        <v>51658</v>
      </c>
      <c r="K254" s="16">
        <f t="shared" si="87"/>
        <v>49801</v>
      </c>
      <c r="L254" s="16">
        <f t="shared" si="87"/>
        <v>47948</v>
      </c>
      <c r="M254" s="16">
        <f t="shared" si="87"/>
        <v>23280</v>
      </c>
      <c r="N254" s="16">
        <f>SUM(N252:N253)</f>
        <v>0</v>
      </c>
      <c r="O254" s="16">
        <f t="shared" si="87"/>
        <v>0</v>
      </c>
      <c r="P254" s="16">
        <f t="shared" si="87"/>
        <v>276196</v>
      </c>
    </row>
    <row r="255" spans="1:16" ht="15.75" customHeight="1" x14ac:dyDescent="0.25">
      <c r="A255" s="106">
        <f>A252+1</f>
        <v>83</v>
      </c>
      <c r="B255" s="102" t="s">
        <v>11</v>
      </c>
      <c r="C255" s="132" t="s">
        <v>467</v>
      </c>
      <c r="D255" s="107">
        <v>43602</v>
      </c>
      <c r="E255" s="109" t="s">
        <v>334</v>
      </c>
      <c r="F255" s="41" t="s">
        <v>332</v>
      </c>
      <c r="G255" s="13" t="s">
        <v>5</v>
      </c>
      <c r="H255" s="14">
        <f>435692-243429</f>
        <v>192263</v>
      </c>
      <c r="I255" s="14">
        <v>445628</v>
      </c>
      <c r="J255" s="14">
        <v>445628</v>
      </c>
      <c r="K255" s="14">
        <v>445628</v>
      </c>
      <c r="L255" s="14">
        <v>445628</v>
      </c>
      <c r="M255" s="14">
        <v>445628</v>
      </c>
      <c r="N255" s="14">
        <v>445628</v>
      </c>
      <c r="O255" s="14">
        <v>8244115</v>
      </c>
      <c r="P255" s="14">
        <f>SUM(H255:O255)</f>
        <v>11110146</v>
      </c>
    </row>
    <row r="256" spans="1:16" ht="15.75" customHeight="1" x14ac:dyDescent="0.25">
      <c r="A256" s="106"/>
      <c r="B256" s="102"/>
      <c r="C256" s="132"/>
      <c r="D256" s="107"/>
      <c r="E256" s="109"/>
      <c r="F256" s="20" t="s">
        <v>333</v>
      </c>
      <c r="G256" s="17" t="s">
        <v>8</v>
      </c>
      <c r="H256" s="18">
        <f>425312+28065+3027</f>
        <v>456404</v>
      </c>
      <c r="I256" s="18">
        <f>415021+27463</f>
        <v>442484</v>
      </c>
      <c r="J256" s="18">
        <f>398518+26371</f>
        <v>424889</v>
      </c>
      <c r="K256" s="18">
        <f>381437+25241</f>
        <v>406678</v>
      </c>
      <c r="L256" s="18">
        <f>365326+24175</f>
        <v>389501</v>
      </c>
      <c r="M256" s="53">
        <f>347250+22978</f>
        <v>370228</v>
      </c>
      <c r="N256" s="53">
        <f>330181+21849</f>
        <v>352030</v>
      </c>
      <c r="O256" s="53">
        <f>3143554+89345</f>
        <v>3232899</v>
      </c>
      <c r="P256" s="18">
        <f>SUM(H256:O256)</f>
        <v>6075113</v>
      </c>
    </row>
    <row r="257" spans="1:16" ht="15.75" customHeight="1" x14ac:dyDescent="0.25">
      <c r="A257" s="106"/>
      <c r="B257" s="102"/>
      <c r="C257" s="132"/>
      <c r="D257" s="107"/>
      <c r="E257" s="109"/>
      <c r="F257" s="15"/>
      <c r="G257" s="15" t="s">
        <v>105</v>
      </c>
      <c r="H257" s="16">
        <f t="shared" ref="H257:P257" si="88">SUM(H255:H256)</f>
        <v>648667</v>
      </c>
      <c r="I257" s="16">
        <f t="shared" si="88"/>
        <v>888112</v>
      </c>
      <c r="J257" s="16">
        <f t="shared" si="88"/>
        <v>870517</v>
      </c>
      <c r="K257" s="16">
        <f t="shared" si="88"/>
        <v>852306</v>
      </c>
      <c r="L257" s="16">
        <f t="shared" si="88"/>
        <v>835129</v>
      </c>
      <c r="M257" s="16">
        <f t="shared" si="88"/>
        <v>815856</v>
      </c>
      <c r="N257" s="16">
        <f t="shared" si="88"/>
        <v>797658</v>
      </c>
      <c r="O257" s="16">
        <f t="shared" si="88"/>
        <v>11477014</v>
      </c>
      <c r="P257" s="16">
        <f t="shared" si="88"/>
        <v>17185259</v>
      </c>
    </row>
    <row r="258" spans="1:16" ht="15.75" customHeight="1" x14ac:dyDescent="0.25">
      <c r="A258" s="106">
        <f>A255+1</f>
        <v>84</v>
      </c>
      <c r="B258" s="102" t="s">
        <v>11</v>
      </c>
      <c r="C258" s="104" t="s">
        <v>67</v>
      </c>
      <c r="D258" s="107">
        <v>43623</v>
      </c>
      <c r="E258" s="109" t="s">
        <v>215</v>
      </c>
      <c r="F258" s="25" t="s">
        <v>335</v>
      </c>
      <c r="G258" s="13" t="s">
        <v>5</v>
      </c>
      <c r="H258" s="19">
        <v>0</v>
      </c>
      <c r="I258" s="19">
        <v>0</v>
      </c>
      <c r="J258" s="19">
        <v>0</v>
      </c>
      <c r="K258" s="19">
        <v>0</v>
      </c>
      <c r="L258" s="19">
        <v>0</v>
      </c>
      <c r="M258" s="19">
        <v>0</v>
      </c>
      <c r="N258" s="14">
        <v>0</v>
      </c>
      <c r="O258" s="19">
        <v>0</v>
      </c>
      <c r="P258" s="14">
        <f>SUM(H258:O258)</f>
        <v>0</v>
      </c>
    </row>
    <row r="259" spans="1:16" ht="15.75" customHeight="1" x14ac:dyDescent="0.25">
      <c r="A259" s="106"/>
      <c r="B259" s="102"/>
      <c r="C259" s="104"/>
      <c r="D259" s="107"/>
      <c r="E259" s="109"/>
      <c r="F259" s="20" t="s">
        <v>336</v>
      </c>
      <c r="G259" s="17" t="s">
        <v>8</v>
      </c>
      <c r="H259" s="97">
        <v>9</v>
      </c>
      <c r="I259" s="21">
        <v>0</v>
      </c>
      <c r="J259" s="21">
        <v>0</v>
      </c>
      <c r="K259" s="21">
        <v>0</v>
      </c>
      <c r="L259" s="21">
        <v>0</v>
      </c>
      <c r="M259" s="21">
        <v>0</v>
      </c>
      <c r="N259" s="18">
        <v>0</v>
      </c>
      <c r="O259" s="21">
        <v>0</v>
      </c>
      <c r="P259" s="18">
        <f>SUM(H259:O259)</f>
        <v>9</v>
      </c>
    </row>
    <row r="260" spans="1:16" ht="15.75" customHeight="1" x14ac:dyDescent="0.25">
      <c r="A260" s="106"/>
      <c r="B260" s="102"/>
      <c r="C260" s="104"/>
      <c r="D260" s="107"/>
      <c r="E260" s="109"/>
      <c r="F260" s="15"/>
      <c r="G260" s="15" t="s">
        <v>105</v>
      </c>
      <c r="H260" s="16">
        <f t="shared" ref="H260:P260" si="89">SUM(H258:H259)</f>
        <v>9</v>
      </c>
      <c r="I260" s="16">
        <f t="shared" si="89"/>
        <v>0</v>
      </c>
      <c r="J260" s="16">
        <f t="shared" si="89"/>
        <v>0</v>
      </c>
      <c r="K260" s="16">
        <f t="shared" si="89"/>
        <v>0</v>
      </c>
      <c r="L260" s="16">
        <f t="shared" si="89"/>
        <v>0</v>
      </c>
      <c r="M260" s="16">
        <f t="shared" si="89"/>
        <v>0</v>
      </c>
      <c r="N260" s="16">
        <f t="shared" si="89"/>
        <v>0</v>
      </c>
      <c r="O260" s="16">
        <f t="shared" si="89"/>
        <v>0</v>
      </c>
      <c r="P260" s="16">
        <f t="shared" si="89"/>
        <v>9</v>
      </c>
    </row>
    <row r="261" spans="1:16" ht="16.5" customHeight="1" x14ac:dyDescent="0.25">
      <c r="A261" s="106">
        <f>A258+1</f>
        <v>85</v>
      </c>
      <c r="B261" s="102" t="s">
        <v>11</v>
      </c>
      <c r="C261" s="104" t="s">
        <v>66</v>
      </c>
      <c r="D261" s="107">
        <v>43623</v>
      </c>
      <c r="E261" s="109" t="s">
        <v>339</v>
      </c>
      <c r="F261" s="41" t="s">
        <v>337</v>
      </c>
      <c r="G261" s="13" t="s">
        <v>5</v>
      </c>
      <c r="H261" s="14">
        <f>7060-2186</f>
        <v>4874</v>
      </c>
      <c r="I261" s="14">
        <v>7212</v>
      </c>
      <c r="J261" s="14">
        <v>7212</v>
      </c>
      <c r="K261" s="14">
        <v>7212</v>
      </c>
      <c r="L261" s="14">
        <v>7212</v>
      </c>
      <c r="M261" s="14">
        <v>7212</v>
      </c>
      <c r="N261" s="14">
        <v>7212</v>
      </c>
      <c r="O261" s="14">
        <f>67070-7060+1274</f>
        <v>61284</v>
      </c>
      <c r="P261" s="14">
        <f>SUM(H261:O261)</f>
        <v>109430</v>
      </c>
    </row>
    <row r="262" spans="1:16" ht="16.5" customHeight="1" x14ac:dyDescent="0.25">
      <c r="A262" s="106"/>
      <c r="B262" s="102"/>
      <c r="C262" s="104"/>
      <c r="D262" s="107"/>
      <c r="E262" s="109"/>
      <c r="F262" s="20" t="s">
        <v>338</v>
      </c>
      <c r="G262" s="17" t="s">
        <v>8</v>
      </c>
      <c r="H262" s="18">
        <f>4246+275+27</f>
        <v>4548</v>
      </c>
      <c r="I262" s="18">
        <f>3957+262</f>
        <v>4219</v>
      </c>
      <c r="J262" s="18">
        <f>3686+244</f>
        <v>3930</v>
      </c>
      <c r="K262" s="18">
        <f>3410+226</f>
        <v>3636</v>
      </c>
      <c r="L262" s="18">
        <f>3142+208</f>
        <v>3350</v>
      </c>
      <c r="M262" s="53">
        <f>2857+189</f>
        <v>3046</v>
      </c>
      <c r="N262" s="53">
        <f>2580+171</f>
        <v>2751</v>
      </c>
      <c r="O262" s="53">
        <v>11515</v>
      </c>
      <c r="P262" s="18">
        <f>SUM(H262:O262)</f>
        <v>36995</v>
      </c>
    </row>
    <row r="263" spans="1:16" ht="16.5" customHeight="1" x14ac:dyDescent="0.25">
      <c r="A263" s="106"/>
      <c r="B263" s="102"/>
      <c r="C263" s="104"/>
      <c r="D263" s="107"/>
      <c r="E263" s="109"/>
      <c r="F263" s="15"/>
      <c r="G263" s="15" t="s">
        <v>105</v>
      </c>
      <c r="H263" s="16">
        <f t="shared" ref="H263:P263" si="90">SUM(H261:H262)</f>
        <v>9422</v>
      </c>
      <c r="I263" s="16">
        <f t="shared" si="90"/>
        <v>11431</v>
      </c>
      <c r="J263" s="16">
        <f t="shared" si="90"/>
        <v>11142</v>
      </c>
      <c r="K263" s="16">
        <f t="shared" si="90"/>
        <v>10848</v>
      </c>
      <c r="L263" s="16">
        <f t="shared" si="90"/>
        <v>10562</v>
      </c>
      <c r="M263" s="16">
        <f t="shared" si="90"/>
        <v>10258</v>
      </c>
      <c r="N263" s="16">
        <f t="shared" si="90"/>
        <v>9963</v>
      </c>
      <c r="O263" s="16">
        <f t="shared" si="90"/>
        <v>72799</v>
      </c>
      <c r="P263" s="16">
        <f t="shared" si="90"/>
        <v>146425</v>
      </c>
    </row>
    <row r="264" spans="1:16" ht="16.5" customHeight="1" x14ac:dyDescent="0.25">
      <c r="A264" s="106">
        <f>A261+1</f>
        <v>86</v>
      </c>
      <c r="B264" s="102" t="s">
        <v>11</v>
      </c>
      <c r="C264" s="103" t="s">
        <v>622</v>
      </c>
      <c r="D264" s="107">
        <v>43641</v>
      </c>
      <c r="E264" s="109" t="s">
        <v>342</v>
      </c>
      <c r="F264" s="41" t="s">
        <v>340</v>
      </c>
      <c r="G264" s="13" t="s">
        <v>5</v>
      </c>
      <c r="H264" s="14">
        <f>36755-6130</f>
        <v>30625</v>
      </c>
      <c r="I264" s="14">
        <v>37400</v>
      </c>
      <c r="J264" s="14">
        <v>37400</v>
      </c>
      <c r="K264" s="14">
        <v>37400</v>
      </c>
      <c r="L264" s="14">
        <v>37400</v>
      </c>
      <c r="M264" s="14">
        <v>37400</v>
      </c>
      <c r="N264" s="14">
        <v>37400</v>
      </c>
      <c r="O264" s="14">
        <f>165393-36754+2260</f>
        <v>130899</v>
      </c>
      <c r="P264" s="14">
        <f>SUM(H264:O264)</f>
        <v>385924</v>
      </c>
    </row>
    <row r="265" spans="1:16" ht="16.5" customHeight="1" x14ac:dyDescent="0.25">
      <c r="A265" s="106"/>
      <c r="B265" s="102"/>
      <c r="C265" s="104"/>
      <c r="D265" s="107"/>
      <c r="E265" s="109"/>
      <c r="F265" s="20" t="s">
        <v>341</v>
      </c>
      <c r="G265" s="17" t="s">
        <v>8</v>
      </c>
      <c r="H265" s="18">
        <f>15047+966+77</f>
        <v>16090</v>
      </c>
      <c r="I265" s="18">
        <f>13373+885</f>
        <v>14258</v>
      </c>
      <c r="J265" s="18">
        <f>11957+791</f>
        <v>12748</v>
      </c>
      <c r="K265" s="18">
        <f>10524+696</f>
        <v>11220</v>
      </c>
      <c r="L265" s="18">
        <f>9113+603</f>
        <v>9716</v>
      </c>
      <c r="M265" s="53">
        <f>7655+507</f>
        <v>8162</v>
      </c>
      <c r="N265" s="53">
        <f>6222+412</f>
        <v>6634</v>
      </c>
      <c r="O265" s="53">
        <v>11291</v>
      </c>
      <c r="P265" s="18">
        <f>SUM(H265:O265)</f>
        <v>90119</v>
      </c>
    </row>
    <row r="266" spans="1:16" ht="16.5" customHeight="1" x14ac:dyDescent="0.25">
      <c r="A266" s="106"/>
      <c r="B266" s="102"/>
      <c r="C266" s="104"/>
      <c r="D266" s="107"/>
      <c r="E266" s="109"/>
      <c r="F266" s="15"/>
      <c r="G266" s="15" t="s">
        <v>105</v>
      </c>
      <c r="H266" s="16">
        <f t="shared" ref="H266:P266" si="91">SUM(H264:H265)</f>
        <v>46715</v>
      </c>
      <c r="I266" s="16">
        <f t="shared" si="91"/>
        <v>51658</v>
      </c>
      <c r="J266" s="16">
        <f t="shared" si="91"/>
        <v>50148</v>
      </c>
      <c r="K266" s="16">
        <f t="shared" si="91"/>
        <v>48620</v>
      </c>
      <c r="L266" s="16">
        <f t="shared" si="91"/>
        <v>47116</v>
      </c>
      <c r="M266" s="16">
        <f t="shared" si="91"/>
        <v>45562</v>
      </c>
      <c r="N266" s="16">
        <f t="shared" si="91"/>
        <v>44034</v>
      </c>
      <c r="O266" s="16">
        <f t="shared" si="91"/>
        <v>142190</v>
      </c>
      <c r="P266" s="16">
        <f t="shared" si="91"/>
        <v>476043</v>
      </c>
    </row>
    <row r="267" spans="1:16" ht="16.5" customHeight="1" x14ac:dyDescent="0.25">
      <c r="A267" s="106">
        <f>A264+1</f>
        <v>87</v>
      </c>
      <c r="B267" s="102" t="s">
        <v>11</v>
      </c>
      <c r="C267" s="104" t="s">
        <v>36</v>
      </c>
      <c r="D267" s="107">
        <v>43641</v>
      </c>
      <c r="E267" s="109" t="s">
        <v>326</v>
      </c>
      <c r="F267" s="41" t="s">
        <v>343</v>
      </c>
      <c r="G267" s="13" t="s">
        <v>5</v>
      </c>
      <c r="H267" s="14">
        <v>6472</v>
      </c>
      <c r="I267" s="14">
        <v>6472</v>
      </c>
      <c r="J267" s="19">
        <v>0</v>
      </c>
      <c r="K267" s="19">
        <v>0</v>
      </c>
      <c r="L267" s="19">
        <v>0</v>
      </c>
      <c r="M267" s="19">
        <v>0</v>
      </c>
      <c r="N267" s="19">
        <v>0</v>
      </c>
      <c r="O267" s="19">
        <v>0</v>
      </c>
      <c r="P267" s="14">
        <f>SUM(H267:O267)</f>
        <v>12944</v>
      </c>
    </row>
    <row r="268" spans="1:16" ht="16.5" customHeight="1" x14ac:dyDescent="0.25">
      <c r="A268" s="106"/>
      <c r="B268" s="102"/>
      <c r="C268" s="104"/>
      <c r="D268" s="107"/>
      <c r="E268" s="109"/>
      <c r="F268" s="20" t="s">
        <v>344</v>
      </c>
      <c r="G268" s="17" t="s">
        <v>8</v>
      </c>
      <c r="H268" s="18">
        <v>502</v>
      </c>
      <c r="I268" s="18">
        <v>223</v>
      </c>
      <c r="J268" s="21">
        <v>15</v>
      </c>
      <c r="K268" s="21">
        <v>0</v>
      </c>
      <c r="L268" s="21">
        <v>0</v>
      </c>
      <c r="M268" s="21">
        <v>0</v>
      </c>
      <c r="N268" s="21">
        <v>0</v>
      </c>
      <c r="O268" s="21">
        <v>0</v>
      </c>
      <c r="P268" s="18">
        <f>SUM(H268:O268)</f>
        <v>740</v>
      </c>
    </row>
    <row r="269" spans="1:16" ht="16.5" customHeight="1" x14ac:dyDescent="0.25">
      <c r="A269" s="106"/>
      <c r="B269" s="102"/>
      <c r="C269" s="104"/>
      <c r="D269" s="107"/>
      <c r="E269" s="109"/>
      <c r="F269" s="15"/>
      <c r="G269" s="15" t="s">
        <v>105</v>
      </c>
      <c r="H269" s="16">
        <f t="shared" ref="H269:P269" si="92">SUM(H267:H268)</f>
        <v>6974</v>
      </c>
      <c r="I269" s="16">
        <f t="shared" si="92"/>
        <v>6695</v>
      </c>
      <c r="J269" s="16">
        <f t="shared" si="92"/>
        <v>15</v>
      </c>
      <c r="K269" s="16">
        <f t="shared" si="92"/>
        <v>0</v>
      </c>
      <c r="L269" s="16">
        <f t="shared" si="92"/>
        <v>0</v>
      </c>
      <c r="M269" s="16">
        <f t="shared" si="92"/>
        <v>0</v>
      </c>
      <c r="N269" s="16">
        <f>SUM(N267:N268)</f>
        <v>0</v>
      </c>
      <c r="O269" s="16">
        <f t="shared" si="92"/>
        <v>0</v>
      </c>
      <c r="P269" s="16">
        <f t="shared" si="92"/>
        <v>13684</v>
      </c>
    </row>
    <row r="270" spans="1:16" ht="16.5" customHeight="1" x14ac:dyDescent="0.25">
      <c r="A270" s="106">
        <f>A267+1</f>
        <v>88</v>
      </c>
      <c r="B270" s="102" t="s">
        <v>11</v>
      </c>
      <c r="C270" s="104" t="s">
        <v>37</v>
      </c>
      <c r="D270" s="107">
        <v>43658</v>
      </c>
      <c r="E270" s="109" t="s">
        <v>233</v>
      </c>
      <c r="F270" s="41" t="s">
        <v>345</v>
      </c>
      <c r="G270" s="13" t="s">
        <v>5</v>
      </c>
      <c r="H270" s="14">
        <v>6380</v>
      </c>
      <c r="I270" s="19">
        <v>0</v>
      </c>
      <c r="J270" s="19">
        <v>0</v>
      </c>
      <c r="K270" s="19">
        <v>0</v>
      </c>
      <c r="L270" s="19">
        <v>0</v>
      </c>
      <c r="M270" s="19">
        <v>0</v>
      </c>
      <c r="N270" s="19">
        <v>0</v>
      </c>
      <c r="O270" s="19">
        <v>0</v>
      </c>
      <c r="P270" s="14">
        <f>SUM(H270:O270)</f>
        <v>6380</v>
      </c>
    </row>
    <row r="271" spans="1:16" ht="16.5" customHeight="1" x14ac:dyDescent="0.25">
      <c r="A271" s="106"/>
      <c r="B271" s="102"/>
      <c r="C271" s="104"/>
      <c r="D271" s="107"/>
      <c r="E271" s="109"/>
      <c r="F271" s="20" t="s">
        <v>346</v>
      </c>
      <c r="G271" s="17" t="s">
        <v>8</v>
      </c>
      <c r="H271" s="18">
        <v>240</v>
      </c>
      <c r="I271" s="21">
        <v>14</v>
      </c>
      <c r="J271" s="21">
        <v>0</v>
      </c>
      <c r="K271" s="21">
        <v>0</v>
      </c>
      <c r="L271" s="21">
        <v>0</v>
      </c>
      <c r="M271" s="21">
        <v>0</v>
      </c>
      <c r="N271" s="21">
        <v>0</v>
      </c>
      <c r="O271" s="21">
        <v>0</v>
      </c>
      <c r="P271" s="18">
        <f>SUM(H271:O271)</f>
        <v>254</v>
      </c>
    </row>
    <row r="272" spans="1:16" ht="16.5" customHeight="1" x14ac:dyDescent="0.25">
      <c r="A272" s="106"/>
      <c r="B272" s="102"/>
      <c r="C272" s="104"/>
      <c r="D272" s="107"/>
      <c r="E272" s="109"/>
      <c r="F272" s="15"/>
      <c r="G272" s="15" t="s">
        <v>105</v>
      </c>
      <c r="H272" s="16">
        <f t="shared" ref="H272:P272" si="93">SUM(H270:H271)</f>
        <v>6620</v>
      </c>
      <c r="I272" s="16">
        <f t="shared" si="93"/>
        <v>14</v>
      </c>
      <c r="J272" s="16">
        <f t="shared" si="93"/>
        <v>0</v>
      </c>
      <c r="K272" s="16">
        <f t="shared" si="93"/>
        <v>0</v>
      </c>
      <c r="L272" s="16">
        <f t="shared" si="93"/>
        <v>0</v>
      </c>
      <c r="M272" s="16">
        <f t="shared" si="93"/>
        <v>0</v>
      </c>
      <c r="N272" s="16">
        <f t="shared" si="93"/>
        <v>0</v>
      </c>
      <c r="O272" s="16">
        <f t="shared" si="93"/>
        <v>0</v>
      </c>
      <c r="P272" s="16">
        <f t="shared" si="93"/>
        <v>6634</v>
      </c>
    </row>
    <row r="273" spans="1:17" ht="16.5" customHeight="1" x14ac:dyDescent="0.25">
      <c r="A273" s="106">
        <f>A270+1</f>
        <v>89</v>
      </c>
      <c r="B273" s="102" t="s">
        <v>11</v>
      </c>
      <c r="C273" s="104" t="s">
        <v>623</v>
      </c>
      <c r="D273" s="107">
        <v>43733</v>
      </c>
      <c r="E273" s="109" t="s">
        <v>349</v>
      </c>
      <c r="F273" s="41" t="s">
        <v>347</v>
      </c>
      <c r="G273" s="13" t="s">
        <v>5</v>
      </c>
      <c r="H273" s="14">
        <f>5384-398</f>
        <v>4986</v>
      </c>
      <c r="I273" s="14">
        <v>5468</v>
      </c>
      <c r="J273" s="14">
        <v>5468</v>
      </c>
      <c r="K273" s="14">
        <v>5468</v>
      </c>
      <c r="L273" s="14">
        <v>5468</v>
      </c>
      <c r="M273" s="14">
        <f>4038+62</f>
        <v>4100</v>
      </c>
      <c r="N273" s="19">
        <v>0</v>
      </c>
      <c r="O273" s="14">
        <v>0</v>
      </c>
      <c r="P273" s="14">
        <f>SUM(H273:O273)</f>
        <v>30958</v>
      </c>
    </row>
    <row r="274" spans="1:17" ht="16.5" customHeight="1" x14ac:dyDescent="0.25">
      <c r="A274" s="106"/>
      <c r="B274" s="102"/>
      <c r="C274" s="104"/>
      <c r="D274" s="107"/>
      <c r="E274" s="109"/>
      <c r="F274" s="20" t="s">
        <v>348</v>
      </c>
      <c r="G274" s="17" t="s">
        <v>8</v>
      </c>
      <c r="H274" s="18">
        <f>1291+76+4</f>
        <v>1371</v>
      </c>
      <c r="I274" s="18">
        <f>961+64</f>
        <v>1025</v>
      </c>
      <c r="J274" s="18">
        <f>753+50</f>
        <v>803</v>
      </c>
      <c r="K274" s="18">
        <v>580</v>
      </c>
      <c r="L274" s="18">
        <v>357</v>
      </c>
      <c r="M274" s="53">
        <v>132</v>
      </c>
      <c r="N274" s="21">
        <v>0</v>
      </c>
      <c r="O274" s="18">
        <v>0</v>
      </c>
      <c r="P274" s="18">
        <f>SUM(H274:O274)</f>
        <v>4268</v>
      </c>
    </row>
    <row r="275" spans="1:17" ht="16.5" customHeight="1" x14ac:dyDescent="0.25">
      <c r="A275" s="106"/>
      <c r="B275" s="116"/>
      <c r="C275" s="118"/>
      <c r="D275" s="110"/>
      <c r="E275" s="113"/>
      <c r="F275" s="26"/>
      <c r="G275" s="26" t="s">
        <v>105</v>
      </c>
      <c r="H275" s="16">
        <f t="shared" ref="H275:P275" si="94">SUM(H273:H274)</f>
        <v>6357</v>
      </c>
      <c r="I275" s="16">
        <f t="shared" si="94"/>
        <v>6493</v>
      </c>
      <c r="J275" s="16">
        <f t="shared" si="94"/>
        <v>6271</v>
      </c>
      <c r="K275" s="16">
        <f t="shared" si="94"/>
        <v>6048</v>
      </c>
      <c r="L275" s="16">
        <f t="shared" si="94"/>
        <v>5825</v>
      </c>
      <c r="M275" s="16">
        <f t="shared" si="94"/>
        <v>4232</v>
      </c>
      <c r="N275" s="16">
        <f t="shared" si="94"/>
        <v>0</v>
      </c>
      <c r="O275" s="16">
        <f t="shared" si="94"/>
        <v>0</v>
      </c>
      <c r="P275" s="16">
        <f t="shared" si="94"/>
        <v>35226</v>
      </c>
    </row>
    <row r="276" spans="1:17" ht="16.5" customHeight="1" x14ac:dyDescent="0.25">
      <c r="A276" s="106">
        <f>A273+1</f>
        <v>90</v>
      </c>
      <c r="B276" s="102" t="s">
        <v>11</v>
      </c>
      <c r="C276" s="103" t="s">
        <v>468</v>
      </c>
      <c r="D276" s="107">
        <v>43756</v>
      </c>
      <c r="E276" s="109" t="s">
        <v>350</v>
      </c>
      <c r="F276" s="41" t="s">
        <v>351</v>
      </c>
      <c r="G276" s="13" t="s">
        <v>5</v>
      </c>
      <c r="H276" s="14">
        <f>22752-3202</f>
        <v>19550</v>
      </c>
      <c r="I276" s="14">
        <v>23076</v>
      </c>
      <c r="J276" s="14">
        <v>23076</v>
      </c>
      <c r="K276" s="14">
        <v>23076</v>
      </c>
      <c r="L276" s="14">
        <v>23076</v>
      </c>
      <c r="M276" s="14">
        <v>23076</v>
      </c>
      <c r="N276" s="14">
        <v>23076</v>
      </c>
      <c r="O276" s="14">
        <f>113760-22752+1258</f>
        <v>92266</v>
      </c>
      <c r="P276" s="14">
        <f>SUM(H276:O276)</f>
        <v>250272</v>
      </c>
    </row>
    <row r="277" spans="1:17" ht="16.5" customHeight="1" x14ac:dyDescent="0.25">
      <c r="A277" s="106"/>
      <c r="B277" s="102"/>
      <c r="C277" s="104"/>
      <c r="D277" s="107"/>
      <c r="E277" s="109"/>
      <c r="F277" s="20" t="s">
        <v>352</v>
      </c>
      <c r="G277" s="17" t="s">
        <v>8</v>
      </c>
      <c r="H277" s="18">
        <f>10846+31</f>
        <v>10877</v>
      </c>
      <c r="I277" s="18">
        <f>8734+575</f>
        <v>9309</v>
      </c>
      <c r="J277" s="18">
        <f>7818+517</f>
        <v>8335</v>
      </c>
      <c r="K277" s="18">
        <f>6934+459</f>
        <v>7393</v>
      </c>
      <c r="L277" s="18">
        <f>6064+401</f>
        <v>6465</v>
      </c>
      <c r="M277" s="53">
        <f>5163+342</f>
        <v>5505</v>
      </c>
      <c r="N277" s="53">
        <f>4280+283</f>
        <v>4563</v>
      </c>
      <c r="O277" s="53">
        <v>8852</v>
      </c>
      <c r="P277" s="18">
        <f>SUM(H277:O277)</f>
        <v>61299</v>
      </c>
    </row>
    <row r="278" spans="1:17" ht="16.5" customHeight="1" x14ac:dyDescent="0.25">
      <c r="A278" s="106"/>
      <c r="B278" s="102"/>
      <c r="C278" s="104"/>
      <c r="D278" s="107"/>
      <c r="E278" s="109"/>
      <c r="F278" s="15"/>
      <c r="G278" s="15" t="s">
        <v>105</v>
      </c>
      <c r="H278" s="16">
        <f t="shared" ref="H278:P278" si="95">SUM(H276:H277)</f>
        <v>30427</v>
      </c>
      <c r="I278" s="16">
        <f t="shared" si="95"/>
        <v>32385</v>
      </c>
      <c r="J278" s="16">
        <f t="shared" si="95"/>
        <v>31411</v>
      </c>
      <c r="K278" s="16">
        <f t="shared" si="95"/>
        <v>30469</v>
      </c>
      <c r="L278" s="16">
        <f t="shared" si="95"/>
        <v>29541</v>
      </c>
      <c r="M278" s="16">
        <f t="shared" si="95"/>
        <v>28581</v>
      </c>
      <c r="N278" s="16">
        <f t="shared" si="95"/>
        <v>27639</v>
      </c>
      <c r="O278" s="16">
        <f t="shared" si="95"/>
        <v>101118</v>
      </c>
      <c r="P278" s="16">
        <f t="shared" si="95"/>
        <v>311571</v>
      </c>
    </row>
    <row r="279" spans="1:17" ht="16.5" customHeight="1" x14ac:dyDescent="0.25">
      <c r="A279" s="106">
        <f>A276+1</f>
        <v>91</v>
      </c>
      <c r="B279" s="102" t="s">
        <v>11</v>
      </c>
      <c r="C279" s="104" t="s">
        <v>624</v>
      </c>
      <c r="D279" s="107">
        <v>43812</v>
      </c>
      <c r="E279" s="109" t="s">
        <v>239</v>
      </c>
      <c r="F279" s="41" t="s">
        <v>353</v>
      </c>
      <c r="G279" s="13" t="s">
        <v>5</v>
      </c>
      <c r="H279" s="14">
        <f>54872-3032</f>
        <v>51840</v>
      </c>
      <c r="I279" s="14">
        <v>55040</v>
      </c>
      <c r="J279" s="14">
        <v>55040</v>
      </c>
      <c r="K279" s="14">
        <v>55040</v>
      </c>
      <c r="L279" s="14">
        <v>55040</v>
      </c>
      <c r="M279" s="14">
        <f>25159+2359</f>
        <v>27518</v>
      </c>
      <c r="N279" s="19">
        <v>0</v>
      </c>
      <c r="O279" s="14">
        <v>0</v>
      </c>
      <c r="P279" s="14">
        <f>SUM(H279:O279)</f>
        <v>299518</v>
      </c>
    </row>
    <row r="280" spans="1:17" ht="16.5" customHeight="1" x14ac:dyDescent="0.25">
      <c r="A280" s="106"/>
      <c r="B280" s="102"/>
      <c r="C280" s="104"/>
      <c r="D280" s="107"/>
      <c r="E280" s="109"/>
      <c r="F280" s="20" t="s">
        <v>354</v>
      </c>
      <c r="G280" s="17" t="s">
        <v>8</v>
      </c>
      <c r="H280" s="18">
        <f>11841+27</f>
        <v>11868</v>
      </c>
      <c r="I280" s="18">
        <f>9264+606</f>
        <v>9870</v>
      </c>
      <c r="J280" s="18">
        <f>7055+467</f>
        <v>7522</v>
      </c>
      <c r="K280" s="18">
        <f>4946+327</f>
        <v>5273</v>
      </c>
      <c r="L280" s="18">
        <f>2840+188</f>
        <v>3028</v>
      </c>
      <c r="M280" s="18">
        <f>739+49</f>
        <v>788</v>
      </c>
      <c r="N280" s="21">
        <v>0</v>
      </c>
      <c r="O280" s="18">
        <v>0</v>
      </c>
      <c r="P280" s="18">
        <f>SUM(H280:O280)</f>
        <v>38349</v>
      </c>
    </row>
    <row r="281" spans="1:17" ht="16.5" customHeight="1" x14ac:dyDescent="0.25">
      <c r="A281" s="106"/>
      <c r="B281" s="102"/>
      <c r="C281" s="104"/>
      <c r="D281" s="107"/>
      <c r="E281" s="109"/>
      <c r="F281" s="15"/>
      <c r="G281" s="15" t="s">
        <v>105</v>
      </c>
      <c r="H281" s="16">
        <f t="shared" ref="H281:P281" si="96">SUM(H279:H280)</f>
        <v>63708</v>
      </c>
      <c r="I281" s="16">
        <f t="shared" si="96"/>
        <v>64910</v>
      </c>
      <c r="J281" s="16">
        <f t="shared" si="96"/>
        <v>62562</v>
      </c>
      <c r="K281" s="16">
        <f t="shared" si="96"/>
        <v>60313</v>
      </c>
      <c r="L281" s="16">
        <f t="shared" si="96"/>
        <v>58068</v>
      </c>
      <c r="M281" s="16">
        <f t="shared" si="96"/>
        <v>28306</v>
      </c>
      <c r="N281" s="16">
        <f t="shared" si="96"/>
        <v>0</v>
      </c>
      <c r="O281" s="16">
        <f t="shared" si="96"/>
        <v>0</v>
      </c>
      <c r="P281" s="16">
        <f t="shared" si="96"/>
        <v>337867</v>
      </c>
    </row>
    <row r="282" spans="1:17" ht="16.95" customHeight="1" x14ac:dyDescent="0.25">
      <c r="A282" s="106">
        <f>A279+1</f>
        <v>92</v>
      </c>
      <c r="B282" s="102" t="s">
        <v>11</v>
      </c>
      <c r="C282" s="132" t="s">
        <v>459</v>
      </c>
      <c r="D282" s="107">
        <v>44012</v>
      </c>
      <c r="E282" s="109" t="s">
        <v>355</v>
      </c>
      <c r="F282" s="41" t="s">
        <v>356</v>
      </c>
      <c r="G282" s="13" t="s">
        <v>5</v>
      </c>
      <c r="H282" s="14">
        <f>28927*4-1-51753</f>
        <v>63954</v>
      </c>
      <c r="I282" s="14">
        <v>118232</v>
      </c>
      <c r="J282" s="14">
        <v>118232</v>
      </c>
      <c r="K282" s="14">
        <v>118232</v>
      </c>
      <c r="L282" s="14">
        <v>118232</v>
      </c>
      <c r="M282" s="14">
        <v>118232</v>
      </c>
      <c r="N282" s="14">
        <v>118232</v>
      </c>
      <c r="O282" s="14">
        <f>1793464-115707+36603</f>
        <v>1714360</v>
      </c>
      <c r="P282" s="14">
        <f>SUM(H282:O282)</f>
        <v>2487706</v>
      </c>
      <c r="Q282" s="12"/>
    </row>
    <row r="283" spans="1:17" ht="16.2" customHeight="1" x14ac:dyDescent="0.25">
      <c r="A283" s="106"/>
      <c r="B283" s="102"/>
      <c r="C283" s="132"/>
      <c r="D283" s="107"/>
      <c r="E283" s="109"/>
      <c r="F283" s="20" t="s">
        <v>357</v>
      </c>
      <c r="G283" s="17" t="s">
        <v>8</v>
      </c>
      <c r="H283" s="18">
        <f>123251+1096</f>
        <v>124347</v>
      </c>
      <c r="I283" s="18">
        <v>113628</v>
      </c>
      <c r="J283" s="18">
        <v>108188</v>
      </c>
      <c r="K283" s="18">
        <v>102592</v>
      </c>
      <c r="L283" s="18">
        <v>97253</v>
      </c>
      <c r="M283" s="18">
        <v>91393</v>
      </c>
      <c r="N283" s="18">
        <v>85801</v>
      </c>
      <c r="O283" s="18">
        <f>575240+41327</f>
        <v>616567</v>
      </c>
      <c r="P283" s="18">
        <f>SUM(H283:O283)</f>
        <v>1339769</v>
      </c>
    </row>
    <row r="284" spans="1:17" ht="18.75" customHeight="1" x14ac:dyDescent="0.25">
      <c r="A284" s="106"/>
      <c r="B284" s="102"/>
      <c r="C284" s="132"/>
      <c r="D284" s="107"/>
      <c r="E284" s="109"/>
      <c r="F284" s="15"/>
      <c r="G284" s="15" t="s">
        <v>105</v>
      </c>
      <c r="H284" s="16">
        <f t="shared" ref="H284:O284" si="97">SUM(H282:H283)</f>
        <v>188301</v>
      </c>
      <c r="I284" s="16">
        <f t="shared" si="97"/>
        <v>231860</v>
      </c>
      <c r="J284" s="16">
        <f t="shared" si="97"/>
        <v>226420</v>
      </c>
      <c r="K284" s="16">
        <f t="shared" si="97"/>
        <v>220824</v>
      </c>
      <c r="L284" s="16">
        <f t="shared" si="97"/>
        <v>215485</v>
      </c>
      <c r="M284" s="16">
        <f t="shared" si="97"/>
        <v>209625</v>
      </c>
      <c r="N284" s="16">
        <f t="shared" si="97"/>
        <v>204033</v>
      </c>
      <c r="O284" s="16">
        <f t="shared" si="97"/>
        <v>2330927</v>
      </c>
      <c r="P284" s="16">
        <f>SUM(H284:O284)</f>
        <v>3827475</v>
      </c>
    </row>
    <row r="285" spans="1:17" ht="20.25" customHeight="1" x14ac:dyDescent="0.25">
      <c r="A285" s="106">
        <f>A282+1</f>
        <v>93</v>
      </c>
      <c r="B285" s="102" t="s">
        <v>11</v>
      </c>
      <c r="C285" s="103" t="s">
        <v>469</v>
      </c>
      <c r="D285" s="107">
        <v>44034</v>
      </c>
      <c r="E285" s="109" t="s">
        <v>360</v>
      </c>
      <c r="F285" s="41" t="s">
        <v>358</v>
      </c>
      <c r="G285" s="13" t="s">
        <v>5</v>
      </c>
      <c r="H285" s="14">
        <f>18780-9272</f>
        <v>9508</v>
      </c>
      <c r="I285" s="14">
        <v>19228</v>
      </c>
      <c r="J285" s="14">
        <v>19228</v>
      </c>
      <c r="K285" s="14">
        <v>19228</v>
      </c>
      <c r="L285" s="14">
        <v>19228</v>
      </c>
      <c r="M285" s="14">
        <v>19228</v>
      </c>
      <c r="N285" s="14">
        <v>19228</v>
      </c>
      <c r="O285" s="14">
        <f>295785-18780+6584</f>
        <v>283589</v>
      </c>
      <c r="P285" s="14">
        <f>SUM(H285:O285)</f>
        <v>408465</v>
      </c>
    </row>
    <row r="286" spans="1:17" ht="15" customHeight="1" x14ac:dyDescent="0.25">
      <c r="A286" s="106"/>
      <c r="B286" s="102"/>
      <c r="C286" s="103"/>
      <c r="D286" s="107"/>
      <c r="E286" s="109"/>
      <c r="F286" s="20" t="s">
        <v>359</v>
      </c>
      <c r="G286" s="17" t="s">
        <v>8</v>
      </c>
      <c r="H286" s="18">
        <f>20268+166</f>
        <v>20434</v>
      </c>
      <c r="I286" s="18">
        <v>18435</v>
      </c>
      <c r="J286" s="18">
        <v>17565</v>
      </c>
      <c r="K286" s="18">
        <v>16668</v>
      </c>
      <c r="L286" s="18">
        <v>15813</v>
      </c>
      <c r="M286" s="53">
        <v>14873</v>
      </c>
      <c r="N286" s="53">
        <v>13976</v>
      </c>
      <c r="O286" s="53">
        <f>97818+4317</f>
        <v>102135</v>
      </c>
      <c r="P286" s="18">
        <f>SUM(H286:O286)</f>
        <v>219899</v>
      </c>
    </row>
    <row r="287" spans="1:17" ht="16.2" customHeight="1" x14ac:dyDescent="0.25">
      <c r="A287" s="106"/>
      <c r="B287" s="116"/>
      <c r="C287" s="117"/>
      <c r="D287" s="110"/>
      <c r="E287" s="113"/>
      <c r="F287" s="26"/>
      <c r="G287" s="26" t="s">
        <v>105</v>
      </c>
      <c r="H287" s="16">
        <f t="shared" ref="H287:P287" si="98">SUM(H285:H286)</f>
        <v>29942</v>
      </c>
      <c r="I287" s="16">
        <f t="shared" si="98"/>
        <v>37663</v>
      </c>
      <c r="J287" s="16">
        <f t="shared" si="98"/>
        <v>36793</v>
      </c>
      <c r="K287" s="16">
        <f t="shared" si="98"/>
        <v>35896</v>
      </c>
      <c r="L287" s="16">
        <f t="shared" si="98"/>
        <v>35041</v>
      </c>
      <c r="M287" s="16">
        <f t="shared" si="98"/>
        <v>34101</v>
      </c>
      <c r="N287" s="16">
        <f t="shared" si="98"/>
        <v>33204</v>
      </c>
      <c r="O287" s="16">
        <f t="shared" si="98"/>
        <v>385724</v>
      </c>
      <c r="P287" s="16">
        <f t="shared" si="98"/>
        <v>628364</v>
      </c>
    </row>
    <row r="288" spans="1:17" ht="17.399999999999999" customHeight="1" x14ac:dyDescent="0.25">
      <c r="A288" s="106">
        <f>A285+1</f>
        <v>94</v>
      </c>
      <c r="B288" s="102" t="s">
        <v>11</v>
      </c>
      <c r="C288" s="134" t="s">
        <v>443</v>
      </c>
      <c r="D288" s="109" t="s">
        <v>101</v>
      </c>
      <c r="E288" s="109" t="s">
        <v>168</v>
      </c>
      <c r="F288" s="41" t="s">
        <v>361</v>
      </c>
      <c r="G288" s="13" t="s">
        <v>5</v>
      </c>
      <c r="H288" s="14">
        <f>5002*4</f>
        <v>20008</v>
      </c>
      <c r="I288" s="14">
        <f>5002*3</f>
        <v>15006</v>
      </c>
      <c r="J288" s="14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f>SUM(H288:O288)</f>
        <v>35014</v>
      </c>
    </row>
    <row r="289" spans="1:16" ht="16.2" customHeight="1" x14ac:dyDescent="0.25">
      <c r="A289" s="106"/>
      <c r="B289" s="102"/>
      <c r="C289" s="134"/>
      <c r="D289" s="109"/>
      <c r="E289" s="109"/>
      <c r="F289" s="20" t="s">
        <v>362</v>
      </c>
      <c r="G289" s="17" t="s">
        <v>8</v>
      </c>
      <c r="H289" s="18">
        <v>81</v>
      </c>
      <c r="I289" s="18">
        <v>28</v>
      </c>
      <c r="J289" s="18">
        <v>0</v>
      </c>
      <c r="K289" s="18">
        <v>0</v>
      </c>
      <c r="L289" s="18">
        <v>0</v>
      </c>
      <c r="M289" s="18">
        <v>0</v>
      </c>
      <c r="N289" s="18">
        <v>0</v>
      </c>
      <c r="O289" s="18">
        <v>0</v>
      </c>
      <c r="P289" s="18">
        <f>SUM(H289:O289)</f>
        <v>109</v>
      </c>
    </row>
    <row r="290" spans="1:16" ht="16.95" customHeight="1" x14ac:dyDescent="0.25">
      <c r="A290" s="106"/>
      <c r="B290" s="102"/>
      <c r="C290" s="134"/>
      <c r="D290" s="109"/>
      <c r="E290" s="109"/>
      <c r="F290" s="15"/>
      <c r="G290" s="15" t="s">
        <v>105</v>
      </c>
      <c r="H290" s="16">
        <f t="shared" ref="H290:P290" si="99">SUM(H288:H289)</f>
        <v>20089</v>
      </c>
      <c r="I290" s="16">
        <f t="shared" si="99"/>
        <v>15034</v>
      </c>
      <c r="J290" s="16">
        <f t="shared" si="99"/>
        <v>0</v>
      </c>
      <c r="K290" s="16">
        <f t="shared" si="99"/>
        <v>0</v>
      </c>
      <c r="L290" s="16">
        <f t="shared" si="99"/>
        <v>0</v>
      </c>
      <c r="M290" s="16">
        <f t="shared" si="99"/>
        <v>0</v>
      </c>
      <c r="N290" s="16">
        <f>SUM(N288:N289)</f>
        <v>0</v>
      </c>
      <c r="O290" s="16">
        <f t="shared" si="99"/>
        <v>0</v>
      </c>
      <c r="P290" s="16">
        <f t="shared" si="99"/>
        <v>35123</v>
      </c>
    </row>
    <row r="291" spans="1:16" ht="16.5" customHeight="1" x14ac:dyDescent="0.25">
      <c r="A291" s="106">
        <f>A288+1</f>
        <v>95</v>
      </c>
      <c r="B291" s="102" t="s">
        <v>11</v>
      </c>
      <c r="C291" s="103" t="s">
        <v>625</v>
      </c>
      <c r="D291" s="107">
        <v>44053</v>
      </c>
      <c r="E291" s="109" t="s">
        <v>248</v>
      </c>
      <c r="F291" s="41" t="s">
        <v>363</v>
      </c>
      <c r="G291" s="13" t="s">
        <v>5</v>
      </c>
      <c r="H291" s="14">
        <f>22112-6030</f>
        <v>16082</v>
      </c>
      <c r="I291" s="14">
        <v>22676</v>
      </c>
      <c r="J291" s="14">
        <v>22676</v>
      </c>
      <c r="K291" s="14">
        <v>22676</v>
      </c>
      <c r="L291" s="14">
        <v>22676</v>
      </c>
      <c r="M291" s="14">
        <v>22676</v>
      </c>
      <c r="N291" s="14">
        <v>22676</v>
      </c>
      <c r="O291" s="14">
        <f>127144-22112+2646</f>
        <v>107678</v>
      </c>
      <c r="P291" s="14">
        <f>SUM(H291:O291)</f>
        <v>259816</v>
      </c>
    </row>
    <row r="292" spans="1:16" ht="16.5" customHeight="1" x14ac:dyDescent="0.25">
      <c r="A292" s="106"/>
      <c r="B292" s="102"/>
      <c r="C292" s="103"/>
      <c r="D292" s="107"/>
      <c r="E292" s="109"/>
      <c r="F292" s="20" t="s">
        <v>364</v>
      </c>
      <c r="G292" s="17" t="s">
        <v>8</v>
      </c>
      <c r="H292" s="18">
        <f>11994+91</f>
        <v>12085</v>
      </c>
      <c r="I292" s="18">
        <v>10581</v>
      </c>
      <c r="J292" s="18">
        <v>9598</v>
      </c>
      <c r="K292" s="18">
        <v>8597</v>
      </c>
      <c r="L292" s="18">
        <v>7615</v>
      </c>
      <c r="M292" s="53">
        <v>6594</v>
      </c>
      <c r="N292" s="53">
        <v>5594</v>
      </c>
      <c r="O292" s="53">
        <v>12936</v>
      </c>
      <c r="P292" s="18">
        <f>SUM(H292:O292)</f>
        <v>73600</v>
      </c>
    </row>
    <row r="293" spans="1:16" ht="16.5" customHeight="1" x14ac:dyDescent="0.25">
      <c r="A293" s="106"/>
      <c r="B293" s="102"/>
      <c r="C293" s="103"/>
      <c r="D293" s="107"/>
      <c r="E293" s="109"/>
      <c r="F293" s="15"/>
      <c r="G293" s="15" t="s">
        <v>105</v>
      </c>
      <c r="H293" s="16">
        <f t="shared" ref="H293:P293" si="100">SUM(H291:H292)</f>
        <v>28167</v>
      </c>
      <c r="I293" s="16">
        <f t="shared" si="100"/>
        <v>33257</v>
      </c>
      <c r="J293" s="16">
        <f t="shared" si="100"/>
        <v>32274</v>
      </c>
      <c r="K293" s="16">
        <f t="shared" si="100"/>
        <v>31273</v>
      </c>
      <c r="L293" s="16">
        <f t="shared" si="100"/>
        <v>30291</v>
      </c>
      <c r="M293" s="16">
        <f t="shared" si="100"/>
        <v>29270</v>
      </c>
      <c r="N293" s="16">
        <f t="shared" si="100"/>
        <v>28270</v>
      </c>
      <c r="O293" s="16">
        <f t="shared" si="100"/>
        <v>120614</v>
      </c>
      <c r="P293" s="16">
        <f t="shared" si="100"/>
        <v>333416</v>
      </c>
    </row>
    <row r="294" spans="1:16" ht="16.5" customHeight="1" x14ac:dyDescent="0.25">
      <c r="A294" s="106">
        <f>A291+1</f>
        <v>96</v>
      </c>
      <c r="B294" s="102" t="s">
        <v>11</v>
      </c>
      <c r="C294" s="103" t="s">
        <v>626</v>
      </c>
      <c r="D294" s="107">
        <v>44053</v>
      </c>
      <c r="E294" s="109" t="s">
        <v>248</v>
      </c>
      <c r="F294" s="41" t="s">
        <v>365</v>
      </c>
      <c r="G294" s="13" t="s">
        <v>5</v>
      </c>
      <c r="H294" s="14">
        <f>39248-10703</f>
        <v>28545</v>
      </c>
      <c r="I294" s="14">
        <v>40244</v>
      </c>
      <c r="J294" s="14">
        <v>40244</v>
      </c>
      <c r="K294" s="14">
        <v>40244</v>
      </c>
      <c r="L294" s="14">
        <v>40244</v>
      </c>
      <c r="M294" s="14">
        <v>40244</v>
      </c>
      <c r="N294" s="14">
        <v>40244</v>
      </c>
      <c r="O294" s="14">
        <f>225676-39248+4727</f>
        <v>191155</v>
      </c>
      <c r="P294" s="14">
        <f>SUM(H294:O294)</f>
        <v>461164</v>
      </c>
    </row>
    <row r="295" spans="1:16" ht="16.5" customHeight="1" x14ac:dyDescent="0.25">
      <c r="A295" s="106"/>
      <c r="B295" s="102"/>
      <c r="C295" s="103"/>
      <c r="D295" s="107"/>
      <c r="E295" s="109"/>
      <c r="F295" s="20" t="s">
        <v>366</v>
      </c>
      <c r="G295" s="17" t="s">
        <v>8</v>
      </c>
      <c r="H295" s="18">
        <f>21288+162</f>
        <v>21450</v>
      </c>
      <c r="I295" s="18">
        <v>18780</v>
      </c>
      <c r="J295" s="18">
        <v>17037</v>
      </c>
      <c r="K295" s="18">
        <v>15260</v>
      </c>
      <c r="L295" s="18">
        <v>13518</v>
      </c>
      <c r="M295" s="53">
        <v>11705</v>
      </c>
      <c r="N295" s="53">
        <v>9930</v>
      </c>
      <c r="O295" s="53">
        <v>22970</v>
      </c>
      <c r="P295" s="18">
        <f>SUM(H295:O295)</f>
        <v>130650</v>
      </c>
    </row>
    <row r="296" spans="1:16" ht="16.5" customHeight="1" x14ac:dyDescent="0.25">
      <c r="A296" s="106"/>
      <c r="B296" s="102"/>
      <c r="C296" s="103"/>
      <c r="D296" s="107"/>
      <c r="E296" s="109"/>
      <c r="F296" s="15"/>
      <c r="G296" s="15" t="s">
        <v>105</v>
      </c>
      <c r="H296" s="16">
        <f t="shared" ref="H296:P296" si="101">SUM(H294:H295)</f>
        <v>49995</v>
      </c>
      <c r="I296" s="16">
        <f t="shared" si="101"/>
        <v>59024</v>
      </c>
      <c r="J296" s="16">
        <f t="shared" si="101"/>
        <v>57281</v>
      </c>
      <c r="K296" s="16">
        <f t="shared" si="101"/>
        <v>55504</v>
      </c>
      <c r="L296" s="16">
        <f t="shared" si="101"/>
        <v>53762</v>
      </c>
      <c r="M296" s="16">
        <f t="shared" si="101"/>
        <v>51949</v>
      </c>
      <c r="N296" s="16">
        <f t="shared" si="101"/>
        <v>50174</v>
      </c>
      <c r="O296" s="16">
        <f t="shared" si="101"/>
        <v>214125</v>
      </c>
      <c r="P296" s="16">
        <f t="shared" si="101"/>
        <v>591814</v>
      </c>
    </row>
    <row r="297" spans="1:16" ht="16.5" customHeight="1" x14ac:dyDescent="0.25">
      <c r="A297" s="106">
        <f>A294+1</f>
        <v>97</v>
      </c>
      <c r="B297" s="102" t="s">
        <v>11</v>
      </c>
      <c r="C297" s="132" t="s">
        <v>449</v>
      </c>
      <c r="D297" s="107">
        <v>44076</v>
      </c>
      <c r="E297" s="109" t="s">
        <v>367</v>
      </c>
      <c r="F297" s="41" t="s">
        <v>368</v>
      </c>
      <c r="G297" s="13" t="s">
        <v>5</v>
      </c>
      <c r="H297" s="14">
        <f>21616-4476</f>
        <v>17140</v>
      </c>
      <c r="I297" s="14">
        <v>22036</v>
      </c>
      <c r="J297" s="14">
        <v>22036</v>
      </c>
      <c r="K297" s="14">
        <v>22036</v>
      </c>
      <c r="L297" s="14">
        <v>22036</v>
      </c>
      <c r="M297" s="14">
        <v>22036</v>
      </c>
      <c r="N297" s="14">
        <v>22036</v>
      </c>
      <c r="O297" s="14">
        <f>124292-21616+1956</f>
        <v>104632</v>
      </c>
      <c r="P297" s="14">
        <f>SUM(H297:O297)</f>
        <v>253988</v>
      </c>
    </row>
    <row r="298" spans="1:16" ht="16.5" customHeight="1" x14ac:dyDescent="0.25">
      <c r="A298" s="106"/>
      <c r="B298" s="102"/>
      <c r="C298" s="132"/>
      <c r="D298" s="107"/>
      <c r="E298" s="109"/>
      <c r="F298" s="20" t="s">
        <v>369</v>
      </c>
      <c r="G298" s="17" t="s">
        <v>8</v>
      </c>
      <c r="H298" s="18">
        <f>11704+61</f>
        <v>11765</v>
      </c>
      <c r="I298" s="18">
        <v>10203</v>
      </c>
      <c r="J298" s="18">
        <v>9252</v>
      </c>
      <c r="K298" s="18">
        <v>8287</v>
      </c>
      <c r="L298" s="18">
        <v>7341</v>
      </c>
      <c r="M298" s="53">
        <v>6356</v>
      </c>
      <c r="N298" s="53">
        <v>5392</v>
      </c>
      <c r="O298" s="53">
        <v>12489</v>
      </c>
      <c r="P298" s="18">
        <f>SUM(H298:O298)</f>
        <v>71085</v>
      </c>
    </row>
    <row r="299" spans="1:16" ht="16.5" customHeight="1" x14ac:dyDescent="0.25">
      <c r="A299" s="106"/>
      <c r="B299" s="102"/>
      <c r="C299" s="132"/>
      <c r="D299" s="107"/>
      <c r="E299" s="109"/>
      <c r="F299" s="15"/>
      <c r="G299" s="15" t="s">
        <v>105</v>
      </c>
      <c r="H299" s="16">
        <f t="shared" ref="H299:P299" si="102">SUM(H297:H298)</f>
        <v>28905</v>
      </c>
      <c r="I299" s="16">
        <f t="shared" si="102"/>
        <v>32239</v>
      </c>
      <c r="J299" s="16">
        <f t="shared" si="102"/>
        <v>31288</v>
      </c>
      <c r="K299" s="16">
        <f t="shared" si="102"/>
        <v>30323</v>
      </c>
      <c r="L299" s="16">
        <f t="shared" si="102"/>
        <v>29377</v>
      </c>
      <c r="M299" s="75">
        <f t="shared" si="102"/>
        <v>28392</v>
      </c>
      <c r="N299" s="75">
        <f t="shared" si="102"/>
        <v>27428</v>
      </c>
      <c r="O299" s="75">
        <f t="shared" si="102"/>
        <v>117121</v>
      </c>
      <c r="P299" s="16">
        <f t="shared" si="102"/>
        <v>325073</v>
      </c>
    </row>
    <row r="300" spans="1:16" ht="16.5" customHeight="1" x14ac:dyDescent="0.25">
      <c r="A300" s="106">
        <f>A297+1</f>
        <v>98</v>
      </c>
      <c r="B300" s="102" t="s">
        <v>11</v>
      </c>
      <c r="C300" s="104" t="s">
        <v>59</v>
      </c>
      <c r="D300" s="107">
        <v>44111</v>
      </c>
      <c r="E300" s="109" t="s">
        <v>372</v>
      </c>
      <c r="F300" s="41" t="s">
        <v>370</v>
      </c>
      <c r="G300" s="13" t="s">
        <v>5</v>
      </c>
      <c r="H300" s="14">
        <f>29196-10286</f>
        <v>18910</v>
      </c>
      <c r="I300" s="14">
        <v>29692</v>
      </c>
      <c r="J300" s="14">
        <v>29692</v>
      </c>
      <c r="K300" s="14">
        <v>29692</v>
      </c>
      <c r="L300" s="14">
        <v>29692</v>
      </c>
      <c r="M300" s="14">
        <v>29692</v>
      </c>
      <c r="N300" s="14">
        <v>29692</v>
      </c>
      <c r="O300" s="14">
        <f>459837-29196+7310</f>
        <v>437951</v>
      </c>
      <c r="P300" s="14">
        <f>SUM(H300:O300)</f>
        <v>635013</v>
      </c>
    </row>
    <row r="301" spans="1:16" ht="16.5" customHeight="1" x14ac:dyDescent="0.25">
      <c r="A301" s="106"/>
      <c r="B301" s="102"/>
      <c r="C301" s="104"/>
      <c r="D301" s="107"/>
      <c r="E301" s="109"/>
      <c r="F301" s="20" t="s">
        <v>371</v>
      </c>
      <c r="G301" s="17" t="s">
        <v>8</v>
      </c>
      <c r="H301" s="18">
        <f>31831+110</f>
        <v>31941</v>
      </c>
      <c r="I301" s="18">
        <v>28222</v>
      </c>
      <c r="J301" s="18">
        <v>26836</v>
      </c>
      <c r="K301" s="18">
        <v>25466</v>
      </c>
      <c r="L301" s="18">
        <v>24159</v>
      </c>
      <c r="M301" s="53">
        <v>22723</v>
      </c>
      <c r="N301" s="53">
        <v>21354</v>
      </c>
      <c r="O301" s="53">
        <v>156116</v>
      </c>
      <c r="P301" s="18">
        <f>SUM(H301:O301)</f>
        <v>336817</v>
      </c>
    </row>
    <row r="302" spans="1:16" ht="16.5" customHeight="1" x14ac:dyDescent="0.25">
      <c r="A302" s="106"/>
      <c r="B302" s="102"/>
      <c r="C302" s="104"/>
      <c r="D302" s="107"/>
      <c r="E302" s="109"/>
      <c r="F302" s="15"/>
      <c r="G302" s="15" t="s">
        <v>105</v>
      </c>
      <c r="H302" s="16">
        <f t="shared" ref="H302:P302" si="103">SUM(H300:H301)</f>
        <v>50851</v>
      </c>
      <c r="I302" s="16">
        <f t="shared" si="103"/>
        <v>57914</v>
      </c>
      <c r="J302" s="16">
        <f t="shared" si="103"/>
        <v>56528</v>
      </c>
      <c r="K302" s="16">
        <f t="shared" si="103"/>
        <v>55158</v>
      </c>
      <c r="L302" s="16">
        <f t="shared" si="103"/>
        <v>53851</v>
      </c>
      <c r="M302" s="16">
        <f t="shared" si="103"/>
        <v>52415</v>
      </c>
      <c r="N302" s="16">
        <f t="shared" si="103"/>
        <v>51046</v>
      </c>
      <c r="O302" s="16">
        <f t="shared" si="103"/>
        <v>594067</v>
      </c>
      <c r="P302" s="16">
        <f t="shared" si="103"/>
        <v>971830</v>
      </c>
    </row>
    <row r="303" spans="1:16" ht="16.5" customHeight="1" x14ac:dyDescent="0.25">
      <c r="A303" s="106">
        <f>A300+1</f>
        <v>99</v>
      </c>
      <c r="B303" s="102" t="s">
        <v>11</v>
      </c>
      <c r="C303" s="104" t="s">
        <v>627</v>
      </c>
      <c r="D303" s="107">
        <v>44118</v>
      </c>
      <c r="E303" s="109" t="s">
        <v>171</v>
      </c>
      <c r="F303" s="41" t="s">
        <v>373</v>
      </c>
      <c r="G303" s="13" t="s">
        <v>5</v>
      </c>
      <c r="H303" s="14">
        <f>7928-589</f>
        <v>7339</v>
      </c>
      <c r="I303" s="14">
        <v>8032</v>
      </c>
      <c r="J303" s="14">
        <v>8032</v>
      </c>
      <c r="K303" s="14">
        <v>8032</v>
      </c>
      <c r="L303" s="14">
        <v>8032</v>
      </c>
      <c r="M303" s="14">
        <v>8032</v>
      </c>
      <c r="N303" s="14">
        <f>5946+69</f>
        <v>6015</v>
      </c>
      <c r="O303" s="14">
        <v>0</v>
      </c>
      <c r="P303" s="14">
        <f>SUM(H303:O303)</f>
        <v>53514</v>
      </c>
    </row>
    <row r="304" spans="1:16" ht="16.5" customHeight="1" x14ac:dyDescent="0.25">
      <c r="A304" s="106"/>
      <c r="B304" s="102"/>
      <c r="C304" s="104"/>
      <c r="D304" s="107"/>
      <c r="E304" s="109"/>
      <c r="F304" s="20" t="s">
        <v>374</v>
      </c>
      <c r="G304" s="17" t="s">
        <v>8</v>
      </c>
      <c r="H304" s="18">
        <f>2453+6</f>
        <v>2459</v>
      </c>
      <c r="I304" s="18">
        <v>1942</v>
      </c>
      <c r="J304" s="18">
        <v>1591</v>
      </c>
      <c r="K304" s="18">
        <v>1244</v>
      </c>
      <c r="L304" s="18">
        <v>900</v>
      </c>
      <c r="M304" s="53">
        <v>551</v>
      </c>
      <c r="N304" s="53">
        <v>205</v>
      </c>
      <c r="O304" s="53">
        <v>0</v>
      </c>
      <c r="P304" s="18">
        <f>SUM(H304:O304)</f>
        <v>8892</v>
      </c>
    </row>
    <row r="305" spans="1:16" ht="16.5" customHeight="1" x14ac:dyDescent="0.25">
      <c r="A305" s="106"/>
      <c r="B305" s="102"/>
      <c r="C305" s="104"/>
      <c r="D305" s="107"/>
      <c r="E305" s="109"/>
      <c r="F305" s="15"/>
      <c r="G305" s="15" t="s">
        <v>105</v>
      </c>
      <c r="H305" s="16">
        <f t="shared" ref="H305:P305" si="104">SUM(H303:H304)</f>
        <v>9798</v>
      </c>
      <c r="I305" s="16">
        <f t="shared" si="104"/>
        <v>9974</v>
      </c>
      <c r="J305" s="16">
        <f t="shared" si="104"/>
        <v>9623</v>
      </c>
      <c r="K305" s="16">
        <f t="shared" si="104"/>
        <v>9276</v>
      </c>
      <c r="L305" s="16">
        <f t="shared" si="104"/>
        <v>8932</v>
      </c>
      <c r="M305" s="16">
        <f t="shared" si="104"/>
        <v>8583</v>
      </c>
      <c r="N305" s="16">
        <f t="shared" si="104"/>
        <v>6220</v>
      </c>
      <c r="O305" s="16">
        <f t="shared" si="104"/>
        <v>0</v>
      </c>
      <c r="P305" s="16">
        <f t="shared" si="104"/>
        <v>62406</v>
      </c>
    </row>
    <row r="306" spans="1:16" ht="16.5" customHeight="1" x14ac:dyDescent="0.25">
      <c r="A306" s="106">
        <f>A303+1</f>
        <v>100</v>
      </c>
      <c r="B306" s="102" t="s">
        <v>11</v>
      </c>
      <c r="C306" s="103" t="s">
        <v>470</v>
      </c>
      <c r="D306" s="107">
        <v>44169</v>
      </c>
      <c r="E306" s="109" t="s">
        <v>377</v>
      </c>
      <c r="F306" s="41" t="s">
        <v>375</v>
      </c>
      <c r="G306" s="13" t="s">
        <v>5</v>
      </c>
      <c r="H306" s="14">
        <f>25156-3719</f>
        <v>21437</v>
      </c>
      <c r="I306" s="14">
        <v>25496</v>
      </c>
      <c r="J306" s="14">
        <v>25496</v>
      </c>
      <c r="K306" s="14">
        <v>25496</v>
      </c>
      <c r="L306" s="14">
        <v>25496</v>
      </c>
      <c r="M306" s="14">
        <v>25496</v>
      </c>
      <c r="N306" s="14">
        <v>25496</v>
      </c>
      <c r="O306" s="14">
        <f>150936-25156+1679</f>
        <v>127459</v>
      </c>
      <c r="P306" s="14">
        <f>SUM(H306:O306)</f>
        <v>301872</v>
      </c>
    </row>
    <row r="307" spans="1:16" ht="16.5" customHeight="1" x14ac:dyDescent="0.25">
      <c r="A307" s="106"/>
      <c r="B307" s="102"/>
      <c r="C307" s="104"/>
      <c r="D307" s="107"/>
      <c r="E307" s="109"/>
      <c r="F307" s="20" t="s">
        <v>376</v>
      </c>
      <c r="G307" s="17" t="s">
        <v>8</v>
      </c>
      <c r="H307" s="18">
        <f>12863+36</f>
        <v>12899</v>
      </c>
      <c r="I307" s="18">
        <v>12094</v>
      </c>
      <c r="J307" s="18">
        <v>10919</v>
      </c>
      <c r="K307" s="18">
        <v>9809</v>
      </c>
      <c r="L307" s="18">
        <v>8721</v>
      </c>
      <c r="M307" s="53">
        <v>7588</v>
      </c>
      <c r="N307" s="53">
        <v>6479</v>
      </c>
      <c r="O307" s="53">
        <v>15816</v>
      </c>
      <c r="P307" s="18">
        <f>SUM(H307:O307)</f>
        <v>84325</v>
      </c>
    </row>
    <row r="308" spans="1:16" ht="16.5" customHeight="1" x14ac:dyDescent="0.25">
      <c r="A308" s="106"/>
      <c r="B308" s="102"/>
      <c r="C308" s="104"/>
      <c r="D308" s="107"/>
      <c r="E308" s="109"/>
      <c r="F308" s="15"/>
      <c r="G308" s="15" t="s">
        <v>105</v>
      </c>
      <c r="H308" s="16">
        <f t="shared" ref="H308:P308" si="105">SUM(H306:H307)</f>
        <v>34336</v>
      </c>
      <c r="I308" s="16">
        <f t="shared" si="105"/>
        <v>37590</v>
      </c>
      <c r="J308" s="16">
        <f t="shared" si="105"/>
        <v>36415</v>
      </c>
      <c r="K308" s="16">
        <f t="shared" si="105"/>
        <v>35305</v>
      </c>
      <c r="L308" s="16">
        <f t="shared" si="105"/>
        <v>34217</v>
      </c>
      <c r="M308" s="16">
        <f t="shared" si="105"/>
        <v>33084</v>
      </c>
      <c r="N308" s="16">
        <f t="shared" si="105"/>
        <v>31975</v>
      </c>
      <c r="O308" s="16">
        <f t="shared" si="105"/>
        <v>143275</v>
      </c>
      <c r="P308" s="16">
        <f t="shared" si="105"/>
        <v>386197</v>
      </c>
    </row>
    <row r="309" spans="1:16" ht="16.5" customHeight="1" x14ac:dyDescent="0.25">
      <c r="A309" s="106">
        <f>A306+1</f>
        <v>101</v>
      </c>
      <c r="B309" s="102" t="s">
        <v>11</v>
      </c>
      <c r="C309" s="103" t="s">
        <v>471</v>
      </c>
      <c r="D309" s="107">
        <v>44169</v>
      </c>
      <c r="E309" s="109" t="s">
        <v>378</v>
      </c>
      <c r="F309" s="41" t="s">
        <v>379</v>
      </c>
      <c r="G309" s="13" t="s">
        <v>5</v>
      </c>
      <c r="H309" s="76">
        <f>35656-5457</f>
        <v>30199</v>
      </c>
      <c r="I309" s="76">
        <v>36000</v>
      </c>
      <c r="J309" s="76">
        <v>36000</v>
      </c>
      <c r="K309" s="76">
        <v>36000</v>
      </c>
      <c r="L309" s="76">
        <v>36000</v>
      </c>
      <c r="M309" s="76">
        <v>36000</v>
      </c>
      <c r="N309" s="76">
        <v>36000</v>
      </c>
      <c r="O309" s="76">
        <f>392217-35656+3393</f>
        <v>359954</v>
      </c>
      <c r="P309" s="14">
        <f>SUM(H309:O309)</f>
        <v>606153</v>
      </c>
    </row>
    <row r="310" spans="1:16" ht="16.5" customHeight="1" x14ac:dyDescent="0.25">
      <c r="A310" s="106"/>
      <c r="B310" s="102"/>
      <c r="C310" s="104"/>
      <c r="D310" s="107"/>
      <c r="E310" s="109"/>
      <c r="F310" s="20" t="s">
        <v>380</v>
      </c>
      <c r="G310" s="17" t="s">
        <v>8</v>
      </c>
      <c r="H310" s="18">
        <f>27286+54</f>
        <v>27340</v>
      </c>
      <c r="I310" s="18">
        <v>25434</v>
      </c>
      <c r="J310" s="18">
        <v>23695</v>
      </c>
      <c r="K310" s="77">
        <v>22098</v>
      </c>
      <c r="L310" s="77">
        <v>20554</v>
      </c>
      <c r="M310" s="79">
        <v>18901</v>
      </c>
      <c r="N310" s="79">
        <v>17305</v>
      </c>
      <c r="O310" s="79">
        <v>85406</v>
      </c>
      <c r="P310" s="18">
        <f>SUM(H310:O310)</f>
        <v>240733</v>
      </c>
    </row>
    <row r="311" spans="1:16" ht="16.5" customHeight="1" x14ac:dyDescent="0.25">
      <c r="A311" s="106"/>
      <c r="B311" s="102"/>
      <c r="C311" s="104"/>
      <c r="D311" s="107"/>
      <c r="E311" s="109"/>
      <c r="F311" s="15"/>
      <c r="G311" s="15" t="s">
        <v>105</v>
      </c>
      <c r="H311" s="16">
        <f t="shared" ref="H311:N311" si="106">SUM(H309:H310)</f>
        <v>57539</v>
      </c>
      <c r="I311" s="16">
        <f t="shared" si="106"/>
        <v>61434</v>
      </c>
      <c r="J311" s="16">
        <f t="shared" si="106"/>
        <v>59695</v>
      </c>
      <c r="K311" s="16">
        <f t="shared" si="106"/>
        <v>58098</v>
      </c>
      <c r="L311" s="16">
        <f t="shared" si="106"/>
        <v>56554</v>
      </c>
      <c r="M311" s="16">
        <f t="shared" si="106"/>
        <v>54901</v>
      </c>
      <c r="N311" s="16">
        <f t="shared" si="106"/>
        <v>53305</v>
      </c>
      <c r="O311" s="16">
        <f>SUM(O309:O310)</f>
        <v>445360</v>
      </c>
      <c r="P311" s="16">
        <f>SUM(P309:P310)</f>
        <v>846886</v>
      </c>
    </row>
    <row r="312" spans="1:16" ht="16.2" customHeight="1" x14ac:dyDescent="0.25">
      <c r="A312" s="106">
        <f>A309+1</f>
        <v>102</v>
      </c>
      <c r="B312" s="102" t="s">
        <v>11</v>
      </c>
      <c r="C312" s="104" t="s">
        <v>597</v>
      </c>
      <c r="D312" s="107">
        <v>44176</v>
      </c>
      <c r="E312" s="109" t="s">
        <v>377</v>
      </c>
      <c r="F312" s="41" t="s">
        <v>381</v>
      </c>
      <c r="G312" s="13" t="s">
        <v>5</v>
      </c>
      <c r="H312" s="14">
        <f>5476-723</f>
        <v>4753</v>
      </c>
      <c r="I312" s="14">
        <v>5544</v>
      </c>
      <c r="J312" s="14">
        <v>5544</v>
      </c>
      <c r="K312" s="14">
        <v>5544</v>
      </c>
      <c r="L312" s="14">
        <v>5544</v>
      </c>
      <c r="M312" s="14">
        <v>5544</v>
      </c>
      <c r="N312" s="14">
        <v>5544</v>
      </c>
      <c r="O312" s="14">
        <f>32856-5476+315</f>
        <v>27695</v>
      </c>
      <c r="P312" s="14">
        <f>SUM(H312:O312)</f>
        <v>65712</v>
      </c>
    </row>
    <row r="313" spans="1:16" ht="16.2" customHeight="1" x14ac:dyDescent="0.25">
      <c r="A313" s="106"/>
      <c r="B313" s="102"/>
      <c r="C313" s="104"/>
      <c r="D313" s="107"/>
      <c r="E313" s="109"/>
      <c r="F313" s="20" t="s">
        <v>382</v>
      </c>
      <c r="G313" s="17" t="s">
        <v>8</v>
      </c>
      <c r="H313" s="18">
        <f>2690+7</f>
        <v>2697</v>
      </c>
      <c r="I313" s="18">
        <v>2601</v>
      </c>
      <c r="J313" s="18">
        <v>2366</v>
      </c>
      <c r="K313" s="18">
        <v>2125</v>
      </c>
      <c r="L313" s="18">
        <v>1889</v>
      </c>
      <c r="M313" s="53">
        <v>1644</v>
      </c>
      <c r="N313" s="53">
        <v>1403</v>
      </c>
      <c r="O313" s="53">
        <v>3423</v>
      </c>
      <c r="P313" s="18">
        <f>SUM(H313:O313)</f>
        <v>18148</v>
      </c>
    </row>
    <row r="314" spans="1:16" ht="16.2" customHeight="1" x14ac:dyDescent="0.25">
      <c r="A314" s="106"/>
      <c r="B314" s="102"/>
      <c r="C314" s="104"/>
      <c r="D314" s="107"/>
      <c r="E314" s="109"/>
      <c r="F314" s="15"/>
      <c r="G314" s="15" t="s">
        <v>105</v>
      </c>
      <c r="H314" s="16">
        <f t="shared" ref="H314:N314" si="107">SUM(H312:H313)</f>
        <v>7450</v>
      </c>
      <c r="I314" s="16">
        <f t="shared" si="107"/>
        <v>8145</v>
      </c>
      <c r="J314" s="16">
        <f t="shared" si="107"/>
        <v>7910</v>
      </c>
      <c r="K314" s="16">
        <f t="shared" si="107"/>
        <v>7669</v>
      </c>
      <c r="L314" s="16">
        <f t="shared" si="107"/>
        <v>7433</v>
      </c>
      <c r="M314" s="16">
        <f t="shared" si="107"/>
        <v>7188</v>
      </c>
      <c r="N314" s="16">
        <f t="shared" si="107"/>
        <v>6947</v>
      </c>
      <c r="O314" s="16">
        <f>SUM(O312:O313)</f>
        <v>31118</v>
      </c>
      <c r="P314" s="16">
        <f>SUM(P312:P313)</f>
        <v>83860</v>
      </c>
    </row>
    <row r="315" spans="1:16" ht="16.2" customHeight="1" x14ac:dyDescent="0.25">
      <c r="A315" s="106">
        <f>A312+1</f>
        <v>103</v>
      </c>
      <c r="B315" s="102" t="s">
        <v>11</v>
      </c>
      <c r="C315" s="104" t="s">
        <v>42</v>
      </c>
      <c r="D315" s="107">
        <v>44182</v>
      </c>
      <c r="E315" s="109" t="s">
        <v>383</v>
      </c>
      <c r="F315" s="41" t="s">
        <v>384</v>
      </c>
      <c r="G315" s="13" t="s">
        <v>5</v>
      </c>
      <c r="H315" s="14">
        <v>13460</v>
      </c>
      <c r="I315" s="14">
        <v>13460</v>
      </c>
      <c r="J315" s="14">
        <v>13460</v>
      </c>
      <c r="K315" s="14">
        <v>13460</v>
      </c>
      <c r="L315" s="14">
        <v>13460</v>
      </c>
      <c r="M315" s="14">
        <v>13460</v>
      </c>
      <c r="N315" s="14">
        <v>13460</v>
      </c>
      <c r="O315" s="14">
        <v>0</v>
      </c>
      <c r="P315" s="14">
        <f>SUM(H315:O315)</f>
        <v>94220</v>
      </c>
    </row>
    <row r="316" spans="1:16" ht="16.2" customHeight="1" x14ac:dyDescent="0.25">
      <c r="A316" s="106"/>
      <c r="B316" s="102"/>
      <c r="C316" s="104"/>
      <c r="D316" s="107"/>
      <c r="E316" s="109"/>
      <c r="F316" s="20" t="s">
        <v>385</v>
      </c>
      <c r="G316" s="17" t="s">
        <v>8</v>
      </c>
      <c r="H316" s="18">
        <v>234</v>
      </c>
      <c r="I316" s="18">
        <v>199</v>
      </c>
      <c r="J316" s="18">
        <v>165</v>
      </c>
      <c r="K316" s="18">
        <v>131</v>
      </c>
      <c r="L316" s="18">
        <v>97</v>
      </c>
      <c r="M316" s="53">
        <v>63</v>
      </c>
      <c r="N316" s="53">
        <v>29</v>
      </c>
      <c r="O316" s="53">
        <v>1</v>
      </c>
      <c r="P316" s="18">
        <f>SUM(H316:O316)</f>
        <v>919</v>
      </c>
    </row>
    <row r="317" spans="1:16" ht="16.2" customHeight="1" x14ac:dyDescent="0.25">
      <c r="A317" s="106"/>
      <c r="B317" s="102"/>
      <c r="C317" s="104"/>
      <c r="D317" s="107"/>
      <c r="E317" s="109"/>
      <c r="F317" s="15"/>
      <c r="G317" s="15" t="s">
        <v>105</v>
      </c>
      <c r="H317" s="16">
        <f t="shared" ref="H317:P317" si="108">SUM(H315:H316)</f>
        <v>13694</v>
      </c>
      <c r="I317" s="16">
        <f t="shared" si="108"/>
        <v>13659</v>
      </c>
      <c r="J317" s="16">
        <f t="shared" si="108"/>
        <v>13625</v>
      </c>
      <c r="K317" s="16">
        <f t="shared" si="108"/>
        <v>13591</v>
      </c>
      <c r="L317" s="16">
        <f t="shared" si="108"/>
        <v>13557</v>
      </c>
      <c r="M317" s="16">
        <f t="shared" si="108"/>
        <v>13523</v>
      </c>
      <c r="N317" s="16">
        <f t="shared" si="108"/>
        <v>13489</v>
      </c>
      <c r="O317" s="16">
        <f t="shared" si="108"/>
        <v>1</v>
      </c>
      <c r="P317" s="16">
        <f t="shared" si="108"/>
        <v>95139</v>
      </c>
    </row>
    <row r="318" spans="1:16" ht="16.2" customHeight="1" x14ac:dyDescent="0.25">
      <c r="A318" s="106">
        <f>A315+1</f>
        <v>104</v>
      </c>
      <c r="B318" s="102" t="s">
        <v>11</v>
      </c>
      <c r="C318" s="104" t="s">
        <v>41</v>
      </c>
      <c r="D318" s="107">
        <v>44182</v>
      </c>
      <c r="E318" s="109" t="s">
        <v>383</v>
      </c>
      <c r="F318" s="41" t="s">
        <v>386</v>
      </c>
      <c r="G318" s="13" t="s">
        <v>5</v>
      </c>
      <c r="H318" s="76">
        <v>7628</v>
      </c>
      <c r="I318" s="76">
        <v>7628</v>
      </c>
      <c r="J318" s="76">
        <v>7628</v>
      </c>
      <c r="K318" s="76">
        <v>7628</v>
      </c>
      <c r="L318" s="76">
        <v>7628</v>
      </c>
      <c r="M318" s="76">
        <v>7628</v>
      </c>
      <c r="N318" s="76">
        <v>7628</v>
      </c>
      <c r="O318" s="76">
        <v>0</v>
      </c>
      <c r="P318" s="14">
        <f>SUM(H318:O318)</f>
        <v>53396</v>
      </c>
    </row>
    <row r="319" spans="1:16" ht="16.2" customHeight="1" x14ac:dyDescent="0.25">
      <c r="A319" s="106"/>
      <c r="B319" s="102"/>
      <c r="C319" s="104"/>
      <c r="D319" s="107"/>
      <c r="E319" s="109"/>
      <c r="F319" s="20" t="s">
        <v>387</v>
      </c>
      <c r="G319" s="17" t="s">
        <v>8</v>
      </c>
      <c r="H319" s="18">
        <v>132</v>
      </c>
      <c r="I319" s="18">
        <v>113</v>
      </c>
      <c r="J319" s="18">
        <v>94</v>
      </c>
      <c r="K319" s="18">
        <v>74</v>
      </c>
      <c r="L319" s="18">
        <v>55</v>
      </c>
      <c r="M319" s="53">
        <v>36</v>
      </c>
      <c r="N319" s="53">
        <v>16</v>
      </c>
      <c r="O319" s="53">
        <v>1</v>
      </c>
      <c r="P319" s="18">
        <f>SUM(H319:O319)</f>
        <v>521</v>
      </c>
    </row>
    <row r="320" spans="1:16" ht="16.2" customHeight="1" x14ac:dyDescent="0.25">
      <c r="A320" s="106"/>
      <c r="B320" s="102"/>
      <c r="C320" s="104"/>
      <c r="D320" s="107"/>
      <c r="E320" s="109"/>
      <c r="F320" s="15"/>
      <c r="G320" s="15" t="s">
        <v>105</v>
      </c>
      <c r="H320" s="16">
        <f t="shared" ref="H320:P320" si="109">SUM(H318:H319)</f>
        <v>7760</v>
      </c>
      <c r="I320" s="16">
        <f t="shared" si="109"/>
        <v>7741</v>
      </c>
      <c r="J320" s="16">
        <f t="shared" si="109"/>
        <v>7722</v>
      </c>
      <c r="K320" s="16">
        <f t="shared" si="109"/>
        <v>7702</v>
      </c>
      <c r="L320" s="16">
        <f t="shared" si="109"/>
        <v>7683</v>
      </c>
      <c r="M320" s="16">
        <f t="shared" si="109"/>
        <v>7664</v>
      </c>
      <c r="N320" s="16">
        <f t="shared" si="109"/>
        <v>7644</v>
      </c>
      <c r="O320" s="16">
        <f t="shared" si="109"/>
        <v>1</v>
      </c>
      <c r="P320" s="16">
        <f t="shared" si="109"/>
        <v>53917</v>
      </c>
    </row>
    <row r="321" spans="1:16" ht="16.2" customHeight="1" x14ac:dyDescent="0.25">
      <c r="A321" s="106">
        <f>A318+1</f>
        <v>105</v>
      </c>
      <c r="B321" s="102" t="s">
        <v>11</v>
      </c>
      <c r="C321" s="103" t="s">
        <v>498</v>
      </c>
      <c r="D321" s="107">
        <v>44224</v>
      </c>
      <c r="E321" s="109" t="s">
        <v>390</v>
      </c>
      <c r="F321" s="41" t="s">
        <v>388</v>
      </c>
      <c r="G321" s="13" t="s">
        <v>5</v>
      </c>
      <c r="H321" s="76">
        <f>94448-22971</f>
        <v>71477</v>
      </c>
      <c r="I321" s="14">
        <f>94448+1416</f>
        <v>95864</v>
      </c>
      <c r="J321" s="14">
        <f>94448+1416</f>
        <v>95864</v>
      </c>
      <c r="K321" s="14">
        <f t="shared" ref="K321:N321" si="110">94448+1416</f>
        <v>95864</v>
      </c>
      <c r="L321" s="14">
        <f t="shared" si="110"/>
        <v>95864</v>
      </c>
      <c r="M321" s="14">
        <f t="shared" si="110"/>
        <v>95864</v>
      </c>
      <c r="N321" s="14">
        <f t="shared" si="110"/>
        <v>95864</v>
      </c>
      <c r="O321" s="14">
        <f>1109735-47195-94448+14475</f>
        <v>982567</v>
      </c>
      <c r="P321" s="14">
        <f>SUM(H321:O321)</f>
        <v>1629228</v>
      </c>
    </row>
    <row r="322" spans="1:16" ht="16.2" customHeight="1" x14ac:dyDescent="0.25">
      <c r="A322" s="106"/>
      <c r="B322" s="102"/>
      <c r="C322" s="104"/>
      <c r="D322" s="107"/>
      <c r="E322" s="109"/>
      <c r="F322" s="20" t="s">
        <v>389</v>
      </c>
      <c r="G322" s="17" t="s">
        <v>8</v>
      </c>
      <c r="H322" s="18">
        <f>67577+208</f>
        <v>67785</v>
      </c>
      <c r="I322" s="18">
        <v>67172</v>
      </c>
      <c r="J322" s="18">
        <v>63797</v>
      </c>
      <c r="K322" s="18">
        <v>59568</v>
      </c>
      <c r="L322" s="18">
        <v>55484</v>
      </c>
      <c r="M322" s="53">
        <v>51105</v>
      </c>
      <c r="N322" s="53">
        <v>46879</v>
      </c>
      <c r="O322" s="53">
        <v>237148</v>
      </c>
      <c r="P322" s="18">
        <f>SUM(H322:O322)</f>
        <v>648938</v>
      </c>
    </row>
    <row r="323" spans="1:16" ht="16.2" customHeight="1" x14ac:dyDescent="0.25">
      <c r="A323" s="106"/>
      <c r="B323" s="102"/>
      <c r="C323" s="104"/>
      <c r="D323" s="107"/>
      <c r="E323" s="109"/>
      <c r="F323" s="15"/>
      <c r="G323" s="15" t="s">
        <v>105</v>
      </c>
      <c r="H323" s="16">
        <f t="shared" ref="H323:P323" si="111">SUM(H321:H322)</f>
        <v>139262</v>
      </c>
      <c r="I323" s="16">
        <f t="shared" si="111"/>
        <v>163036</v>
      </c>
      <c r="J323" s="16">
        <f t="shared" si="111"/>
        <v>159661</v>
      </c>
      <c r="K323" s="16">
        <f t="shared" si="111"/>
        <v>155432</v>
      </c>
      <c r="L323" s="16">
        <f t="shared" si="111"/>
        <v>151348</v>
      </c>
      <c r="M323" s="16">
        <f t="shared" si="111"/>
        <v>146969</v>
      </c>
      <c r="N323" s="16">
        <f t="shared" si="111"/>
        <v>142743</v>
      </c>
      <c r="O323" s="16">
        <f t="shared" si="111"/>
        <v>1219715</v>
      </c>
      <c r="P323" s="16">
        <f t="shared" si="111"/>
        <v>2278166</v>
      </c>
    </row>
    <row r="324" spans="1:16" ht="16.2" customHeight="1" x14ac:dyDescent="0.25">
      <c r="A324" s="106">
        <f>A321+1</f>
        <v>106</v>
      </c>
      <c r="B324" s="102" t="s">
        <v>11</v>
      </c>
      <c r="C324" s="103" t="s">
        <v>472</v>
      </c>
      <c r="D324" s="107">
        <v>44237</v>
      </c>
      <c r="E324" s="109" t="s">
        <v>393</v>
      </c>
      <c r="F324" s="41" t="s">
        <v>391</v>
      </c>
      <c r="G324" s="13" t="s">
        <v>5</v>
      </c>
      <c r="H324" s="14">
        <f>880448-242512</f>
        <v>637936</v>
      </c>
      <c r="I324" s="14">
        <f>880448+12764</f>
        <v>893212</v>
      </c>
      <c r="J324" s="14">
        <f t="shared" ref="J324:N324" si="112">880448+12764</f>
        <v>893212</v>
      </c>
      <c r="K324" s="14">
        <f t="shared" si="112"/>
        <v>893212</v>
      </c>
      <c r="L324" s="14">
        <f t="shared" si="112"/>
        <v>893212</v>
      </c>
      <c r="M324" s="14">
        <f t="shared" si="112"/>
        <v>893212</v>
      </c>
      <c r="N324" s="14">
        <f t="shared" si="112"/>
        <v>893212</v>
      </c>
      <c r="O324" s="14">
        <f>12326241-880448+165928</f>
        <v>11611721</v>
      </c>
      <c r="P324" s="14">
        <f>SUM(H324:O324)</f>
        <v>17608929</v>
      </c>
    </row>
    <row r="325" spans="1:16" ht="16.2" customHeight="1" x14ac:dyDescent="0.25">
      <c r="A325" s="106"/>
      <c r="B325" s="102"/>
      <c r="C325" s="104"/>
      <c r="D325" s="107"/>
      <c r="E325" s="109"/>
      <c r="F325" s="20" t="s">
        <v>392</v>
      </c>
      <c r="G325" s="17" t="s">
        <v>8</v>
      </c>
      <c r="H325" s="18">
        <f>732344+2179</f>
        <v>734523</v>
      </c>
      <c r="I325" s="18">
        <v>723499</v>
      </c>
      <c r="J325" s="18">
        <v>691093</v>
      </c>
      <c r="K325" s="18">
        <v>652342</v>
      </c>
      <c r="L325" s="18">
        <v>615210</v>
      </c>
      <c r="M325" s="53">
        <v>574788</v>
      </c>
      <c r="N325" s="53">
        <v>536064</v>
      </c>
      <c r="O325" s="53">
        <v>3449512</v>
      </c>
      <c r="P325" s="18">
        <f>SUM(H325:O325)</f>
        <v>7977031</v>
      </c>
    </row>
    <row r="326" spans="1:16" ht="16.2" customHeight="1" x14ac:dyDescent="0.25">
      <c r="A326" s="106"/>
      <c r="B326" s="102"/>
      <c r="C326" s="104"/>
      <c r="D326" s="107"/>
      <c r="E326" s="109"/>
      <c r="F326" s="15"/>
      <c r="G326" s="15" t="s">
        <v>105</v>
      </c>
      <c r="H326" s="16">
        <f t="shared" ref="H326:P326" si="113">SUM(H324:H325)</f>
        <v>1372459</v>
      </c>
      <c r="I326" s="16">
        <f t="shared" si="113"/>
        <v>1616711</v>
      </c>
      <c r="J326" s="16">
        <f t="shared" si="113"/>
        <v>1584305</v>
      </c>
      <c r="K326" s="16">
        <f t="shared" si="113"/>
        <v>1545554</v>
      </c>
      <c r="L326" s="16">
        <f t="shared" si="113"/>
        <v>1508422</v>
      </c>
      <c r="M326" s="16">
        <f t="shared" si="113"/>
        <v>1468000</v>
      </c>
      <c r="N326" s="16">
        <f t="shared" si="113"/>
        <v>1429276</v>
      </c>
      <c r="O326" s="16">
        <f t="shared" si="113"/>
        <v>15061233</v>
      </c>
      <c r="P326" s="16">
        <f t="shared" si="113"/>
        <v>25585960</v>
      </c>
    </row>
    <row r="327" spans="1:16" ht="15.75" customHeight="1" x14ac:dyDescent="0.25">
      <c r="A327" s="106">
        <f>A324+1</f>
        <v>107</v>
      </c>
      <c r="B327" s="102" t="s">
        <v>11</v>
      </c>
      <c r="C327" s="103" t="s">
        <v>628</v>
      </c>
      <c r="D327" s="107">
        <v>44251</v>
      </c>
      <c r="E327" s="109" t="s">
        <v>396</v>
      </c>
      <c r="F327" s="41" t="s">
        <v>394</v>
      </c>
      <c r="G327" s="13" t="s">
        <v>5</v>
      </c>
      <c r="H327" s="14">
        <f>25484-6579</f>
        <v>18905</v>
      </c>
      <c r="I327" s="14">
        <v>25892</v>
      </c>
      <c r="J327" s="14">
        <v>25892</v>
      </c>
      <c r="K327" s="14">
        <v>25892</v>
      </c>
      <c r="L327" s="14">
        <v>25892</v>
      </c>
      <c r="M327" s="14">
        <v>25892</v>
      </c>
      <c r="N327" s="14">
        <v>25892</v>
      </c>
      <c r="O327" s="14">
        <f>286695-25484+4131</f>
        <v>265342</v>
      </c>
      <c r="P327" s="14">
        <f>SUM(H327:O327)</f>
        <v>439599</v>
      </c>
    </row>
    <row r="328" spans="1:16" ht="15.75" customHeight="1" x14ac:dyDescent="0.25">
      <c r="A328" s="106"/>
      <c r="B328" s="102"/>
      <c r="C328" s="103"/>
      <c r="D328" s="107"/>
      <c r="E328" s="109"/>
      <c r="F328" s="20" t="s">
        <v>395</v>
      </c>
      <c r="G328" s="17" t="s">
        <v>8</v>
      </c>
      <c r="H328" s="18">
        <f>18253+270</f>
        <v>18523</v>
      </c>
      <c r="I328" s="18">
        <v>17786</v>
      </c>
      <c r="J328" s="18">
        <v>16714</v>
      </c>
      <c r="K328" s="18">
        <v>15606</v>
      </c>
      <c r="L328" s="18">
        <v>14536</v>
      </c>
      <c r="M328" s="53">
        <v>13389</v>
      </c>
      <c r="N328" s="53">
        <v>12281</v>
      </c>
      <c r="O328" s="53">
        <v>62141</v>
      </c>
      <c r="P328" s="18">
        <f>SUM(H328:O328)</f>
        <v>170976</v>
      </c>
    </row>
    <row r="329" spans="1:16" ht="15.75" customHeight="1" x14ac:dyDescent="0.25">
      <c r="A329" s="106"/>
      <c r="B329" s="102"/>
      <c r="C329" s="103"/>
      <c r="D329" s="107"/>
      <c r="E329" s="109"/>
      <c r="F329" s="15"/>
      <c r="G329" s="15" t="s">
        <v>105</v>
      </c>
      <c r="H329" s="16">
        <f t="shared" ref="H329:P329" si="114">SUM(H327:H328)</f>
        <v>37428</v>
      </c>
      <c r="I329" s="16">
        <f t="shared" si="114"/>
        <v>43678</v>
      </c>
      <c r="J329" s="16">
        <f t="shared" si="114"/>
        <v>42606</v>
      </c>
      <c r="K329" s="16">
        <f t="shared" si="114"/>
        <v>41498</v>
      </c>
      <c r="L329" s="16">
        <f t="shared" si="114"/>
        <v>40428</v>
      </c>
      <c r="M329" s="16">
        <f t="shared" si="114"/>
        <v>39281</v>
      </c>
      <c r="N329" s="16">
        <f t="shared" si="114"/>
        <v>38173</v>
      </c>
      <c r="O329" s="16">
        <f t="shared" si="114"/>
        <v>327483</v>
      </c>
      <c r="P329" s="16">
        <f t="shared" si="114"/>
        <v>610575</v>
      </c>
    </row>
    <row r="330" spans="1:16" ht="15.75" customHeight="1" x14ac:dyDescent="0.25">
      <c r="A330" s="106">
        <f>A327+1</f>
        <v>108</v>
      </c>
      <c r="B330" s="102" t="s">
        <v>11</v>
      </c>
      <c r="C330" s="103" t="s">
        <v>497</v>
      </c>
      <c r="D330" s="107">
        <v>44280</v>
      </c>
      <c r="E330" s="109" t="s">
        <v>399</v>
      </c>
      <c r="F330" s="41" t="s">
        <v>397</v>
      </c>
      <c r="G330" s="13" t="s">
        <v>5</v>
      </c>
      <c r="H330" s="14">
        <f>751*4-639</f>
        <v>2365</v>
      </c>
      <c r="I330" s="14">
        <v>3064</v>
      </c>
      <c r="J330" s="14">
        <v>3064</v>
      </c>
      <c r="K330" s="14">
        <v>3064</v>
      </c>
      <c r="L330" s="14">
        <v>3064</v>
      </c>
      <c r="M330" s="14">
        <v>3064</v>
      </c>
      <c r="N330" s="14">
        <v>3064</v>
      </c>
      <c r="O330" s="14">
        <f>18775-3004+279</f>
        <v>16050</v>
      </c>
      <c r="P330" s="14">
        <f>SUM(H330:O330)</f>
        <v>36799</v>
      </c>
    </row>
    <row r="331" spans="1:16" ht="15.75" customHeight="1" x14ac:dyDescent="0.25">
      <c r="A331" s="106"/>
      <c r="B331" s="102"/>
      <c r="C331" s="103"/>
      <c r="D331" s="107"/>
      <c r="E331" s="109"/>
      <c r="F331" s="20" t="s">
        <v>398</v>
      </c>
      <c r="G331" s="17" t="s">
        <v>8</v>
      </c>
      <c r="H331" s="18">
        <f>1473+11</f>
        <v>1484</v>
      </c>
      <c r="I331" s="18">
        <v>1413</v>
      </c>
      <c r="J331" s="18">
        <v>1297</v>
      </c>
      <c r="K331" s="18">
        <v>1169</v>
      </c>
      <c r="L331" s="18">
        <v>1043</v>
      </c>
      <c r="M331" s="18">
        <v>911</v>
      </c>
      <c r="N331" s="18">
        <v>782</v>
      </c>
      <c r="O331" s="18">
        <v>2006</v>
      </c>
      <c r="P331" s="18">
        <f>SUM(H331:O331)</f>
        <v>10105</v>
      </c>
    </row>
    <row r="332" spans="1:16" ht="15.75" customHeight="1" x14ac:dyDescent="0.25">
      <c r="A332" s="106"/>
      <c r="B332" s="102"/>
      <c r="C332" s="103"/>
      <c r="D332" s="107"/>
      <c r="E332" s="109"/>
      <c r="F332" s="15"/>
      <c r="G332" s="15" t="s">
        <v>105</v>
      </c>
      <c r="H332" s="16">
        <f t="shared" ref="H332:P332" si="115">SUM(H330:H331)</f>
        <v>3849</v>
      </c>
      <c r="I332" s="16">
        <f t="shared" si="115"/>
        <v>4477</v>
      </c>
      <c r="J332" s="16">
        <f t="shared" si="115"/>
        <v>4361</v>
      </c>
      <c r="K332" s="16">
        <f t="shared" si="115"/>
        <v>4233</v>
      </c>
      <c r="L332" s="16">
        <f t="shared" si="115"/>
        <v>4107</v>
      </c>
      <c r="M332" s="16">
        <f t="shared" si="115"/>
        <v>3975</v>
      </c>
      <c r="N332" s="16">
        <f t="shared" si="115"/>
        <v>3846</v>
      </c>
      <c r="O332" s="16">
        <f t="shared" si="115"/>
        <v>18056</v>
      </c>
      <c r="P332" s="16">
        <f t="shared" si="115"/>
        <v>46904</v>
      </c>
    </row>
    <row r="333" spans="1:16" ht="24" customHeight="1" x14ac:dyDescent="0.25">
      <c r="A333" s="106">
        <f>A330+1</f>
        <v>109</v>
      </c>
      <c r="B333" s="102" t="s">
        <v>11</v>
      </c>
      <c r="C333" s="132" t="s">
        <v>631</v>
      </c>
      <c r="D333" s="107">
        <v>44315</v>
      </c>
      <c r="E333" s="109" t="s">
        <v>402</v>
      </c>
      <c r="F333" s="41" t="s">
        <v>400</v>
      </c>
      <c r="G333" s="13" t="s">
        <v>5</v>
      </c>
      <c r="H333" s="14">
        <f>19604-6948</f>
        <v>12656</v>
      </c>
      <c r="I333" s="14">
        <v>20028</v>
      </c>
      <c r="J333" s="14">
        <v>20028</v>
      </c>
      <c r="K333" s="14">
        <v>20028</v>
      </c>
      <c r="L333" s="14">
        <v>20028</v>
      </c>
      <c r="M333" s="14">
        <v>20028</v>
      </c>
      <c r="N333" s="14">
        <v>20028</v>
      </c>
      <c r="O333" s="14">
        <f>225446-19604+4404</f>
        <v>210246</v>
      </c>
      <c r="P333" s="14">
        <f>SUM(H333:O333)</f>
        <v>343070</v>
      </c>
    </row>
    <row r="334" spans="1:16" ht="20.399999999999999" customHeight="1" x14ac:dyDescent="0.25">
      <c r="A334" s="106"/>
      <c r="B334" s="102"/>
      <c r="C334" s="132"/>
      <c r="D334" s="107"/>
      <c r="E334" s="109"/>
      <c r="F334" s="20" t="s">
        <v>401</v>
      </c>
      <c r="G334" s="17" t="s">
        <v>8</v>
      </c>
      <c r="H334" s="18">
        <f>14630+193</f>
        <v>14823</v>
      </c>
      <c r="I334" s="18">
        <v>13897</v>
      </c>
      <c r="J334" s="18">
        <v>13065</v>
      </c>
      <c r="K334" s="18">
        <v>12213</v>
      </c>
      <c r="L334" s="18">
        <v>11390</v>
      </c>
      <c r="M334" s="53">
        <v>10507</v>
      </c>
      <c r="N334" s="53">
        <v>9656</v>
      </c>
      <c r="O334" s="53">
        <v>50044</v>
      </c>
      <c r="P334" s="18">
        <f>SUM(H334:O334)</f>
        <v>135595</v>
      </c>
    </row>
    <row r="335" spans="1:16" ht="20.399999999999999" customHeight="1" x14ac:dyDescent="0.25">
      <c r="A335" s="106"/>
      <c r="B335" s="102"/>
      <c r="C335" s="132"/>
      <c r="D335" s="107"/>
      <c r="E335" s="109"/>
      <c r="F335" s="15"/>
      <c r="G335" s="15" t="s">
        <v>105</v>
      </c>
      <c r="H335" s="16">
        <f t="shared" ref="H335:P335" si="116">SUM(H333:H334)</f>
        <v>27479</v>
      </c>
      <c r="I335" s="16">
        <f t="shared" si="116"/>
        <v>33925</v>
      </c>
      <c r="J335" s="16">
        <f t="shared" si="116"/>
        <v>33093</v>
      </c>
      <c r="K335" s="16">
        <f t="shared" si="116"/>
        <v>32241</v>
      </c>
      <c r="L335" s="16">
        <f t="shared" si="116"/>
        <v>31418</v>
      </c>
      <c r="M335" s="16">
        <f t="shared" si="116"/>
        <v>30535</v>
      </c>
      <c r="N335" s="16">
        <f t="shared" si="116"/>
        <v>29684</v>
      </c>
      <c r="O335" s="16">
        <f t="shared" si="116"/>
        <v>260290</v>
      </c>
      <c r="P335" s="16">
        <f t="shared" si="116"/>
        <v>478665</v>
      </c>
    </row>
    <row r="336" spans="1:16" ht="15.75" customHeight="1" x14ac:dyDescent="0.25">
      <c r="A336" s="106">
        <f>A333+1</f>
        <v>110</v>
      </c>
      <c r="B336" s="102" t="s">
        <v>11</v>
      </c>
      <c r="C336" s="103" t="s">
        <v>476</v>
      </c>
      <c r="D336" s="107">
        <v>44326</v>
      </c>
      <c r="E336" s="109" t="s">
        <v>122</v>
      </c>
      <c r="F336" s="41" t="s">
        <v>403</v>
      </c>
      <c r="G336" s="13" t="s">
        <v>5</v>
      </c>
      <c r="H336" s="14">
        <f>142756-2479</f>
        <v>140277</v>
      </c>
      <c r="I336" s="14">
        <v>68564</v>
      </c>
      <c r="J336" s="14">
        <v>44236</v>
      </c>
      <c r="K336" s="14">
        <f>21622+495</f>
        <v>22117</v>
      </c>
      <c r="L336" s="14">
        <v>0</v>
      </c>
      <c r="M336" s="14">
        <v>0</v>
      </c>
      <c r="N336" s="14">
        <v>0</v>
      </c>
      <c r="O336" s="14">
        <v>0</v>
      </c>
      <c r="P336" s="14">
        <f>SUM(H336:O336)</f>
        <v>275194</v>
      </c>
    </row>
    <row r="337" spans="1:16" ht="15.75" customHeight="1" x14ac:dyDescent="0.25">
      <c r="A337" s="106"/>
      <c r="B337" s="102"/>
      <c r="C337" s="104"/>
      <c r="D337" s="107"/>
      <c r="E337" s="109"/>
      <c r="F337" s="20" t="s">
        <v>404</v>
      </c>
      <c r="G337" s="17" t="s">
        <v>8</v>
      </c>
      <c r="H337" s="18">
        <f>9818+646+43</f>
        <v>10507</v>
      </c>
      <c r="I337" s="18">
        <f>4910+325</f>
        <v>5235</v>
      </c>
      <c r="J337" s="18">
        <f>2334+154</f>
        <v>2488</v>
      </c>
      <c r="K337" s="18">
        <f>562+37</f>
        <v>599</v>
      </c>
      <c r="L337" s="18">
        <v>0</v>
      </c>
      <c r="M337" s="18">
        <v>0</v>
      </c>
      <c r="N337" s="18">
        <v>0</v>
      </c>
      <c r="O337" s="18">
        <v>0</v>
      </c>
      <c r="P337" s="18">
        <f>SUM(H337:O337)</f>
        <v>18829</v>
      </c>
    </row>
    <row r="338" spans="1:16" ht="15.75" customHeight="1" x14ac:dyDescent="0.25">
      <c r="A338" s="106"/>
      <c r="B338" s="102"/>
      <c r="C338" s="104"/>
      <c r="D338" s="107"/>
      <c r="E338" s="109"/>
      <c r="F338" s="15"/>
      <c r="G338" s="15" t="s">
        <v>105</v>
      </c>
      <c r="H338" s="16">
        <f t="shared" ref="H338:P338" si="117">SUM(H336:H337)</f>
        <v>150784</v>
      </c>
      <c r="I338" s="16">
        <f t="shared" si="117"/>
        <v>73799</v>
      </c>
      <c r="J338" s="16">
        <f t="shared" si="117"/>
        <v>46724</v>
      </c>
      <c r="K338" s="16">
        <f t="shared" si="117"/>
        <v>22716</v>
      </c>
      <c r="L338" s="16">
        <f t="shared" si="117"/>
        <v>0</v>
      </c>
      <c r="M338" s="16">
        <f t="shared" si="117"/>
        <v>0</v>
      </c>
      <c r="N338" s="16">
        <f>SUM(N336:N337)</f>
        <v>0</v>
      </c>
      <c r="O338" s="16">
        <f t="shared" si="117"/>
        <v>0</v>
      </c>
      <c r="P338" s="16">
        <f t="shared" si="117"/>
        <v>294023</v>
      </c>
    </row>
    <row r="339" spans="1:16" ht="15.75" customHeight="1" x14ac:dyDescent="0.25">
      <c r="A339" s="106">
        <f>A336+1</f>
        <v>111</v>
      </c>
      <c r="B339" s="102" t="s">
        <v>11</v>
      </c>
      <c r="C339" s="104" t="s">
        <v>43</v>
      </c>
      <c r="D339" s="107">
        <v>44358</v>
      </c>
      <c r="E339" s="109" t="s">
        <v>408</v>
      </c>
      <c r="F339" s="41" t="s">
        <v>405</v>
      </c>
      <c r="G339" s="13" t="s">
        <v>5</v>
      </c>
      <c r="H339" s="14">
        <f>15592-3365</f>
        <v>12227</v>
      </c>
      <c r="I339" s="14">
        <v>16112</v>
      </c>
      <c r="J339" s="14">
        <v>16112</v>
      </c>
      <c r="K339" s="14">
        <v>16112</v>
      </c>
      <c r="L339" s="14">
        <v>16112</v>
      </c>
      <c r="M339" s="14">
        <v>16112</v>
      </c>
      <c r="N339" s="14">
        <v>16112</v>
      </c>
      <c r="O339" s="14">
        <f>23388-15592+245</f>
        <v>8041</v>
      </c>
      <c r="P339" s="14">
        <f>SUM(H339:O339)</f>
        <v>116940</v>
      </c>
    </row>
    <row r="340" spans="1:16" ht="15.75" customHeight="1" x14ac:dyDescent="0.25">
      <c r="A340" s="106"/>
      <c r="B340" s="102"/>
      <c r="C340" s="104"/>
      <c r="D340" s="107"/>
      <c r="E340" s="109"/>
      <c r="F340" s="20" t="s">
        <v>409</v>
      </c>
      <c r="G340" s="17" t="s">
        <v>8</v>
      </c>
      <c r="H340" s="18">
        <f>4098+61</f>
        <v>4159</v>
      </c>
      <c r="I340" s="18">
        <v>4259</v>
      </c>
      <c r="J340" s="18">
        <v>3596</v>
      </c>
      <c r="K340" s="18">
        <v>2923</v>
      </c>
      <c r="L340" s="40">
        <v>2255</v>
      </c>
      <c r="M340" s="53">
        <v>1576</v>
      </c>
      <c r="N340" s="53">
        <v>903</v>
      </c>
      <c r="O340" s="53">
        <v>221</v>
      </c>
      <c r="P340" s="18">
        <f>SUM(H340:O340)</f>
        <v>19892</v>
      </c>
    </row>
    <row r="341" spans="1:16" ht="15.75" customHeight="1" x14ac:dyDescent="0.25">
      <c r="A341" s="106"/>
      <c r="B341" s="102"/>
      <c r="C341" s="104"/>
      <c r="D341" s="107"/>
      <c r="E341" s="109"/>
      <c r="F341" s="15"/>
      <c r="G341" s="15" t="s">
        <v>105</v>
      </c>
      <c r="H341" s="16">
        <f t="shared" ref="H341:P341" si="118">SUM(H339:H340)</f>
        <v>16386</v>
      </c>
      <c r="I341" s="16">
        <f t="shared" si="118"/>
        <v>20371</v>
      </c>
      <c r="J341" s="16">
        <f t="shared" si="118"/>
        <v>19708</v>
      </c>
      <c r="K341" s="16">
        <f t="shared" si="118"/>
        <v>19035</v>
      </c>
      <c r="L341" s="16">
        <f t="shared" si="118"/>
        <v>18367</v>
      </c>
      <c r="M341" s="16">
        <f t="shared" si="118"/>
        <v>17688</v>
      </c>
      <c r="N341" s="16">
        <f t="shared" si="118"/>
        <v>17015</v>
      </c>
      <c r="O341" s="16">
        <f t="shared" si="118"/>
        <v>8262</v>
      </c>
      <c r="P341" s="16">
        <f t="shared" si="118"/>
        <v>136832</v>
      </c>
    </row>
    <row r="342" spans="1:16" ht="15.75" customHeight="1" x14ac:dyDescent="0.25">
      <c r="A342" s="106">
        <f>A339+1</f>
        <v>112</v>
      </c>
      <c r="B342" s="102" t="s">
        <v>11</v>
      </c>
      <c r="C342" s="104" t="s">
        <v>87</v>
      </c>
      <c r="D342" s="107">
        <v>44358</v>
      </c>
      <c r="E342" s="109" t="s">
        <v>407</v>
      </c>
      <c r="F342" s="41" t="s">
        <v>410</v>
      </c>
      <c r="G342" s="13" t="s">
        <v>5</v>
      </c>
      <c r="H342" s="14">
        <f>27632-10193</f>
        <v>17439</v>
      </c>
      <c r="I342" s="14">
        <v>28252</v>
      </c>
      <c r="J342" s="14">
        <v>28252</v>
      </c>
      <c r="K342" s="14">
        <v>28252</v>
      </c>
      <c r="L342" s="14">
        <v>28252</v>
      </c>
      <c r="M342" s="14">
        <v>28252</v>
      </c>
      <c r="N342" s="14">
        <v>28252</v>
      </c>
      <c r="O342" s="14">
        <f>317768-27632+6473</f>
        <v>296609</v>
      </c>
      <c r="P342" s="14">
        <f>SUM(H342:O342)</f>
        <v>483560</v>
      </c>
    </row>
    <row r="343" spans="1:16" ht="15.75" customHeight="1" x14ac:dyDescent="0.25">
      <c r="A343" s="106"/>
      <c r="B343" s="102"/>
      <c r="C343" s="104"/>
      <c r="D343" s="107"/>
      <c r="E343" s="109"/>
      <c r="F343" s="20" t="s">
        <v>406</v>
      </c>
      <c r="G343" s="17" t="s">
        <v>8</v>
      </c>
      <c r="H343" s="18">
        <f>21302+225</f>
        <v>21527</v>
      </c>
      <c r="I343" s="18">
        <v>19978</v>
      </c>
      <c r="J343" s="18">
        <v>18782</v>
      </c>
      <c r="K343" s="18">
        <v>17557</v>
      </c>
      <c r="L343" s="53">
        <v>16375</v>
      </c>
      <c r="M343" s="53">
        <v>15106</v>
      </c>
      <c r="N343" s="53">
        <v>13882</v>
      </c>
      <c r="O343" s="53">
        <v>71977</v>
      </c>
      <c r="P343" s="18">
        <f>SUM(H343:O343)</f>
        <v>195184</v>
      </c>
    </row>
    <row r="344" spans="1:16" ht="15.75" customHeight="1" x14ac:dyDescent="0.25">
      <c r="A344" s="106"/>
      <c r="B344" s="102"/>
      <c r="C344" s="104"/>
      <c r="D344" s="107"/>
      <c r="E344" s="109"/>
      <c r="F344" s="15"/>
      <c r="G344" s="15" t="s">
        <v>105</v>
      </c>
      <c r="H344" s="16">
        <f t="shared" ref="H344:P344" si="119">SUM(H342:H343)</f>
        <v>38966</v>
      </c>
      <c r="I344" s="16">
        <f t="shared" si="119"/>
        <v>48230</v>
      </c>
      <c r="J344" s="16">
        <f t="shared" si="119"/>
        <v>47034</v>
      </c>
      <c r="K344" s="16">
        <f t="shared" si="119"/>
        <v>45809</v>
      </c>
      <c r="L344" s="16">
        <f t="shared" si="119"/>
        <v>44627</v>
      </c>
      <c r="M344" s="16">
        <f t="shared" si="119"/>
        <v>43358</v>
      </c>
      <c r="N344" s="16">
        <f t="shared" si="119"/>
        <v>42134</v>
      </c>
      <c r="O344" s="16">
        <f t="shared" si="119"/>
        <v>368586</v>
      </c>
      <c r="P344" s="16">
        <f t="shared" si="119"/>
        <v>678744</v>
      </c>
    </row>
    <row r="345" spans="1:16" ht="15.75" customHeight="1" x14ac:dyDescent="0.25">
      <c r="A345" s="106">
        <f>A342+1</f>
        <v>113</v>
      </c>
      <c r="B345" s="102" t="s">
        <v>11</v>
      </c>
      <c r="C345" s="104" t="s">
        <v>88</v>
      </c>
      <c r="D345" s="107">
        <v>44375</v>
      </c>
      <c r="E345" s="135" t="s">
        <v>413</v>
      </c>
      <c r="F345" s="41" t="s">
        <v>411</v>
      </c>
      <c r="G345" s="13" t="s">
        <v>5</v>
      </c>
      <c r="H345" s="14">
        <f>27588-7228</f>
        <v>20360</v>
      </c>
      <c r="I345" s="14">
        <v>28220</v>
      </c>
      <c r="J345" s="14">
        <v>28220</v>
      </c>
      <c r="K345" s="14">
        <v>28220</v>
      </c>
      <c r="L345" s="14">
        <v>28220</v>
      </c>
      <c r="M345" s="14">
        <v>28220</v>
      </c>
      <c r="N345" s="14">
        <v>28220</v>
      </c>
      <c r="O345" s="14">
        <f>179322-27588+3436</f>
        <v>155170</v>
      </c>
      <c r="P345" s="14">
        <f>SUM(H345:O345)</f>
        <v>344850</v>
      </c>
    </row>
    <row r="346" spans="1:16" ht="15.75" customHeight="1" x14ac:dyDescent="0.25">
      <c r="A346" s="106"/>
      <c r="B346" s="102"/>
      <c r="C346" s="104"/>
      <c r="D346" s="107"/>
      <c r="E346" s="135"/>
      <c r="F346" s="20" t="s">
        <v>412</v>
      </c>
      <c r="G346" s="17" t="s">
        <v>8</v>
      </c>
      <c r="H346" s="18">
        <f>15345+145</f>
        <v>15490</v>
      </c>
      <c r="I346" s="18">
        <v>13600</v>
      </c>
      <c r="J346" s="18">
        <v>12420</v>
      </c>
      <c r="K346" s="18">
        <v>11219</v>
      </c>
      <c r="L346" s="53">
        <v>10043</v>
      </c>
      <c r="M346" s="53">
        <v>8814</v>
      </c>
      <c r="N346" s="53">
        <v>7614</v>
      </c>
      <c r="O346" s="53">
        <v>20503</v>
      </c>
      <c r="P346" s="18">
        <f>SUM(H346:O346)</f>
        <v>99703</v>
      </c>
    </row>
    <row r="347" spans="1:16" ht="18" customHeight="1" x14ac:dyDescent="0.25">
      <c r="A347" s="106"/>
      <c r="B347" s="102"/>
      <c r="C347" s="104"/>
      <c r="D347" s="107"/>
      <c r="E347" s="135"/>
      <c r="F347" s="15"/>
      <c r="G347" s="15" t="s">
        <v>105</v>
      </c>
      <c r="H347" s="16">
        <f t="shared" ref="H347:P347" si="120">SUM(H345:H346)</f>
        <v>35850</v>
      </c>
      <c r="I347" s="16">
        <f t="shared" si="120"/>
        <v>41820</v>
      </c>
      <c r="J347" s="16">
        <f t="shared" si="120"/>
        <v>40640</v>
      </c>
      <c r="K347" s="16">
        <f t="shared" si="120"/>
        <v>39439</v>
      </c>
      <c r="L347" s="16">
        <f t="shared" si="120"/>
        <v>38263</v>
      </c>
      <c r="M347" s="16">
        <f t="shared" si="120"/>
        <v>37034</v>
      </c>
      <c r="N347" s="16">
        <f t="shared" si="120"/>
        <v>35834</v>
      </c>
      <c r="O347" s="16">
        <f t="shared" si="120"/>
        <v>175673</v>
      </c>
      <c r="P347" s="16">
        <f t="shared" si="120"/>
        <v>444553</v>
      </c>
    </row>
    <row r="348" spans="1:16" ht="15.75" customHeight="1" x14ac:dyDescent="0.25">
      <c r="A348" s="106">
        <f>A345+1</f>
        <v>114</v>
      </c>
      <c r="B348" s="102" t="s">
        <v>11</v>
      </c>
      <c r="C348" s="103" t="s">
        <v>473</v>
      </c>
      <c r="D348" s="107">
        <v>44376</v>
      </c>
      <c r="E348" s="109" t="s">
        <v>414</v>
      </c>
      <c r="F348" s="41" t="s">
        <v>415</v>
      </c>
      <c r="G348" s="13" t="s">
        <v>5</v>
      </c>
      <c r="H348" s="14">
        <f>29092-7485</f>
        <v>21607</v>
      </c>
      <c r="I348" s="14">
        <v>29744</v>
      </c>
      <c r="J348" s="14">
        <v>29744</v>
      </c>
      <c r="K348" s="14">
        <v>29744</v>
      </c>
      <c r="L348" s="14">
        <v>29744</v>
      </c>
      <c r="M348" s="14">
        <v>29744</v>
      </c>
      <c r="N348" s="14">
        <v>29744</v>
      </c>
      <c r="O348" s="14">
        <f>189098-29092+3573</f>
        <v>163579</v>
      </c>
      <c r="P348" s="14">
        <f>SUM(H348:O348)</f>
        <v>363650</v>
      </c>
    </row>
    <row r="349" spans="1:16" ht="15.75" customHeight="1" x14ac:dyDescent="0.25">
      <c r="A349" s="106"/>
      <c r="B349" s="102"/>
      <c r="C349" s="104"/>
      <c r="D349" s="107"/>
      <c r="E349" s="109"/>
      <c r="F349" s="20" t="s">
        <v>416</v>
      </c>
      <c r="G349" s="17" t="s">
        <v>8</v>
      </c>
      <c r="H349" s="18">
        <f>16254+152</f>
        <v>16406</v>
      </c>
      <c r="I349" s="18">
        <v>14336</v>
      </c>
      <c r="J349" s="18">
        <v>13092</v>
      </c>
      <c r="K349" s="18">
        <v>11826</v>
      </c>
      <c r="L349" s="53">
        <v>10586</v>
      </c>
      <c r="M349" s="53">
        <v>9291</v>
      </c>
      <c r="N349" s="53">
        <v>8026</v>
      </c>
      <c r="O349" s="53">
        <v>21617</v>
      </c>
      <c r="P349" s="18">
        <f>SUM(H349:O349)</f>
        <v>105180</v>
      </c>
    </row>
    <row r="350" spans="1:16" ht="15.75" customHeight="1" x14ac:dyDescent="0.25">
      <c r="A350" s="106"/>
      <c r="B350" s="102"/>
      <c r="C350" s="104"/>
      <c r="D350" s="107"/>
      <c r="E350" s="109"/>
      <c r="F350" s="15"/>
      <c r="G350" s="15" t="s">
        <v>105</v>
      </c>
      <c r="H350" s="16">
        <f t="shared" ref="H350:P350" si="121">SUM(H348:H349)</f>
        <v>38013</v>
      </c>
      <c r="I350" s="16">
        <f t="shared" si="121"/>
        <v>44080</v>
      </c>
      <c r="J350" s="16">
        <f t="shared" si="121"/>
        <v>42836</v>
      </c>
      <c r="K350" s="16">
        <f t="shared" si="121"/>
        <v>41570</v>
      </c>
      <c r="L350" s="16">
        <f t="shared" si="121"/>
        <v>40330</v>
      </c>
      <c r="M350" s="16">
        <f t="shared" si="121"/>
        <v>39035</v>
      </c>
      <c r="N350" s="16">
        <f t="shared" si="121"/>
        <v>37770</v>
      </c>
      <c r="O350" s="16">
        <f t="shared" si="121"/>
        <v>185196</v>
      </c>
      <c r="P350" s="16">
        <f t="shared" si="121"/>
        <v>468830</v>
      </c>
    </row>
    <row r="351" spans="1:16" ht="15.75" customHeight="1" x14ac:dyDescent="0.25">
      <c r="A351" s="106">
        <f>A348+1</f>
        <v>115</v>
      </c>
      <c r="B351" s="102" t="s">
        <v>11</v>
      </c>
      <c r="C351" s="103" t="s">
        <v>638</v>
      </c>
      <c r="D351" s="107">
        <v>44412</v>
      </c>
      <c r="E351" s="109" t="s">
        <v>417</v>
      </c>
      <c r="F351" s="41" t="s">
        <v>92</v>
      </c>
      <c r="G351" s="13" t="s">
        <v>5</v>
      </c>
      <c r="H351" s="14">
        <f>16967-16967</f>
        <v>0</v>
      </c>
      <c r="I351" s="14">
        <v>34784</v>
      </c>
      <c r="J351" s="14">
        <v>34784</v>
      </c>
      <c r="K351" s="14">
        <v>34784</v>
      </c>
      <c r="L351" s="14">
        <v>34784</v>
      </c>
      <c r="M351" s="14">
        <v>34784</v>
      </c>
      <c r="N351" s="14">
        <v>34784</v>
      </c>
      <c r="O351" s="14">
        <f>8696*82+8650</f>
        <v>721722</v>
      </c>
      <c r="P351" s="14">
        <f>SUM(H351:O351)</f>
        <v>930426</v>
      </c>
    </row>
    <row r="352" spans="1:16" ht="15.75" customHeight="1" x14ac:dyDescent="0.25">
      <c r="A352" s="106"/>
      <c r="B352" s="102"/>
      <c r="C352" s="104"/>
      <c r="D352" s="107"/>
      <c r="E352" s="109"/>
      <c r="F352" s="20" t="s">
        <v>418</v>
      </c>
      <c r="G352" s="17" t="s">
        <v>8</v>
      </c>
      <c r="H352" s="18">
        <f>45462+168</f>
        <v>45630</v>
      </c>
      <c r="I352" s="18">
        <v>42753</v>
      </c>
      <c r="J352" s="18">
        <v>41234</v>
      </c>
      <c r="K352" s="18">
        <v>39622</v>
      </c>
      <c r="L352" s="18">
        <v>38111</v>
      </c>
      <c r="M352" s="18">
        <v>36395</v>
      </c>
      <c r="N352" s="18">
        <v>34784</v>
      </c>
      <c r="O352" s="18">
        <v>358356</v>
      </c>
      <c r="P352" s="18">
        <f>SUM(H352:O352)</f>
        <v>636885</v>
      </c>
    </row>
    <row r="353" spans="1:16" ht="15.75" customHeight="1" x14ac:dyDescent="0.25">
      <c r="A353" s="106"/>
      <c r="B353" s="102"/>
      <c r="C353" s="104"/>
      <c r="D353" s="107"/>
      <c r="E353" s="109"/>
      <c r="F353" s="15"/>
      <c r="G353" s="15" t="s">
        <v>105</v>
      </c>
      <c r="H353" s="16">
        <f t="shared" ref="H353:P353" si="122">SUM(H351:H352)</f>
        <v>45630</v>
      </c>
      <c r="I353" s="16">
        <f t="shared" si="122"/>
        <v>77537</v>
      </c>
      <c r="J353" s="16">
        <f t="shared" si="122"/>
        <v>76018</v>
      </c>
      <c r="K353" s="16">
        <f t="shared" si="122"/>
        <v>74406</v>
      </c>
      <c r="L353" s="16">
        <f t="shared" si="122"/>
        <v>72895</v>
      </c>
      <c r="M353" s="16">
        <f t="shared" si="122"/>
        <v>71179</v>
      </c>
      <c r="N353" s="16">
        <f t="shared" si="122"/>
        <v>69568</v>
      </c>
      <c r="O353" s="16">
        <f t="shared" si="122"/>
        <v>1080078</v>
      </c>
      <c r="P353" s="16">
        <f t="shared" si="122"/>
        <v>1567311</v>
      </c>
    </row>
    <row r="354" spans="1:16" ht="15.75" customHeight="1" x14ac:dyDescent="0.25">
      <c r="A354" s="106">
        <f>A351+1</f>
        <v>116</v>
      </c>
      <c r="B354" s="102" t="s">
        <v>11</v>
      </c>
      <c r="C354" s="136" t="s">
        <v>474</v>
      </c>
      <c r="D354" s="109" t="s">
        <v>98</v>
      </c>
      <c r="E354" s="109" t="s">
        <v>420</v>
      </c>
      <c r="F354" s="41" t="s">
        <v>93</v>
      </c>
      <c r="G354" s="13" t="s">
        <v>5</v>
      </c>
      <c r="H354" s="14">
        <f>9996-582</f>
        <v>9414</v>
      </c>
      <c r="I354" s="14">
        <v>9868</v>
      </c>
      <c r="J354" s="14">
        <v>9868</v>
      </c>
      <c r="K354" s="14">
        <v>9868</v>
      </c>
      <c r="L354" s="14">
        <v>7399</v>
      </c>
      <c r="M354" s="14">
        <v>0</v>
      </c>
      <c r="N354" s="14">
        <v>0</v>
      </c>
      <c r="O354" s="14">
        <v>0</v>
      </c>
      <c r="P354" s="14">
        <f>SUM(H354:O354)</f>
        <v>46417</v>
      </c>
    </row>
    <row r="355" spans="1:16" ht="15.75" customHeight="1" x14ac:dyDescent="0.25">
      <c r="A355" s="106"/>
      <c r="B355" s="102"/>
      <c r="C355" s="136"/>
      <c r="D355" s="109"/>
      <c r="E355" s="109"/>
      <c r="F355" s="20" t="s">
        <v>419</v>
      </c>
      <c r="G355" s="17" t="s">
        <v>8</v>
      </c>
      <c r="H355" s="18">
        <f>2053+6</f>
        <v>2059</v>
      </c>
      <c r="I355" s="18">
        <v>1463</v>
      </c>
      <c r="J355" s="18">
        <v>1056</v>
      </c>
      <c r="K355" s="18">
        <v>649</v>
      </c>
      <c r="L355" s="53">
        <v>242</v>
      </c>
      <c r="M355" s="18">
        <v>0</v>
      </c>
      <c r="N355" s="18">
        <v>0</v>
      </c>
      <c r="O355" s="18">
        <v>0</v>
      </c>
      <c r="P355" s="18">
        <f>SUM(H355:O355)</f>
        <v>5469</v>
      </c>
    </row>
    <row r="356" spans="1:16" ht="15.75" customHeight="1" x14ac:dyDescent="0.25">
      <c r="A356" s="106"/>
      <c r="B356" s="102"/>
      <c r="C356" s="136"/>
      <c r="D356" s="109"/>
      <c r="E356" s="109"/>
      <c r="F356" s="15"/>
      <c r="G356" s="15" t="s">
        <v>105</v>
      </c>
      <c r="H356" s="16">
        <f t="shared" ref="H356:P356" si="123">SUM(H354:H355)</f>
        <v>11473</v>
      </c>
      <c r="I356" s="16">
        <f t="shared" si="123"/>
        <v>11331</v>
      </c>
      <c r="J356" s="16">
        <f t="shared" si="123"/>
        <v>10924</v>
      </c>
      <c r="K356" s="16">
        <f t="shared" si="123"/>
        <v>10517</v>
      </c>
      <c r="L356" s="16">
        <f t="shared" si="123"/>
        <v>7641</v>
      </c>
      <c r="M356" s="16">
        <f t="shared" si="123"/>
        <v>0</v>
      </c>
      <c r="N356" s="16">
        <f>SUM(N354:N355)</f>
        <v>0</v>
      </c>
      <c r="O356" s="16">
        <f t="shared" si="123"/>
        <v>0</v>
      </c>
      <c r="P356" s="16">
        <f t="shared" si="123"/>
        <v>51886</v>
      </c>
    </row>
    <row r="357" spans="1:16" ht="15.75" customHeight="1" x14ac:dyDescent="0.25">
      <c r="A357" s="106">
        <f>A354+1</f>
        <v>117</v>
      </c>
      <c r="B357" s="102" t="s">
        <v>11</v>
      </c>
      <c r="C357" s="136" t="s">
        <v>475</v>
      </c>
      <c r="D357" s="109" t="s">
        <v>98</v>
      </c>
      <c r="E357" s="109" t="s">
        <v>420</v>
      </c>
      <c r="F357" s="41" t="s">
        <v>94</v>
      </c>
      <c r="G357" s="13" t="s">
        <v>5</v>
      </c>
      <c r="H357" s="14">
        <f>6072-468</f>
        <v>5604</v>
      </c>
      <c r="I357" s="14">
        <v>6032</v>
      </c>
      <c r="J357" s="14">
        <v>6032</v>
      </c>
      <c r="K357" s="14">
        <v>6032</v>
      </c>
      <c r="L357" s="14">
        <v>6032</v>
      </c>
      <c r="M357" s="14">
        <v>4520</v>
      </c>
      <c r="N357" s="14">
        <v>0</v>
      </c>
      <c r="O357" s="14">
        <v>0</v>
      </c>
      <c r="P357" s="14">
        <f>SUM(H357:O357)</f>
        <v>34252</v>
      </c>
    </row>
    <row r="358" spans="1:16" ht="15.75" customHeight="1" x14ac:dyDescent="0.25">
      <c r="A358" s="106"/>
      <c r="B358" s="102"/>
      <c r="C358" s="136"/>
      <c r="D358" s="109"/>
      <c r="E358" s="109"/>
      <c r="F358" s="20" t="s">
        <v>421</v>
      </c>
      <c r="G358" s="17" t="s">
        <v>8</v>
      </c>
      <c r="H358" s="18">
        <f>1524+4</f>
        <v>1528</v>
      </c>
      <c r="I358" s="18">
        <v>1143</v>
      </c>
      <c r="J358" s="18">
        <v>894</v>
      </c>
      <c r="K358" s="18">
        <v>645</v>
      </c>
      <c r="L358" s="18">
        <v>397</v>
      </c>
      <c r="M358" s="53">
        <v>147</v>
      </c>
      <c r="N358" s="18">
        <v>0</v>
      </c>
      <c r="O358" s="18">
        <v>0</v>
      </c>
      <c r="P358" s="18">
        <f>SUM(H358:O358)</f>
        <v>4754</v>
      </c>
    </row>
    <row r="359" spans="1:16" ht="15.75" customHeight="1" x14ac:dyDescent="0.25">
      <c r="A359" s="106"/>
      <c r="B359" s="102"/>
      <c r="C359" s="136"/>
      <c r="D359" s="109"/>
      <c r="E359" s="109"/>
      <c r="F359" s="15"/>
      <c r="G359" s="15" t="s">
        <v>105</v>
      </c>
      <c r="H359" s="16">
        <f t="shared" ref="H359:P359" si="124">SUM(H357:H358)</f>
        <v>7132</v>
      </c>
      <c r="I359" s="16">
        <f t="shared" si="124"/>
        <v>7175</v>
      </c>
      <c r="J359" s="16">
        <f t="shared" si="124"/>
        <v>6926</v>
      </c>
      <c r="K359" s="16">
        <f t="shared" si="124"/>
        <v>6677</v>
      </c>
      <c r="L359" s="16">
        <f t="shared" si="124"/>
        <v>6429</v>
      </c>
      <c r="M359" s="16">
        <f t="shared" si="124"/>
        <v>4667</v>
      </c>
      <c r="N359" s="16">
        <f t="shared" si="124"/>
        <v>0</v>
      </c>
      <c r="O359" s="16">
        <f t="shared" si="124"/>
        <v>0</v>
      </c>
      <c r="P359" s="16">
        <f t="shared" si="124"/>
        <v>39006</v>
      </c>
    </row>
    <row r="360" spans="1:16" ht="15.75" customHeight="1" x14ac:dyDescent="0.25">
      <c r="A360" s="106">
        <f>A357+1</f>
        <v>118</v>
      </c>
      <c r="B360" s="102" t="s">
        <v>11</v>
      </c>
      <c r="C360" s="137" t="s">
        <v>79</v>
      </c>
      <c r="D360" s="109" t="s">
        <v>98</v>
      </c>
      <c r="E360" s="109" t="s">
        <v>422</v>
      </c>
      <c r="F360" s="41" t="s">
        <v>91</v>
      </c>
      <c r="G360" s="13" t="s">
        <v>5</v>
      </c>
      <c r="H360" s="14">
        <f>13200-4037</f>
        <v>9163</v>
      </c>
      <c r="I360" s="14">
        <v>13444</v>
      </c>
      <c r="J360" s="14">
        <v>13444</v>
      </c>
      <c r="K360" s="14">
        <v>13444</v>
      </c>
      <c r="L360" s="14">
        <v>13444</v>
      </c>
      <c r="M360" s="14">
        <v>13444</v>
      </c>
      <c r="N360" s="14">
        <v>13444</v>
      </c>
      <c r="O360" s="14">
        <v>144473</v>
      </c>
      <c r="P360" s="14">
        <f>SUM(H360:O360)</f>
        <v>234300</v>
      </c>
    </row>
    <row r="361" spans="1:16" ht="15.75" customHeight="1" x14ac:dyDescent="0.25">
      <c r="A361" s="106"/>
      <c r="B361" s="102"/>
      <c r="C361" s="137"/>
      <c r="D361" s="109"/>
      <c r="E361" s="109"/>
      <c r="F361" s="20" t="s">
        <v>423</v>
      </c>
      <c r="G361" s="17" t="s">
        <v>8</v>
      </c>
      <c r="H361" s="18">
        <f>10923+40</f>
        <v>10963</v>
      </c>
      <c r="I361" s="18">
        <v>9476</v>
      </c>
      <c r="J361" s="18">
        <v>8901</v>
      </c>
      <c r="K361" s="18">
        <v>8330</v>
      </c>
      <c r="L361" s="53">
        <v>7779</v>
      </c>
      <c r="M361" s="53">
        <v>7187</v>
      </c>
      <c r="N361" s="53">
        <v>6616</v>
      </c>
      <c r="O361" s="53">
        <v>35133</v>
      </c>
      <c r="P361" s="18">
        <f>SUM(H361:O361)</f>
        <v>94385</v>
      </c>
    </row>
    <row r="362" spans="1:16" ht="15.75" customHeight="1" x14ac:dyDescent="0.25">
      <c r="A362" s="106"/>
      <c r="B362" s="102"/>
      <c r="C362" s="137"/>
      <c r="D362" s="109"/>
      <c r="E362" s="109"/>
      <c r="F362" s="15"/>
      <c r="G362" s="15" t="s">
        <v>105</v>
      </c>
      <c r="H362" s="16">
        <f t="shared" ref="H362:P362" si="125">SUM(H360:H361)</f>
        <v>20126</v>
      </c>
      <c r="I362" s="16">
        <f t="shared" si="125"/>
        <v>22920</v>
      </c>
      <c r="J362" s="16">
        <f t="shared" si="125"/>
        <v>22345</v>
      </c>
      <c r="K362" s="16">
        <f t="shared" si="125"/>
        <v>21774</v>
      </c>
      <c r="L362" s="16">
        <f t="shared" si="125"/>
        <v>21223</v>
      </c>
      <c r="M362" s="16">
        <f t="shared" si="125"/>
        <v>20631</v>
      </c>
      <c r="N362" s="16">
        <f t="shared" si="125"/>
        <v>20060</v>
      </c>
      <c r="O362" s="16">
        <f t="shared" si="125"/>
        <v>179606</v>
      </c>
      <c r="P362" s="16">
        <f t="shared" si="125"/>
        <v>328685</v>
      </c>
    </row>
    <row r="363" spans="1:16" ht="15.75" customHeight="1" x14ac:dyDescent="0.25">
      <c r="A363" s="106">
        <f>A360+1</f>
        <v>119</v>
      </c>
      <c r="B363" s="102" t="s">
        <v>11</v>
      </c>
      <c r="C363" s="138" t="s">
        <v>80</v>
      </c>
      <c r="D363" s="109" t="s">
        <v>99</v>
      </c>
      <c r="E363" s="109" t="s">
        <v>425</v>
      </c>
      <c r="F363" s="41" t="s">
        <v>424</v>
      </c>
      <c r="G363" s="13" t="s">
        <v>5</v>
      </c>
      <c r="H363" s="14">
        <v>18336</v>
      </c>
      <c r="I363" s="14">
        <v>0</v>
      </c>
      <c r="J363" s="14">
        <v>0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f>SUM(H363:O363)</f>
        <v>18336</v>
      </c>
    </row>
    <row r="364" spans="1:16" ht="15.75" customHeight="1" x14ac:dyDescent="0.25">
      <c r="A364" s="106"/>
      <c r="B364" s="102"/>
      <c r="C364" s="138"/>
      <c r="D364" s="109"/>
      <c r="E364" s="109"/>
      <c r="F364" s="20" t="s">
        <v>426</v>
      </c>
      <c r="G364" s="17" t="s">
        <v>8</v>
      </c>
      <c r="H364" s="18">
        <v>37</v>
      </c>
      <c r="I364" s="18">
        <v>0</v>
      </c>
      <c r="J364" s="18">
        <v>0</v>
      </c>
      <c r="K364" s="18">
        <v>0</v>
      </c>
      <c r="L364" s="18">
        <v>0</v>
      </c>
      <c r="M364" s="18">
        <v>0</v>
      </c>
      <c r="N364" s="18">
        <v>0</v>
      </c>
      <c r="O364" s="18">
        <v>0</v>
      </c>
      <c r="P364" s="18">
        <f>SUM(H364:O364)</f>
        <v>37</v>
      </c>
    </row>
    <row r="365" spans="1:16" ht="20.25" customHeight="1" x14ac:dyDescent="0.25">
      <c r="A365" s="106"/>
      <c r="B365" s="102"/>
      <c r="C365" s="138"/>
      <c r="D365" s="109"/>
      <c r="E365" s="109"/>
      <c r="F365" s="15"/>
      <c r="G365" s="15" t="s">
        <v>105</v>
      </c>
      <c r="H365" s="16">
        <f t="shared" ref="H365:P365" si="126">SUM(H363:H364)</f>
        <v>18373</v>
      </c>
      <c r="I365" s="16">
        <f t="shared" si="126"/>
        <v>0</v>
      </c>
      <c r="J365" s="16">
        <f t="shared" si="126"/>
        <v>0</v>
      </c>
      <c r="K365" s="16">
        <f t="shared" si="126"/>
        <v>0</v>
      </c>
      <c r="L365" s="16">
        <f t="shared" si="126"/>
        <v>0</v>
      </c>
      <c r="M365" s="16">
        <f t="shared" si="126"/>
        <v>0</v>
      </c>
      <c r="N365" s="16">
        <f t="shared" si="126"/>
        <v>0</v>
      </c>
      <c r="O365" s="16">
        <f t="shared" si="126"/>
        <v>0</v>
      </c>
      <c r="P365" s="16">
        <f t="shared" si="126"/>
        <v>18373</v>
      </c>
    </row>
    <row r="366" spans="1:16" ht="18" customHeight="1" x14ac:dyDescent="0.25">
      <c r="A366" s="106">
        <f>A363+1</f>
        <v>120</v>
      </c>
      <c r="B366" s="102" t="s">
        <v>11</v>
      </c>
      <c r="C366" s="137" t="s">
        <v>10</v>
      </c>
      <c r="D366" s="109" t="s">
        <v>89</v>
      </c>
      <c r="E366" s="109" t="s">
        <v>429</v>
      </c>
      <c r="F366" s="41" t="s">
        <v>427</v>
      </c>
      <c r="G366" s="13" t="s">
        <v>5</v>
      </c>
      <c r="H366" s="76">
        <f>69368-22888</f>
        <v>46480</v>
      </c>
      <c r="I366" s="14">
        <v>70412</v>
      </c>
      <c r="J366" s="14">
        <v>70412</v>
      </c>
      <c r="K366" s="14">
        <v>70412</v>
      </c>
      <c r="L366" s="14">
        <v>70412</v>
      </c>
      <c r="M366" s="14">
        <v>70412</v>
      </c>
      <c r="N366" s="14">
        <v>70412</v>
      </c>
      <c r="O366" s="14">
        <f>1179256-69368+16624</f>
        <v>1126512</v>
      </c>
      <c r="P366" s="14">
        <f>SUM(H366:O366)</f>
        <v>1595464</v>
      </c>
    </row>
    <row r="367" spans="1:16" ht="18" customHeight="1" x14ac:dyDescent="0.25">
      <c r="A367" s="106"/>
      <c r="B367" s="102"/>
      <c r="C367" s="137"/>
      <c r="D367" s="109"/>
      <c r="E367" s="109"/>
      <c r="F367" s="20" t="s">
        <v>428</v>
      </c>
      <c r="G367" s="17" t="s">
        <v>8</v>
      </c>
      <c r="H367" s="18">
        <f>69306+219</f>
        <v>69525</v>
      </c>
      <c r="I367" s="18">
        <v>69790</v>
      </c>
      <c r="J367" s="18">
        <v>66714</v>
      </c>
      <c r="K367" s="18">
        <v>63511</v>
      </c>
      <c r="L367" s="18">
        <v>60469</v>
      </c>
      <c r="M367" s="18">
        <v>57102</v>
      </c>
      <c r="N367" s="18">
        <v>53901</v>
      </c>
      <c r="O367" s="18">
        <f>427654</f>
        <v>427654</v>
      </c>
      <c r="P367" s="18">
        <f>SUM(H367:O367)</f>
        <v>868666</v>
      </c>
    </row>
    <row r="368" spans="1:16" ht="16.95" customHeight="1" x14ac:dyDescent="0.25">
      <c r="A368" s="106"/>
      <c r="B368" s="102"/>
      <c r="C368" s="137"/>
      <c r="D368" s="109"/>
      <c r="E368" s="109"/>
      <c r="F368" s="15"/>
      <c r="G368" s="15" t="s">
        <v>105</v>
      </c>
      <c r="H368" s="16">
        <f t="shared" ref="H368:P368" si="127">SUM(H366:H367)</f>
        <v>116005</v>
      </c>
      <c r="I368" s="16">
        <f t="shared" si="127"/>
        <v>140202</v>
      </c>
      <c r="J368" s="16">
        <f t="shared" si="127"/>
        <v>137126</v>
      </c>
      <c r="K368" s="16">
        <f t="shared" si="127"/>
        <v>133923</v>
      </c>
      <c r="L368" s="16">
        <f t="shared" si="127"/>
        <v>130881</v>
      </c>
      <c r="M368" s="16">
        <f t="shared" si="127"/>
        <v>127514</v>
      </c>
      <c r="N368" s="16">
        <f t="shared" si="127"/>
        <v>124313</v>
      </c>
      <c r="O368" s="16">
        <f t="shared" si="127"/>
        <v>1554166</v>
      </c>
      <c r="P368" s="16">
        <f t="shared" si="127"/>
        <v>2464130</v>
      </c>
    </row>
    <row r="369" spans="1:16" ht="17.399999999999999" customHeight="1" x14ac:dyDescent="0.25">
      <c r="A369" s="106">
        <f>A366+1</f>
        <v>121</v>
      </c>
      <c r="B369" s="102" t="s">
        <v>11</v>
      </c>
      <c r="C369" s="139" t="s">
        <v>477</v>
      </c>
      <c r="D369" s="109" t="s">
        <v>100</v>
      </c>
      <c r="E369" s="109" t="s">
        <v>432</v>
      </c>
      <c r="F369" s="41" t="s">
        <v>430</v>
      </c>
      <c r="G369" s="13" t="s">
        <v>5</v>
      </c>
      <c r="H369" s="76">
        <f>15764-3044</f>
        <v>12720</v>
      </c>
      <c r="I369" s="76">
        <v>15944</v>
      </c>
      <c r="J369" s="76">
        <v>15944</v>
      </c>
      <c r="K369" s="76">
        <v>15944</v>
      </c>
      <c r="L369" s="76">
        <v>15944</v>
      </c>
      <c r="M369" s="76">
        <v>15944</v>
      </c>
      <c r="N369" s="76">
        <v>15944</v>
      </c>
      <c r="O369" s="76">
        <f>189168-15764+1964</f>
        <v>175368</v>
      </c>
      <c r="P369" s="76">
        <f>SUM(H369:O369)</f>
        <v>283752</v>
      </c>
    </row>
    <row r="370" spans="1:16" ht="17.399999999999999" customHeight="1" x14ac:dyDescent="0.25">
      <c r="A370" s="106"/>
      <c r="B370" s="102"/>
      <c r="C370" s="139"/>
      <c r="D370" s="109"/>
      <c r="E370" s="109"/>
      <c r="F370" s="20" t="s">
        <v>431</v>
      </c>
      <c r="G370" s="17" t="s">
        <v>8</v>
      </c>
      <c r="H370" s="18">
        <f>11718+1716+31</f>
        <v>13465</v>
      </c>
      <c r="I370" s="18">
        <f>11745+1633</f>
        <v>13378</v>
      </c>
      <c r="J370" s="18">
        <f>11155+1537</f>
        <v>12692</v>
      </c>
      <c r="K370" s="18">
        <f>10451+1440</f>
        <v>11891</v>
      </c>
      <c r="L370" s="18">
        <f>9772+1346</f>
        <v>11118</v>
      </c>
      <c r="M370" s="53">
        <f>9041+1246</f>
        <v>10287</v>
      </c>
      <c r="N370" s="53">
        <f>8337+1149</f>
        <v>9486</v>
      </c>
      <c r="O370" s="53">
        <f>51568</f>
        <v>51568</v>
      </c>
      <c r="P370" s="18">
        <f>SUM(H370:O370)</f>
        <v>133885</v>
      </c>
    </row>
    <row r="371" spans="1:16" ht="17.399999999999999" customHeight="1" x14ac:dyDescent="0.25">
      <c r="A371" s="106"/>
      <c r="B371" s="102"/>
      <c r="C371" s="139"/>
      <c r="D371" s="109"/>
      <c r="E371" s="109"/>
      <c r="F371" s="15"/>
      <c r="G371" s="15" t="s">
        <v>105</v>
      </c>
      <c r="H371" s="16">
        <f t="shared" ref="H371:P371" si="128">SUM(H369:H370)</f>
        <v>26185</v>
      </c>
      <c r="I371" s="16">
        <f t="shared" si="128"/>
        <v>29322</v>
      </c>
      <c r="J371" s="16">
        <f t="shared" si="128"/>
        <v>28636</v>
      </c>
      <c r="K371" s="16">
        <f t="shared" si="128"/>
        <v>27835</v>
      </c>
      <c r="L371" s="16">
        <f t="shared" si="128"/>
        <v>27062</v>
      </c>
      <c r="M371" s="16">
        <f t="shared" si="128"/>
        <v>26231</v>
      </c>
      <c r="N371" s="16">
        <f t="shared" si="128"/>
        <v>25430</v>
      </c>
      <c r="O371" s="16">
        <f t="shared" si="128"/>
        <v>226936</v>
      </c>
      <c r="P371" s="16">
        <f t="shared" si="128"/>
        <v>417637</v>
      </c>
    </row>
    <row r="372" spans="1:16" ht="14.25" customHeight="1" x14ac:dyDescent="0.25">
      <c r="A372" s="106">
        <f>A369+1</f>
        <v>122</v>
      </c>
      <c r="B372" s="102" t="s">
        <v>11</v>
      </c>
      <c r="C372" s="139" t="s">
        <v>501</v>
      </c>
      <c r="D372" s="109" t="s">
        <v>100</v>
      </c>
      <c r="E372" s="109" t="s">
        <v>432</v>
      </c>
      <c r="F372" s="41" t="s">
        <v>433</v>
      </c>
      <c r="G372" s="13" t="s">
        <v>5</v>
      </c>
      <c r="H372" s="76">
        <f>29576-4449</f>
        <v>25127</v>
      </c>
      <c r="I372" s="76">
        <v>29836</v>
      </c>
      <c r="J372" s="76">
        <v>29836</v>
      </c>
      <c r="K372" s="76">
        <v>29836</v>
      </c>
      <c r="L372" s="76">
        <v>29836</v>
      </c>
      <c r="M372" s="76">
        <v>29836</v>
      </c>
      <c r="N372" s="76">
        <v>29836</v>
      </c>
      <c r="O372" s="76">
        <f>354867-29576+2889</f>
        <v>328180</v>
      </c>
      <c r="P372" s="76">
        <f>SUM(H372:O372)</f>
        <v>532323</v>
      </c>
    </row>
    <row r="373" spans="1:16" ht="14.25" customHeight="1" x14ac:dyDescent="0.25">
      <c r="A373" s="106"/>
      <c r="B373" s="102"/>
      <c r="C373" s="139"/>
      <c r="D373" s="109"/>
      <c r="E373" s="109"/>
      <c r="F373" s="20" t="s">
        <v>434</v>
      </c>
      <c r="G373" s="17" t="s">
        <v>8</v>
      </c>
      <c r="H373" s="18">
        <f>21984+40</f>
        <v>22024</v>
      </c>
      <c r="I373" s="18">
        <v>21981</v>
      </c>
      <c r="J373" s="18">
        <v>20876</v>
      </c>
      <c r="K373" s="18">
        <v>19557</v>
      </c>
      <c r="L373" s="18">
        <v>18287</v>
      </c>
      <c r="M373" s="53">
        <v>16919</v>
      </c>
      <c r="N373" s="53">
        <v>15602</v>
      </c>
      <c r="O373" s="53">
        <f>84823</f>
        <v>84823</v>
      </c>
      <c r="P373" s="18">
        <f>SUM(H373:O373)</f>
        <v>220069</v>
      </c>
    </row>
    <row r="374" spans="1:16" ht="14.25" customHeight="1" x14ac:dyDescent="0.25">
      <c r="A374" s="106"/>
      <c r="B374" s="102"/>
      <c r="C374" s="139"/>
      <c r="D374" s="109"/>
      <c r="E374" s="109"/>
      <c r="F374" s="15"/>
      <c r="G374" s="15" t="s">
        <v>105</v>
      </c>
      <c r="H374" s="16">
        <f t="shared" ref="H374:P374" si="129">SUM(H372:H373)</f>
        <v>47151</v>
      </c>
      <c r="I374" s="16">
        <f t="shared" si="129"/>
        <v>51817</v>
      </c>
      <c r="J374" s="16">
        <f t="shared" si="129"/>
        <v>50712</v>
      </c>
      <c r="K374" s="16">
        <f t="shared" si="129"/>
        <v>49393</v>
      </c>
      <c r="L374" s="16">
        <f t="shared" si="129"/>
        <v>48123</v>
      </c>
      <c r="M374" s="16">
        <f t="shared" si="129"/>
        <v>46755</v>
      </c>
      <c r="N374" s="16">
        <f t="shared" si="129"/>
        <v>45438</v>
      </c>
      <c r="O374" s="16">
        <f t="shared" si="129"/>
        <v>413003</v>
      </c>
      <c r="P374" s="16">
        <f t="shared" si="129"/>
        <v>752392</v>
      </c>
    </row>
    <row r="375" spans="1:16" ht="15" customHeight="1" x14ac:dyDescent="0.25">
      <c r="A375" s="106">
        <f>A372+1</f>
        <v>123</v>
      </c>
      <c r="B375" s="102" t="s">
        <v>11</v>
      </c>
      <c r="C375" s="104" t="s">
        <v>435</v>
      </c>
      <c r="D375" s="109" t="s">
        <v>436</v>
      </c>
      <c r="E375" s="109" t="s">
        <v>437</v>
      </c>
      <c r="F375" s="25" t="s">
        <v>439</v>
      </c>
      <c r="G375" s="13" t="s">
        <v>5</v>
      </c>
      <c r="H375" s="14">
        <f>60596-49115</f>
        <v>11481</v>
      </c>
      <c r="I375" s="14">
        <v>123520</v>
      </c>
      <c r="J375" s="14">
        <v>123520</v>
      </c>
      <c r="K375" s="14">
        <v>123520</v>
      </c>
      <c r="L375" s="14">
        <v>123520</v>
      </c>
      <c r="M375" s="14">
        <v>123520</v>
      </c>
      <c r="N375" s="14">
        <v>123520</v>
      </c>
      <c r="O375" s="14">
        <f>2092632-121312+35867</f>
        <v>2007187</v>
      </c>
      <c r="P375" s="14">
        <f>SUM(H375:O375)</f>
        <v>2759788</v>
      </c>
    </row>
    <row r="376" spans="1:16" ht="15" customHeight="1" x14ac:dyDescent="0.25">
      <c r="A376" s="106"/>
      <c r="B376" s="102"/>
      <c r="C376" s="104"/>
      <c r="D376" s="109"/>
      <c r="E376" s="109"/>
      <c r="F376" s="20" t="s">
        <v>440</v>
      </c>
      <c r="G376" s="17" t="s">
        <v>8</v>
      </c>
      <c r="H376" s="18">
        <f>130442+1358</f>
        <v>131800</v>
      </c>
      <c r="I376" s="18">
        <v>130609</v>
      </c>
      <c r="J376" s="18">
        <v>125047</v>
      </c>
      <c r="K376" s="18">
        <v>119116</v>
      </c>
      <c r="L376" s="18">
        <v>113485</v>
      </c>
      <c r="M376" s="53">
        <v>107245</v>
      </c>
      <c r="N376" s="53">
        <v>101317</v>
      </c>
      <c r="O376" s="53">
        <v>816570</v>
      </c>
      <c r="P376" s="18">
        <f>SUM(H376:O376)</f>
        <v>1645189</v>
      </c>
    </row>
    <row r="377" spans="1:16" ht="15" customHeight="1" x14ac:dyDescent="0.25">
      <c r="A377" s="106"/>
      <c r="B377" s="102"/>
      <c r="C377" s="104"/>
      <c r="D377" s="109"/>
      <c r="E377" s="109"/>
      <c r="F377" s="15"/>
      <c r="G377" s="15" t="s">
        <v>105</v>
      </c>
      <c r="H377" s="16">
        <f t="shared" ref="H377:P377" si="130">SUM(H375:H376)</f>
        <v>143281</v>
      </c>
      <c r="I377" s="16">
        <f t="shared" si="130"/>
        <v>254129</v>
      </c>
      <c r="J377" s="16">
        <f t="shared" si="130"/>
        <v>248567</v>
      </c>
      <c r="K377" s="16">
        <f t="shared" si="130"/>
        <v>242636</v>
      </c>
      <c r="L377" s="16">
        <f t="shared" si="130"/>
        <v>237005</v>
      </c>
      <c r="M377" s="16">
        <f t="shared" si="130"/>
        <v>230765</v>
      </c>
      <c r="N377" s="16">
        <f t="shared" si="130"/>
        <v>224837</v>
      </c>
      <c r="O377" s="16">
        <f t="shared" si="130"/>
        <v>2823757</v>
      </c>
      <c r="P377" s="16">
        <f t="shared" si="130"/>
        <v>4404977</v>
      </c>
    </row>
    <row r="378" spans="1:16" ht="15.6" customHeight="1" x14ac:dyDescent="0.25">
      <c r="A378" s="106">
        <f>A375+1</f>
        <v>124</v>
      </c>
      <c r="B378" s="102" t="s">
        <v>11</v>
      </c>
      <c r="C378" s="104" t="s">
        <v>9</v>
      </c>
      <c r="D378" s="109" t="s">
        <v>436</v>
      </c>
      <c r="E378" s="109" t="s">
        <v>438</v>
      </c>
      <c r="F378" s="25" t="s">
        <v>441</v>
      </c>
      <c r="G378" s="13" t="s">
        <v>5</v>
      </c>
      <c r="H378" s="76">
        <f>54035-16448</f>
        <v>37587</v>
      </c>
      <c r="I378" s="76">
        <v>55016</v>
      </c>
      <c r="J378" s="76">
        <v>55016</v>
      </c>
      <c r="K378" s="76">
        <v>55016</v>
      </c>
      <c r="L378" s="76">
        <v>55016</v>
      </c>
      <c r="M378" s="76">
        <v>55016</v>
      </c>
      <c r="N378" s="76">
        <v>55016</v>
      </c>
      <c r="O378" s="76">
        <f>662235.45-54060+10712</f>
        <v>618887.44999999995</v>
      </c>
      <c r="P378" s="14">
        <f>SUM(H378:O378)</f>
        <v>986570.45</v>
      </c>
    </row>
    <row r="379" spans="1:16" ht="15.6" customHeight="1" x14ac:dyDescent="0.25">
      <c r="A379" s="106"/>
      <c r="B379" s="102"/>
      <c r="C379" s="104"/>
      <c r="D379" s="109"/>
      <c r="E379" s="109"/>
      <c r="F379" s="20" t="s">
        <v>442</v>
      </c>
      <c r="G379" s="17" t="s">
        <v>8</v>
      </c>
      <c r="H379" s="18">
        <f>44817+541</f>
        <v>45358</v>
      </c>
      <c r="I379" s="18">
        <v>43781</v>
      </c>
      <c r="J379" s="18">
        <v>41327</v>
      </c>
      <c r="K379" s="18">
        <v>38758</v>
      </c>
      <c r="L379" s="18">
        <v>36283</v>
      </c>
      <c r="M379" s="53">
        <v>33615</v>
      </c>
      <c r="N379" s="53">
        <v>31048</v>
      </c>
      <c r="O379" s="53">
        <f>172625</f>
        <v>172625</v>
      </c>
      <c r="P379" s="18">
        <f>SUM(H379:O379)</f>
        <v>442795</v>
      </c>
    </row>
    <row r="380" spans="1:16" ht="15.6" customHeight="1" x14ac:dyDescent="0.25">
      <c r="A380" s="106"/>
      <c r="B380" s="102"/>
      <c r="C380" s="104"/>
      <c r="D380" s="109"/>
      <c r="E380" s="109"/>
      <c r="F380" s="15"/>
      <c r="G380" s="15" t="s">
        <v>105</v>
      </c>
      <c r="H380" s="16">
        <f t="shared" ref="H380:P380" si="131">SUM(H378:H379)</f>
        <v>82945</v>
      </c>
      <c r="I380" s="16">
        <f t="shared" si="131"/>
        <v>98797</v>
      </c>
      <c r="J380" s="16">
        <f t="shared" si="131"/>
        <v>96343</v>
      </c>
      <c r="K380" s="16">
        <f t="shared" si="131"/>
        <v>93774</v>
      </c>
      <c r="L380" s="16">
        <f t="shared" si="131"/>
        <v>91299</v>
      </c>
      <c r="M380" s="16">
        <f t="shared" si="131"/>
        <v>88631</v>
      </c>
      <c r="N380" s="16">
        <f t="shared" si="131"/>
        <v>86064</v>
      </c>
      <c r="O380" s="16">
        <f t="shared" si="131"/>
        <v>791512.45</v>
      </c>
      <c r="P380" s="16">
        <f t="shared" si="131"/>
        <v>1429365.45</v>
      </c>
    </row>
    <row r="381" spans="1:16" ht="16.5" customHeight="1" x14ac:dyDescent="0.25">
      <c r="A381" s="106">
        <f>A378+1</f>
        <v>125</v>
      </c>
      <c r="B381" s="102" t="s">
        <v>11</v>
      </c>
      <c r="C381" s="103" t="s">
        <v>90</v>
      </c>
      <c r="D381" s="109" t="s">
        <v>454</v>
      </c>
      <c r="E381" s="109" t="s">
        <v>455</v>
      </c>
      <c r="F381" s="25" t="s">
        <v>452</v>
      </c>
      <c r="G381" s="13" t="s">
        <v>5</v>
      </c>
      <c r="H381" s="14">
        <f>24878-24878</f>
        <v>0</v>
      </c>
      <c r="I381" s="14">
        <v>51280</v>
      </c>
      <c r="J381" s="14">
        <v>51280</v>
      </c>
      <c r="K381" s="14">
        <v>51280</v>
      </c>
      <c r="L381" s="14">
        <v>51280</v>
      </c>
      <c r="M381" s="14">
        <v>51280</v>
      </c>
      <c r="N381" s="14">
        <v>51280</v>
      </c>
      <c r="O381" s="14">
        <f>12820*45+12778</f>
        <v>589678</v>
      </c>
      <c r="P381" s="14">
        <f>SUM(H381:O381)</f>
        <v>897358</v>
      </c>
    </row>
    <row r="382" spans="1:16" ht="16.5" customHeight="1" x14ac:dyDescent="0.25">
      <c r="A382" s="106"/>
      <c r="B382" s="102"/>
      <c r="C382" s="103"/>
      <c r="D382" s="109"/>
      <c r="E382" s="109"/>
      <c r="F382" s="20" t="s">
        <v>453</v>
      </c>
      <c r="G382" s="17" t="s">
        <v>8</v>
      </c>
      <c r="H382" s="18">
        <f>49180-1331</f>
        <v>47849</v>
      </c>
      <c r="I382" s="18">
        <v>43423</v>
      </c>
      <c r="J382" s="18">
        <v>41055</v>
      </c>
      <c r="K382" s="18">
        <v>38541</v>
      </c>
      <c r="L382" s="18">
        <v>36123</v>
      </c>
      <c r="M382" s="53">
        <v>33511</v>
      </c>
      <c r="N382" s="53">
        <v>31000</v>
      </c>
      <c r="O382" s="53">
        <v>176288</v>
      </c>
      <c r="P382" s="18">
        <f>SUM(H382:O382)</f>
        <v>447790</v>
      </c>
    </row>
    <row r="383" spans="1:16" ht="16.5" customHeight="1" x14ac:dyDescent="0.25">
      <c r="A383" s="106"/>
      <c r="B383" s="102"/>
      <c r="C383" s="103"/>
      <c r="D383" s="109"/>
      <c r="E383" s="109"/>
      <c r="F383" s="15"/>
      <c r="G383" s="15" t="s">
        <v>105</v>
      </c>
      <c r="H383" s="16">
        <f t="shared" ref="H383:P383" si="132">SUM(H381:H382)</f>
        <v>47849</v>
      </c>
      <c r="I383" s="16">
        <f t="shared" si="132"/>
        <v>94703</v>
      </c>
      <c r="J383" s="16">
        <f t="shared" si="132"/>
        <v>92335</v>
      </c>
      <c r="K383" s="16">
        <f t="shared" si="132"/>
        <v>89821</v>
      </c>
      <c r="L383" s="16">
        <f t="shared" si="132"/>
        <v>87403</v>
      </c>
      <c r="M383" s="16">
        <f t="shared" si="132"/>
        <v>84791</v>
      </c>
      <c r="N383" s="16">
        <f t="shared" si="132"/>
        <v>82280</v>
      </c>
      <c r="O383" s="16">
        <f t="shared" si="132"/>
        <v>765966</v>
      </c>
      <c r="P383" s="16">
        <f t="shared" si="132"/>
        <v>1345148</v>
      </c>
    </row>
    <row r="384" spans="1:16" ht="16.2" customHeight="1" x14ac:dyDescent="0.25">
      <c r="A384" s="106">
        <f>A381+1</f>
        <v>126</v>
      </c>
      <c r="B384" s="102" t="s">
        <v>11</v>
      </c>
      <c r="C384" s="104" t="s">
        <v>448</v>
      </c>
      <c r="D384" s="109" t="s">
        <v>478</v>
      </c>
      <c r="E384" s="109" t="s">
        <v>479</v>
      </c>
      <c r="F384" s="25" t="s">
        <v>480</v>
      </c>
      <c r="G384" s="13" t="s">
        <v>5</v>
      </c>
      <c r="H384" s="14">
        <f>9461-3640</f>
        <v>5821</v>
      </c>
      <c r="I384" s="14">
        <v>9788</v>
      </c>
      <c r="J384" s="14">
        <v>9788</v>
      </c>
      <c r="K384" s="14">
        <v>9788</v>
      </c>
      <c r="L384" s="14">
        <v>9788</v>
      </c>
      <c r="M384" s="14">
        <v>9788</v>
      </c>
      <c r="N384" s="14">
        <v>9788</v>
      </c>
      <c r="O384" s="14">
        <f>73625-9500+1912</f>
        <v>66037</v>
      </c>
      <c r="P384" s="14">
        <f>SUM(H384:O384)</f>
        <v>130586</v>
      </c>
    </row>
    <row r="385" spans="1:16" ht="16.2" customHeight="1" x14ac:dyDescent="0.25">
      <c r="A385" s="106"/>
      <c r="B385" s="102"/>
      <c r="C385" s="104"/>
      <c r="D385" s="107"/>
      <c r="E385" s="107"/>
      <c r="F385" s="20" t="s">
        <v>481</v>
      </c>
      <c r="G385" s="17" t="s">
        <v>8</v>
      </c>
      <c r="H385" s="18">
        <f>7431+43</f>
        <v>7474</v>
      </c>
      <c r="I385" s="18">
        <v>6700</v>
      </c>
      <c r="J385" s="18">
        <v>6182</v>
      </c>
      <c r="K385" s="18">
        <v>5648</v>
      </c>
      <c r="L385" s="18">
        <v>5128</v>
      </c>
      <c r="M385" s="53">
        <v>4580</v>
      </c>
      <c r="N385" s="53">
        <v>4047</v>
      </c>
      <c r="O385" s="53">
        <v>13393</v>
      </c>
      <c r="P385" s="18">
        <f>SUM(H385:O385)</f>
        <v>53152</v>
      </c>
    </row>
    <row r="386" spans="1:16" ht="16.2" customHeight="1" x14ac:dyDescent="0.25">
      <c r="A386" s="106"/>
      <c r="B386" s="102"/>
      <c r="C386" s="104"/>
      <c r="D386" s="107"/>
      <c r="E386" s="107"/>
      <c r="F386" s="15"/>
      <c r="G386" s="15" t="s">
        <v>105</v>
      </c>
      <c r="H386" s="16">
        <f t="shared" ref="H386:P386" si="133">SUM(H384:H385)</f>
        <v>13295</v>
      </c>
      <c r="I386" s="16">
        <f t="shared" si="133"/>
        <v>16488</v>
      </c>
      <c r="J386" s="16">
        <f t="shared" si="133"/>
        <v>15970</v>
      </c>
      <c r="K386" s="16">
        <f t="shared" si="133"/>
        <v>15436</v>
      </c>
      <c r="L386" s="16">
        <f t="shared" si="133"/>
        <v>14916</v>
      </c>
      <c r="M386" s="16">
        <f t="shared" si="133"/>
        <v>14368</v>
      </c>
      <c r="N386" s="16">
        <f t="shared" si="133"/>
        <v>13835</v>
      </c>
      <c r="O386" s="16">
        <f t="shared" si="133"/>
        <v>79430</v>
      </c>
      <c r="P386" s="16">
        <f t="shared" si="133"/>
        <v>183738</v>
      </c>
    </row>
    <row r="387" spans="1:16" ht="16.2" customHeight="1" x14ac:dyDescent="0.25">
      <c r="A387" s="106">
        <f>A384+1</f>
        <v>127</v>
      </c>
      <c r="B387" s="102" t="s">
        <v>11</v>
      </c>
      <c r="C387" s="104" t="s">
        <v>447</v>
      </c>
      <c r="D387" s="109" t="s">
        <v>478</v>
      </c>
      <c r="E387" s="109" t="s">
        <v>269</v>
      </c>
      <c r="F387" s="25" t="s">
        <v>482</v>
      </c>
      <c r="G387" s="13" t="s">
        <v>5</v>
      </c>
      <c r="H387" s="14">
        <f>15434-3685</f>
        <v>11749</v>
      </c>
      <c r="I387" s="14">
        <v>15944</v>
      </c>
      <c r="J387" s="14">
        <v>15944</v>
      </c>
      <c r="K387" s="14">
        <v>15944</v>
      </c>
      <c r="L387" s="14">
        <v>15944</v>
      </c>
      <c r="M387" s="14">
        <v>15944</v>
      </c>
      <c r="N387" s="14">
        <v>15944</v>
      </c>
      <c r="O387" s="14">
        <f>42537-15468+829</f>
        <v>27898</v>
      </c>
      <c r="P387" s="14">
        <f>SUM(H387:O387)</f>
        <v>135311</v>
      </c>
    </row>
    <row r="388" spans="1:16" ht="16.2" customHeight="1" x14ac:dyDescent="0.25">
      <c r="A388" s="106"/>
      <c r="B388" s="102"/>
      <c r="C388" s="104"/>
      <c r="D388" s="107"/>
      <c r="E388" s="107"/>
      <c r="F388" s="20" t="s">
        <v>483</v>
      </c>
      <c r="G388" s="17" t="s">
        <v>8</v>
      </c>
      <c r="H388" s="18">
        <f>7395+34</f>
        <v>7429</v>
      </c>
      <c r="I388" s="18">
        <v>6366</v>
      </c>
      <c r="J388" s="18">
        <v>5543</v>
      </c>
      <c r="K388" s="18">
        <v>4702</v>
      </c>
      <c r="L388" s="18">
        <v>3870</v>
      </c>
      <c r="M388" s="53">
        <v>3019</v>
      </c>
      <c r="N388" s="53">
        <v>2179</v>
      </c>
      <c r="O388" s="53">
        <v>1807</v>
      </c>
      <c r="P388" s="18">
        <f>SUM(H388:O388)</f>
        <v>34915</v>
      </c>
    </row>
    <row r="389" spans="1:16" ht="15" customHeight="1" x14ac:dyDescent="0.25">
      <c r="A389" s="106"/>
      <c r="B389" s="102"/>
      <c r="C389" s="104"/>
      <c r="D389" s="107"/>
      <c r="E389" s="107"/>
      <c r="F389" s="15"/>
      <c r="G389" s="15" t="s">
        <v>105</v>
      </c>
      <c r="H389" s="16">
        <f t="shared" ref="H389:P389" si="134">SUM(H387:H388)</f>
        <v>19178</v>
      </c>
      <c r="I389" s="16">
        <f t="shared" si="134"/>
        <v>22310</v>
      </c>
      <c r="J389" s="16">
        <f t="shared" si="134"/>
        <v>21487</v>
      </c>
      <c r="K389" s="16">
        <f t="shared" si="134"/>
        <v>20646</v>
      </c>
      <c r="L389" s="16">
        <f t="shared" si="134"/>
        <v>19814</v>
      </c>
      <c r="M389" s="16">
        <f t="shared" si="134"/>
        <v>18963</v>
      </c>
      <c r="N389" s="16">
        <f t="shared" si="134"/>
        <v>18123</v>
      </c>
      <c r="O389" s="16">
        <f t="shared" si="134"/>
        <v>29705</v>
      </c>
      <c r="P389" s="16">
        <f t="shared" si="134"/>
        <v>170226</v>
      </c>
    </row>
    <row r="390" spans="1:16" ht="15" customHeight="1" x14ac:dyDescent="0.25">
      <c r="A390" s="106">
        <f>A387+1</f>
        <v>128</v>
      </c>
      <c r="B390" s="102" t="s">
        <v>11</v>
      </c>
      <c r="C390" s="140" t="s">
        <v>445</v>
      </c>
      <c r="D390" s="109" t="s">
        <v>478</v>
      </c>
      <c r="E390" s="109" t="s">
        <v>479</v>
      </c>
      <c r="F390" s="25" t="s">
        <v>484</v>
      </c>
      <c r="G390" s="13" t="s">
        <v>5</v>
      </c>
      <c r="H390" s="14">
        <f>13564-4760</f>
        <v>8804</v>
      </c>
      <c r="I390" s="14">
        <v>13992</v>
      </c>
      <c r="J390" s="14">
        <v>13992</v>
      </c>
      <c r="K390" s="14">
        <v>13992</v>
      </c>
      <c r="L390" s="14">
        <v>13992</v>
      </c>
      <c r="M390" s="14">
        <v>13992</v>
      </c>
      <c r="N390" s="14">
        <v>13992</v>
      </c>
      <c r="O390" s="14">
        <f>105524-13616+2504</f>
        <v>94412</v>
      </c>
      <c r="P390" s="14">
        <f>SUM(H390:O390)</f>
        <v>187168</v>
      </c>
    </row>
    <row r="391" spans="1:16" ht="17.25" customHeight="1" x14ac:dyDescent="0.25">
      <c r="A391" s="106"/>
      <c r="B391" s="102"/>
      <c r="C391" s="140"/>
      <c r="D391" s="107"/>
      <c r="E391" s="107"/>
      <c r="F391" s="20" t="s">
        <v>485</v>
      </c>
      <c r="G391" s="17" t="s">
        <v>8</v>
      </c>
      <c r="H391" s="18">
        <f>10650+56</f>
        <v>10706</v>
      </c>
      <c r="I391" s="18">
        <v>9579</v>
      </c>
      <c r="J391" s="18">
        <v>8837</v>
      </c>
      <c r="K391" s="18">
        <v>8075</v>
      </c>
      <c r="L391" s="18">
        <v>7331</v>
      </c>
      <c r="M391" s="53">
        <v>6548</v>
      </c>
      <c r="N391" s="53">
        <v>5786</v>
      </c>
      <c r="O391" s="53">
        <v>19150</v>
      </c>
      <c r="P391" s="18">
        <f>SUM(H391:O391)</f>
        <v>76012</v>
      </c>
    </row>
    <row r="392" spans="1:16" x14ac:dyDescent="0.25">
      <c r="A392" s="106"/>
      <c r="B392" s="102"/>
      <c r="C392" s="140"/>
      <c r="D392" s="107"/>
      <c r="E392" s="107"/>
      <c r="F392" s="43"/>
      <c r="G392" s="15" t="s">
        <v>105</v>
      </c>
      <c r="H392" s="16">
        <f t="shared" ref="H392:P392" si="135">SUM(H390:H391)</f>
        <v>19510</v>
      </c>
      <c r="I392" s="16">
        <f t="shared" si="135"/>
        <v>23571</v>
      </c>
      <c r="J392" s="16">
        <f t="shared" si="135"/>
        <v>22829</v>
      </c>
      <c r="K392" s="16">
        <f t="shared" si="135"/>
        <v>22067</v>
      </c>
      <c r="L392" s="16">
        <f t="shared" si="135"/>
        <v>21323</v>
      </c>
      <c r="M392" s="16">
        <f t="shared" si="135"/>
        <v>20540</v>
      </c>
      <c r="N392" s="16">
        <f t="shared" si="135"/>
        <v>19778</v>
      </c>
      <c r="O392" s="16">
        <f t="shared" si="135"/>
        <v>113562</v>
      </c>
      <c r="P392" s="16">
        <f t="shared" si="135"/>
        <v>263180</v>
      </c>
    </row>
    <row r="393" spans="1:16" ht="15.6" customHeight="1" x14ac:dyDescent="0.25">
      <c r="A393" s="106">
        <f>A390+1</f>
        <v>129</v>
      </c>
      <c r="B393" s="102" t="s">
        <v>11</v>
      </c>
      <c r="C393" s="103" t="s">
        <v>446</v>
      </c>
      <c r="D393" s="109" t="s">
        <v>478</v>
      </c>
      <c r="E393" s="109" t="s">
        <v>479</v>
      </c>
      <c r="F393" s="25" t="s">
        <v>486</v>
      </c>
      <c r="G393" s="13" t="s">
        <v>5</v>
      </c>
      <c r="H393" s="44">
        <f>9488-3385</f>
        <v>6103</v>
      </c>
      <c r="I393" s="44">
        <v>9780</v>
      </c>
      <c r="J393" s="44">
        <v>9780</v>
      </c>
      <c r="K393" s="44">
        <v>9780</v>
      </c>
      <c r="L393" s="44">
        <v>9780</v>
      </c>
      <c r="M393" s="44">
        <v>9780</v>
      </c>
      <c r="N393" s="44">
        <v>9780</v>
      </c>
      <c r="O393" s="44">
        <f>73718-9512+1777</f>
        <v>65983</v>
      </c>
      <c r="P393" s="14">
        <f>SUM(H393:O393)</f>
        <v>130766</v>
      </c>
    </row>
    <row r="394" spans="1:16" ht="15" customHeight="1" x14ac:dyDescent="0.25">
      <c r="A394" s="106"/>
      <c r="B394" s="102"/>
      <c r="C394" s="103"/>
      <c r="D394" s="107"/>
      <c r="E394" s="107"/>
      <c r="F394" s="20" t="s">
        <v>487</v>
      </c>
      <c r="G394" s="17" t="s">
        <v>8</v>
      </c>
      <c r="H394" s="45">
        <f>7440+41</f>
        <v>7481</v>
      </c>
      <c r="I394" s="45">
        <v>6695</v>
      </c>
      <c r="J394" s="45">
        <v>6177</v>
      </c>
      <c r="K394" s="45">
        <v>5644</v>
      </c>
      <c r="L394" s="45">
        <v>5123</v>
      </c>
      <c r="M394" s="74">
        <v>4577</v>
      </c>
      <c r="N394" s="74">
        <v>4044</v>
      </c>
      <c r="O394" s="74">
        <v>13382</v>
      </c>
      <c r="P394" s="18">
        <f>SUM(H394:O394)</f>
        <v>53123</v>
      </c>
    </row>
    <row r="395" spans="1:16" x14ac:dyDescent="0.25">
      <c r="A395" s="106"/>
      <c r="B395" s="102"/>
      <c r="C395" s="103"/>
      <c r="D395" s="107"/>
      <c r="E395" s="107"/>
      <c r="F395" s="43"/>
      <c r="G395" s="15" t="s">
        <v>105</v>
      </c>
      <c r="H395" s="16">
        <f t="shared" ref="H395:P395" si="136">SUM(H393:H394)</f>
        <v>13584</v>
      </c>
      <c r="I395" s="16">
        <f t="shared" si="136"/>
        <v>16475</v>
      </c>
      <c r="J395" s="16">
        <f t="shared" si="136"/>
        <v>15957</v>
      </c>
      <c r="K395" s="16">
        <f t="shared" si="136"/>
        <v>15424</v>
      </c>
      <c r="L395" s="16">
        <f t="shared" si="136"/>
        <v>14903</v>
      </c>
      <c r="M395" s="16">
        <f t="shared" si="136"/>
        <v>14357</v>
      </c>
      <c r="N395" s="16">
        <f t="shared" si="136"/>
        <v>13824</v>
      </c>
      <c r="O395" s="16">
        <f t="shared" si="136"/>
        <v>79365</v>
      </c>
      <c r="P395" s="16">
        <f t="shared" si="136"/>
        <v>183889</v>
      </c>
    </row>
    <row r="396" spans="1:16" ht="15.75" customHeight="1" x14ac:dyDescent="0.25">
      <c r="A396" s="106">
        <f>A393+1</f>
        <v>130</v>
      </c>
      <c r="B396" s="102" t="s">
        <v>11</v>
      </c>
      <c r="C396" s="104" t="s">
        <v>444</v>
      </c>
      <c r="D396" s="109" t="s">
        <v>478</v>
      </c>
      <c r="E396" s="109" t="s">
        <v>479</v>
      </c>
      <c r="F396" s="25" t="s">
        <v>488</v>
      </c>
      <c r="G396" s="13" t="s">
        <v>5</v>
      </c>
      <c r="H396" s="44">
        <f>35127-19101</f>
        <v>16026</v>
      </c>
      <c r="I396" s="44">
        <v>36680</v>
      </c>
      <c r="J396" s="44">
        <v>36680</v>
      </c>
      <c r="K396" s="44">
        <v>36680</v>
      </c>
      <c r="L396" s="44">
        <v>36680</v>
      </c>
      <c r="M396" s="44">
        <v>36680</v>
      </c>
      <c r="N396" s="44">
        <v>36680</v>
      </c>
      <c r="O396" s="44">
        <f>483672-211027-35180+10101</f>
        <v>247566</v>
      </c>
      <c r="P396" s="14">
        <f>SUM(H396:O396)</f>
        <v>483672</v>
      </c>
    </row>
    <row r="397" spans="1:16" ht="14.25" customHeight="1" x14ac:dyDescent="0.25">
      <c r="A397" s="106"/>
      <c r="B397" s="102"/>
      <c r="C397" s="104"/>
      <c r="D397" s="107"/>
      <c r="E397" s="107"/>
      <c r="F397" s="20" t="s">
        <v>489</v>
      </c>
      <c r="G397" s="17" t="s">
        <v>8</v>
      </c>
      <c r="H397" s="45">
        <f>27520+227</f>
        <v>27747</v>
      </c>
      <c r="I397" s="45">
        <v>25095</v>
      </c>
      <c r="J397" s="45">
        <v>23171</v>
      </c>
      <c r="K397" s="45">
        <v>21171</v>
      </c>
      <c r="L397" s="45">
        <v>19221</v>
      </c>
      <c r="M397" s="45">
        <v>17169</v>
      </c>
      <c r="N397" s="45">
        <v>15171</v>
      </c>
      <c r="O397" s="45">
        <v>50225</v>
      </c>
      <c r="P397" s="18">
        <f>SUM(H397:O397)</f>
        <v>198970</v>
      </c>
    </row>
    <row r="398" spans="1:16" ht="14.25" customHeight="1" x14ac:dyDescent="0.25">
      <c r="A398" s="106"/>
      <c r="B398" s="102"/>
      <c r="C398" s="104"/>
      <c r="D398" s="107"/>
      <c r="E398" s="107"/>
      <c r="F398" s="43"/>
      <c r="G398" s="15" t="s">
        <v>105</v>
      </c>
      <c r="H398" s="16">
        <f t="shared" ref="H398:P398" si="137">SUM(H396:H397)</f>
        <v>43773</v>
      </c>
      <c r="I398" s="16">
        <f t="shared" si="137"/>
        <v>61775</v>
      </c>
      <c r="J398" s="16">
        <f t="shared" si="137"/>
        <v>59851</v>
      </c>
      <c r="K398" s="16">
        <f t="shared" si="137"/>
        <v>57851</v>
      </c>
      <c r="L398" s="16">
        <f t="shared" si="137"/>
        <v>55901</v>
      </c>
      <c r="M398" s="16">
        <f t="shared" si="137"/>
        <v>53849</v>
      </c>
      <c r="N398" s="16">
        <f t="shared" si="137"/>
        <v>51851</v>
      </c>
      <c r="O398" s="16">
        <f t="shared" si="137"/>
        <v>297791</v>
      </c>
      <c r="P398" s="16">
        <f t="shared" si="137"/>
        <v>682642</v>
      </c>
    </row>
    <row r="399" spans="1:16" ht="15.6" customHeight="1" x14ac:dyDescent="0.25">
      <c r="A399" s="106">
        <f>A396+1</f>
        <v>131</v>
      </c>
      <c r="B399" s="102" t="s">
        <v>11</v>
      </c>
      <c r="C399" s="104" t="s">
        <v>450</v>
      </c>
      <c r="D399" s="105" t="s">
        <v>490</v>
      </c>
      <c r="E399" s="105" t="s">
        <v>198</v>
      </c>
      <c r="F399" s="25" t="s">
        <v>491</v>
      </c>
      <c r="G399" s="13" t="s">
        <v>5</v>
      </c>
      <c r="H399" s="44">
        <f>14397-6047</f>
        <v>8350</v>
      </c>
      <c r="I399" s="44">
        <v>14752</v>
      </c>
      <c r="J399" s="44">
        <v>14752</v>
      </c>
      <c r="K399" s="44">
        <v>14752</v>
      </c>
      <c r="L399" s="44">
        <v>14752</v>
      </c>
      <c r="M399" s="44">
        <v>14752</v>
      </c>
      <c r="N399" s="44">
        <v>14752</v>
      </c>
      <c r="O399" s="44">
        <f>183702-14408+3983</f>
        <v>173277</v>
      </c>
      <c r="P399" s="14">
        <f>SUM(H399:O399)</f>
        <v>270139</v>
      </c>
    </row>
    <row r="400" spans="1:16" ht="14.25" customHeight="1" x14ac:dyDescent="0.25">
      <c r="A400" s="106"/>
      <c r="B400" s="102"/>
      <c r="C400" s="104"/>
      <c r="D400" s="106"/>
      <c r="E400" s="106"/>
      <c r="F400" s="20" t="s">
        <v>492</v>
      </c>
      <c r="G400" s="17" t="s">
        <v>8</v>
      </c>
      <c r="H400" s="45">
        <f>14820+62</f>
        <v>14882</v>
      </c>
      <c r="I400" s="45">
        <v>13523</v>
      </c>
      <c r="J400" s="45">
        <v>12776</v>
      </c>
      <c r="K400" s="45">
        <v>12005</v>
      </c>
      <c r="L400" s="45">
        <v>11265</v>
      </c>
      <c r="M400" s="45">
        <v>10463</v>
      </c>
      <c r="N400" s="45">
        <v>9693</v>
      </c>
      <c r="O400" s="45">
        <v>56300</v>
      </c>
      <c r="P400" s="18">
        <f>SUM(H400:O400)</f>
        <v>140907</v>
      </c>
    </row>
    <row r="401" spans="1:16" ht="14.25" customHeight="1" x14ac:dyDescent="0.25">
      <c r="A401" s="106"/>
      <c r="B401" s="102"/>
      <c r="C401" s="104"/>
      <c r="D401" s="106"/>
      <c r="E401" s="106"/>
      <c r="F401" s="43"/>
      <c r="G401" s="15" t="s">
        <v>105</v>
      </c>
      <c r="H401" s="16">
        <f t="shared" ref="H401:P401" si="138">SUM(H399:H400)</f>
        <v>23232</v>
      </c>
      <c r="I401" s="16">
        <f t="shared" si="138"/>
        <v>28275</v>
      </c>
      <c r="J401" s="16">
        <f t="shared" si="138"/>
        <v>27528</v>
      </c>
      <c r="K401" s="16">
        <f t="shared" si="138"/>
        <v>26757</v>
      </c>
      <c r="L401" s="16">
        <f t="shared" si="138"/>
        <v>26017</v>
      </c>
      <c r="M401" s="16">
        <f t="shared" si="138"/>
        <v>25215</v>
      </c>
      <c r="N401" s="16">
        <f t="shared" si="138"/>
        <v>24445</v>
      </c>
      <c r="O401" s="16">
        <f t="shared" si="138"/>
        <v>229577</v>
      </c>
      <c r="P401" s="16">
        <f t="shared" si="138"/>
        <v>411046</v>
      </c>
    </row>
    <row r="402" spans="1:16" ht="14.4" customHeight="1" x14ac:dyDescent="0.25">
      <c r="A402" s="106">
        <f>A399+1</f>
        <v>132</v>
      </c>
      <c r="B402" s="102" t="s">
        <v>11</v>
      </c>
      <c r="C402" s="103" t="s">
        <v>632</v>
      </c>
      <c r="D402" s="105" t="s">
        <v>493</v>
      </c>
      <c r="E402" s="105" t="s">
        <v>494</v>
      </c>
      <c r="F402" s="25" t="s">
        <v>495</v>
      </c>
      <c r="G402" s="13" t="s">
        <v>5</v>
      </c>
      <c r="H402" s="44">
        <f>13242-3803</f>
        <v>9439</v>
      </c>
      <c r="I402" s="44">
        <v>17952</v>
      </c>
      <c r="J402" s="44">
        <v>17952</v>
      </c>
      <c r="K402" s="44">
        <v>17952</v>
      </c>
      <c r="L402" s="44">
        <v>17952</v>
      </c>
      <c r="M402" s="44">
        <v>17952</v>
      </c>
      <c r="N402" s="44">
        <v>17952</v>
      </c>
      <c r="O402" s="44">
        <f>141280-17660+2051</f>
        <v>125671</v>
      </c>
      <c r="P402" s="14">
        <f>SUM(H402:O402)</f>
        <v>242822</v>
      </c>
    </row>
    <row r="403" spans="1:16" ht="15.75" customHeight="1" x14ac:dyDescent="0.25">
      <c r="A403" s="106"/>
      <c r="B403" s="102"/>
      <c r="C403" s="103"/>
      <c r="D403" s="106"/>
      <c r="E403" s="106"/>
      <c r="F403" s="20" t="s">
        <v>496</v>
      </c>
      <c r="G403" s="17" t="s">
        <v>8</v>
      </c>
      <c r="H403" s="45">
        <f>13815+36</f>
        <v>13851</v>
      </c>
      <c r="I403" s="45">
        <v>12489</v>
      </c>
      <c r="J403" s="45">
        <v>11478</v>
      </c>
      <c r="K403" s="45">
        <v>10508</v>
      </c>
      <c r="L403" s="45">
        <v>9564</v>
      </c>
      <c r="M403" s="45">
        <v>8568</v>
      </c>
      <c r="N403" s="45">
        <v>7599</v>
      </c>
      <c r="O403" s="45">
        <v>26111</v>
      </c>
      <c r="P403" s="18">
        <f>SUM(H403:O403)</f>
        <v>100168</v>
      </c>
    </row>
    <row r="404" spans="1:16" ht="15.75" customHeight="1" x14ac:dyDescent="0.25">
      <c r="A404" s="106"/>
      <c r="B404" s="102"/>
      <c r="C404" s="103"/>
      <c r="D404" s="106"/>
      <c r="E404" s="106"/>
      <c r="F404" s="43"/>
      <c r="G404" s="15" t="s">
        <v>105</v>
      </c>
      <c r="H404" s="16">
        <f t="shared" ref="H404:P404" si="139">SUM(H402:H403)</f>
        <v>23290</v>
      </c>
      <c r="I404" s="16">
        <f t="shared" si="139"/>
        <v>30441</v>
      </c>
      <c r="J404" s="16">
        <f t="shared" si="139"/>
        <v>29430</v>
      </c>
      <c r="K404" s="16">
        <f t="shared" si="139"/>
        <v>28460</v>
      </c>
      <c r="L404" s="16">
        <f t="shared" si="139"/>
        <v>27516</v>
      </c>
      <c r="M404" s="16">
        <f t="shared" si="139"/>
        <v>26520</v>
      </c>
      <c r="N404" s="16">
        <f t="shared" si="139"/>
        <v>25551</v>
      </c>
      <c r="O404" s="16">
        <f t="shared" si="139"/>
        <v>151782</v>
      </c>
      <c r="P404" s="16">
        <f t="shared" si="139"/>
        <v>342990</v>
      </c>
    </row>
    <row r="405" spans="1:16" ht="15.75" customHeight="1" x14ac:dyDescent="0.25">
      <c r="A405" s="106">
        <f>A402+1</f>
        <v>133</v>
      </c>
      <c r="B405" s="102" t="s">
        <v>11</v>
      </c>
      <c r="C405" s="137" t="s">
        <v>499</v>
      </c>
      <c r="D405" s="105" t="s">
        <v>518</v>
      </c>
      <c r="E405" s="105" t="s">
        <v>293</v>
      </c>
      <c r="F405" s="25" t="s">
        <v>519</v>
      </c>
      <c r="G405" s="48" t="s">
        <v>5</v>
      </c>
      <c r="H405" s="71">
        <f>29571-28171</f>
        <v>1400</v>
      </c>
      <c r="I405" s="71">
        <v>40952</v>
      </c>
      <c r="J405" s="71">
        <v>40952</v>
      </c>
      <c r="K405" s="71">
        <v>40952</v>
      </c>
      <c r="L405" s="71">
        <v>40952</v>
      </c>
      <c r="M405" s="71">
        <v>40952</v>
      </c>
      <c r="N405" s="71">
        <v>40952</v>
      </c>
      <c r="O405" s="71">
        <f>10238*49+10207</f>
        <v>511869</v>
      </c>
      <c r="P405" s="72">
        <f>SUM(H405:O405)</f>
        <v>758981</v>
      </c>
    </row>
    <row r="406" spans="1:16" ht="15.75" customHeight="1" x14ac:dyDescent="0.25">
      <c r="A406" s="106"/>
      <c r="B406" s="102"/>
      <c r="C406" s="137"/>
      <c r="D406" s="105"/>
      <c r="E406" s="105"/>
      <c r="F406" s="20" t="s">
        <v>520</v>
      </c>
      <c r="G406" s="47" t="s">
        <v>8</v>
      </c>
      <c r="H406" s="74">
        <f>35282+144</f>
        <v>35426</v>
      </c>
      <c r="I406" s="74">
        <v>34877</v>
      </c>
      <c r="J406" s="74">
        <v>33065</v>
      </c>
      <c r="K406" s="74">
        <v>31157</v>
      </c>
      <c r="L406" s="74">
        <v>29327</v>
      </c>
      <c r="M406" s="74">
        <v>27340</v>
      </c>
      <c r="N406" s="74">
        <v>25434</v>
      </c>
      <c r="O406" s="74">
        <v>157293</v>
      </c>
      <c r="P406" s="53">
        <f>SUM(H406:O406)</f>
        <v>373919</v>
      </c>
    </row>
    <row r="407" spans="1:16" ht="15.75" customHeight="1" x14ac:dyDescent="0.25">
      <c r="A407" s="106"/>
      <c r="B407" s="102"/>
      <c r="C407" s="137"/>
      <c r="D407" s="105"/>
      <c r="E407" s="105"/>
      <c r="F407" s="43"/>
      <c r="G407" s="49" t="s">
        <v>105</v>
      </c>
      <c r="H407" s="75">
        <f t="shared" ref="H407:P407" si="140">SUM(H405:H406)</f>
        <v>36826</v>
      </c>
      <c r="I407" s="75">
        <f t="shared" si="140"/>
        <v>75829</v>
      </c>
      <c r="J407" s="75">
        <f t="shared" si="140"/>
        <v>74017</v>
      </c>
      <c r="K407" s="75">
        <f t="shared" si="140"/>
        <v>72109</v>
      </c>
      <c r="L407" s="75">
        <f t="shared" si="140"/>
        <v>70279</v>
      </c>
      <c r="M407" s="75">
        <f t="shared" si="140"/>
        <v>68292</v>
      </c>
      <c r="N407" s="75">
        <f t="shared" si="140"/>
        <v>66386</v>
      </c>
      <c r="O407" s="75">
        <f t="shared" si="140"/>
        <v>669162</v>
      </c>
      <c r="P407" s="75">
        <f t="shared" si="140"/>
        <v>1132900</v>
      </c>
    </row>
    <row r="408" spans="1:16" ht="15.75" customHeight="1" x14ac:dyDescent="0.25">
      <c r="A408" s="106">
        <f>A405+1</f>
        <v>134</v>
      </c>
      <c r="B408" s="102" t="s">
        <v>11</v>
      </c>
      <c r="C408" s="103" t="s">
        <v>633</v>
      </c>
      <c r="D408" s="141" t="s">
        <v>511</v>
      </c>
      <c r="E408" s="141" t="s">
        <v>512</v>
      </c>
      <c r="F408" s="25" t="s">
        <v>513</v>
      </c>
      <c r="G408" s="48" t="s">
        <v>5</v>
      </c>
      <c r="H408" s="71">
        <f>2481-2481</f>
        <v>0</v>
      </c>
      <c r="I408" s="71">
        <v>10148</v>
      </c>
      <c r="J408" s="71">
        <v>10148</v>
      </c>
      <c r="K408" s="71">
        <v>10148</v>
      </c>
      <c r="L408" s="71">
        <v>10148</v>
      </c>
      <c r="M408" s="71">
        <v>10148</v>
      </c>
      <c r="N408" s="71">
        <v>10148</v>
      </c>
      <c r="O408" s="71">
        <f>2537*8+2510</f>
        <v>22806</v>
      </c>
      <c r="P408" s="72">
        <f>SUM(H408:O408)</f>
        <v>83694</v>
      </c>
    </row>
    <row r="409" spans="1:16" ht="15.75" customHeight="1" x14ac:dyDescent="0.25">
      <c r="A409" s="106"/>
      <c r="B409" s="102"/>
      <c r="C409" s="103"/>
      <c r="D409" s="101"/>
      <c r="E409" s="101"/>
      <c r="F409" s="20" t="s">
        <v>528</v>
      </c>
      <c r="G409" s="47" t="s">
        <v>8</v>
      </c>
      <c r="H409" s="74">
        <v>3209</v>
      </c>
      <c r="I409" s="74">
        <v>3471</v>
      </c>
      <c r="J409" s="74">
        <v>3064</v>
      </c>
      <c r="K409" s="74">
        <v>2632</v>
      </c>
      <c r="L409" s="74">
        <v>2205</v>
      </c>
      <c r="M409" s="74">
        <v>1767</v>
      </c>
      <c r="N409" s="74">
        <v>1335</v>
      </c>
      <c r="O409" s="74">
        <v>1451</v>
      </c>
      <c r="P409" s="53">
        <f>SUM(H409:O409)</f>
        <v>19134</v>
      </c>
    </row>
    <row r="410" spans="1:16" ht="15.75" customHeight="1" x14ac:dyDescent="0.25">
      <c r="A410" s="106"/>
      <c r="B410" s="102"/>
      <c r="C410" s="103"/>
      <c r="D410" s="101"/>
      <c r="E410" s="101"/>
      <c r="F410" s="43"/>
      <c r="G410" s="49" t="s">
        <v>105</v>
      </c>
      <c r="H410" s="75">
        <f t="shared" ref="H410:P410" si="141">SUM(H408:H409)</f>
        <v>3209</v>
      </c>
      <c r="I410" s="75">
        <f t="shared" si="141"/>
        <v>13619</v>
      </c>
      <c r="J410" s="75">
        <f t="shared" si="141"/>
        <v>13212</v>
      </c>
      <c r="K410" s="75">
        <f t="shared" si="141"/>
        <v>12780</v>
      </c>
      <c r="L410" s="75">
        <f t="shared" si="141"/>
        <v>12353</v>
      </c>
      <c r="M410" s="75">
        <f t="shared" si="141"/>
        <v>11915</v>
      </c>
      <c r="N410" s="75">
        <f t="shared" si="141"/>
        <v>11483</v>
      </c>
      <c r="O410" s="75">
        <f t="shared" si="141"/>
        <v>24257</v>
      </c>
      <c r="P410" s="75">
        <f t="shared" si="141"/>
        <v>102828</v>
      </c>
    </row>
    <row r="411" spans="1:16" ht="15.75" customHeight="1" x14ac:dyDescent="0.25">
      <c r="A411" s="106">
        <f>A408+1</f>
        <v>135</v>
      </c>
      <c r="B411" s="102" t="s">
        <v>11</v>
      </c>
      <c r="C411" s="103" t="s">
        <v>634</v>
      </c>
      <c r="D411" s="141" t="s">
        <v>511</v>
      </c>
      <c r="E411" s="141" t="s">
        <v>293</v>
      </c>
      <c r="F411" s="25" t="s">
        <v>514</v>
      </c>
      <c r="G411" s="48" t="s">
        <v>5</v>
      </c>
      <c r="H411" s="71">
        <f>4164-4164</f>
        <v>0</v>
      </c>
      <c r="I411" s="71">
        <v>16880</v>
      </c>
      <c r="J411" s="71">
        <v>16880</v>
      </c>
      <c r="K411" s="71">
        <v>16880</v>
      </c>
      <c r="L411" s="71">
        <v>16880</v>
      </c>
      <c r="M411" s="71">
        <v>16880</v>
      </c>
      <c r="N411" s="71">
        <v>16880</v>
      </c>
      <c r="O411" s="71">
        <f>4220*49+4170</f>
        <v>210950</v>
      </c>
      <c r="P411" s="72">
        <f>SUM(H411:O411)</f>
        <v>312230</v>
      </c>
    </row>
    <row r="412" spans="1:16" ht="15.75" customHeight="1" x14ac:dyDescent="0.25">
      <c r="A412" s="106"/>
      <c r="B412" s="102"/>
      <c r="C412" s="103"/>
      <c r="D412" s="101"/>
      <c r="E412" s="101"/>
      <c r="F412" s="20" t="s">
        <v>529</v>
      </c>
      <c r="G412" s="47" t="s">
        <v>8</v>
      </c>
      <c r="H412" s="74">
        <v>13269</v>
      </c>
      <c r="I412" s="74">
        <v>14343</v>
      </c>
      <c r="J412" s="74">
        <v>13604</v>
      </c>
      <c r="K412" s="74">
        <v>12819</v>
      </c>
      <c r="L412" s="74">
        <v>12065</v>
      </c>
      <c r="M412" s="74">
        <v>11248</v>
      </c>
      <c r="N412" s="74">
        <v>10463</v>
      </c>
      <c r="O412" s="74">
        <v>63829</v>
      </c>
      <c r="P412" s="53">
        <f>SUM(H412:O412)</f>
        <v>151640</v>
      </c>
    </row>
    <row r="413" spans="1:16" ht="15.75" customHeight="1" x14ac:dyDescent="0.25">
      <c r="A413" s="106"/>
      <c r="B413" s="102"/>
      <c r="C413" s="103"/>
      <c r="D413" s="101"/>
      <c r="E413" s="101"/>
      <c r="F413" s="43"/>
      <c r="G413" s="49" t="s">
        <v>105</v>
      </c>
      <c r="H413" s="75">
        <f t="shared" ref="H413:P413" si="142">SUM(H411:H412)</f>
        <v>13269</v>
      </c>
      <c r="I413" s="75">
        <f t="shared" si="142"/>
        <v>31223</v>
      </c>
      <c r="J413" s="75">
        <f t="shared" si="142"/>
        <v>30484</v>
      </c>
      <c r="K413" s="75">
        <f t="shared" si="142"/>
        <v>29699</v>
      </c>
      <c r="L413" s="75">
        <f t="shared" si="142"/>
        <v>28945</v>
      </c>
      <c r="M413" s="75">
        <f t="shared" si="142"/>
        <v>28128</v>
      </c>
      <c r="N413" s="75">
        <f t="shared" si="142"/>
        <v>27343</v>
      </c>
      <c r="O413" s="75">
        <f t="shared" si="142"/>
        <v>274779</v>
      </c>
      <c r="P413" s="75">
        <f t="shared" si="142"/>
        <v>463870</v>
      </c>
    </row>
    <row r="414" spans="1:16" ht="15.75" customHeight="1" x14ac:dyDescent="0.25">
      <c r="A414" s="106">
        <f>A411+1</f>
        <v>136</v>
      </c>
      <c r="B414" s="142" t="s">
        <v>11</v>
      </c>
      <c r="C414" s="132" t="s">
        <v>635</v>
      </c>
      <c r="D414" s="105" t="s">
        <v>581</v>
      </c>
      <c r="E414" s="105" t="s">
        <v>582</v>
      </c>
      <c r="F414" s="25" t="s">
        <v>583</v>
      </c>
      <c r="G414" s="48" t="s">
        <v>5</v>
      </c>
      <c r="H414" s="71">
        <v>0</v>
      </c>
      <c r="I414" s="71">
        <v>23064</v>
      </c>
      <c r="J414" s="71">
        <v>30752</v>
      </c>
      <c r="K414" s="71">
        <v>30752</v>
      </c>
      <c r="L414" s="71">
        <v>30752</v>
      </c>
      <c r="M414" s="71">
        <v>30752</v>
      </c>
      <c r="N414" s="71">
        <v>30752</v>
      </c>
      <c r="O414" s="71">
        <f>422794-146072-30752</f>
        <v>245970</v>
      </c>
      <c r="P414" s="72">
        <f>SUM(H414:O414)</f>
        <v>422794</v>
      </c>
    </row>
    <row r="415" spans="1:16" ht="15.75" customHeight="1" x14ac:dyDescent="0.25">
      <c r="A415" s="106"/>
      <c r="B415" s="142"/>
      <c r="C415" s="132"/>
      <c r="D415" s="106"/>
      <c r="E415" s="106"/>
      <c r="F415" s="20" t="s">
        <v>584</v>
      </c>
      <c r="G415" s="47" t="s">
        <v>8</v>
      </c>
      <c r="H415" s="74">
        <v>15766</v>
      </c>
      <c r="I415" s="74">
        <v>19204</v>
      </c>
      <c r="J415" s="74">
        <v>18042</v>
      </c>
      <c r="K415" s="73">
        <v>16637</v>
      </c>
      <c r="L415" s="73">
        <v>15270</v>
      </c>
      <c r="M415" s="73">
        <v>13824</v>
      </c>
      <c r="N415" s="73">
        <v>12419</v>
      </c>
      <c r="O415" s="73">
        <v>48893</v>
      </c>
      <c r="P415" s="53">
        <f>SUM(H415:O415)</f>
        <v>160055</v>
      </c>
    </row>
    <row r="416" spans="1:16" ht="15.75" customHeight="1" x14ac:dyDescent="0.25">
      <c r="A416" s="106"/>
      <c r="B416" s="142"/>
      <c r="C416" s="132"/>
      <c r="D416" s="106"/>
      <c r="E416" s="106"/>
      <c r="F416" s="43"/>
      <c r="G416" s="49" t="s">
        <v>105</v>
      </c>
      <c r="H416" s="75">
        <f t="shared" ref="H416:P416" si="143">SUM(H414:H415)</f>
        <v>15766</v>
      </c>
      <c r="I416" s="75">
        <f t="shared" si="143"/>
        <v>42268</v>
      </c>
      <c r="J416" s="75">
        <f t="shared" si="143"/>
        <v>48794</v>
      </c>
      <c r="K416" s="75">
        <f t="shared" si="143"/>
        <v>47389</v>
      </c>
      <c r="L416" s="75">
        <f t="shared" si="143"/>
        <v>46022</v>
      </c>
      <c r="M416" s="75">
        <f t="shared" si="143"/>
        <v>44576</v>
      </c>
      <c r="N416" s="75">
        <f t="shared" si="143"/>
        <v>43171</v>
      </c>
      <c r="O416" s="75">
        <f t="shared" si="143"/>
        <v>294863</v>
      </c>
      <c r="P416" s="75">
        <f t="shared" si="143"/>
        <v>582849</v>
      </c>
    </row>
    <row r="417" spans="1:16" ht="20.25" customHeight="1" x14ac:dyDescent="0.25">
      <c r="A417" s="106">
        <f>A414+1</f>
        <v>137</v>
      </c>
      <c r="B417" s="102" t="s">
        <v>11</v>
      </c>
      <c r="C417" s="143" t="s">
        <v>636</v>
      </c>
      <c r="D417" s="105" t="s">
        <v>526</v>
      </c>
      <c r="E417" s="105" t="s">
        <v>527</v>
      </c>
      <c r="F417" s="25" t="s">
        <v>524</v>
      </c>
      <c r="G417" s="48" t="s">
        <v>5</v>
      </c>
      <c r="H417" s="86">
        <f>41704+41704-83408</f>
        <v>0</v>
      </c>
      <c r="I417" s="71">
        <v>172884</v>
      </c>
      <c r="J417" s="71">
        <v>172884</v>
      </c>
      <c r="K417" s="71">
        <v>172884</v>
      </c>
      <c r="L417" s="71">
        <v>172884</v>
      </c>
      <c r="M417" s="71">
        <v>172884</v>
      </c>
      <c r="N417" s="71">
        <v>172884</v>
      </c>
      <c r="O417" s="71">
        <f>43221*30+43168</f>
        <v>1339798</v>
      </c>
      <c r="P417" s="72">
        <f>SUM(H417:O417)</f>
        <v>2377102</v>
      </c>
    </row>
    <row r="418" spans="1:16" ht="15.75" customHeight="1" x14ac:dyDescent="0.25">
      <c r="A418" s="106"/>
      <c r="B418" s="102"/>
      <c r="C418" s="143"/>
      <c r="D418" s="106"/>
      <c r="E418" s="106"/>
      <c r="F418" s="20" t="s">
        <v>525</v>
      </c>
      <c r="G418" s="47" t="s">
        <v>8</v>
      </c>
      <c r="H418" s="74">
        <f>95521+56</f>
        <v>95577</v>
      </c>
      <c r="I418" s="74">
        <v>104590</v>
      </c>
      <c r="J418" s="74">
        <v>97304</v>
      </c>
      <c r="K418" s="74">
        <v>89574</v>
      </c>
      <c r="L418" s="74">
        <v>82055</v>
      </c>
      <c r="M418" s="74">
        <v>74103</v>
      </c>
      <c r="N418" s="74">
        <v>66378</v>
      </c>
      <c r="O418" s="74">
        <v>252906</v>
      </c>
      <c r="P418" s="53">
        <f>SUM(H418:O418)</f>
        <v>862487</v>
      </c>
    </row>
    <row r="419" spans="1:16" ht="15.75" customHeight="1" x14ac:dyDescent="0.25">
      <c r="A419" s="106"/>
      <c r="B419" s="102"/>
      <c r="C419" s="143"/>
      <c r="D419" s="106"/>
      <c r="E419" s="106"/>
      <c r="F419" s="43"/>
      <c r="G419" s="49" t="s">
        <v>105</v>
      </c>
      <c r="H419" s="75">
        <f t="shared" ref="H419:P419" si="144">SUM(H417:H418)</f>
        <v>95577</v>
      </c>
      <c r="I419" s="75">
        <f t="shared" si="144"/>
        <v>277474</v>
      </c>
      <c r="J419" s="75">
        <f t="shared" si="144"/>
        <v>270188</v>
      </c>
      <c r="K419" s="75">
        <f t="shared" si="144"/>
        <v>262458</v>
      </c>
      <c r="L419" s="75">
        <f t="shared" si="144"/>
        <v>254939</v>
      </c>
      <c r="M419" s="75">
        <f t="shared" si="144"/>
        <v>246987</v>
      </c>
      <c r="N419" s="75">
        <f t="shared" si="144"/>
        <v>239262</v>
      </c>
      <c r="O419" s="75">
        <f t="shared" si="144"/>
        <v>1592704</v>
      </c>
      <c r="P419" s="75">
        <f t="shared" si="144"/>
        <v>3239589</v>
      </c>
    </row>
    <row r="420" spans="1:16" ht="14.25" customHeight="1" x14ac:dyDescent="0.25">
      <c r="A420" s="106">
        <f>A417+1</f>
        <v>138</v>
      </c>
      <c r="B420" s="144" t="s">
        <v>11</v>
      </c>
      <c r="C420" s="103" t="s">
        <v>503</v>
      </c>
      <c r="D420" s="105" t="s">
        <v>576</v>
      </c>
      <c r="E420" s="105" t="s">
        <v>577</v>
      </c>
      <c r="F420" s="13" t="s">
        <v>578</v>
      </c>
      <c r="G420" s="48" t="s">
        <v>5</v>
      </c>
      <c r="H420" s="71">
        <v>3482</v>
      </c>
      <c r="I420" s="71">
        <v>13928</v>
      </c>
      <c r="J420" s="71">
        <v>13928</v>
      </c>
      <c r="K420" s="71">
        <v>13928</v>
      </c>
      <c r="L420" s="71">
        <v>13928</v>
      </c>
      <c r="M420" s="71">
        <v>13928</v>
      </c>
      <c r="N420" s="71">
        <v>13928</v>
      </c>
      <c r="O420" s="71">
        <f>308507-73122-13928</f>
        <v>221457</v>
      </c>
      <c r="P420" s="72">
        <f>SUM(H420:O420)</f>
        <v>308507</v>
      </c>
    </row>
    <row r="421" spans="1:16" ht="14.25" customHeight="1" x14ac:dyDescent="0.25">
      <c r="A421" s="106"/>
      <c r="B421" s="144"/>
      <c r="C421" s="104"/>
      <c r="D421" s="106"/>
      <c r="E421" s="106"/>
      <c r="F421" s="17" t="s">
        <v>579</v>
      </c>
      <c r="G421" s="47" t="s">
        <v>8</v>
      </c>
      <c r="H421" s="74">
        <f>9864-1681</f>
        <v>8183</v>
      </c>
      <c r="I421" s="46">
        <v>14840</v>
      </c>
      <c r="J421" s="46">
        <v>12290</v>
      </c>
      <c r="K421" s="46">
        <v>11333</v>
      </c>
      <c r="L421" s="46">
        <v>10759</v>
      </c>
      <c r="M421" s="46">
        <v>10185</v>
      </c>
      <c r="N421" s="46">
        <v>9611</v>
      </c>
      <c r="O421" s="46">
        <v>82693</v>
      </c>
      <c r="P421" s="53">
        <f>SUM(H421:O421)</f>
        <v>159894</v>
      </c>
    </row>
    <row r="422" spans="1:16" ht="14.25" customHeight="1" x14ac:dyDescent="0.25">
      <c r="A422" s="106"/>
      <c r="B422" s="144"/>
      <c r="C422" s="104"/>
      <c r="D422" s="106"/>
      <c r="E422" s="106"/>
      <c r="F422" s="43"/>
      <c r="G422" s="15" t="s">
        <v>105</v>
      </c>
      <c r="H422" s="75">
        <f t="shared" ref="H422:P422" si="145">SUM(H420:H421)</f>
        <v>11665</v>
      </c>
      <c r="I422" s="75">
        <f t="shared" si="145"/>
        <v>28768</v>
      </c>
      <c r="J422" s="75">
        <f t="shared" si="145"/>
        <v>26218</v>
      </c>
      <c r="K422" s="75">
        <f t="shared" si="145"/>
        <v>25261</v>
      </c>
      <c r="L422" s="75">
        <f t="shared" si="145"/>
        <v>24687</v>
      </c>
      <c r="M422" s="75">
        <f t="shared" si="145"/>
        <v>24113</v>
      </c>
      <c r="N422" s="75">
        <f t="shared" si="145"/>
        <v>23539</v>
      </c>
      <c r="O422" s="75">
        <f t="shared" si="145"/>
        <v>304150</v>
      </c>
      <c r="P422" s="75">
        <f t="shared" si="145"/>
        <v>468401</v>
      </c>
    </row>
    <row r="423" spans="1:16" ht="14.25" customHeight="1" x14ac:dyDescent="0.25">
      <c r="A423" s="106">
        <f>A420+1</f>
        <v>139</v>
      </c>
      <c r="B423" s="102" t="s">
        <v>11</v>
      </c>
      <c r="C423" s="137" t="s">
        <v>504</v>
      </c>
      <c r="D423" s="105" t="s">
        <v>530</v>
      </c>
      <c r="E423" s="105" t="s">
        <v>299</v>
      </c>
      <c r="F423" s="13" t="s">
        <v>531</v>
      </c>
      <c r="G423" s="48" t="s">
        <v>5</v>
      </c>
      <c r="H423" s="71">
        <f>17806-17806</f>
        <v>0</v>
      </c>
      <c r="I423" s="71">
        <v>36932</v>
      </c>
      <c r="J423" s="71">
        <v>36932</v>
      </c>
      <c r="K423" s="71">
        <v>36932</v>
      </c>
      <c r="L423" s="71">
        <v>36932</v>
      </c>
      <c r="M423" s="71">
        <v>36932</v>
      </c>
      <c r="N423" s="71">
        <v>36932</v>
      </c>
      <c r="O423" s="71">
        <f>9233*29+9191</f>
        <v>276948</v>
      </c>
      <c r="P423" s="72">
        <f>SUM(H423:O423)</f>
        <v>498540</v>
      </c>
    </row>
    <row r="424" spans="1:16" ht="14.25" customHeight="1" x14ac:dyDescent="0.25">
      <c r="A424" s="106"/>
      <c r="B424" s="102"/>
      <c r="C424" s="145"/>
      <c r="D424" s="106"/>
      <c r="E424" s="106"/>
      <c r="F424" s="17" t="s">
        <v>532</v>
      </c>
      <c r="G424" s="47" t="s">
        <v>8</v>
      </c>
      <c r="H424" s="74">
        <f>21436+12</f>
        <v>21448</v>
      </c>
      <c r="I424" s="74">
        <v>21824</v>
      </c>
      <c r="J424" s="74">
        <v>20275</v>
      </c>
      <c r="K424" s="74">
        <v>18632</v>
      </c>
      <c r="L424" s="74">
        <v>17032</v>
      </c>
      <c r="M424" s="74">
        <v>15343</v>
      </c>
      <c r="N424" s="74">
        <v>13700</v>
      </c>
      <c r="O424" s="74">
        <v>50554</v>
      </c>
      <c r="P424" s="53">
        <f>SUM(H424:O424)</f>
        <v>178808</v>
      </c>
    </row>
    <row r="425" spans="1:16" ht="14.25" customHeight="1" x14ac:dyDescent="0.25">
      <c r="A425" s="106"/>
      <c r="B425" s="102"/>
      <c r="C425" s="145"/>
      <c r="D425" s="106"/>
      <c r="E425" s="106"/>
      <c r="F425" s="43"/>
      <c r="G425" s="15" t="s">
        <v>105</v>
      </c>
      <c r="H425" s="75">
        <f t="shared" ref="H425:P425" si="146">SUM(H423:H424)</f>
        <v>21448</v>
      </c>
      <c r="I425" s="75">
        <f t="shared" si="146"/>
        <v>58756</v>
      </c>
      <c r="J425" s="75">
        <f t="shared" si="146"/>
        <v>57207</v>
      </c>
      <c r="K425" s="75">
        <f t="shared" si="146"/>
        <v>55564</v>
      </c>
      <c r="L425" s="75">
        <f t="shared" si="146"/>
        <v>53964</v>
      </c>
      <c r="M425" s="75">
        <f t="shared" si="146"/>
        <v>52275</v>
      </c>
      <c r="N425" s="75">
        <f t="shared" si="146"/>
        <v>50632</v>
      </c>
      <c r="O425" s="75">
        <f t="shared" si="146"/>
        <v>327502</v>
      </c>
      <c r="P425" s="75">
        <f t="shared" si="146"/>
        <v>677348</v>
      </c>
    </row>
    <row r="426" spans="1:16" ht="14.25" customHeight="1" x14ac:dyDescent="0.25">
      <c r="A426" s="106">
        <f>A423+1</f>
        <v>140</v>
      </c>
      <c r="B426" s="142" t="s">
        <v>11</v>
      </c>
      <c r="C426" s="137" t="s">
        <v>629</v>
      </c>
      <c r="D426" s="105" t="s">
        <v>563</v>
      </c>
      <c r="E426" s="105" t="s">
        <v>564</v>
      </c>
      <c r="F426" s="13" t="s">
        <v>561</v>
      </c>
      <c r="G426" s="48" t="s">
        <v>5</v>
      </c>
      <c r="H426" s="71">
        <v>0</v>
      </c>
      <c r="I426" s="71">
        <v>26012</v>
      </c>
      <c r="J426" s="71">
        <v>26012</v>
      </c>
      <c r="K426" s="71">
        <v>26012</v>
      </c>
      <c r="L426" s="71">
        <v>26012</v>
      </c>
      <c r="M426" s="71">
        <v>26012</v>
      </c>
      <c r="N426" s="71">
        <v>26012</v>
      </c>
      <c r="O426" s="71">
        <f>357622-130060-26012</f>
        <v>201550</v>
      </c>
      <c r="P426" s="72">
        <f>SUM(H426:O426)</f>
        <v>357622</v>
      </c>
    </row>
    <row r="427" spans="1:16" ht="14.25" customHeight="1" x14ac:dyDescent="0.25">
      <c r="A427" s="106"/>
      <c r="B427" s="142"/>
      <c r="C427" s="145"/>
      <c r="D427" s="106"/>
      <c r="E427" s="106"/>
      <c r="F427" s="17" t="s">
        <v>562</v>
      </c>
      <c r="G427" s="47" t="s">
        <v>8</v>
      </c>
      <c r="H427" s="74">
        <f>13923-536</f>
        <v>13387</v>
      </c>
      <c r="I427" s="46">
        <v>15084</v>
      </c>
      <c r="J427" s="46">
        <v>12120</v>
      </c>
      <c r="K427" s="46">
        <v>11158</v>
      </c>
      <c r="L427" s="46">
        <v>10196</v>
      </c>
      <c r="M427" s="46">
        <v>9233</v>
      </c>
      <c r="N427" s="46">
        <v>8270</v>
      </c>
      <c r="O427" s="46">
        <f>112413-72644-8270</f>
        <v>31499</v>
      </c>
      <c r="P427" s="53">
        <f>SUM(H427:O427)</f>
        <v>110947</v>
      </c>
    </row>
    <row r="428" spans="1:16" ht="14.25" customHeight="1" x14ac:dyDescent="0.25">
      <c r="A428" s="106"/>
      <c r="B428" s="142"/>
      <c r="C428" s="145"/>
      <c r="D428" s="106"/>
      <c r="E428" s="106"/>
      <c r="F428" s="43"/>
      <c r="G428" s="15" t="s">
        <v>105</v>
      </c>
      <c r="H428" s="75">
        <f t="shared" ref="H428:P428" si="147">SUM(H426:H427)</f>
        <v>13387</v>
      </c>
      <c r="I428" s="75">
        <f t="shared" si="147"/>
        <v>41096</v>
      </c>
      <c r="J428" s="75">
        <f t="shared" si="147"/>
        <v>38132</v>
      </c>
      <c r="K428" s="75">
        <f t="shared" si="147"/>
        <v>37170</v>
      </c>
      <c r="L428" s="75">
        <f t="shared" si="147"/>
        <v>36208</v>
      </c>
      <c r="M428" s="75">
        <f t="shared" si="147"/>
        <v>35245</v>
      </c>
      <c r="N428" s="75">
        <f t="shared" si="147"/>
        <v>34282</v>
      </c>
      <c r="O428" s="75">
        <f t="shared" si="147"/>
        <v>233049</v>
      </c>
      <c r="P428" s="75">
        <f t="shared" si="147"/>
        <v>468569</v>
      </c>
    </row>
    <row r="429" spans="1:16" ht="14.25" customHeight="1" x14ac:dyDescent="0.25">
      <c r="A429" s="101">
        <f>A426+1</f>
        <v>141</v>
      </c>
      <c r="B429" s="142" t="s">
        <v>11</v>
      </c>
      <c r="C429" s="137" t="s">
        <v>516</v>
      </c>
      <c r="D429" s="105" t="s">
        <v>563</v>
      </c>
      <c r="E429" s="105" t="s">
        <v>567</v>
      </c>
      <c r="F429" s="13" t="s">
        <v>565</v>
      </c>
      <c r="G429" s="48" t="s">
        <v>5</v>
      </c>
      <c r="H429" s="71">
        <v>6092</v>
      </c>
      <c r="I429" s="71">
        <v>12184</v>
      </c>
      <c r="J429" s="71">
        <v>12184</v>
      </c>
      <c r="K429" s="71">
        <v>12184</v>
      </c>
      <c r="L429" s="71">
        <v>12184</v>
      </c>
      <c r="M429" s="71">
        <v>12184</v>
      </c>
      <c r="N429" s="71">
        <v>12184</v>
      </c>
      <c r="O429" s="71">
        <f>112667-67012-12184</f>
        <v>33471</v>
      </c>
      <c r="P429" s="72">
        <f>SUM(H429:O429)</f>
        <v>112667</v>
      </c>
    </row>
    <row r="430" spans="1:16" ht="14.25" customHeight="1" x14ac:dyDescent="0.25">
      <c r="A430" s="101"/>
      <c r="B430" s="142"/>
      <c r="C430" s="145"/>
      <c r="D430" s="106"/>
      <c r="E430" s="106"/>
      <c r="F430" s="17" t="s">
        <v>566</v>
      </c>
      <c r="G430" s="47" t="s">
        <v>8</v>
      </c>
      <c r="H430" s="74">
        <v>4138</v>
      </c>
      <c r="I430" s="74">
        <v>4518</v>
      </c>
      <c r="J430" s="74">
        <v>3993</v>
      </c>
      <c r="K430" s="74">
        <v>3467</v>
      </c>
      <c r="L430" s="74">
        <v>2948</v>
      </c>
      <c r="M430" s="74">
        <v>2414</v>
      </c>
      <c r="N430" s="74">
        <v>1888</v>
      </c>
      <c r="O430" s="74">
        <f>1363+841+300</f>
        <v>2504</v>
      </c>
      <c r="P430" s="53">
        <f>SUM(H430:O430)</f>
        <v>25870</v>
      </c>
    </row>
    <row r="431" spans="1:16" ht="14.25" customHeight="1" x14ac:dyDescent="0.25">
      <c r="A431" s="101"/>
      <c r="B431" s="142"/>
      <c r="C431" s="145"/>
      <c r="D431" s="106"/>
      <c r="E431" s="106"/>
      <c r="F431" s="43"/>
      <c r="G431" s="15" t="s">
        <v>105</v>
      </c>
      <c r="H431" s="75">
        <f t="shared" ref="H431:P431" si="148">SUM(H429:H430)</f>
        <v>10230</v>
      </c>
      <c r="I431" s="75">
        <f t="shared" si="148"/>
        <v>16702</v>
      </c>
      <c r="J431" s="75">
        <f t="shared" si="148"/>
        <v>16177</v>
      </c>
      <c r="K431" s="75">
        <f t="shared" si="148"/>
        <v>15651</v>
      </c>
      <c r="L431" s="75">
        <f t="shared" si="148"/>
        <v>15132</v>
      </c>
      <c r="M431" s="75">
        <f t="shared" si="148"/>
        <v>14598</v>
      </c>
      <c r="N431" s="75">
        <f t="shared" si="148"/>
        <v>14072</v>
      </c>
      <c r="O431" s="75">
        <f t="shared" si="148"/>
        <v>35975</v>
      </c>
      <c r="P431" s="75">
        <f t="shared" si="148"/>
        <v>138537</v>
      </c>
    </row>
    <row r="432" spans="1:16" ht="14.25" customHeight="1" x14ac:dyDescent="0.25">
      <c r="A432" s="106">
        <f>A429+1</f>
        <v>142</v>
      </c>
      <c r="B432" s="142" t="s">
        <v>11</v>
      </c>
      <c r="C432" s="137" t="s">
        <v>505</v>
      </c>
      <c r="D432" s="105" t="s">
        <v>563</v>
      </c>
      <c r="E432" s="105" t="s">
        <v>567</v>
      </c>
      <c r="F432" s="13" t="s">
        <v>568</v>
      </c>
      <c r="G432" s="48" t="s">
        <v>5</v>
      </c>
      <c r="H432" s="71">
        <f>11266-8296</f>
        <v>2970</v>
      </c>
      <c r="I432" s="71">
        <v>23480</v>
      </c>
      <c r="J432" s="71">
        <v>23480</v>
      </c>
      <c r="K432" s="71">
        <v>23480</v>
      </c>
      <c r="L432" s="71">
        <v>23480</v>
      </c>
      <c r="M432" s="71">
        <v>23480</v>
      </c>
      <c r="N432" s="71">
        <v>23480</v>
      </c>
      <c r="O432" s="71">
        <f>208393-123926-22532+2608</f>
        <v>64543</v>
      </c>
      <c r="P432" s="72">
        <f>SUM(H432:O432)</f>
        <v>208393</v>
      </c>
    </row>
    <row r="433" spans="1:16" ht="14.25" customHeight="1" x14ac:dyDescent="0.25">
      <c r="A433" s="106"/>
      <c r="B433" s="142"/>
      <c r="C433" s="145"/>
      <c r="D433" s="106"/>
      <c r="E433" s="106"/>
      <c r="F433" s="17" t="s">
        <v>569</v>
      </c>
      <c r="G433" s="47" t="s">
        <v>8</v>
      </c>
      <c r="H433" s="74">
        <f>8426+7</f>
        <v>8433</v>
      </c>
      <c r="I433" s="74">
        <v>8681</v>
      </c>
      <c r="J433" s="74">
        <v>7697</v>
      </c>
      <c r="K433" s="74">
        <v>6683</v>
      </c>
      <c r="L433" s="74">
        <v>5683</v>
      </c>
      <c r="M433" s="74">
        <v>4654</v>
      </c>
      <c r="N433" s="74">
        <v>3640</v>
      </c>
      <c r="O433" s="74">
        <v>4831</v>
      </c>
      <c r="P433" s="53">
        <f>SUM(H433:O433)</f>
        <v>50302</v>
      </c>
    </row>
    <row r="434" spans="1:16" ht="14.25" customHeight="1" x14ac:dyDescent="0.25">
      <c r="A434" s="106"/>
      <c r="B434" s="142"/>
      <c r="C434" s="145"/>
      <c r="D434" s="106"/>
      <c r="E434" s="106"/>
      <c r="F434" s="43"/>
      <c r="G434" s="15" t="s">
        <v>105</v>
      </c>
      <c r="H434" s="75">
        <f t="shared" ref="H434:P434" si="149">SUM(H432:H433)</f>
        <v>11403</v>
      </c>
      <c r="I434" s="75">
        <f t="shared" si="149"/>
        <v>32161</v>
      </c>
      <c r="J434" s="75">
        <f t="shared" si="149"/>
        <v>31177</v>
      </c>
      <c r="K434" s="75">
        <f t="shared" si="149"/>
        <v>30163</v>
      </c>
      <c r="L434" s="75">
        <f t="shared" si="149"/>
        <v>29163</v>
      </c>
      <c r="M434" s="75">
        <f t="shared" si="149"/>
        <v>28134</v>
      </c>
      <c r="N434" s="75">
        <f t="shared" si="149"/>
        <v>27120</v>
      </c>
      <c r="O434" s="75">
        <f t="shared" si="149"/>
        <v>69374</v>
      </c>
      <c r="P434" s="75">
        <f t="shared" si="149"/>
        <v>258695</v>
      </c>
    </row>
    <row r="435" spans="1:16" ht="14.25" customHeight="1" x14ac:dyDescent="0.25">
      <c r="A435" s="106">
        <f>A432+1</f>
        <v>143</v>
      </c>
      <c r="B435" s="102" t="s">
        <v>11</v>
      </c>
      <c r="C435" s="137" t="s">
        <v>521</v>
      </c>
      <c r="D435" s="105" t="s">
        <v>533</v>
      </c>
      <c r="E435" s="105" t="s">
        <v>536</v>
      </c>
      <c r="F435" s="13" t="s">
        <v>537</v>
      </c>
      <c r="G435" s="48" t="s">
        <v>5</v>
      </c>
      <c r="H435" s="71">
        <f>4327*2</f>
        <v>8654</v>
      </c>
      <c r="I435" s="71">
        <f t="shared" ref="I435:N435" si="150">4327*4</f>
        <v>17308</v>
      </c>
      <c r="J435" s="71">
        <f t="shared" si="150"/>
        <v>17308</v>
      </c>
      <c r="K435" s="71">
        <f t="shared" si="150"/>
        <v>17308</v>
      </c>
      <c r="L435" s="71">
        <f t="shared" si="150"/>
        <v>17308</v>
      </c>
      <c r="M435" s="71">
        <f t="shared" si="150"/>
        <v>17308</v>
      </c>
      <c r="N435" s="71">
        <f t="shared" si="150"/>
        <v>17308</v>
      </c>
      <c r="O435" s="71">
        <f>155761-95194-17308</f>
        <v>43259</v>
      </c>
      <c r="P435" s="72">
        <f>SUM(H435:O435)</f>
        <v>155761</v>
      </c>
    </row>
    <row r="436" spans="1:16" ht="14.25" customHeight="1" x14ac:dyDescent="0.25">
      <c r="A436" s="106"/>
      <c r="B436" s="102"/>
      <c r="C436" s="145"/>
      <c r="D436" s="106"/>
      <c r="E436" s="106"/>
      <c r="F436" s="17" t="s">
        <v>538</v>
      </c>
      <c r="G436" s="47" t="s">
        <v>8</v>
      </c>
      <c r="H436" s="74">
        <v>5824</v>
      </c>
      <c r="I436" s="74">
        <v>6115</v>
      </c>
      <c r="J436" s="74">
        <v>5383</v>
      </c>
      <c r="K436" s="74">
        <v>4650</v>
      </c>
      <c r="L436" s="74">
        <v>3926</v>
      </c>
      <c r="M436" s="74">
        <v>3128</v>
      </c>
      <c r="N436" s="74">
        <v>2449</v>
      </c>
      <c r="O436" s="74">
        <v>2964</v>
      </c>
      <c r="P436" s="53">
        <f>SUM(H436:O436)</f>
        <v>34439</v>
      </c>
    </row>
    <row r="437" spans="1:16" ht="14.25" customHeight="1" x14ac:dyDescent="0.25">
      <c r="A437" s="106"/>
      <c r="B437" s="102"/>
      <c r="C437" s="145"/>
      <c r="D437" s="106"/>
      <c r="E437" s="106"/>
      <c r="F437" s="43"/>
      <c r="G437" s="15" t="s">
        <v>105</v>
      </c>
      <c r="H437" s="75">
        <f t="shared" ref="H437:P437" si="151">SUM(H435:H436)</f>
        <v>14478</v>
      </c>
      <c r="I437" s="75">
        <f t="shared" si="151"/>
        <v>23423</v>
      </c>
      <c r="J437" s="75">
        <f t="shared" si="151"/>
        <v>22691</v>
      </c>
      <c r="K437" s="75">
        <f t="shared" si="151"/>
        <v>21958</v>
      </c>
      <c r="L437" s="75">
        <f t="shared" si="151"/>
        <v>21234</v>
      </c>
      <c r="M437" s="75">
        <f t="shared" si="151"/>
        <v>20436</v>
      </c>
      <c r="N437" s="75">
        <f t="shared" si="151"/>
        <v>19757</v>
      </c>
      <c r="O437" s="75">
        <f t="shared" si="151"/>
        <v>46223</v>
      </c>
      <c r="P437" s="75">
        <f t="shared" si="151"/>
        <v>190200</v>
      </c>
    </row>
    <row r="438" spans="1:16" ht="15.75" customHeight="1" x14ac:dyDescent="0.25">
      <c r="A438" s="106">
        <f>A435+1</f>
        <v>144</v>
      </c>
      <c r="B438" s="102" t="s">
        <v>11</v>
      </c>
      <c r="C438" s="146" t="s">
        <v>522</v>
      </c>
      <c r="D438" s="105" t="s">
        <v>533</v>
      </c>
      <c r="E438" s="105" t="s">
        <v>536</v>
      </c>
      <c r="F438" s="13" t="s">
        <v>534</v>
      </c>
      <c r="G438" s="48" t="s">
        <v>5</v>
      </c>
      <c r="H438" s="71">
        <f>5372*2-10744</f>
        <v>0</v>
      </c>
      <c r="I438" s="71">
        <v>22280</v>
      </c>
      <c r="J438" s="71">
        <v>22280</v>
      </c>
      <c r="K438" s="71">
        <v>22280</v>
      </c>
      <c r="L438" s="71">
        <v>22280</v>
      </c>
      <c r="M438" s="71">
        <v>22280</v>
      </c>
      <c r="N438" s="71">
        <v>22280</v>
      </c>
      <c r="O438" s="71">
        <f>5570*30-1</f>
        <v>167099</v>
      </c>
      <c r="P438" s="72">
        <f>SUM(H438:O438)</f>
        <v>300779</v>
      </c>
    </row>
    <row r="439" spans="1:16" ht="14.25" customHeight="1" x14ac:dyDescent="0.25">
      <c r="A439" s="106"/>
      <c r="B439" s="102"/>
      <c r="C439" s="146"/>
      <c r="D439" s="106"/>
      <c r="E439" s="106"/>
      <c r="F439" s="47" t="s">
        <v>535</v>
      </c>
      <c r="G439" s="47" t="s">
        <v>8</v>
      </c>
      <c r="H439" s="74">
        <f>12275+7</f>
        <v>12282</v>
      </c>
      <c r="I439" s="74">
        <v>13167</v>
      </c>
      <c r="J439" s="74">
        <v>12233</v>
      </c>
      <c r="K439" s="74">
        <v>11241</v>
      </c>
      <c r="L439" s="74">
        <v>10276</v>
      </c>
      <c r="M439" s="74">
        <v>9257</v>
      </c>
      <c r="N439" s="74">
        <v>8266</v>
      </c>
      <c r="O439" s="74">
        <v>30506</v>
      </c>
      <c r="P439" s="53">
        <f>SUM(H439:O439)</f>
        <v>107228</v>
      </c>
    </row>
    <row r="440" spans="1:16" ht="15.75" customHeight="1" x14ac:dyDescent="0.25">
      <c r="A440" s="106"/>
      <c r="B440" s="102"/>
      <c r="C440" s="146"/>
      <c r="D440" s="106"/>
      <c r="E440" s="106"/>
      <c r="F440" s="43"/>
      <c r="G440" s="15" t="s">
        <v>105</v>
      </c>
      <c r="H440" s="75">
        <f t="shared" ref="H440:P440" si="152">SUM(H438:H439)</f>
        <v>12282</v>
      </c>
      <c r="I440" s="75">
        <f t="shared" si="152"/>
        <v>35447</v>
      </c>
      <c r="J440" s="75">
        <f t="shared" si="152"/>
        <v>34513</v>
      </c>
      <c r="K440" s="75">
        <f t="shared" si="152"/>
        <v>33521</v>
      </c>
      <c r="L440" s="75">
        <f t="shared" si="152"/>
        <v>32556</v>
      </c>
      <c r="M440" s="75">
        <f t="shared" si="152"/>
        <v>31537</v>
      </c>
      <c r="N440" s="75">
        <f t="shared" si="152"/>
        <v>30546</v>
      </c>
      <c r="O440" s="75">
        <f t="shared" si="152"/>
        <v>197605</v>
      </c>
      <c r="P440" s="75">
        <f t="shared" si="152"/>
        <v>408007</v>
      </c>
    </row>
    <row r="441" spans="1:16" ht="14.25" customHeight="1" x14ac:dyDescent="0.25">
      <c r="A441" s="106">
        <f>A438+1</f>
        <v>145</v>
      </c>
      <c r="B441" s="142" t="s">
        <v>11</v>
      </c>
      <c r="C441" s="137" t="s">
        <v>506</v>
      </c>
      <c r="D441" s="105" t="s">
        <v>563</v>
      </c>
      <c r="E441" s="105" t="s">
        <v>567</v>
      </c>
      <c r="F441" s="13" t="s">
        <v>570</v>
      </c>
      <c r="G441" s="48" t="s">
        <v>5</v>
      </c>
      <c r="H441" s="71">
        <v>2720</v>
      </c>
      <c r="I441" s="71">
        <v>5440</v>
      </c>
      <c r="J441" s="71">
        <v>5440</v>
      </c>
      <c r="K441" s="71">
        <v>5440</v>
      </c>
      <c r="L441" s="71">
        <v>5440</v>
      </c>
      <c r="M441" s="71">
        <v>5440</v>
      </c>
      <c r="N441" s="71">
        <v>5440</v>
      </c>
      <c r="O441" s="71">
        <f>50294-29920-5440</f>
        <v>14934</v>
      </c>
      <c r="P441" s="72">
        <f>SUM(H441:O441)</f>
        <v>50294</v>
      </c>
    </row>
    <row r="442" spans="1:16" ht="14.25" customHeight="1" x14ac:dyDescent="0.25">
      <c r="A442" s="106"/>
      <c r="B442" s="142"/>
      <c r="C442" s="145"/>
      <c r="D442" s="106"/>
      <c r="E442" s="106"/>
      <c r="F442" s="17" t="s">
        <v>571</v>
      </c>
      <c r="G442" s="47" t="s">
        <v>8</v>
      </c>
      <c r="H442" s="74">
        <v>2020</v>
      </c>
      <c r="I442" s="74">
        <v>2017</v>
      </c>
      <c r="J442" s="74">
        <v>1782</v>
      </c>
      <c r="K442" s="74">
        <v>1547</v>
      </c>
      <c r="L442" s="74">
        <v>1315</v>
      </c>
      <c r="M442" s="74">
        <v>1078</v>
      </c>
      <c r="N442" s="74">
        <v>843</v>
      </c>
      <c r="O442" s="74">
        <v>1117</v>
      </c>
      <c r="P442" s="53">
        <f>SUM(H442:O442)</f>
        <v>11719</v>
      </c>
    </row>
    <row r="443" spans="1:16" ht="14.25" customHeight="1" x14ac:dyDescent="0.25">
      <c r="A443" s="106"/>
      <c r="B443" s="142"/>
      <c r="C443" s="145"/>
      <c r="D443" s="106"/>
      <c r="E443" s="106"/>
      <c r="F443" s="43"/>
      <c r="G443" s="15" t="s">
        <v>105</v>
      </c>
      <c r="H443" s="75">
        <f t="shared" ref="H443:P443" si="153">SUM(H441:H442)</f>
        <v>4740</v>
      </c>
      <c r="I443" s="75">
        <f t="shared" si="153"/>
        <v>7457</v>
      </c>
      <c r="J443" s="75">
        <f t="shared" si="153"/>
        <v>7222</v>
      </c>
      <c r="K443" s="75">
        <f t="shared" si="153"/>
        <v>6987</v>
      </c>
      <c r="L443" s="75">
        <f t="shared" si="153"/>
        <v>6755</v>
      </c>
      <c r="M443" s="75">
        <f t="shared" si="153"/>
        <v>6518</v>
      </c>
      <c r="N443" s="75">
        <f t="shared" si="153"/>
        <v>6283</v>
      </c>
      <c r="O443" s="75">
        <f t="shared" si="153"/>
        <v>16051</v>
      </c>
      <c r="P443" s="75">
        <f t="shared" si="153"/>
        <v>62013</v>
      </c>
    </row>
    <row r="444" spans="1:16" ht="14.25" customHeight="1" x14ac:dyDescent="0.25">
      <c r="A444" s="106">
        <f>A441+1</f>
        <v>146</v>
      </c>
      <c r="B444" s="142" t="s">
        <v>11</v>
      </c>
      <c r="C444" s="137" t="s">
        <v>515</v>
      </c>
      <c r="D444" s="105" t="s">
        <v>563</v>
      </c>
      <c r="E444" s="105" t="s">
        <v>567</v>
      </c>
      <c r="F444" s="13" t="s">
        <v>572</v>
      </c>
      <c r="G444" s="48" t="s">
        <v>5</v>
      </c>
      <c r="H444" s="71">
        <v>9428</v>
      </c>
      <c r="I444" s="71">
        <v>18856</v>
      </c>
      <c r="J444" s="71">
        <v>18856</v>
      </c>
      <c r="K444" s="71">
        <v>18856</v>
      </c>
      <c r="L444" s="71">
        <v>18856</v>
      </c>
      <c r="M444" s="71">
        <v>18856</v>
      </c>
      <c r="N444" s="71">
        <v>18856</v>
      </c>
      <c r="O444" s="71">
        <f>174418-103708-18856-3</f>
        <v>51851</v>
      </c>
      <c r="P444" s="72">
        <f>SUM(H444:O444)</f>
        <v>174415</v>
      </c>
    </row>
    <row r="445" spans="1:16" ht="14.25" customHeight="1" x14ac:dyDescent="0.25">
      <c r="A445" s="106"/>
      <c r="B445" s="142"/>
      <c r="C445" s="145"/>
      <c r="D445" s="106"/>
      <c r="E445" s="106"/>
      <c r="F445" s="17" t="s">
        <v>573</v>
      </c>
      <c r="G445" s="47" t="s">
        <v>8</v>
      </c>
      <c r="H445" s="74">
        <v>6597</v>
      </c>
      <c r="I445" s="74">
        <v>6995</v>
      </c>
      <c r="J445" s="74">
        <v>6182</v>
      </c>
      <c r="K445" s="74">
        <v>5368</v>
      </c>
      <c r="L445" s="74">
        <v>4565</v>
      </c>
      <c r="M445" s="74">
        <v>3738</v>
      </c>
      <c r="N445" s="74">
        <v>2924</v>
      </c>
      <c r="O445" s="74">
        <f>2111+1303+467</f>
        <v>3881</v>
      </c>
      <c r="P445" s="53">
        <f>SUM(H445:O445)</f>
        <v>40250</v>
      </c>
    </row>
    <row r="446" spans="1:16" ht="14.25" customHeight="1" x14ac:dyDescent="0.25">
      <c r="A446" s="106"/>
      <c r="B446" s="142"/>
      <c r="C446" s="145"/>
      <c r="D446" s="106"/>
      <c r="E446" s="106"/>
      <c r="F446" s="43"/>
      <c r="G446" s="15" t="s">
        <v>105</v>
      </c>
      <c r="H446" s="75">
        <f t="shared" ref="H446:P446" si="154">SUM(H444:H445)</f>
        <v>16025</v>
      </c>
      <c r="I446" s="75">
        <f t="shared" si="154"/>
        <v>25851</v>
      </c>
      <c r="J446" s="75">
        <f t="shared" si="154"/>
        <v>25038</v>
      </c>
      <c r="K446" s="75">
        <f t="shared" si="154"/>
        <v>24224</v>
      </c>
      <c r="L446" s="75">
        <f t="shared" si="154"/>
        <v>23421</v>
      </c>
      <c r="M446" s="75">
        <f t="shared" si="154"/>
        <v>22594</v>
      </c>
      <c r="N446" s="75">
        <f t="shared" si="154"/>
        <v>21780</v>
      </c>
      <c r="O446" s="75">
        <f t="shared" si="154"/>
        <v>55732</v>
      </c>
      <c r="P446" s="75">
        <f t="shared" si="154"/>
        <v>214665</v>
      </c>
    </row>
    <row r="447" spans="1:16" ht="14.25" customHeight="1" x14ac:dyDescent="0.25">
      <c r="A447" s="106">
        <f>A444+1</f>
        <v>147</v>
      </c>
      <c r="B447" s="102" t="s">
        <v>11</v>
      </c>
      <c r="C447" s="137" t="s">
        <v>507</v>
      </c>
      <c r="D447" s="105" t="s">
        <v>533</v>
      </c>
      <c r="E447" s="105" t="s">
        <v>140</v>
      </c>
      <c r="F447" s="13" t="s">
        <v>539</v>
      </c>
      <c r="G447" s="48" t="s">
        <v>5</v>
      </c>
      <c r="H447" s="71">
        <f>3808*2</f>
        <v>7616</v>
      </c>
      <c r="I447" s="71">
        <f t="shared" ref="I447:N447" si="155">3808*4</f>
        <v>15232</v>
      </c>
      <c r="J447" s="71">
        <f t="shared" si="155"/>
        <v>15232</v>
      </c>
      <c r="K447" s="71">
        <f t="shared" si="155"/>
        <v>15232</v>
      </c>
      <c r="L447" s="71">
        <f t="shared" si="155"/>
        <v>15232</v>
      </c>
      <c r="M447" s="71">
        <f t="shared" si="155"/>
        <v>15232</v>
      </c>
      <c r="N447" s="71">
        <f t="shared" si="155"/>
        <v>15232</v>
      </c>
      <c r="O447" s="71">
        <f>137087-83776-15232</f>
        <v>38079</v>
      </c>
      <c r="P447" s="72">
        <f>SUM(H447:O447)</f>
        <v>137087</v>
      </c>
    </row>
    <row r="448" spans="1:16" ht="14.25" customHeight="1" x14ac:dyDescent="0.25">
      <c r="A448" s="106"/>
      <c r="B448" s="102"/>
      <c r="C448" s="145"/>
      <c r="D448" s="106"/>
      <c r="E448" s="106"/>
      <c r="F448" s="17" t="s">
        <v>540</v>
      </c>
      <c r="G448" s="47" t="s">
        <v>8</v>
      </c>
      <c r="H448" s="74">
        <v>5402</v>
      </c>
      <c r="I448" s="74">
        <v>5381</v>
      </c>
      <c r="J448" s="74">
        <v>4738</v>
      </c>
      <c r="K448" s="74">
        <v>4092</v>
      </c>
      <c r="L448" s="74">
        <v>3456</v>
      </c>
      <c r="M448" s="74">
        <v>2801</v>
      </c>
      <c r="N448" s="74">
        <v>2156</v>
      </c>
      <c r="O448" s="74">
        <f>1512+871+227</f>
        <v>2610</v>
      </c>
      <c r="P448" s="53">
        <f>SUM(H448:O448)</f>
        <v>30636</v>
      </c>
    </row>
    <row r="449" spans="1:16" ht="14.25" customHeight="1" x14ac:dyDescent="0.25">
      <c r="A449" s="106"/>
      <c r="B449" s="102"/>
      <c r="C449" s="145"/>
      <c r="D449" s="106"/>
      <c r="E449" s="106"/>
      <c r="F449" s="43"/>
      <c r="G449" s="15" t="s">
        <v>105</v>
      </c>
      <c r="H449" s="75">
        <f t="shared" ref="H449:P449" si="156">SUM(H447:H448)</f>
        <v>13018</v>
      </c>
      <c r="I449" s="75">
        <f t="shared" si="156"/>
        <v>20613</v>
      </c>
      <c r="J449" s="75">
        <f t="shared" si="156"/>
        <v>19970</v>
      </c>
      <c r="K449" s="75">
        <f t="shared" si="156"/>
        <v>19324</v>
      </c>
      <c r="L449" s="75">
        <f t="shared" si="156"/>
        <v>18688</v>
      </c>
      <c r="M449" s="75">
        <f t="shared" si="156"/>
        <v>18033</v>
      </c>
      <c r="N449" s="75">
        <f t="shared" si="156"/>
        <v>17388</v>
      </c>
      <c r="O449" s="75">
        <f t="shared" si="156"/>
        <v>40689</v>
      </c>
      <c r="P449" s="75">
        <f t="shared" si="156"/>
        <v>167723</v>
      </c>
    </row>
    <row r="450" spans="1:16" ht="14.25" customHeight="1" x14ac:dyDescent="0.25">
      <c r="A450" s="106">
        <f>A447+1</f>
        <v>148</v>
      </c>
      <c r="B450" s="102" t="s">
        <v>11</v>
      </c>
      <c r="C450" s="137" t="s">
        <v>510</v>
      </c>
      <c r="D450" s="105" t="s">
        <v>533</v>
      </c>
      <c r="E450" s="105" t="s">
        <v>536</v>
      </c>
      <c r="F450" s="13" t="s">
        <v>541</v>
      </c>
      <c r="G450" s="48" t="s">
        <v>5</v>
      </c>
      <c r="H450" s="71">
        <v>0</v>
      </c>
      <c r="I450" s="71">
        <f t="shared" ref="I450:N450" si="157">12331*4</f>
        <v>49324</v>
      </c>
      <c r="J450" s="71">
        <f t="shared" si="157"/>
        <v>49324</v>
      </c>
      <c r="K450" s="71">
        <f t="shared" si="157"/>
        <v>49324</v>
      </c>
      <c r="L450" s="71">
        <f t="shared" si="157"/>
        <v>49324</v>
      </c>
      <c r="M450" s="71">
        <f t="shared" si="157"/>
        <v>49324</v>
      </c>
      <c r="N450" s="71">
        <f t="shared" si="157"/>
        <v>49324</v>
      </c>
      <c r="O450" s="71">
        <f>665838-246620-49324</f>
        <v>369894</v>
      </c>
      <c r="P450" s="72">
        <f>SUM(H450:O450)</f>
        <v>665838</v>
      </c>
    </row>
    <row r="451" spans="1:16" ht="14.25" customHeight="1" x14ac:dyDescent="0.25">
      <c r="A451" s="106"/>
      <c r="B451" s="102"/>
      <c r="C451" s="145"/>
      <c r="D451" s="106"/>
      <c r="E451" s="106"/>
      <c r="F451" s="17" t="s">
        <v>542</v>
      </c>
      <c r="G451" s="47" t="s">
        <v>8</v>
      </c>
      <c r="H451" s="74">
        <f>8635-709-910</f>
        <v>7016</v>
      </c>
      <c r="I451" s="74">
        <v>29145</v>
      </c>
      <c r="J451" s="74">
        <v>24691</v>
      </c>
      <c r="K451" s="74">
        <v>20703</v>
      </c>
      <c r="L451" s="74">
        <v>18879</v>
      </c>
      <c r="M451" s="74">
        <v>17053</v>
      </c>
      <c r="N451" s="74">
        <v>15228</v>
      </c>
      <c r="O451" s="74">
        <f>192481-121126-15228</f>
        <v>56127</v>
      </c>
      <c r="P451" s="53">
        <f>SUM(H451:O451)</f>
        <v>188842</v>
      </c>
    </row>
    <row r="452" spans="1:16" ht="14.25" customHeight="1" x14ac:dyDescent="0.25">
      <c r="A452" s="106"/>
      <c r="B452" s="102"/>
      <c r="C452" s="145"/>
      <c r="D452" s="106"/>
      <c r="E452" s="106"/>
      <c r="F452" s="43"/>
      <c r="G452" s="15" t="s">
        <v>105</v>
      </c>
      <c r="H452" s="75">
        <f t="shared" ref="H452:P452" si="158">SUM(H450:H451)</f>
        <v>7016</v>
      </c>
      <c r="I452" s="75">
        <f t="shared" si="158"/>
        <v>78469</v>
      </c>
      <c r="J452" s="75">
        <f t="shared" si="158"/>
        <v>74015</v>
      </c>
      <c r="K452" s="75">
        <f t="shared" si="158"/>
        <v>70027</v>
      </c>
      <c r="L452" s="75">
        <f t="shared" si="158"/>
        <v>68203</v>
      </c>
      <c r="M452" s="75">
        <f t="shared" si="158"/>
        <v>66377</v>
      </c>
      <c r="N452" s="75">
        <f t="shared" si="158"/>
        <v>64552</v>
      </c>
      <c r="O452" s="75">
        <f t="shared" si="158"/>
        <v>426021</v>
      </c>
      <c r="P452" s="75">
        <f t="shared" si="158"/>
        <v>854680</v>
      </c>
    </row>
    <row r="453" spans="1:16" ht="14.25" customHeight="1" x14ac:dyDescent="0.25">
      <c r="A453" s="106">
        <f>A450+1</f>
        <v>149</v>
      </c>
      <c r="B453" s="102" t="s">
        <v>11</v>
      </c>
      <c r="C453" s="137" t="s">
        <v>523</v>
      </c>
      <c r="D453" s="105" t="s">
        <v>533</v>
      </c>
      <c r="E453" s="105" t="s">
        <v>536</v>
      </c>
      <c r="F453" s="13" t="s">
        <v>543</v>
      </c>
      <c r="G453" s="48" t="s">
        <v>5</v>
      </c>
      <c r="H453" s="71">
        <v>0</v>
      </c>
      <c r="I453" s="71">
        <f t="shared" ref="I453:N453" si="159">11045*4</f>
        <v>44180</v>
      </c>
      <c r="J453" s="71">
        <f t="shared" si="159"/>
        <v>44180</v>
      </c>
      <c r="K453" s="71">
        <f t="shared" si="159"/>
        <v>44180</v>
      </c>
      <c r="L453" s="71">
        <f t="shared" si="159"/>
        <v>44180</v>
      </c>
      <c r="M453" s="71">
        <f t="shared" si="159"/>
        <v>44180</v>
      </c>
      <c r="N453" s="71">
        <f t="shared" si="159"/>
        <v>44180</v>
      </c>
      <c r="O453" s="71">
        <f>596420-220900-44180</f>
        <v>331340</v>
      </c>
      <c r="P453" s="72">
        <f>SUM(H453:O453)</f>
        <v>596420</v>
      </c>
    </row>
    <row r="454" spans="1:16" ht="14.25" customHeight="1" x14ac:dyDescent="0.25">
      <c r="A454" s="106"/>
      <c r="B454" s="102"/>
      <c r="C454" s="145"/>
      <c r="D454" s="106"/>
      <c r="E454" s="106"/>
      <c r="F454" s="17" t="s">
        <v>544</v>
      </c>
      <c r="G454" s="47" t="s">
        <v>8</v>
      </c>
      <c r="H454" s="74">
        <f>10364-1600-855</f>
        <v>7909</v>
      </c>
      <c r="I454" s="74">
        <v>26106</v>
      </c>
      <c r="J454" s="74">
        <v>24250</v>
      </c>
      <c r="K454" s="74">
        <v>19840</v>
      </c>
      <c r="L454" s="74">
        <v>16910</v>
      </c>
      <c r="M454" s="74">
        <v>15275</v>
      </c>
      <c r="N454" s="74">
        <v>13640</v>
      </c>
      <c r="O454" s="74">
        <v>50276</v>
      </c>
      <c r="P454" s="53">
        <f>SUM(H454:O454)</f>
        <v>174206</v>
      </c>
    </row>
    <row r="455" spans="1:16" ht="14.25" customHeight="1" x14ac:dyDescent="0.25">
      <c r="A455" s="106"/>
      <c r="B455" s="102"/>
      <c r="C455" s="145"/>
      <c r="D455" s="106"/>
      <c r="E455" s="106"/>
      <c r="F455" s="43"/>
      <c r="G455" s="15" t="s">
        <v>105</v>
      </c>
      <c r="H455" s="75">
        <f t="shared" ref="H455:P455" si="160">SUM(H453:H454)</f>
        <v>7909</v>
      </c>
      <c r="I455" s="75">
        <f t="shared" si="160"/>
        <v>70286</v>
      </c>
      <c r="J455" s="75">
        <f t="shared" si="160"/>
        <v>68430</v>
      </c>
      <c r="K455" s="75">
        <f t="shared" si="160"/>
        <v>64020</v>
      </c>
      <c r="L455" s="75">
        <f t="shared" si="160"/>
        <v>61090</v>
      </c>
      <c r="M455" s="75">
        <f t="shared" si="160"/>
        <v>59455</v>
      </c>
      <c r="N455" s="75">
        <f t="shared" si="160"/>
        <v>57820</v>
      </c>
      <c r="O455" s="75">
        <f t="shared" si="160"/>
        <v>381616</v>
      </c>
      <c r="P455" s="75">
        <f t="shared" si="160"/>
        <v>770626</v>
      </c>
    </row>
    <row r="456" spans="1:16" ht="14.25" customHeight="1" x14ac:dyDescent="0.25">
      <c r="A456" s="106">
        <f>A453+1</f>
        <v>150</v>
      </c>
      <c r="B456" s="102" t="s">
        <v>11</v>
      </c>
      <c r="C456" s="137" t="s">
        <v>508</v>
      </c>
      <c r="D456" s="105" t="s">
        <v>533</v>
      </c>
      <c r="E456" s="105" t="s">
        <v>536</v>
      </c>
      <c r="F456" s="13" t="s">
        <v>545</v>
      </c>
      <c r="G456" s="48" t="s">
        <v>5</v>
      </c>
      <c r="H456" s="71">
        <v>0</v>
      </c>
      <c r="I456" s="71">
        <f>3683*4</f>
        <v>14732</v>
      </c>
      <c r="J456" s="71">
        <f>3683*4</f>
        <v>14732</v>
      </c>
      <c r="K456" s="71">
        <f>3683*4</f>
        <v>14732</v>
      </c>
      <c r="L456" s="71">
        <f>3683*4</f>
        <v>14732</v>
      </c>
      <c r="M456" s="71">
        <f>3683*4</f>
        <v>14732</v>
      </c>
      <c r="N456" s="71">
        <v>14732</v>
      </c>
      <c r="O456" s="71">
        <f>198835-73660-14732</f>
        <v>110443</v>
      </c>
      <c r="P456" s="72">
        <f>SUM(H456:O456)</f>
        <v>198835</v>
      </c>
    </row>
    <row r="457" spans="1:16" ht="14.25" customHeight="1" x14ac:dyDescent="0.25">
      <c r="A457" s="106"/>
      <c r="B457" s="102"/>
      <c r="C457" s="145"/>
      <c r="D457" s="106"/>
      <c r="E457" s="106"/>
      <c r="F457" s="17" t="s">
        <v>546</v>
      </c>
      <c r="G457" s="47" t="s">
        <v>8</v>
      </c>
      <c r="H457" s="74">
        <f>5756-631</f>
        <v>5125</v>
      </c>
      <c r="I457" s="74">
        <v>8703</v>
      </c>
      <c r="J457" s="74">
        <v>7976</v>
      </c>
      <c r="K457" s="74">
        <v>6182</v>
      </c>
      <c r="L457" s="74">
        <v>5637</v>
      </c>
      <c r="M457" s="74">
        <v>5092</v>
      </c>
      <c r="N457" s="74">
        <v>4421</v>
      </c>
      <c r="O457" s="74">
        <v>16752</v>
      </c>
      <c r="P457" s="53">
        <f>SUM(H457:O457)</f>
        <v>59888</v>
      </c>
    </row>
    <row r="458" spans="1:16" ht="14.25" customHeight="1" x14ac:dyDescent="0.25">
      <c r="A458" s="106"/>
      <c r="B458" s="102"/>
      <c r="C458" s="145"/>
      <c r="D458" s="106"/>
      <c r="E458" s="106"/>
      <c r="F458" s="43"/>
      <c r="G458" s="15" t="s">
        <v>105</v>
      </c>
      <c r="H458" s="75">
        <f t="shared" ref="H458:P458" si="161">SUM(H456:H457)</f>
        <v>5125</v>
      </c>
      <c r="I458" s="75">
        <f t="shared" si="161"/>
        <v>23435</v>
      </c>
      <c r="J458" s="75">
        <f t="shared" si="161"/>
        <v>22708</v>
      </c>
      <c r="K458" s="75">
        <f t="shared" si="161"/>
        <v>20914</v>
      </c>
      <c r="L458" s="75">
        <f t="shared" si="161"/>
        <v>20369</v>
      </c>
      <c r="M458" s="75">
        <f t="shared" si="161"/>
        <v>19824</v>
      </c>
      <c r="N458" s="75">
        <f t="shared" si="161"/>
        <v>19153</v>
      </c>
      <c r="O458" s="75">
        <f t="shared" si="161"/>
        <v>127195</v>
      </c>
      <c r="P458" s="75">
        <f t="shared" si="161"/>
        <v>258723</v>
      </c>
    </row>
    <row r="459" spans="1:16" ht="14.25" customHeight="1" x14ac:dyDescent="0.25">
      <c r="A459" s="106">
        <f>A456+1</f>
        <v>151</v>
      </c>
      <c r="B459" s="142" t="s">
        <v>11</v>
      </c>
      <c r="C459" s="137" t="s">
        <v>517</v>
      </c>
      <c r="D459" s="105" t="s">
        <v>563</v>
      </c>
      <c r="E459" s="105" t="s">
        <v>564</v>
      </c>
      <c r="F459" s="13" t="s">
        <v>574</v>
      </c>
      <c r="G459" s="48" t="s">
        <v>5</v>
      </c>
      <c r="H459" s="71">
        <v>0</v>
      </c>
      <c r="I459" s="71">
        <v>43916</v>
      </c>
      <c r="J459" s="71">
        <v>43916</v>
      </c>
      <c r="K459" s="71">
        <v>43916</v>
      </c>
      <c r="L459" s="71">
        <v>43916</v>
      </c>
      <c r="M459" s="71">
        <v>43916</v>
      </c>
      <c r="N459" s="71">
        <v>43916</v>
      </c>
      <c r="O459" s="71">
        <f>603825-219580-43916</f>
        <v>340329</v>
      </c>
      <c r="P459" s="72">
        <f>SUM(H459:O459)</f>
        <v>603825</v>
      </c>
    </row>
    <row r="460" spans="1:16" ht="14.25" customHeight="1" x14ac:dyDescent="0.25">
      <c r="A460" s="106"/>
      <c r="B460" s="142"/>
      <c r="C460" s="145"/>
      <c r="D460" s="106"/>
      <c r="E460" s="106"/>
      <c r="F460" s="17" t="s">
        <v>575</v>
      </c>
      <c r="G460" s="47" t="s">
        <v>8</v>
      </c>
      <c r="H460" s="74">
        <f>6411-400-1380</f>
        <v>4631</v>
      </c>
      <c r="I460" s="74">
        <v>26440</v>
      </c>
      <c r="J460" s="74">
        <v>25439</v>
      </c>
      <c r="K460" s="74">
        <v>19632</v>
      </c>
      <c r="L460" s="74">
        <v>17215</v>
      </c>
      <c r="M460" s="74">
        <v>15590</v>
      </c>
      <c r="N460" s="74">
        <v>13964</v>
      </c>
      <c r="O460" s="74">
        <f>178172-110993-13964</f>
        <v>53215</v>
      </c>
      <c r="P460" s="53">
        <f>SUM(H460:O460)</f>
        <v>176126</v>
      </c>
    </row>
    <row r="461" spans="1:16" ht="14.25" customHeight="1" x14ac:dyDescent="0.25">
      <c r="A461" s="106"/>
      <c r="B461" s="142"/>
      <c r="C461" s="145"/>
      <c r="D461" s="106"/>
      <c r="E461" s="106"/>
      <c r="F461" s="43"/>
      <c r="G461" s="15" t="s">
        <v>105</v>
      </c>
      <c r="H461" s="75">
        <f t="shared" ref="H461:P461" si="162">SUM(H459:H460)</f>
        <v>4631</v>
      </c>
      <c r="I461" s="75">
        <f t="shared" si="162"/>
        <v>70356</v>
      </c>
      <c r="J461" s="75">
        <f t="shared" si="162"/>
        <v>69355</v>
      </c>
      <c r="K461" s="75">
        <f t="shared" si="162"/>
        <v>63548</v>
      </c>
      <c r="L461" s="75">
        <f t="shared" si="162"/>
        <v>61131</v>
      </c>
      <c r="M461" s="75">
        <f t="shared" si="162"/>
        <v>59506</v>
      </c>
      <c r="N461" s="75">
        <f t="shared" si="162"/>
        <v>57880</v>
      </c>
      <c r="O461" s="75">
        <f t="shared" si="162"/>
        <v>393544</v>
      </c>
      <c r="P461" s="75">
        <f t="shared" si="162"/>
        <v>779951</v>
      </c>
    </row>
    <row r="462" spans="1:16" ht="14.25" customHeight="1" x14ac:dyDescent="0.25">
      <c r="A462" s="106">
        <f>A459+1</f>
        <v>152</v>
      </c>
      <c r="B462" s="142" t="s">
        <v>11</v>
      </c>
      <c r="C462" s="103" t="s">
        <v>509</v>
      </c>
      <c r="D462" s="105" t="s">
        <v>587</v>
      </c>
      <c r="E462" s="105" t="s">
        <v>315</v>
      </c>
      <c r="F462" s="13" t="s">
        <v>585</v>
      </c>
      <c r="G462" s="48" t="s">
        <v>5</v>
      </c>
      <c r="H462" s="71">
        <f>5110-2624</f>
        <v>2486</v>
      </c>
      <c r="I462" s="71">
        <v>9944</v>
      </c>
      <c r="J462" s="71">
        <v>9944</v>
      </c>
      <c r="K462" s="71">
        <v>9944</v>
      </c>
      <c r="L462" s="71">
        <v>9944</v>
      </c>
      <c r="M462" s="71">
        <v>9944</v>
      </c>
      <c r="N462" s="71">
        <v>9944</v>
      </c>
      <c r="O462" s="71">
        <f>91981-62150-2624</f>
        <v>27207</v>
      </c>
      <c r="P462" s="72">
        <f>SUM(H462:O462)</f>
        <v>89357</v>
      </c>
    </row>
    <row r="463" spans="1:16" ht="14.25" customHeight="1" x14ac:dyDescent="0.25">
      <c r="A463" s="106"/>
      <c r="B463" s="142"/>
      <c r="C463" s="104"/>
      <c r="D463" s="106"/>
      <c r="E463" s="106"/>
      <c r="F463" s="17" t="s">
        <v>586</v>
      </c>
      <c r="G463" s="47" t="s">
        <v>8</v>
      </c>
      <c r="H463" s="74">
        <v>3301</v>
      </c>
      <c r="I463" s="74">
        <v>4029</v>
      </c>
      <c r="J463" s="74">
        <v>3574</v>
      </c>
      <c r="K463" s="74">
        <v>3118</v>
      </c>
      <c r="L463" s="74">
        <v>2669</v>
      </c>
      <c r="M463" s="74">
        <v>2206</v>
      </c>
      <c r="N463" s="74">
        <v>1750</v>
      </c>
      <c r="O463" s="74">
        <f>2530</f>
        <v>2530</v>
      </c>
      <c r="P463" s="53">
        <f>SUM(H463:O463)</f>
        <v>23177</v>
      </c>
    </row>
    <row r="464" spans="1:16" ht="14.25" customHeight="1" x14ac:dyDescent="0.25">
      <c r="A464" s="106"/>
      <c r="B464" s="142"/>
      <c r="C464" s="104"/>
      <c r="D464" s="106"/>
      <c r="E464" s="106"/>
      <c r="F464" s="43"/>
      <c r="G464" s="15" t="s">
        <v>105</v>
      </c>
      <c r="H464" s="75">
        <f t="shared" ref="H464:P464" si="163">SUM(H462:H463)</f>
        <v>5787</v>
      </c>
      <c r="I464" s="75">
        <f t="shared" si="163"/>
        <v>13973</v>
      </c>
      <c r="J464" s="75">
        <f t="shared" si="163"/>
        <v>13518</v>
      </c>
      <c r="K464" s="75">
        <f t="shared" si="163"/>
        <v>13062</v>
      </c>
      <c r="L464" s="75">
        <f t="shared" si="163"/>
        <v>12613</v>
      </c>
      <c r="M464" s="75">
        <f t="shared" si="163"/>
        <v>12150</v>
      </c>
      <c r="N464" s="75">
        <f t="shared" si="163"/>
        <v>11694</v>
      </c>
      <c r="O464" s="75">
        <f t="shared" si="163"/>
        <v>29737</v>
      </c>
      <c r="P464" s="75">
        <f t="shared" si="163"/>
        <v>112534</v>
      </c>
    </row>
    <row r="465" spans="1:17" ht="14.25" customHeight="1" x14ac:dyDescent="0.25">
      <c r="A465" s="101">
        <f>A462+1</f>
        <v>153</v>
      </c>
      <c r="B465" s="102" t="s">
        <v>11</v>
      </c>
      <c r="C465" s="103" t="s">
        <v>502</v>
      </c>
      <c r="D465" s="105" t="s">
        <v>595</v>
      </c>
      <c r="E465" s="105" t="s">
        <v>580</v>
      </c>
      <c r="F465" s="13"/>
      <c r="G465" s="48" t="s">
        <v>5</v>
      </c>
      <c r="H465" s="71">
        <v>0</v>
      </c>
      <c r="I465" s="87">
        <v>50683</v>
      </c>
      <c r="J465" s="87">
        <v>50700</v>
      </c>
      <c r="K465" s="87">
        <v>50700</v>
      </c>
      <c r="L465" s="87">
        <v>50700</v>
      </c>
      <c r="M465" s="87">
        <v>50700</v>
      </c>
      <c r="N465" s="87">
        <v>50700</v>
      </c>
      <c r="O465" s="87">
        <f>684433-253483-50700</f>
        <v>380250</v>
      </c>
      <c r="P465" s="50">
        <f>SUM(H465:O465)</f>
        <v>684433</v>
      </c>
    </row>
    <row r="466" spans="1:17" ht="14.25" customHeight="1" x14ac:dyDescent="0.25">
      <c r="A466" s="101"/>
      <c r="B466" s="102"/>
      <c r="C466" s="104"/>
      <c r="D466" s="106"/>
      <c r="E466" s="106"/>
      <c r="F466" s="47" t="s">
        <v>500</v>
      </c>
      <c r="G466" s="47" t="s">
        <v>8</v>
      </c>
      <c r="H466" s="73">
        <v>305</v>
      </c>
      <c r="I466" s="46">
        <v>24932</v>
      </c>
      <c r="J466" s="46">
        <v>23159</v>
      </c>
      <c r="K466" s="46">
        <v>21283</v>
      </c>
      <c r="L466" s="46">
        <v>19406</v>
      </c>
      <c r="M466" s="46">
        <v>17530</v>
      </c>
      <c r="N466" s="46">
        <v>15680</v>
      </c>
      <c r="O466" s="46">
        <f>206431-133077-15680</f>
        <v>57674</v>
      </c>
      <c r="P466" s="40">
        <f>SUM(H466:O466)</f>
        <v>179969</v>
      </c>
      <c r="Q466" s="99"/>
    </row>
    <row r="467" spans="1:17" ht="14.25" customHeight="1" x14ac:dyDescent="0.25">
      <c r="A467" s="101"/>
      <c r="B467" s="102"/>
      <c r="C467" s="104"/>
      <c r="D467" s="106"/>
      <c r="E467" s="106"/>
      <c r="F467" s="43"/>
      <c r="G467" s="15" t="s">
        <v>105</v>
      </c>
      <c r="H467" s="75">
        <f t="shared" ref="H467:P467" si="164">SUM(H465:H466)</f>
        <v>305</v>
      </c>
      <c r="I467" s="51">
        <f t="shared" si="164"/>
        <v>75615</v>
      </c>
      <c r="J467" s="51">
        <f t="shared" si="164"/>
        <v>73859</v>
      </c>
      <c r="K467" s="51">
        <f t="shared" si="164"/>
        <v>71983</v>
      </c>
      <c r="L467" s="51">
        <f t="shared" si="164"/>
        <v>70106</v>
      </c>
      <c r="M467" s="51">
        <f t="shared" si="164"/>
        <v>68230</v>
      </c>
      <c r="N467" s="51">
        <f t="shared" si="164"/>
        <v>66380</v>
      </c>
      <c r="O467" s="51">
        <f t="shared" si="164"/>
        <v>437924</v>
      </c>
      <c r="P467" s="51">
        <f t="shared" si="164"/>
        <v>864402</v>
      </c>
    </row>
    <row r="468" spans="1:17" ht="14.25" customHeight="1" x14ac:dyDescent="0.25">
      <c r="A468" s="101">
        <f>A465+1</f>
        <v>154</v>
      </c>
      <c r="B468" s="102" t="s">
        <v>11</v>
      </c>
      <c r="C468" s="103" t="s">
        <v>596</v>
      </c>
      <c r="D468" s="105" t="s">
        <v>588</v>
      </c>
      <c r="E468" s="105" t="s">
        <v>589</v>
      </c>
      <c r="F468" s="13"/>
      <c r="G468" s="48" t="s">
        <v>5</v>
      </c>
      <c r="H468" s="71">
        <v>0</v>
      </c>
      <c r="I468" s="87">
        <v>16500</v>
      </c>
      <c r="J468" s="87">
        <v>33000</v>
      </c>
      <c r="K468" s="87">
        <v>33000</v>
      </c>
      <c r="L468" s="87">
        <v>33000</v>
      </c>
      <c r="M468" s="87">
        <v>33000</v>
      </c>
      <c r="N468" s="87">
        <v>33000</v>
      </c>
      <c r="O468" s="94">
        <v>758930</v>
      </c>
      <c r="P468" s="95">
        <f>SUM(H468:O468)</f>
        <v>940430</v>
      </c>
    </row>
    <row r="469" spans="1:17" ht="14.25" customHeight="1" x14ac:dyDescent="0.25">
      <c r="A469" s="101"/>
      <c r="B469" s="102"/>
      <c r="C469" s="104"/>
      <c r="D469" s="106"/>
      <c r="E469" s="106"/>
      <c r="F469" s="47" t="s">
        <v>500</v>
      </c>
      <c r="G469" s="47" t="s">
        <v>8</v>
      </c>
      <c r="H469" s="74">
        <f>1423-921</f>
        <v>502</v>
      </c>
      <c r="I469" s="40">
        <v>21430</v>
      </c>
      <c r="J469" s="40">
        <v>42742</v>
      </c>
      <c r="K469" s="40">
        <v>40059</v>
      </c>
      <c r="L469" s="40">
        <v>37164</v>
      </c>
      <c r="M469" s="40">
        <v>34265</v>
      </c>
      <c r="N469" s="46">
        <v>32541</v>
      </c>
      <c r="O469" s="96">
        <f>201560</f>
        <v>201560</v>
      </c>
      <c r="P469" s="78">
        <f>SUM(H469:O469)</f>
        <v>410263</v>
      </c>
    </row>
    <row r="470" spans="1:17" ht="14.25" customHeight="1" x14ac:dyDescent="0.25">
      <c r="A470" s="101"/>
      <c r="B470" s="102"/>
      <c r="C470" s="104"/>
      <c r="D470" s="106"/>
      <c r="E470" s="106"/>
      <c r="F470" s="43"/>
      <c r="G470" s="15" t="s">
        <v>105</v>
      </c>
      <c r="H470" s="75">
        <f t="shared" ref="H470:P470" si="165">SUM(H468:H469)</f>
        <v>502</v>
      </c>
      <c r="I470" s="51">
        <f t="shared" si="165"/>
        <v>37930</v>
      </c>
      <c r="J470" s="51">
        <f t="shared" si="165"/>
        <v>75742</v>
      </c>
      <c r="K470" s="51">
        <f t="shared" si="165"/>
        <v>73059</v>
      </c>
      <c r="L470" s="51">
        <f t="shared" si="165"/>
        <v>70164</v>
      </c>
      <c r="M470" s="51">
        <f t="shared" si="165"/>
        <v>67265</v>
      </c>
      <c r="N470" s="51">
        <f t="shared" si="165"/>
        <v>65541</v>
      </c>
      <c r="O470" s="51">
        <f t="shared" si="165"/>
        <v>960490</v>
      </c>
      <c r="P470" s="51">
        <f t="shared" si="165"/>
        <v>1350693</v>
      </c>
    </row>
    <row r="471" spans="1:17" ht="14.25" customHeight="1" x14ac:dyDescent="0.25">
      <c r="A471" s="101">
        <f>A468+1</f>
        <v>155</v>
      </c>
      <c r="B471" s="102" t="s">
        <v>11</v>
      </c>
      <c r="C471" s="103" t="s">
        <v>601</v>
      </c>
      <c r="D471" s="105" t="s">
        <v>593</v>
      </c>
      <c r="E471" s="105" t="s">
        <v>603</v>
      </c>
      <c r="F471" s="13"/>
      <c r="G471" s="48" t="s">
        <v>5</v>
      </c>
      <c r="H471" s="71">
        <v>0</v>
      </c>
      <c r="I471" s="94">
        <v>4410</v>
      </c>
      <c r="J471" s="87">
        <v>8796</v>
      </c>
      <c r="K471" s="87">
        <v>8796</v>
      </c>
      <c r="L471" s="87">
        <v>8796</v>
      </c>
      <c r="M471" s="87">
        <v>8796</v>
      </c>
      <c r="N471" s="87">
        <v>8796</v>
      </c>
      <c r="O471" s="87">
        <f>79176-48390</f>
        <v>30786</v>
      </c>
      <c r="P471" s="50">
        <f>SUM(H471:O471)</f>
        <v>79176</v>
      </c>
      <c r="Q471" s="98"/>
    </row>
    <row r="472" spans="1:17" ht="14.25" customHeight="1" x14ac:dyDescent="0.25">
      <c r="A472" s="101"/>
      <c r="B472" s="102"/>
      <c r="C472" s="104"/>
      <c r="D472" s="106"/>
      <c r="E472" s="106"/>
      <c r="F472" s="47" t="s">
        <v>592</v>
      </c>
      <c r="G472" s="47" t="s">
        <v>8</v>
      </c>
      <c r="H472" s="74">
        <f>546-210</f>
        <v>336</v>
      </c>
      <c r="I472" s="46">
        <v>3787</v>
      </c>
      <c r="J472" s="46">
        <v>3553</v>
      </c>
      <c r="K472" s="46">
        <v>3127</v>
      </c>
      <c r="L472" s="46">
        <v>2701</v>
      </c>
      <c r="M472" s="46">
        <v>2275</v>
      </c>
      <c r="N472" s="46">
        <v>1850</v>
      </c>
      <c r="O472" s="46">
        <f>20770-17629</f>
        <v>3141</v>
      </c>
      <c r="P472" s="40">
        <f>SUM(H472:O472)</f>
        <v>20770</v>
      </c>
    </row>
    <row r="473" spans="1:17" ht="14.25" customHeight="1" x14ac:dyDescent="0.25">
      <c r="A473" s="101"/>
      <c r="B473" s="102"/>
      <c r="C473" s="104"/>
      <c r="D473" s="106"/>
      <c r="E473" s="106"/>
      <c r="F473" s="43"/>
      <c r="G473" s="15" t="s">
        <v>105</v>
      </c>
      <c r="H473" s="75">
        <f t="shared" ref="H473:P473" si="166">SUM(H471:H472)</f>
        <v>336</v>
      </c>
      <c r="I473" s="51">
        <f t="shared" si="166"/>
        <v>8197</v>
      </c>
      <c r="J473" s="51">
        <f t="shared" si="166"/>
        <v>12349</v>
      </c>
      <c r="K473" s="51">
        <f t="shared" si="166"/>
        <v>11923</v>
      </c>
      <c r="L473" s="51">
        <f t="shared" si="166"/>
        <v>11497</v>
      </c>
      <c r="M473" s="51">
        <f t="shared" si="166"/>
        <v>11071</v>
      </c>
      <c r="N473" s="51">
        <f t="shared" si="166"/>
        <v>10646</v>
      </c>
      <c r="O473" s="51">
        <f t="shared" si="166"/>
        <v>33927</v>
      </c>
      <c r="P473" s="51">
        <f t="shared" si="166"/>
        <v>99946</v>
      </c>
    </row>
    <row r="474" spans="1:17" ht="14.25" customHeight="1" x14ac:dyDescent="0.25">
      <c r="A474" s="101">
        <v>156</v>
      </c>
      <c r="B474" s="102" t="s">
        <v>11</v>
      </c>
      <c r="C474" s="103" t="s">
        <v>602</v>
      </c>
      <c r="D474" s="105" t="s">
        <v>593</v>
      </c>
      <c r="E474" s="105" t="s">
        <v>594</v>
      </c>
      <c r="F474" s="13"/>
      <c r="G474" s="48" t="s">
        <v>5</v>
      </c>
      <c r="H474" s="71">
        <v>0</v>
      </c>
      <c r="I474" s="94">
        <v>0</v>
      </c>
      <c r="J474" s="87">
        <v>57926</v>
      </c>
      <c r="K474" s="87">
        <v>57926</v>
      </c>
      <c r="L474" s="87">
        <v>57926</v>
      </c>
      <c r="M474" s="87">
        <v>57926</v>
      </c>
      <c r="N474" s="87">
        <v>57926</v>
      </c>
      <c r="O474" s="87">
        <f>781926-289630</f>
        <v>492296</v>
      </c>
      <c r="P474" s="50">
        <f>SUM(H474:O474)</f>
        <v>781926</v>
      </c>
    </row>
    <row r="475" spans="1:17" ht="14.25" customHeight="1" x14ac:dyDescent="0.25">
      <c r="A475" s="101"/>
      <c r="B475" s="102"/>
      <c r="C475" s="104"/>
      <c r="D475" s="106"/>
      <c r="E475" s="106"/>
      <c r="F475" s="47" t="s">
        <v>592</v>
      </c>
      <c r="G475" s="47" t="s">
        <v>8</v>
      </c>
      <c r="H475" s="74">
        <f>4532-2935</f>
        <v>1597</v>
      </c>
      <c r="I475" s="46">
        <v>30011</v>
      </c>
      <c r="J475" s="46">
        <v>31721</v>
      </c>
      <c r="K475" s="46">
        <v>29465</v>
      </c>
      <c r="L475" s="46">
        <v>27078</v>
      </c>
      <c r="M475" s="46">
        <v>24691</v>
      </c>
      <c r="N475" s="46">
        <v>22303</v>
      </c>
      <c r="O475" s="46">
        <f>260195-166866</f>
        <v>93329</v>
      </c>
      <c r="P475" s="40">
        <f>SUM(H475:O475)</f>
        <v>260195</v>
      </c>
    </row>
    <row r="476" spans="1:17" ht="14.25" customHeight="1" x14ac:dyDescent="0.25">
      <c r="A476" s="101"/>
      <c r="B476" s="102"/>
      <c r="C476" s="104"/>
      <c r="D476" s="106"/>
      <c r="E476" s="106"/>
      <c r="F476" s="43"/>
      <c r="G476" s="15" t="s">
        <v>105</v>
      </c>
      <c r="H476" s="75">
        <f t="shared" ref="H476:P476" si="167">SUM(H474:H475)</f>
        <v>1597</v>
      </c>
      <c r="I476" s="51">
        <f t="shared" si="167"/>
        <v>30011</v>
      </c>
      <c r="J476" s="51">
        <f t="shared" si="167"/>
        <v>89647</v>
      </c>
      <c r="K476" s="51">
        <f t="shared" si="167"/>
        <v>87391</v>
      </c>
      <c r="L476" s="51">
        <f t="shared" si="167"/>
        <v>85004</v>
      </c>
      <c r="M476" s="51">
        <f t="shared" si="167"/>
        <v>82617</v>
      </c>
      <c r="N476" s="51">
        <f t="shared" si="167"/>
        <v>80229</v>
      </c>
      <c r="O476" s="51">
        <f t="shared" si="167"/>
        <v>585625</v>
      </c>
      <c r="P476" s="51">
        <f t="shared" si="167"/>
        <v>1042121</v>
      </c>
    </row>
    <row r="477" spans="1:17" ht="14.25" customHeight="1" x14ac:dyDescent="0.25">
      <c r="A477" s="101">
        <v>157</v>
      </c>
      <c r="B477" s="102" t="s">
        <v>11</v>
      </c>
      <c r="C477" s="103" t="s">
        <v>630</v>
      </c>
      <c r="D477" s="105" t="s">
        <v>593</v>
      </c>
      <c r="E477" s="105" t="s">
        <v>594</v>
      </c>
      <c r="F477" s="13"/>
      <c r="G477" s="48" t="s">
        <v>5</v>
      </c>
      <c r="H477" s="71">
        <v>0</v>
      </c>
      <c r="I477" s="94">
        <v>0</v>
      </c>
      <c r="J477" s="87">
        <v>26256</v>
      </c>
      <c r="K477" s="87">
        <v>26252</v>
      </c>
      <c r="L477" s="87">
        <v>26252</v>
      </c>
      <c r="M477" s="87">
        <v>26252</v>
      </c>
      <c r="N477" s="87">
        <v>26252</v>
      </c>
      <c r="O477" s="87">
        <f>354406-131264</f>
        <v>223142</v>
      </c>
      <c r="P477" s="50">
        <f>SUM(H477:O477)</f>
        <v>354406</v>
      </c>
    </row>
    <row r="478" spans="1:17" ht="14.25" customHeight="1" x14ac:dyDescent="0.25">
      <c r="A478" s="101"/>
      <c r="B478" s="102"/>
      <c r="C478" s="104"/>
      <c r="D478" s="106"/>
      <c r="E478" s="106"/>
      <c r="F478" s="47" t="s">
        <v>592</v>
      </c>
      <c r="G478" s="47" t="s">
        <v>8</v>
      </c>
      <c r="H478" s="74">
        <v>1018</v>
      </c>
      <c r="I478" s="46">
        <v>14055</v>
      </c>
      <c r="J478" s="46">
        <v>14377</v>
      </c>
      <c r="K478" s="46">
        <v>13355</v>
      </c>
      <c r="L478" s="46">
        <v>12272</v>
      </c>
      <c r="M478" s="46">
        <v>11191</v>
      </c>
      <c r="N478" s="46">
        <v>10109</v>
      </c>
      <c r="O478" s="46">
        <f>118679-76377</f>
        <v>42302</v>
      </c>
      <c r="P478" s="40">
        <f>SUM(H478:O478)</f>
        <v>118679</v>
      </c>
    </row>
    <row r="479" spans="1:17" ht="14.25" customHeight="1" x14ac:dyDescent="0.25">
      <c r="A479" s="101"/>
      <c r="B479" s="102"/>
      <c r="C479" s="104"/>
      <c r="D479" s="106"/>
      <c r="E479" s="106"/>
      <c r="F479" s="43"/>
      <c r="G479" s="15" t="s">
        <v>105</v>
      </c>
      <c r="H479" s="75">
        <f t="shared" ref="H479:P479" si="168">SUM(H477:H478)</f>
        <v>1018</v>
      </c>
      <c r="I479" s="51">
        <f t="shared" si="168"/>
        <v>14055</v>
      </c>
      <c r="J479" s="51">
        <f t="shared" si="168"/>
        <v>40633</v>
      </c>
      <c r="K479" s="51">
        <f t="shared" si="168"/>
        <v>39607</v>
      </c>
      <c r="L479" s="51">
        <f t="shared" si="168"/>
        <v>38524</v>
      </c>
      <c r="M479" s="51">
        <f t="shared" si="168"/>
        <v>37443</v>
      </c>
      <c r="N479" s="51">
        <f t="shared" si="168"/>
        <v>36361</v>
      </c>
      <c r="O479" s="51">
        <f t="shared" si="168"/>
        <v>265444</v>
      </c>
      <c r="P479" s="51">
        <f t="shared" si="168"/>
        <v>473085</v>
      </c>
    </row>
    <row r="480" spans="1:17" ht="14.25" hidden="1" customHeight="1" outlineLevel="1" x14ac:dyDescent="0.25">
      <c r="A480" s="101"/>
      <c r="B480" s="102" t="s">
        <v>11</v>
      </c>
      <c r="C480" s="103"/>
      <c r="D480" s="105"/>
      <c r="E480" s="105"/>
      <c r="F480" s="13"/>
      <c r="G480" s="48" t="s">
        <v>5</v>
      </c>
      <c r="H480" s="71">
        <v>0</v>
      </c>
      <c r="I480" s="94"/>
      <c r="J480" s="87"/>
      <c r="K480" s="87"/>
      <c r="L480" s="87"/>
      <c r="M480" s="87"/>
      <c r="N480" s="87"/>
      <c r="O480" s="87"/>
      <c r="P480" s="50">
        <f>SUM(H480:O480)</f>
        <v>0</v>
      </c>
    </row>
    <row r="481" spans="1:16" ht="14.25" hidden="1" customHeight="1" outlineLevel="1" x14ac:dyDescent="0.25">
      <c r="A481" s="101"/>
      <c r="B481" s="102"/>
      <c r="C481" s="104"/>
      <c r="D481" s="106"/>
      <c r="E481" s="106"/>
      <c r="F481" s="47" t="s">
        <v>592</v>
      </c>
      <c r="G481" s="47" t="s">
        <v>8</v>
      </c>
      <c r="H481" s="74">
        <v>0</v>
      </c>
      <c r="I481" s="46"/>
      <c r="J481" s="46"/>
      <c r="K481" s="46"/>
      <c r="L481" s="46"/>
      <c r="M481" s="46"/>
      <c r="N481" s="46"/>
      <c r="O481" s="46"/>
      <c r="P481" s="40">
        <f>SUM(H481:O481)</f>
        <v>0</v>
      </c>
    </row>
    <row r="482" spans="1:16" ht="14.25" hidden="1" customHeight="1" outlineLevel="1" x14ac:dyDescent="0.25">
      <c r="A482" s="101"/>
      <c r="B482" s="102"/>
      <c r="C482" s="104"/>
      <c r="D482" s="106"/>
      <c r="E482" s="106"/>
      <c r="F482" s="43"/>
      <c r="G482" s="15" t="s">
        <v>105</v>
      </c>
      <c r="H482" s="75">
        <f t="shared" ref="H482:P482" si="169">SUM(H480:H481)</f>
        <v>0</v>
      </c>
      <c r="I482" s="51">
        <f t="shared" si="169"/>
        <v>0</v>
      </c>
      <c r="J482" s="51">
        <f t="shared" si="169"/>
        <v>0</v>
      </c>
      <c r="K482" s="51">
        <f t="shared" si="169"/>
        <v>0</v>
      </c>
      <c r="L482" s="51">
        <f t="shared" si="169"/>
        <v>0</v>
      </c>
      <c r="M482" s="51">
        <f t="shared" si="169"/>
        <v>0</v>
      </c>
      <c r="N482" s="51">
        <f t="shared" si="169"/>
        <v>0</v>
      </c>
      <c r="O482" s="51">
        <f t="shared" si="169"/>
        <v>0</v>
      </c>
      <c r="P482" s="51">
        <f t="shared" si="169"/>
        <v>0</v>
      </c>
    </row>
    <row r="483" spans="1:16" ht="14.25" customHeight="1" collapsed="1" x14ac:dyDescent="0.25">
      <c r="A483" s="101">
        <v>158</v>
      </c>
      <c r="B483" s="102" t="s">
        <v>11</v>
      </c>
      <c r="C483" s="103" t="s">
        <v>590</v>
      </c>
      <c r="D483" s="105" t="s">
        <v>605</v>
      </c>
      <c r="E483" s="105" t="s">
        <v>606</v>
      </c>
      <c r="F483" s="13"/>
      <c r="G483" s="48" t="s">
        <v>5</v>
      </c>
      <c r="H483" s="71">
        <v>0</v>
      </c>
      <c r="I483" s="94">
        <v>0</v>
      </c>
      <c r="J483" s="94">
        <v>72806</v>
      </c>
      <c r="K483" s="94">
        <v>72820</v>
      </c>
      <c r="L483" s="94">
        <v>72820</v>
      </c>
      <c r="M483" s="94">
        <v>72820</v>
      </c>
      <c r="N483" s="94">
        <v>72820</v>
      </c>
      <c r="O483" s="94">
        <f>983056-364086</f>
        <v>618970</v>
      </c>
      <c r="P483" s="95">
        <f>SUM(H483:O483)</f>
        <v>983056</v>
      </c>
    </row>
    <row r="484" spans="1:16" ht="14.25" customHeight="1" x14ac:dyDescent="0.25">
      <c r="A484" s="101"/>
      <c r="B484" s="102"/>
      <c r="C484" s="104"/>
      <c r="D484" s="106"/>
      <c r="E484" s="106"/>
      <c r="F484" s="47" t="s">
        <v>592</v>
      </c>
      <c r="G484" s="47" t="s">
        <v>8</v>
      </c>
      <c r="H484" s="74">
        <v>399</v>
      </c>
      <c r="I484" s="96">
        <v>33756</v>
      </c>
      <c r="J484" s="96">
        <v>40009</v>
      </c>
      <c r="K484" s="96">
        <v>37163</v>
      </c>
      <c r="L484" s="96">
        <v>37163</v>
      </c>
      <c r="M484" s="96">
        <v>34152</v>
      </c>
      <c r="N484" s="96">
        <v>31142</v>
      </c>
      <c r="O484" s="96">
        <f>323704-213784</f>
        <v>109920</v>
      </c>
      <c r="P484" s="78">
        <f>SUM(H484:O484)</f>
        <v>323704</v>
      </c>
    </row>
    <row r="485" spans="1:16" ht="14.25" customHeight="1" x14ac:dyDescent="0.25">
      <c r="A485" s="101"/>
      <c r="B485" s="102"/>
      <c r="C485" s="104"/>
      <c r="D485" s="106"/>
      <c r="E485" s="106"/>
      <c r="F485" s="43"/>
      <c r="G485" s="15" t="s">
        <v>105</v>
      </c>
      <c r="H485" s="75">
        <f t="shared" ref="H485:P485" si="170">SUM(H483:H484)</f>
        <v>399</v>
      </c>
      <c r="I485" s="51">
        <f t="shared" si="170"/>
        <v>33756</v>
      </c>
      <c r="J485" s="51">
        <f t="shared" si="170"/>
        <v>112815</v>
      </c>
      <c r="K485" s="51">
        <f t="shared" si="170"/>
        <v>109983</v>
      </c>
      <c r="L485" s="51">
        <f t="shared" si="170"/>
        <v>109983</v>
      </c>
      <c r="M485" s="51">
        <f t="shared" si="170"/>
        <v>106972</v>
      </c>
      <c r="N485" s="51">
        <f t="shared" si="170"/>
        <v>103962</v>
      </c>
      <c r="O485" s="51">
        <f t="shared" si="170"/>
        <v>728890</v>
      </c>
      <c r="P485" s="51">
        <f t="shared" si="170"/>
        <v>1306760</v>
      </c>
    </row>
    <row r="486" spans="1:16" ht="14.25" customHeight="1" outlineLevel="1" x14ac:dyDescent="0.25">
      <c r="A486" s="101">
        <v>159</v>
      </c>
      <c r="B486" s="102" t="s">
        <v>11</v>
      </c>
      <c r="C486" s="103" t="s">
        <v>637</v>
      </c>
      <c r="D486" s="105" t="s">
        <v>593</v>
      </c>
      <c r="E486" s="105" t="s">
        <v>604</v>
      </c>
      <c r="F486" s="13"/>
      <c r="G486" s="48" t="s">
        <v>5</v>
      </c>
      <c r="H486" s="71">
        <v>0</v>
      </c>
      <c r="I486" s="94">
        <v>0</v>
      </c>
      <c r="J486" s="87">
        <v>44200</v>
      </c>
      <c r="K486" s="87">
        <v>44200</v>
      </c>
      <c r="L486" s="87">
        <v>44200</v>
      </c>
      <c r="M486" s="87">
        <v>44200</v>
      </c>
      <c r="N486" s="87">
        <v>44200</v>
      </c>
      <c r="O486" s="87">
        <f>1259700-221000</f>
        <v>1038700</v>
      </c>
      <c r="P486" s="50">
        <f>SUM(H486:O486)</f>
        <v>1259700</v>
      </c>
    </row>
    <row r="487" spans="1:16" ht="14.25" customHeight="1" outlineLevel="1" x14ac:dyDescent="0.25">
      <c r="A487" s="101"/>
      <c r="B487" s="102"/>
      <c r="C487" s="104"/>
      <c r="D487" s="106"/>
      <c r="E487" s="106"/>
      <c r="F487" s="47" t="s">
        <v>592</v>
      </c>
      <c r="G487" s="47" t="s">
        <v>8</v>
      </c>
      <c r="H487" s="74">
        <v>921</v>
      </c>
      <c r="I487" s="46">
        <v>60667</v>
      </c>
      <c r="J487" s="46">
        <v>60216</v>
      </c>
      <c r="K487" s="46">
        <v>58204</v>
      </c>
      <c r="L487" s="46">
        <v>56076</v>
      </c>
      <c r="M487" s="46">
        <v>53947</v>
      </c>
      <c r="N487" s="46">
        <v>51818</v>
      </c>
      <c r="O487" s="46">
        <f>956201-341849</f>
        <v>614352</v>
      </c>
      <c r="P487" s="40">
        <f>SUM(H487:O487)</f>
        <v>956201</v>
      </c>
    </row>
    <row r="488" spans="1:16" ht="14.25" customHeight="1" outlineLevel="1" x14ac:dyDescent="0.25">
      <c r="A488" s="101"/>
      <c r="B488" s="102"/>
      <c r="C488" s="104"/>
      <c r="D488" s="106"/>
      <c r="E488" s="106"/>
      <c r="F488" s="43"/>
      <c r="G488" s="15" t="s">
        <v>105</v>
      </c>
      <c r="H488" s="75">
        <f t="shared" ref="H488:P488" si="171">SUM(H486:H487)</f>
        <v>921</v>
      </c>
      <c r="I488" s="51">
        <f t="shared" si="171"/>
        <v>60667</v>
      </c>
      <c r="J488" s="51">
        <f t="shared" si="171"/>
        <v>104416</v>
      </c>
      <c r="K488" s="51">
        <f t="shared" si="171"/>
        <v>102404</v>
      </c>
      <c r="L488" s="51">
        <f t="shared" si="171"/>
        <v>100276</v>
      </c>
      <c r="M488" s="51">
        <f t="shared" si="171"/>
        <v>98147</v>
      </c>
      <c r="N488" s="51">
        <f t="shared" si="171"/>
        <v>96018</v>
      </c>
      <c r="O488" s="51">
        <f t="shared" si="171"/>
        <v>1653052</v>
      </c>
      <c r="P488" s="51">
        <f t="shared" si="171"/>
        <v>2215901</v>
      </c>
    </row>
    <row r="489" spans="1:16" ht="13.5" customHeight="1" x14ac:dyDescent="0.25">
      <c r="A489" s="161"/>
      <c r="B489" s="162" t="s">
        <v>3</v>
      </c>
      <c r="C489" s="163" t="s">
        <v>457</v>
      </c>
      <c r="D489" s="162" t="s">
        <v>3</v>
      </c>
      <c r="E489" s="162" t="s">
        <v>3</v>
      </c>
      <c r="F489" s="162" t="s">
        <v>3</v>
      </c>
      <c r="G489" s="27" t="s">
        <v>5</v>
      </c>
      <c r="H489" s="37">
        <f>H9+H12++H15++H18+H21+H24+H27+H30+H33+H36+H39+H42+H45+H48+H51+H54+H57+H60+H63+H66+H69+H72+H75+H78+H81+H84+H87+H90+H93+H96+H99+H102+H105+H108+H111+H114+H117+H120+H123+H126+H129+H132+H135+H138+H141+H144+H147+H150+H153+H156+H159+H162+H165+H168+H171+H174+H177+H180+H183+H186+H189+H192+H195+H198+H201+H204+H207+H210+H213+H216+H219+H222+H225+H228+H231+H234+H237+H240+H243+H246+H249+H252+H255+H258+H261+H264+H267+H270+H273+H276+H279+H282+H285+H288+H291+H294+H297+H300+H303+H306+H309+H312+H315+H318+H321+H324+H327+H330+H333+H336+H339+H342+H345+H348+H351+H354+H357+H360+H363+H366+H369+H372+H375+H378+H381+H384+H387+H390+H393+H396+H399+H402+H405+H408+H411+H414+H417+H420+H423+H426+H429+H432+H435+H438+H441+H444+H447+H450+H453+H456+H459+H462+H465+H468+H471+H474+H477+H480+H483+H486</f>
        <v>3127675.2</v>
      </c>
      <c r="I489" s="37">
        <f t="shared" ref="I489:P489" si="172">I9+I12++I15++I18+I21+I24+I27+I30+I33+I36+I39+I42+I45+I48+I51+I54+I57+I60+I63+I66+I69+I72+I75+I78+I81+I84+I87+I90+I93+I96+I99+I102+I105+I108+I111+I114+I117+I120+I123+I126+I129+I132+I135+I138+I141+I144+I147+I150+I153+I156+I159+I162+I165+I168+I171+I174+I177+I180+I183+I186+I189+I192+I195+I198+I201+I204+I207+I210+I213+I216+I219+I222+I225+I228+I231+I234+I237+I240+I243+I246+I249+I252+I255+I258+I261+I264+I267+I270+I273+I276+I279+I282+I285+I288+I291+I294+I297+I300+I303+I306+I309+I312+I315+I318+I321+I324+I327+I330+I333+I336+I339+I342+I345+I348+I351+I354+I357+I360+I363+I366+I369+I372+I375+I378+I381+I384+I387+I390+I393+I396+I399+I402+I405+I408+I411+I414+I417+I420+I423+I426+I429+I432+I435+I438+I441+I444+I447+I450+I453+I456+I459+I462+I465+I468+I471+I474+I477+I480+I483+I486</f>
        <v>4882224</v>
      </c>
      <c r="J489" s="37">
        <f t="shared" si="172"/>
        <v>5049661</v>
      </c>
      <c r="K489" s="37">
        <f t="shared" si="172"/>
        <v>4962890</v>
      </c>
      <c r="L489" s="37">
        <f t="shared" si="172"/>
        <v>4722074</v>
      </c>
      <c r="M489" s="37">
        <f t="shared" si="172"/>
        <v>4327636</v>
      </c>
      <c r="N489" s="37">
        <f t="shared" si="172"/>
        <v>4193722</v>
      </c>
      <c r="O489" s="37">
        <f t="shared" si="172"/>
        <v>46228500.450000003</v>
      </c>
      <c r="P489" s="37">
        <f t="shared" si="172"/>
        <v>77494382.650000006</v>
      </c>
    </row>
    <row r="490" spans="1:16" ht="13.5" customHeight="1" x14ac:dyDescent="0.25">
      <c r="A490" s="161"/>
      <c r="B490" s="102"/>
      <c r="C490" s="163"/>
      <c r="D490" s="102"/>
      <c r="E490" s="102"/>
      <c r="F490" s="162"/>
      <c r="G490" s="28" t="s">
        <v>8</v>
      </c>
      <c r="H490" s="37">
        <f t="shared" ref="H490:P491" si="173">H10+H13++H16++H19+H22+H25+H28+H31+H34+H37+H40+H43+H46+H49+H52+H55+H58+H61+H64+H67+H70+H73+H76+H79+H82+H85+H88+H91+H94+H97+H100+H103+H106+H109+H112+H115+H118+H121+H124+H127+H130+H133+H136+H139+H142+H145+H148+H151+H154+H157+H160+H163+H166+H169+H172+H175+H178+H181+H184+H187+H190+H193+H196+H199+H202+H205+H208+H211+H214+H217+H220+H223+H226+H229+H232+H235+H238+H241+H244+H247+H250+H253+H256+H259+H262+H265+H268+H271+H274+H277+H280+H283+H286+H289+H292+H295+H298+H301+H304+H307+H310+H313+H316+H319+H322+H325+H328+H331+H334+H337+H340+H343+H346+H349+H352+H355+H358+H361+H364+H367+H370+H373+H376+H379+H382+H385+H388+H391+H394+H397+H400+H403+H406+H409+H412+H415+H418+H421+H424+H427+H430+H433+H436+H439+H442+H445+H448+H451+H454+H457+H460+H463+H466+H469+H472+H475+H478+H481+H484+H487</f>
        <v>2956273</v>
      </c>
      <c r="I490" s="37">
        <f t="shared" si="173"/>
        <v>3077680</v>
      </c>
      <c r="J490" s="37">
        <f t="shared" si="173"/>
        <v>2913695</v>
      </c>
      <c r="K490" s="37">
        <f t="shared" si="173"/>
        <v>2691667</v>
      </c>
      <c r="L490" s="37">
        <f t="shared" si="173"/>
        <v>2488522</v>
      </c>
      <c r="M490" s="37">
        <f t="shared" si="173"/>
        <v>2287638</v>
      </c>
      <c r="N490" s="37">
        <f t="shared" si="173"/>
        <v>2109711</v>
      </c>
      <c r="O490" s="37">
        <f t="shared" si="173"/>
        <v>13770048</v>
      </c>
      <c r="P490" s="37">
        <f t="shared" si="173"/>
        <v>32295234</v>
      </c>
    </row>
    <row r="491" spans="1:16" ht="15" customHeight="1" x14ac:dyDescent="0.25">
      <c r="A491" s="161"/>
      <c r="B491" s="102"/>
      <c r="C491" s="163"/>
      <c r="D491" s="102"/>
      <c r="E491" s="102"/>
      <c r="F491" s="162"/>
      <c r="G491" s="29" t="s">
        <v>458</v>
      </c>
      <c r="H491" s="9">
        <f t="shared" si="173"/>
        <v>6083948.2000000002</v>
      </c>
      <c r="I491" s="9">
        <f t="shared" si="173"/>
        <v>7959904</v>
      </c>
      <c r="J491" s="9">
        <f t="shared" si="173"/>
        <v>7963356</v>
      </c>
      <c r="K491" s="9">
        <f t="shared" si="173"/>
        <v>7654557</v>
      </c>
      <c r="L491" s="9">
        <f t="shared" si="173"/>
        <v>7210596</v>
      </c>
      <c r="M491" s="9">
        <f t="shared" si="173"/>
        <v>6615274</v>
      </c>
      <c r="N491" s="9">
        <f t="shared" si="173"/>
        <v>6303433</v>
      </c>
      <c r="O491" s="9">
        <f t="shared" si="173"/>
        <v>59998548.450000003</v>
      </c>
      <c r="P491" s="9">
        <f t="shared" si="173"/>
        <v>109789616.65000001</v>
      </c>
    </row>
    <row r="492" spans="1:16" ht="16.2" customHeight="1" outlineLevel="1" x14ac:dyDescent="0.25">
      <c r="A492" s="30"/>
      <c r="B492" s="3"/>
      <c r="C492" s="58"/>
      <c r="D492" s="54"/>
      <c r="E492" s="54"/>
      <c r="F492" s="54"/>
      <c r="G492" s="55"/>
      <c r="H492" s="56"/>
      <c r="I492" s="56"/>
      <c r="J492" s="56"/>
      <c r="K492" s="56"/>
      <c r="L492" s="56"/>
      <c r="M492" s="56"/>
      <c r="N492" s="56"/>
      <c r="O492" s="56"/>
      <c r="P492" s="56"/>
    </row>
    <row r="493" spans="1:16" ht="13.8" x14ac:dyDescent="0.25">
      <c r="A493" s="147" t="s">
        <v>4</v>
      </c>
      <c r="B493" s="148"/>
      <c r="C493" s="148"/>
      <c r="D493" s="148"/>
      <c r="E493" s="148"/>
      <c r="F493" s="148"/>
      <c r="G493" s="148"/>
      <c r="H493" s="148"/>
      <c r="I493" s="148"/>
      <c r="J493" s="148"/>
      <c r="K493" s="148"/>
      <c r="L493" s="148"/>
      <c r="M493" s="148"/>
      <c r="N493" s="148"/>
      <c r="O493" s="148"/>
      <c r="P493" s="148"/>
    </row>
    <row r="494" spans="1:16" x14ac:dyDescent="0.25">
      <c r="A494" s="7">
        <v>1</v>
      </c>
      <c r="B494" s="7">
        <v>2</v>
      </c>
      <c r="C494" s="7">
        <v>3</v>
      </c>
      <c r="D494" s="7">
        <v>4</v>
      </c>
      <c r="E494" s="7">
        <v>5</v>
      </c>
      <c r="F494" s="22">
        <v>6</v>
      </c>
      <c r="G494" s="22">
        <v>7</v>
      </c>
      <c r="H494" s="22">
        <v>10</v>
      </c>
      <c r="I494" s="22">
        <v>11</v>
      </c>
      <c r="J494" s="22">
        <v>12</v>
      </c>
      <c r="K494" s="22">
        <v>13</v>
      </c>
      <c r="L494" s="22">
        <v>14</v>
      </c>
      <c r="M494" s="22">
        <v>15</v>
      </c>
      <c r="N494" s="22"/>
      <c r="O494" s="22">
        <v>16</v>
      </c>
      <c r="P494" s="22">
        <v>17</v>
      </c>
    </row>
    <row r="495" spans="1:16" ht="17.25" customHeight="1" x14ac:dyDescent="0.25">
      <c r="A495" s="119">
        <v>1</v>
      </c>
      <c r="B495" s="149" t="s">
        <v>11</v>
      </c>
      <c r="C495" s="152" t="s">
        <v>451</v>
      </c>
      <c r="D495" s="155" t="s">
        <v>460</v>
      </c>
      <c r="E495" s="113" t="s">
        <v>139</v>
      </c>
      <c r="F495" s="158" t="s">
        <v>549</v>
      </c>
      <c r="G495" s="13" t="s">
        <v>5</v>
      </c>
      <c r="H495" s="60">
        <v>10968</v>
      </c>
      <c r="I495" s="60">
        <v>10968</v>
      </c>
      <c r="J495" s="60">
        <v>10968</v>
      </c>
      <c r="K495" s="68">
        <v>7850</v>
      </c>
      <c r="L495" s="91">
        <v>0</v>
      </c>
      <c r="M495" s="89">
        <v>0</v>
      </c>
      <c r="N495" s="89">
        <v>0</v>
      </c>
      <c r="O495" s="90">
        <v>0</v>
      </c>
      <c r="P495" s="52">
        <f t="shared" ref="P495:P515" si="174">SUM(H495:O495)</f>
        <v>40754</v>
      </c>
    </row>
    <row r="496" spans="1:16" ht="17.25" customHeight="1" x14ac:dyDescent="0.25">
      <c r="A496" s="120"/>
      <c r="B496" s="150"/>
      <c r="C496" s="153"/>
      <c r="D496" s="156"/>
      <c r="E496" s="114"/>
      <c r="F496" s="159"/>
      <c r="G496" s="17" t="s">
        <v>8</v>
      </c>
      <c r="H496" s="62">
        <f>1163+563+13</f>
        <v>1739</v>
      </c>
      <c r="I496" s="62">
        <f>1108+164-80</f>
        <v>1192</v>
      </c>
      <c r="J496" s="62">
        <f>1056-355</f>
        <v>701</v>
      </c>
      <c r="K496" s="69">
        <f>177+50</f>
        <v>227</v>
      </c>
      <c r="L496" s="92">
        <v>0</v>
      </c>
      <c r="M496" s="93">
        <v>0</v>
      </c>
      <c r="N496" s="93">
        <v>0</v>
      </c>
      <c r="O496" s="92">
        <v>0</v>
      </c>
      <c r="P496" s="52">
        <f t="shared" si="174"/>
        <v>3859</v>
      </c>
    </row>
    <row r="497" spans="1:16" x14ac:dyDescent="0.25">
      <c r="A497" s="121"/>
      <c r="B497" s="151"/>
      <c r="C497" s="154"/>
      <c r="D497" s="157"/>
      <c r="E497" s="115"/>
      <c r="F497" s="160"/>
      <c r="G497" s="15" t="s">
        <v>105</v>
      </c>
      <c r="H497" s="63">
        <f t="shared" ref="H497:O497" si="175">SUM(H495:H496)</f>
        <v>12707</v>
      </c>
      <c r="I497" s="63">
        <f t="shared" si="175"/>
        <v>12160</v>
      </c>
      <c r="J497" s="63">
        <f t="shared" si="175"/>
        <v>11669</v>
      </c>
      <c r="K497" s="63">
        <f t="shared" si="175"/>
        <v>8077</v>
      </c>
      <c r="L497" s="63">
        <f t="shared" si="175"/>
        <v>0</v>
      </c>
      <c r="M497" s="63">
        <f t="shared" si="175"/>
        <v>0</v>
      </c>
      <c r="N497" s="63">
        <f t="shared" si="175"/>
        <v>0</v>
      </c>
      <c r="O497" s="63">
        <f t="shared" si="175"/>
        <v>0</v>
      </c>
      <c r="P497" s="64">
        <f t="shared" si="174"/>
        <v>44613</v>
      </c>
    </row>
    <row r="498" spans="1:16" x14ac:dyDescent="0.25">
      <c r="A498" s="119">
        <v>2</v>
      </c>
      <c r="B498" s="149" t="s">
        <v>11</v>
      </c>
      <c r="C498" s="170" t="s">
        <v>548</v>
      </c>
      <c r="D498" s="155" t="s">
        <v>45</v>
      </c>
      <c r="E498" s="167" t="s">
        <v>558</v>
      </c>
      <c r="F498" s="158" t="s">
        <v>552</v>
      </c>
      <c r="G498" s="13" t="s">
        <v>5</v>
      </c>
      <c r="H498" s="65">
        <v>46540</v>
      </c>
      <c r="I498" s="65">
        <v>46540</v>
      </c>
      <c r="J498" s="65">
        <v>46540</v>
      </c>
      <c r="K498" s="65">
        <v>46540</v>
      </c>
      <c r="L498" s="65">
        <v>46540</v>
      </c>
      <c r="M498" s="65">
        <v>46540</v>
      </c>
      <c r="N498" s="65">
        <v>46540</v>
      </c>
      <c r="O498" s="65">
        <f>279240-46540</f>
        <v>232700</v>
      </c>
      <c r="P498" s="52">
        <f t="shared" si="174"/>
        <v>558480</v>
      </c>
    </row>
    <row r="499" spans="1:16" x14ac:dyDescent="0.25">
      <c r="A499" s="120"/>
      <c r="B499" s="150"/>
      <c r="C499" s="171"/>
      <c r="D499" s="156"/>
      <c r="E499" s="168"/>
      <c r="F499" s="159"/>
      <c r="G499" s="17" t="s">
        <v>8</v>
      </c>
      <c r="H499" s="62">
        <f>24952+258</f>
        <v>25210</v>
      </c>
      <c r="I499" s="62">
        <f>23636-1507</f>
        <v>22129</v>
      </c>
      <c r="J499" s="62">
        <f>21461-1617</f>
        <v>19844</v>
      </c>
      <c r="K499" s="62">
        <f>19280-1453</f>
        <v>17827</v>
      </c>
      <c r="L499" s="67">
        <f>17142-1291</f>
        <v>15851</v>
      </c>
      <c r="M499" s="67">
        <f>14915-1124</f>
        <v>13791</v>
      </c>
      <c r="N499" s="67">
        <v>11776</v>
      </c>
      <c r="O499" s="62">
        <f>40371+193448</f>
        <v>233819</v>
      </c>
      <c r="P499" s="52">
        <f t="shared" si="174"/>
        <v>360247</v>
      </c>
    </row>
    <row r="500" spans="1:16" x14ac:dyDescent="0.25">
      <c r="A500" s="121"/>
      <c r="B500" s="151"/>
      <c r="C500" s="172"/>
      <c r="D500" s="157"/>
      <c r="E500" s="169"/>
      <c r="F500" s="160"/>
      <c r="G500" s="15" t="s">
        <v>105</v>
      </c>
      <c r="H500" s="63">
        <f t="shared" ref="H500:O500" si="176">SUM(H498:H499)</f>
        <v>71750</v>
      </c>
      <c r="I500" s="63">
        <f t="shared" si="176"/>
        <v>68669</v>
      </c>
      <c r="J500" s="63">
        <f t="shared" si="176"/>
        <v>66384</v>
      </c>
      <c r="K500" s="63">
        <f t="shared" si="176"/>
        <v>64367</v>
      </c>
      <c r="L500" s="63">
        <f t="shared" si="176"/>
        <v>62391</v>
      </c>
      <c r="M500" s="63">
        <f t="shared" si="176"/>
        <v>60331</v>
      </c>
      <c r="N500" s="63">
        <f t="shared" si="176"/>
        <v>58316</v>
      </c>
      <c r="O500" s="63">
        <f t="shared" si="176"/>
        <v>466519</v>
      </c>
      <c r="P500" s="64">
        <f t="shared" si="174"/>
        <v>918727</v>
      </c>
    </row>
    <row r="501" spans="1:16" x14ac:dyDescent="0.25">
      <c r="A501" s="119">
        <v>3</v>
      </c>
      <c r="B501" s="149" t="s">
        <v>11</v>
      </c>
      <c r="C501" s="164" t="s">
        <v>44</v>
      </c>
      <c r="D501" s="155" t="s">
        <v>46</v>
      </c>
      <c r="E501" s="167" t="s">
        <v>559</v>
      </c>
      <c r="F501" s="158" t="s">
        <v>553</v>
      </c>
      <c r="G501" s="13" t="s">
        <v>5</v>
      </c>
      <c r="H501" s="65">
        <v>12384</v>
      </c>
      <c r="I501" s="65">
        <v>12384</v>
      </c>
      <c r="J501" s="65">
        <v>12384</v>
      </c>
      <c r="K501" s="65">
        <v>12384</v>
      </c>
      <c r="L501" s="65">
        <v>12384</v>
      </c>
      <c r="M501" s="65">
        <v>12384</v>
      </c>
      <c r="N501" s="65">
        <v>12384</v>
      </c>
      <c r="O501" s="65">
        <f>109412-12384</f>
        <v>97028</v>
      </c>
      <c r="P501" s="52">
        <f t="shared" si="174"/>
        <v>183716</v>
      </c>
    </row>
    <row r="502" spans="1:16" x14ac:dyDescent="0.25">
      <c r="A502" s="120"/>
      <c r="B502" s="150"/>
      <c r="C502" s="165"/>
      <c r="D502" s="156"/>
      <c r="E502" s="168"/>
      <c r="F502" s="159"/>
      <c r="G502" s="17" t="s">
        <v>8</v>
      </c>
      <c r="H502" s="62">
        <f>8256+54</f>
        <v>8310</v>
      </c>
      <c r="I502" s="62">
        <f>7885-522</f>
        <v>7363</v>
      </c>
      <c r="J502" s="62">
        <f>7305-550</f>
        <v>6755</v>
      </c>
      <c r="K502" s="62">
        <f>6726-507</f>
        <v>6219</v>
      </c>
      <c r="L502" s="67">
        <f>6163-464</f>
        <v>5699</v>
      </c>
      <c r="M502" s="70">
        <f>5565-419</f>
        <v>5146</v>
      </c>
      <c r="N502" s="70">
        <v>4610</v>
      </c>
      <c r="O502" s="62">
        <v>115751</v>
      </c>
      <c r="P502" s="52">
        <f t="shared" si="174"/>
        <v>159853</v>
      </c>
    </row>
    <row r="503" spans="1:16" x14ac:dyDescent="0.25">
      <c r="A503" s="121"/>
      <c r="B503" s="151"/>
      <c r="C503" s="166"/>
      <c r="D503" s="157"/>
      <c r="E503" s="169"/>
      <c r="F503" s="160"/>
      <c r="G503" s="15" t="s">
        <v>105</v>
      </c>
      <c r="H503" s="63">
        <f t="shared" ref="H503:O503" si="177">SUM(H501:H502)</f>
        <v>20694</v>
      </c>
      <c r="I503" s="63">
        <f t="shared" si="177"/>
        <v>19747</v>
      </c>
      <c r="J503" s="63">
        <f t="shared" si="177"/>
        <v>19139</v>
      </c>
      <c r="K503" s="63">
        <f t="shared" si="177"/>
        <v>18603</v>
      </c>
      <c r="L503" s="63">
        <f t="shared" si="177"/>
        <v>18083</v>
      </c>
      <c r="M503" s="63">
        <f t="shared" si="177"/>
        <v>17530</v>
      </c>
      <c r="N503" s="63">
        <f t="shared" si="177"/>
        <v>16994</v>
      </c>
      <c r="O503" s="63">
        <f t="shared" si="177"/>
        <v>212779</v>
      </c>
      <c r="P503" s="64">
        <f t="shared" si="174"/>
        <v>343569</v>
      </c>
    </row>
    <row r="504" spans="1:16" x14ac:dyDescent="0.25">
      <c r="A504" s="119">
        <v>4</v>
      </c>
      <c r="B504" s="149" t="s">
        <v>11</v>
      </c>
      <c r="C504" s="170" t="s">
        <v>548</v>
      </c>
      <c r="D504" s="155" t="s">
        <v>38</v>
      </c>
      <c r="E504" s="167" t="s">
        <v>557</v>
      </c>
      <c r="F504" s="173" t="s">
        <v>551</v>
      </c>
      <c r="G504" s="13" t="s">
        <v>5</v>
      </c>
      <c r="H504" s="65">
        <v>76356</v>
      </c>
      <c r="I504" s="65">
        <v>76356</v>
      </c>
      <c r="J504" s="65">
        <v>76356</v>
      </c>
      <c r="K504" s="65">
        <v>76356</v>
      </c>
      <c r="L504" s="65">
        <v>76356</v>
      </c>
      <c r="M504" s="65">
        <v>76356</v>
      </c>
      <c r="N504" s="65">
        <v>76356</v>
      </c>
      <c r="O504" s="65">
        <f>725382-76356</f>
        <v>649026</v>
      </c>
      <c r="P504" s="52">
        <f t="shared" si="174"/>
        <v>1183518</v>
      </c>
    </row>
    <row r="505" spans="1:16" x14ac:dyDescent="0.25">
      <c r="A505" s="120"/>
      <c r="B505" s="150"/>
      <c r="C505" s="171"/>
      <c r="D505" s="156"/>
      <c r="E505" s="168"/>
      <c r="F505" s="174"/>
      <c r="G505" s="17" t="s">
        <v>8</v>
      </c>
      <c r="H505" s="62">
        <f>55446-894</f>
        <v>54552</v>
      </c>
      <c r="I505" s="62">
        <f>51294-3864</f>
        <v>47430</v>
      </c>
      <c r="J505" s="62">
        <f>47725-3595</f>
        <v>44130</v>
      </c>
      <c r="K505" s="62">
        <f>44147-3326</f>
        <v>40821</v>
      </c>
      <c r="L505" s="67">
        <f>40674-3064</f>
        <v>37610</v>
      </c>
      <c r="M505" s="67">
        <f>36986-2787</f>
        <v>34199</v>
      </c>
      <c r="N505" s="67">
        <v>30893</v>
      </c>
      <c r="O505" s="62">
        <f>173368+630539</f>
        <v>803907</v>
      </c>
      <c r="P505" s="52">
        <f t="shared" si="174"/>
        <v>1093542</v>
      </c>
    </row>
    <row r="506" spans="1:16" x14ac:dyDescent="0.25">
      <c r="A506" s="121"/>
      <c r="B506" s="151"/>
      <c r="C506" s="172"/>
      <c r="D506" s="157"/>
      <c r="E506" s="169"/>
      <c r="F506" s="175"/>
      <c r="G506" s="15" t="s">
        <v>105</v>
      </c>
      <c r="H506" s="63">
        <f t="shared" ref="H506:O506" si="178">SUM(H504:H505)</f>
        <v>130908</v>
      </c>
      <c r="I506" s="63">
        <f t="shared" si="178"/>
        <v>123786</v>
      </c>
      <c r="J506" s="63">
        <f t="shared" si="178"/>
        <v>120486</v>
      </c>
      <c r="K506" s="63">
        <f t="shared" si="178"/>
        <v>117177</v>
      </c>
      <c r="L506" s="63">
        <f t="shared" si="178"/>
        <v>113966</v>
      </c>
      <c r="M506" s="63">
        <f t="shared" si="178"/>
        <v>110555</v>
      </c>
      <c r="N506" s="63">
        <f t="shared" si="178"/>
        <v>107249</v>
      </c>
      <c r="O506" s="63">
        <f t="shared" si="178"/>
        <v>1452933</v>
      </c>
      <c r="P506" s="64">
        <f t="shared" si="174"/>
        <v>2277060</v>
      </c>
    </row>
    <row r="507" spans="1:16" x14ac:dyDescent="0.25">
      <c r="A507" s="119">
        <v>5</v>
      </c>
      <c r="B507" s="149" t="s">
        <v>11</v>
      </c>
      <c r="C507" s="170" t="s">
        <v>60</v>
      </c>
      <c r="D507" s="155" t="s">
        <v>62</v>
      </c>
      <c r="E507" s="167" t="s">
        <v>560</v>
      </c>
      <c r="F507" s="158" t="s">
        <v>554</v>
      </c>
      <c r="G507" s="13" t="s">
        <v>5</v>
      </c>
      <c r="H507" s="65">
        <v>26380</v>
      </c>
      <c r="I507" s="65">
        <v>26380</v>
      </c>
      <c r="J507" s="65">
        <v>19785</v>
      </c>
      <c r="K507" s="81">
        <v>0</v>
      </c>
      <c r="L507" s="82">
        <v>0</v>
      </c>
      <c r="M507" s="83">
        <v>0</v>
      </c>
      <c r="N507" s="83">
        <v>0</v>
      </c>
      <c r="O507" s="81">
        <v>0</v>
      </c>
      <c r="P507" s="52">
        <f t="shared" si="174"/>
        <v>72545</v>
      </c>
    </row>
    <row r="508" spans="1:16" x14ac:dyDescent="0.25">
      <c r="A508" s="120"/>
      <c r="B508" s="150"/>
      <c r="C508" s="171"/>
      <c r="D508" s="156"/>
      <c r="E508" s="168"/>
      <c r="F508" s="159"/>
      <c r="G508" s="17" t="s">
        <v>8</v>
      </c>
      <c r="H508" s="62">
        <v>348</v>
      </c>
      <c r="I508" s="62">
        <f>213+1</f>
        <v>214</v>
      </c>
      <c r="J508" s="62">
        <v>77</v>
      </c>
      <c r="K508" s="59">
        <v>0</v>
      </c>
      <c r="L508" s="80">
        <v>0</v>
      </c>
      <c r="M508" s="61">
        <v>0</v>
      </c>
      <c r="N508" s="61">
        <v>0</v>
      </c>
      <c r="O508" s="59">
        <v>0</v>
      </c>
      <c r="P508" s="52">
        <f t="shared" si="174"/>
        <v>639</v>
      </c>
    </row>
    <row r="509" spans="1:16" x14ac:dyDescent="0.25">
      <c r="A509" s="121"/>
      <c r="B509" s="151"/>
      <c r="C509" s="172"/>
      <c r="D509" s="157"/>
      <c r="E509" s="169"/>
      <c r="F509" s="160"/>
      <c r="G509" s="15" t="s">
        <v>105</v>
      </c>
      <c r="H509" s="63">
        <f t="shared" ref="H509:O509" si="179">SUM(H507:H508)</f>
        <v>26728</v>
      </c>
      <c r="I509" s="63">
        <f t="shared" si="179"/>
        <v>26594</v>
      </c>
      <c r="J509" s="63">
        <f t="shared" si="179"/>
        <v>19862</v>
      </c>
      <c r="K509" s="63">
        <f t="shared" si="179"/>
        <v>0</v>
      </c>
      <c r="L509" s="63">
        <f t="shared" si="179"/>
        <v>0</v>
      </c>
      <c r="M509" s="88">
        <f t="shared" si="179"/>
        <v>0</v>
      </c>
      <c r="N509" s="88">
        <f t="shared" si="179"/>
        <v>0</v>
      </c>
      <c r="O509" s="63">
        <f t="shared" si="179"/>
        <v>0</v>
      </c>
      <c r="P509" s="64">
        <f t="shared" si="174"/>
        <v>73184</v>
      </c>
    </row>
    <row r="510" spans="1:16" x14ac:dyDescent="0.25">
      <c r="A510" s="119">
        <v>6</v>
      </c>
      <c r="B510" s="149" t="s">
        <v>11</v>
      </c>
      <c r="C510" s="170" t="s">
        <v>61</v>
      </c>
      <c r="D510" s="155" t="s">
        <v>63</v>
      </c>
      <c r="E510" s="167" t="s">
        <v>342</v>
      </c>
      <c r="F510" s="158" t="s">
        <v>555</v>
      </c>
      <c r="G510" s="13" t="s">
        <v>5</v>
      </c>
      <c r="H510" s="65">
        <v>52732</v>
      </c>
      <c r="I510" s="65">
        <v>52732</v>
      </c>
      <c r="J510" s="65">
        <v>52732</v>
      </c>
      <c r="K510" s="65">
        <v>52732</v>
      </c>
      <c r="L510" s="65">
        <v>52732</v>
      </c>
      <c r="M510" s="65">
        <v>52732</v>
      </c>
      <c r="N510" s="65">
        <v>52732</v>
      </c>
      <c r="O510" s="65">
        <f>237097-52732</f>
        <v>184365</v>
      </c>
      <c r="P510" s="52">
        <f t="shared" si="174"/>
        <v>553489</v>
      </c>
    </row>
    <row r="511" spans="1:16" x14ac:dyDescent="0.25">
      <c r="A511" s="120"/>
      <c r="B511" s="150"/>
      <c r="C511" s="171"/>
      <c r="D511" s="156"/>
      <c r="E511" s="168"/>
      <c r="F511" s="159"/>
      <c r="G511" s="17" t="s">
        <v>8</v>
      </c>
      <c r="H511" s="62">
        <f>8728-774</f>
        <v>7954</v>
      </c>
      <c r="I511" s="62">
        <f>21714-2787</f>
        <v>18927</v>
      </c>
      <c r="J511" s="62">
        <f>19394-2489</f>
        <v>16905</v>
      </c>
      <c r="K511" s="62">
        <f>17068-2191</f>
        <v>14877</v>
      </c>
      <c r="L511" s="67">
        <f>14778-1896</f>
        <v>12882</v>
      </c>
      <c r="M511" s="67">
        <f>12412-1593</f>
        <v>10819</v>
      </c>
      <c r="N511" s="67">
        <v>8793</v>
      </c>
      <c r="O511" s="62">
        <f>24478-9527</f>
        <v>14951</v>
      </c>
      <c r="P511" s="52">
        <f t="shared" si="174"/>
        <v>106108</v>
      </c>
    </row>
    <row r="512" spans="1:16" x14ac:dyDescent="0.25">
      <c r="A512" s="121"/>
      <c r="B512" s="151"/>
      <c r="C512" s="172"/>
      <c r="D512" s="157"/>
      <c r="E512" s="169"/>
      <c r="F512" s="160"/>
      <c r="G512" s="15" t="s">
        <v>105</v>
      </c>
      <c r="H512" s="63">
        <f t="shared" ref="H512:O512" si="180">SUM(H510:H511)</f>
        <v>60686</v>
      </c>
      <c r="I512" s="63">
        <f t="shared" si="180"/>
        <v>71659</v>
      </c>
      <c r="J512" s="63">
        <f t="shared" si="180"/>
        <v>69637</v>
      </c>
      <c r="K512" s="63">
        <f t="shared" si="180"/>
        <v>67609</v>
      </c>
      <c r="L512" s="63">
        <f t="shared" si="180"/>
        <v>65614</v>
      </c>
      <c r="M512" s="63">
        <f t="shared" si="180"/>
        <v>63551</v>
      </c>
      <c r="N512" s="63">
        <f t="shared" si="180"/>
        <v>61525</v>
      </c>
      <c r="O512" s="63">
        <f t="shared" si="180"/>
        <v>199316</v>
      </c>
      <c r="P512" s="64">
        <f t="shared" si="174"/>
        <v>659597</v>
      </c>
    </row>
    <row r="513" spans="1:16" x14ac:dyDescent="0.25">
      <c r="A513" s="119">
        <v>7</v>
      </c>
      <c r="B513" s="149" t="s">
        <v>11</v>
      </c>
      <c r="C513" s="197" t="s">
        <v>81</v>
      </c>
      <c r="D513" s="155" t="s">
        <v>89</v>
      </c>
      <c r="E513" s="200" t="s">
        <v>422</v>
      </c>
      <c r="F513" s="203" t="s">
        <v>556</v>
      </c>
      <c r="G513" s="13" t="s">
        <v>5</v>
      </c>
      <c r="H513" s="65">
        <v>11492</v>
      </c>
      <c r="I513" s="65">
        <v>11492</v>
      </c>
      <c r="J513" s="65">
        <v>11492</v>
      </c>
      <c r="K513" s="65">
        <v>11492</v>
      </c>
      <c r="L513" s="65">
        <v>11492</v>
      </c>
      <c r="M513" s="65">
        <v>11492</v>
      </c>
      <c r="N513" s="65">
        <v>11492</v>
      </c>
      <c r="O513" s="65">
        <f>135031-11492</f>
        <v>123539</v>
      </c>
      <c r="P513" s="52">
        <f t="shared" si="174"/>
        <v>203983</v>
      </c>
    </row>
    <row r="514" spans="1:16" x14ac:dyDescent="0.25">
      <c r="A514" s="120"/>
      <c r="B514" s="150"/>
      <c r="C514" s="198"/>
      <c r="D514" s="156"/>
      <c r="E514" s="201"/>
      <c r="F514" s="204"/>
      <c r="G514" s="17" t="s">
        <v>8</v>
      </c>
      <c r="H514" s="62">
        <f>9616+4</f>
        <v>9620</v>
      </c>
      <c r="I514" s="62">
        <f>9117-194</f>
        <v>8923</v>
      </c>
      <c r="J514" s="62">
        <f>8568-181</f>
        <v>8387</v>
      </c>
      <c r="K514" s="62">
        <f>8019-170</f>
        <v>7849</v>
      </c>
      <c r="L514" s="67">
        <f>7488-158</f>
        <v>7330</v>
      </c>
      <c r="M514" s="67">
        <f>6918-146</f>
        <v>6772</v>
      </c>
      <c r="N514" s="67">
        <v>6234</v>
      </c>
      <c r="O514" s="62">
        <f>40202-7086</f>
        <v>33116</v>
      </c>
      <c r="P514" s="52">
        <f t="shared" si="174"/>
        <v>88231</v>
      </c>
    </row>
    <row r="515" spans="1:16" x14ac:dyDescent="0.25">
      <c r="A515" s="121"/>
      <c r="B515" s="151"/>
      <c r="C515" s="199"/>
      <c r="D515" s="157"/>
      <c r="E515" s="202"/>
      <c r="F515" s="205"/>
      <c r="G515" s="15" t="s">
        <v>105</v>
      </c>
      <c r="H515" s="63">
        <f t="shared" ref="H515:O515" si="181">SUM(H513:H514)</f>
        <v>21112</v>
      </c>
      <c r="I515" s="63">
        <f t="shared" si="181"/>
        <v>20415</v>
      </c>
      <c r="J515" s="63">
        <f t="shared" si="181"/>
        <v>19879</v>
      </c>
      <c r="K515" s="63">
        <f t="shared" si="181"/>
        <v>19341</v>
      </c>
      <c r="L515" s="63">
        <f t="shared" si="181"/>
        <v>18822</v>
      </c>
      <c r="M515" s="63">
        <f t="shared" si="181"/>
        <v>18264</v>
      </c>
      <c r="N515" s="63">
        <f t="shared" si="181"/>
        <v>17726</v>
      </c>
      <c r="O515" s="63">
        <f t="shared" si="181"/>
        <v>156655</v>
      </c>
      <c r="P515" s="64">
        <f t="shared" si="174"/>
        <v>292214</v>
      </c>
    </row>
    <row r="516" spans="1:16" x14ac:dyDescent="0.25">
      <c r="A516" s="182"/>
      <c r="B516" s="185"/>
      <c r="C516" s="188" t="s">
        <v>550</v>
      </c>
      <c r="D516" s="155"/>
      <c r="E516" s="191"/>
      <c r="F516" s="194"/>
      <c r="G516" s="27" t="s">
        <v>5</v>
      </c>
      <c r="H516" s="65">
        <f t="shared" ref="H516:O518" si="182">H495+H498+H501+H504+H507+H510+H513</f>
        <v>236852</v>
      </c>
      <c r="I516" s="65">
        <f t="shared" si="182"/>
        <v>236852</v>
      </c>
      <c r="J516" s="65">
        <f t="shared" si="182"/>
        <v>230257</v>
      </c>
      <c r="K516" s="65">
        <f t="shared" si="182"/>
        <v>207354</v>
      </c>
      <c r="L516" s="65">
        <f t="shared" si="182"/>
        <v>199504</v>
      </c>
      <c r="M516" s="65">
        <f t="shared" si="182"/>
        <v>199504</v>
      </c>
      <c r="N516" s="65">
        <f>N495+N498+N501+N504+N507+N510+N513</f>
        <v>199504</v>
      </c>
      <c r="O516" s="65">
        <f t="shared" si="182"/>
        <v>1286658</v>
      </c>
      <c r="P516" s="84">
        <f>P495+P498+P501+P504+P507+P510+P513</f>
        <v>2796485</v>
      </c>
    </row>
    <row r="517" spans="1:16" x14ac:dyDescent="0.25">
      <c r="A517" s="183"/>
      <c r="B517" s="186"/>
      <c r="C517" s="189"/>
      <c r="D517" s="156"/>
      <c r="E517" s="192"/>
      <c r="F517" s="195"/>
      <c r="G517" s="28" t="s">
        <v>8</v>
      </c>
      <c r="H517" s="62">
        <f t="shared" si="182"/>
        <v>107733</v>
      </c>
      <c r="I517" s="62">
        <f t="shared" si="182"/>
        <v>106178</v>
      </c>
      <c r="J517" s="62">
        <f t="shared" si="182"/>
        <v>96799</v>
      </c>
      <c r="K517" s="62">
        <f t="shared" si="182"/>
        <v>87820</v>
      </c>
      <c r="L517" s="62">
        <f t="shared" si="182"/>
        <v>79372</v>
      </c>
      <c r="M517" s="62">
        <f t="shared" si="182"/>
        <v>70727</v>
      </c>
      <c r="N517" s="62">
        <f>N496+N499+N502+N505+N508+N511+N514</f>
        <v>62306</v>
      </c>
      <c r="O517" s="62">
        <f t="shared" si="182"/>
        <v>1201544</v>
      </c>
      <c r="P517" s="85">
        <f>P496+P499+P502+P505+P508+P511+P514</f>
        <v>1812479</v>
      </c>
    </row>
    <row r="518" spans="1:16" x14ac:dyDescent="0.25">
      <c r="A518" s="184"/>
      <c r="B518" s="187"/>
      <c r="C518" s="190"/>
      <c r="D518" s="157"/>
      <c r="E518" s="193"/>
      <c r="F518" s="196"/>
      <c r="G518" s="29" t="s">
        <v>105</v>
      </c>
      <c r="H518" s="66">
        <f t="shared" si="182"/>
        <v>344585</v>
      </c>
      <c r="I518" s="66">
        <f t="shared" si="182"/>
        <v>343030</v>
      </c>
      <c r="J518" s="66">
        <f t="shared" si="182"/>
        <v>327056</v>
      </c>
      <c r="K518" s="66">
        <f t="shared" si="182"/>
        <v>295174</v>
      </c>
      <c r="L518" s="66">
        <f t="shared" si="182"/>
        <v>278876</v>
      </c>
      <c r="M518" s="66">
        <f t="shared" si="182"/>
        <v>270231</v>
      </c>
      <c r="N518" s="66">
        <f t="shared" si="182"/>
        <v>261810</v>
      </c>
      <c r="O518" s="66">
        <f t="shared" si="182"/>
        <v>2488202</v>
      </c>
      <c r="P518" s="66">
        <f>P497+P500+P503+P506+P509+P512+P515</f>
        <v>4608964</v>
      </c>
    </row>
    <row r="519" spans="1:16" x14ac:dyDescent="0.25">
      <c r="A519" s="24"/>
      <c r="B519" s="176"/>
      <c r="C519" s="176"/>
      <c r="D519" s="176"/>
      <c r="E519" s="176"/>
      <c r="F519" s="5"/>
      <c r="G519" s="24"/>
      <c r="H519" s="10"/>
      <c r="I519" s="10"/>
      <c r="J519" s="10"/>
      <c r="K519" s="10"/>
      <c r="L519" s="23"/>
      <c r="M519" s="23"/>
      <c r="N519" s="23"/>
      <c r="O519" s="10"/>
      <c r="P519" s="10"/>
    </row>
    <row r="521" spans="1:16" ht="17.25" customHeight="1" x14ac:dyDescent="0.25">
      <c r="A521" s="177" t="s">
        <v>547</v>
      </c>
      <c r="B521" s="177"/>
      <c r="C521" s="177"/>
      <c r="D521" s="177"/>
      <c r="E521" s="177"/>
      <c r="F521" s="177"/>
      <c r="G521" s="177"/>
      <c r="H521" s="9">
        <f t="shared" ref="H521:P521" si="183">H491+H518</f>
        <v>6428533.2000000002</v>
      </c>
      <c r="I521" s="9">
        <f t="shared" si="183"/>
        <v>8302934</v>
      </c>
      <c r="J521" s="9">
        <f t="shared" si="183"/>
        <v>8290412</v>
      </c>
      <c r="K521" s="9">
        <f t="shared" si="183"/>
        <v>7949731</v>
      </c>
      <c r="L521" s="9">
        <f t="shared" si="183"/>
        <v>7489472</v>
      </c>
      <c r="M521" s="9">
        <f t="shared" si="183"/>
        <v>6885505</v>
      </c>
      <c r="N521" s="9">
        <f t="shared" si="183"/>
        <v>6565243</v>
      </c>
      <c r="O521" s="9">
        <f t="shared" si="183"/>
        <v>62486750.450000003</v>
      </c>
      <c r="P521" s="9">
        <f t="shared" si="183"/>
        <v>114398580.65000001</v>
      </c>
    </row>
    <row r="523" spans="1:16" ht="13.2" customHeight="1" x14ac:dyDescent="0.25">
      <c r="B523" s="178" t="s">
        <v>6</v>
      </c>
      <c r="C523" s="179"/>
      <c r="D523" s="179"/>
      <c r="E523" s="179"/>
      <c r="F523" s="179"/>
      <c r="G523" s="180"/>
      <c r="H523" s="6">
        <f t="shared" ref="H523:N523" si="184">H521*100/($P$524)</f>
        <v>8.9066874239373028</v>
      </c>
      <c r="I523" s="6">
        <f t="shared" si="184"/>
        <v>11.503656516790089</v>
      </c>
      <c r="J523" s="6">
        <f t="shared" si="184"/>
        <v>11.486307374077015</v>
      </c>
      <c r="K523" s="6">
        <f t="shared" si="184"/>
        <v>11.01429625056374</v>
      </c>
      <c r="L523" s="6">
        <f t="shared" si="184"/>
        <v>10.376610651140536</v>
      </c>
      <c r="M523" s="6">
        <f t="shared" si="184"/>
        <v>9.5398186309370576</v>
      </c>
      <c r="N523" s="6">
        <f t="shared" si="184"/>
        <v>9.0960978879587042</v>
      </c>
      <c r="O523" s="24"/>
      <c r="P523" s="24"/>
    </row>
    <row r="524" spans="1:16" ht="16.2" customHeight="1" x14ac:dyDescent="0.25">
      <c r="B524" s="181" t="s">
        <v>7</v>
      </c>
      <c r="C524" s="181"/>
      <c r="D524" s="181"/>
      <c r="E524" s="181"/>
      <c r="P524" s="100">
        <f>108094126-114+474-31165874-4752135</f>
        <v>72176477</v>
      </c>
    </row>
    <row r="525" spans="1:16" ht="16.2" customHeight="1" x14ac:dyDescent="0.25">
      <c r="B525" s="57"/>
      <c r="C525" s="57"/>
      <c r="D525" s="57"/>
      <c r="E525" s="57"/>
    </row>
  </sheetData>
  <mergeCells count="860">
    <mergeCell ref="E480:E482"/>
    <mergeCell ref="B519:E519"/>
    <mergeCell ref="A521:G521"/>
    <mergeCell ref="B523:G523"/>
    <mergeCell ref="B524:E524"/>
    <mergeCell ref="A516:A518"/>
    <mergeCell ref="B516:B518"/>
    <mergeCell ref="C516:C518"/>
    <mergeCell ref="D516:D518"/>
    <mergeCell ref="E516:E518"/>
    <mergeCell ref="F516:F518"/>
    <mergeCell ref="A513:A515"/>
    <mergeCell ref="B513:B515"/>
    <mergeCell ref="C513:C515"/>
    <mergeCell ref="D513:D515"/>
    <mergeCell ref="E513:E515"/>
    <mergeCell ref="F513:F515"/>
    <mergeCell ref="A510:A512"/>
    <mergeCell ref="B510:B512"/>
    <mergeCell ref="C510:C512"/>
    <mergeCell ref="D510:D512"/>
    <mergeCell ref="E510:E512"/>
    <mergeCell ref="F510:F512"/>
    <mergeCell ref="A507:A509"/>
    <mergeCell ref="B507:B509"/>
    <mergeCell ref="C507:C509"/>
    <mergeCell ref="D507:D509"/>
    <mergeCell ref="E507:E509"/>
    <mergeCell ref="F507:F509"/>
    <mergeCell ref="A504:A506"/>
    <mergeCell ref="B504:B506"/>
    <mergeCell ref="C504:C506"/>
    <mergeCell ref="D504:D506"/>
    <mergeCell ref="E504:E506"/>
    <mergeCell ref="F504:F506"/>
    <mergeCell ref="A501:A503"/>
    <mergeCell ref="B501:B503"/>
    <mergeCell ref="C501:C503"/>
    <mergeCell ref="D501:D503"/>
    <mergeCell ref="E501:E503"/>
    <mergeCell ref="F501:F503"/>
    <mergeCell ref="A498:A500"/>
    <mergeCell ref="B498:B500"/>
    <mergeCell ref="C498:C500"/>
    <mergeCell ref="D498:D500"/>
    <mergeCell ref="E498:E500"/>
    <mergeCell ref="F498:F500"/>
    <mergeCell ref="A486:A488"/>
    <mergeCell ref="B486:B488"/>
    <mergeCell ref="C486:C488"/>
    <mergeCell ref="D486:D488"/>
    <mergeCell ref="E486:E488"/>
    <mergeCell ref="A493:P493"/>
    <mergeCell ref="A495:A497"/>
    <mergeCell ref="B495:B497"/>
    <mergeCell ref="C495:C497"/>
    <mergeCell ref="D495:D497"/>
    <mergeCell ref="E495:E497"/>
    <mergeCell ref="F495:F497"/>
    <mergeCell ref="A489:A491"/>
    <mergeCell ref="B489:B491"/>
    <mergeCell ref="C489:C491"/>
    <mergeCell ref="D489:D491"/>
    <mergeCell ref="E489:E491"/>
    <mergeCell ref="F489:F491"/>
    <mergeCell ref="A465:A467"/>
    <mergeCell ref="B465:B467"/>
    <mergeCell ref="C465:C467"/>
    <mergeCell ref="D465:D467"/>
    <mergeCell ref="E465:E467"/>
    <mergeCell ref="A468:A470"/>
    <mergeCell ref="B468:B470"/>
    <mergeCell ref="C468:C470"/>
    <mergeCell ref="D468:D470"/>
    <mergeCell ref="E468:E470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2:E464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56:E458"/>
    <mergeCell ref="A447:A449"/>
    <mergeCell ref="B447:B449"/>
    <mergeCell ref="C447:C449"/>
    <mergeCell ref="D447:D449"/>
    <mergeCell ref="E447:E449"/>
    <mergeCell ref="A450:A452"/>
    <mergeCell ref="B450:B452"/>
    <mergeCell ref="C450:C452"/>
    <mergeCell ref="D450:D452"/>
    <mergeCell ref="E450:E452"/>
    <mergeCell ref="A441:A443"/>
    <mergeCell ref="B441:B443"/>
    <mergeCell ref="C441:C443"/>
    <mergeCell ref="D441:D443"/>
    <mergeCell ref="E441:E443"/>
    <mergeCell ref="A444:A446"/>
    <mergeCell ref="B444:B446"/>
    <mergeCell ref="C444:C446"/>
    <mergeCell ref="D444:D446"/>
    <mergeCell ref="E444:E446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38:E440"/>
    <mergeCell ref="A429:A431"/>
    <mergeCell ref="B429:B431"/>
    <mergeCell ref="C429:C431"/>
    <mergeCell ref="D429:D431"/>
    <mergeCell ref="E429:E431"/>
    <mergeCell ref="A432:A434"/>
    <mergeCell ref="B432:B434"/>
    <mergeCell ref="C432:C434"/>
    <mergeCell ref="D432:D434"/>
    <mergeCell ref="E432:E434"/>
    <mergeCell ref="A423:A425"/>
    <mergeCell ref="B423:B425"/>
    <mergeCell ref="C423:C425"/>
    <mergeCell ref="D423:D425"/>
    <mergeCell ref="E423:E425"/>
    <mergeCell ref="A426:A428"/>
    <mergeCell ref="B426:B428"/>
    <mergeCell ref="C426:C428"/>
    <mergeCell ref="D426:D428"/>
    <mergeCell ref="E426:E428"/>
    <mergeCell ref="A417:A419"/>
    <mergeCell ref="B417:B419"/>
    <mergeCell ref="C417:C419"/>
    <mergeCell ref="D417:D419"/>
    <mergeCell ref="E417:E419"/>
    <mergeCell ref="A420:A422"/>
    <mergeCell ref="B420:B422"/>
    <mergeCell ref="C420:C422"/>
    <mergeCell ref="D420:D422"/>
    <mergeCell ref="E420:E422"/>
    <mergeCell ref="A411:A413"/>
    <mergeCell ref="B411:B413"/>
    <mergeCell ref="C411:C413"/>
    <mergeCell ref="D411:D413"/>
    <mergeCell ref="E411:E413"/>
    <mergeCell ref="A414:A416"/>
    <mergeCell ref="B414:B416"/>
    <mergeCell ref="C414:C416"/>
    <mergeCell ref="D414:D416"/>
    <mergeCell ref="E414:E416"/>
    <mergeCell ref="A405:A407"/>
    <mergeCell ref="B405:B407"/>
    <mergeCell ref="C405:C407"/>
    <mergeCell ref="D405:D407"/>
    <mergeCell ref="E405:E407"/>
    <mergeCell ref="A408:A410"/>
    <mergeCell ref="B408:B410"/>
    <mergeCell ref="C408:C410"/>
    <mergeCell ref="D408:D410"/>
    <mergeCell ref="E408:E410"/>
    <mergeCell ref="A399:A401"/>
    <mergeCell ref="B399:B401"/>
    <mergeCell ref="C399:C401"/>
    <mergeCell ref="D399:D401"/>
    <mergeCell ref="E399:E401"/>
    <mergeCell ref="A402:A404"/>
    <mergeCell ref="B402:B404"/>
    <mergeCell ref="C402:C404"/>
    <mergeCell ref="D402:D404"/>
    <mergeCell ref="E402:E404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396:E398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390:E392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84:E386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78:E380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72:E374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66:E368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60:E362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54:E356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48:E350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42:E344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36:E338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30:E332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24:E326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18:E320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12:E314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06:E308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00:E302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294:E296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288:E290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82:E284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76:E278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70:E272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64:E266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58:E260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52:E254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46:E248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40:E242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34:E236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28:E230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22:E224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16:E218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10:E212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04:E206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198:E200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192:E194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86:E188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80:E182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74:E176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68:E170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62:E164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56:E158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50:E152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44:E146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38:E140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32:E134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26:E128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20:E122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14:E116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08:E110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02:E104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96:E98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90:E92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84:E86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78:E80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72:E74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66:E68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60:E62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54:E56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48:E50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42:E44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36:E38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30:E32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24:E26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9:A11"/>
    <mergeCell ref="B9:B11"/>
    <mergeCell ref="C9:C11"/>
    <mergeCell ref="D9:D11"/>
    <mergeCell ref="E9:E11"/>
    <mergeCell ref="F9:F11"/>
    <mergeCell ref="A12:A14"/>
    <mergeCell ref="B12:B14"/>
    <mergeCell ref="C12:C14"/>
    <mergeCell ref="D12:D14"/>
    <mergeCell ref="E12:E14"/>
    <mergeCell ref="A483:A485"/>
    <mergeCell ref="B483:B485"/>
    <mergeCell ref="C483:C485"/>
    <mergeCell ref="D483:D485"/>
    <mergeCell ref="E483:E485"/>
    <mergeCell ref="A471:A473"/>
    <mergeCell ref="B471:B473"/>
    <mergeCell ref="C471:C473"/>
    <mergeCell ref="D471:D473"/>
    <mergeCell ref="E471:E473"/>
    <mergeCell ref="A474:A476"/>
    <mergeCell ref="B474:B476"/>
    <mergeCell ref="C474:C476"/>
    <mergeCell ref="D474:D476"/>
    <mergeCell ref="E474:E476"/>
    <mergeCell ref="A477:A479"/>
    <mergeCell ref="B477:B479"/>
    <mergeCell ref="C477:C479"/>
    <mergeCell ref="D477:D479"/>
    <mergeCell ref="E477:E479"/>
    <mergeCell ref="A480:A482"/>
    <mergeCell ref="B480:B482"/>
    <mergeCell ref="C480:C482"/>
    <mergeCell ref="D480:D482"/>
  </mergeCells>
  <pageMargins left="0.31496062992125984" right="0.11811023622047245" top="0.74803149606299213" bottom="0.55118110236220474" header="0.31496062992125984" footer="0.31496062992125984"/>
  <pageSetup paperSize="9" scale="6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05.2024_dome</vt:lpstr>
      <vt:lpstr>'05.2024_dome'!Print_Titles</vt:lpstr>
    </vt:vector>
  </TitlesOfParts>
  <Company>Valmieras pilsetas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dala</dc:creator>
  <cp:lastModifiedBy>Sanita Djadela</cp:lastModifiedBy>
  <cp:lastPrinted>2024-06-03T14:18:43Z</cp:lastPrinted>
  <dcterms:created xsi:type="dcterms:W3CDTF">2012-01-17T09:24:01Z</dcterms:created>
  <dcterms:modified xsi:type="dcterms:W3CDTF">2024-06-07T08:05:38Z</dcterms:modified>
</cp:coreProperties>
</file>